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codeName="ThisWorkbook"/>
  <mc:AlternateContent xmlns:mc="http://schemas.openxmlformats.org/markup-compatibility/2006">
    <mc:Choice Requires="x15">
      <x15ac:absPath xmlns:x15ac="http://schemas.microsoft.com/office/spreadsheetml/2010/11/ac" url="/Users/ben/Downloads/"/>
    </mc:Choice>
  </mc:AlternateContent>
  <xr:revisionPtr revIDLastSave="0" documentId="13_ncr:1_{82719E49-2E67-ED4C-A80B-F3E9DE5D70EB}" xr6:coauthVersionLast="47" xr6:coauthVersionMax="47" xr10:uidLastSave="{00000000-0000-0000-0000-000000000000}"/>
  <bookViews>
    <workbookView xWindow="20" yWindow="500" windowWidth="30680" windowHeight="18720" tabRatio="920" activeTab="3" xr2:uid="{00000000-000D-0000-FFFF-FFFF00000000}"/>
  </bookViews>
  <sheets>
    <sheet name="Table of Contents" sheetId="3" r:id="rId1"/>
    <sheet name="Summary" sheetId="9" r:id="rId2"/>
    <sheet name="Emissions Data" sheetId="21" r:id="rId3"/>
    <sheet name="On-road" sheetId="22" r:id="rId4"/>
    <sheet name="Rail" sheetId="28" r:id="rId5"/>
    <sheet name="Waterborne" sheetId="29" r:id="rId6"/>
    <sheet name="Aviation" sheetId="30" r:id="rId7"/>
    <sheet name="Off-road" sheetId="31" r:id="rId8"/>
    <sheet name="Onroad Data" sheetId="12" r:id="rId9"/>
    <sheet name="Passenger Rail" sheetId="37" r:id="rId10"/>
    <sheet name="Freight Summary" sheetId="36" r:id="rId11"/>
    <sheet name="Waterborne Data" sheetId="34" r:id="rId12"/>
    <sheet name="Aviation Data" sheetId="33" r:id="rId13"/>
    <sheet name="Offroad Data" sheetId="35" r:id="rId14"/>
    <sheet name="Offroad Allocation" sheetId="16" r:id="rId15"/>
    <sheet name="Freight Data_2019" sheetId="38" r:id="rId16"/>
    <sheet name="Freight Data_2015" sheetId="15" r:id="rId17"/>
    <sheet name="Freight Data_2010" sheetId="32" r:id="rId18"/>
    <sheet name="Outputs for Energy" sheetId="14" r:id="rId19"/>
    <sheet name="Emission Factors" sheetId="5" r:id="rId20"/>
    <sheet name="Constants &amp; Conversions" sheetId="10" r:id="rId21"/>
  </sheets>
  <externalReferences>
    <externalReference r:id="rId22"/>
    <externalReference r:id="rId23"/>
  </externalReferences>
  <definedNames>
    <definedName name="_xlnm._FilterDatabase" localSheetId="2" hidden="1">'Emissions Data'!$A$7:$O$247</definedName>
    <definedName name="_Ref284943152" localSheetId="8">'Onroad Data'!$B$341</definedName>
    <definedName name="Aviation_Gas_gCH4_per_gallon">'Emission Factors'!$C$6</definedName>
    <definedName name="Aviation_Gas_gCO2_per_gallon">'Emission Factors'!$B$6</definedName>
    <definedName name="Aviation_Gas_gN2O_per_gallon">'Emission Factors'!$D$6</definedName>
    <definedName name="CH4_GWP">'Constants &amp; Conversions'!$D$6</definedName>
    <definedName name="Chicago_CookCounty_percentage">'Constants &amp; Conversions'!#REF!</definedName>
    <definedName name="CO2_GWP">'Constants &amp; Conversions'!$D$5</definedName>
    <definedName name="Diesel_Ships_gCH4_per_gallon">'Emission Factors'!$C$4</definedName>
    <definedName name="Diesel_Ships_gCO2_per_gallon">'Emission Factors'!$B$4</definedName>
    <definedName name="Diesel_Ships_gN2O_per_gallon">'Emission Factors'!$D$4</definedName>
    <definedName name="Emissions_Data">'Emissions Data'!$B$7:$O$493</definedName>
    <definedName name="_xlnm.Extract" localSheetId="2">'Emissions Data'!$R$7</definedName>
    <definedName name="Gas_Boats_gCH4_per_gallon">'Emission Factors'!$C$5</definedName>
    <definedName name="Gas_Boats_gCO2_per_gallon">'Emission Factors'!$B$5</definedName>
    <definedName name="Gas_Boats_gN2O_per_gallon">'Emission Factors'!$D$5</definedName>
    <definedName name="GDP_Growth">'Constants &amp; Conversions'!$D$60</definedName>
    <definedName name="Global_Warming_Potential_CH4">'Constants &amp; Conversions'!$D$6</definedName>
    <definedName name="Global_Warming_Potential_CO2">'Constants &amp; Conversions'!$D$5</definedName>
    <definedName name="Global_Warming_Potential_N2O">'Constants &amp; Conversions'!$D$7</definedName>
    <definedName name="Grams_per_Metric_Ton">'Emission Factors'!$B$107</definedName>
    <definedName name="grams_to_mton">'Constants &amp; Conversions'!$D$35</definedName>
    <definedName name="GWP_CH4">'Constants &amp; Conversions'!$D$6</definedName>
    <definedName name="GWP_CO2">'Constants &amp; Conversions'!$D$5</definedName>
    <definedName name="GWP_N2O">'Constants &amp; Conversions'!$D$7</definedName>
    <definedName name="Jet_Fuel_gCH4_per_gallon">'Emission Factors'!$C$7</definedName>
    <definedName name="Jet_Fuel_gCO2_per_gallon">'Emission Factors'!$B$7</definedName>
    <definedName name="Jet_Fuel_gN2O_per_gallon">'Emission Factors'!$D$7</definedName>
    <definedName name="kwh_per_MWH">'Constants &amp; Conversions'!$D$39</definedName>
    <definedName name="lbs_per_mton">'Constants &amp; Conversions'!$D$30</definedName>
    <definedName name="Metric_Tons_per_Million_Metric_Tons">'Emission Factors'!$B$111</definedName>
    <definedName name="MT_lbs">'Constants &amp; Conversions'!$D$31</definedName>
    <definedName name="MT_MMT">'Constants &amp; Conversions'!$D$34</definedName>
    <definedName name="mton_per_mmton">'Constants &amp; Conversions'!$D$33</definedName>
    <definedName name="MWh_kWh">'Constants &amp; Conversions'!$D$39</definedName>
    <definedName name="N2O_GWP">'Constants &amp; Conversions'!$D$7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36" i="12" l="1"/>
  <c r="C94" i="12"/>
  <c r="C93" i="12"/>
  <c r="H5" i="16"/>
  <c r="H14" i="16"/>
  <c r="E7" i="36"/>
  <c r="C80" i="37"/>
  <c r="F86" i="37"/>
  <c r="C86" i="37"/>
  <c r="N314" i="12" l="1"/>
  <c r="N315" i="12"/>
  <c r="N316" i="12"/>
  <c r="N317" i="12"/>
  <c r="N318" i="12"/>
  <c r="N319" i="12"/>
  <c r="N320" i="12"/>
  <c r="N321" i="12"/>
  <c r="N313" i="12"/>
  <c r="N76" i="12" l="1"/>
  <c r="N77" i="12"/>
  <c r="N78" i="12"/>
  <c r="N79" i="12"/>
  <c r="N80" i="12"/>
  <c r="N81" i="12"/>
  <c r="N82" i="12"/>
  <c r="N83" i="12"/>
  <c r="N84" i="12"/>
  <c r="N85" i="12"/>
  <c r="N86" i="12"/>
  <c r="N75" i="12"/>
  <c r="N202" i="12"/>
  <c r="V48" i="22"/>
  <c r="U48" i="22"/>
  <c r="T48" i="22"/>
  <c r="U44" i="22"/>
  <c r="V44" i="22"/>
  <c r="T40" i="22"/>
  <c r="T44" i="22" s="1"/>
  <c r="U43" i="22"/>
  <c r="T43" i="22"/>
  <c r="U42" i="22"/>
  <c r="V42" i="22"/>
  <c r="T42" i="22"/>
  <c r="AB19" i="22"/>
  <c r="V40" i="22"/>
  <c r="V38" i="22"/>
  <c r="U40" i="22"/>
  <c r="U39" i="22"/>
  <c r="U38" i="22"/>
  <c r="T39" i="22"/>
  <c r="T38" i="22"/>
  <c r="C173" i="12" l="1"/>
  <c r="C172" i="12"/>
  <c r="F228" i="12"/>
  <c r="C248" i="12"/>
  <c r="C146" i="12"/>
  <c r="C138" i="12"/>
  <c r="C137" i="12"/>
  <c r="F110" i="12"/>
  <c r="C103" i="12"/>
  <c r="AC32" i="22" l="1"/>
  <c r="AC33" i="22"/>
  <c r="U32" i="22" l="1"/>
  <c r="V32" i="22"/>
  <c r="W32" i="22"/>
  <c r="X32" i="22"/>
  <c r="Y32" i="22"/>
  <c r="Z32" i="22"/>
  <c r="AA32" i="22"/>
  <c r="AB32" i="22"/>
  <c r="U33" i="22"/>
  <c r="V33" i="22"/>
  <c r="W33" i="22"/>
  <c r="X33" i="22"/>
  <c r="Y33" i="22"/>
  <c r="Z33" i="22"/>
  <c r="AA33" i="22"/>
  <c r="AB33" i="22"/>
  <c r="T32" i="22"/>
  <c r="T33" i="22"/>
  <c r="X27" i="22"/>
  <c r="T27" i="22"/>
  <c r="U25" i="22"/>
  <c r="W25" i="22"/>
  <c r="X25" i="22"/>
  <c r="Y25" i="22"/>
  <c r="Z25" i="22"/>
  <c r="AA25" i="22"/>
  <c r="AB25" i="22"/>
  <c r="U26" i="22"/>
  <c r="V26" i="22"/>
  <c r="W26" i="22"/>
  <c r="X26" i="22"/>
  <c r="Y26" i="22"/>
  <c r="Z26" i="22"/>
  <c r="AA26" i="22"/>
  <c r="AB26" i="22"/>
  <c r="U27" i="22"/>
  <c r="V27" i="22"/>
  <c r="W27" i="22"/>
  <c r="Y27" i="22"/>
  <c r="Z27" i="22"/>
  <c r="AA27" i="22"/>
  <c r="AB27" i="22"/>
  <c r="T26" i="22"/>
  <c r="N199" i="12"/>
  <c r="N200" i="12"/>
  <c r="N201" i="12"/>
  <c r="N203" i="12"/>
  <c r="N204" i="12"/>
  <c r="N205" i="12"/>
  <c r="N206" i="12"/>
  <c r="N198" i="12"/>
  <c r="C356" i="12"/>
  <c r="C364" i="12"/>
  <c r="E53" i="5" l="1"/>
  <c r="E52" i="5"/>
  <c r="E51" i="5"/>
  <c r="E50" i="5"/>
  <c r="E49" i="5"/>
  <c r="E48" i="5"/>
  <c r="E47" i="5"/>
  <c r="E46" i="5"/>
  <c r="E45" i="5"/>
  <c r="E34" i="5"/>
  <c r="E35" i="5"/>
  <c r="E36" i="5"/>
  <c r="E37" i="5"/>
  <c r="E38" i="5"/>
  <c r="E39" i="5"/>
  <c r="E40" i="5"/>
  <c r="E41" i="5"/>
  <c r="E33" i="5"/>
  <c r="E22" i="5"/>
  <c r="E23" i="5"/>
  <c r="E24" i="5"/>
  <c r="E25" i="5"/>
  <c r="E26" i="5"/>
  <c r="E27" i="5"/>
  <c r="E28" i="5"/>
  <c r="E29" i="5"/>
  <c r="E30" i="5"/>
  <c r="E19" i="5"/>
  <c r="B21" i="5"/>
  <c r="I123" i="5"/>
  <c r="I122" i="5"/>
  <c r="C37" i="5"/>
  <c r="D20" i="5"/>
  <c r="D21" i="5"/>
  <c r="D22" i="5"/>
  <c r="D23" i="5"/>
  <c r="D24" i="5"/>
  <c r="D25" i="5"/>
  <c r="D26" i="5"/>
  <c r="D27" i="5"/>
  <c r="D28" i="5"/>
  <c r="D29" i="5"/>
  <c r="D30" i="5"/>
  <c r="D19" i="5"/>
  <c r="C22" i="5"/>
  <c r="C23" i="5"/>
  <c r="C24" i="5"/>
  <c r="C25" i="5"/>
  <c r="C26" i="5"/>
  <c r="C27" i="5"/>
  <c r="C28" i="5"/>
  <c r="C29" i="5"/>
  <c r="C30" i="5"/>
  <c r="C19" i="5"/>
  <c r="B20" i="5"/>
  <c r="B22" i="5"/>
  <c r="B23" i="5"/>
  <c r="B24" i="5"/>
  <c r="B25" i="5"/>
  <c r="B26" i="5"/>
  <c r="B27" i="5"/>
  <c r="B28" i="5"/>
  <c r="B29" i="5"/>
  <c r="B30" i="5"/>
  <c r="B19" i="5"/>
  <c r="AD6" i="38"/>
  <c r="AD1670" i="38"/>
  <c r="AD1672" i="38"/>
  <c r="D39" i="22"/>
  <c r="F39" i="22"/>
  <c r="G39" i="22"/>
  <c r="H39" i="22"/>
  <c r="I39" i="22"/>
  <c r="J39" i="22"/>
  <c r="K39" i="22"/>
  <c r="D42" i="22"/>
  <c r="F42" i="22"/>
  <c r="G42" i="22"/>
  <c r="H42" i="22"/>
  <c r="I42" i="22"/>
  <c r="J42" i="22"/>
  <c r="K42" i="22"/>
  <c r="D43" i="22"/>
  <c r="U21" i="22" s="1"/>
  <c r="F43" i="22"/>
  <c r="W21" i="22" s="1"/>
  <c r="G43" i="22"/>
  <c r="X21" i="22" s="1"/>
  <c r="H43" i="22"/>
  <c r="Y21" i="22" s="1"/>
  <c r="I43" i="22"/>
  <c r="Z21" i="22" s="1"/>
  <c r="J43" i="22"/>
  <c r="AA21" i="22" s="1"/>
  <c r="K43" i="22"/>
  <c r="AB21" i="22" s="1"/>
  <c r="D44" i="22"/>
  <c r="F44" i="22"/>
  <c r="G44" i="22"/>
  <c r="H44" i="22"/>
  <c r="I44" i="22"/>
  <c r="J44" i="22"/>
  <c r="K44" i="22"/>
  <c r="D45" i="22"/>
  <c r="F45" i="22"/>
  <c r="G45" i="22"/>
  <c r="H45" i="22"/>
  <c r="I45" i="22"/>
  <c r="J45" i="22"/>
  <c r="K45" i="22"/>
  <c r="D46" i="22"/>
  <c r="F46" i="22"/>
  <c r="G46" i="22"/>
  <c r="H46" i="22"/>
  <c r="I46" i="22"/>
  <c r="J46" i="22"/>
  <c r="K46" i="22"/>
  <c r="D47" i="22"/>
  <c r="F47" i="22"/>
  <c r="G47" i="22"/>
  <c r="H47" i="22"/>
  <c r="I47" i="22"/>
  <c r="J47" i="22"/>
  <c r="K47" i="22"/>
  <c r="D48" i="22"/>
  <c r="F48" i="22"/>
  <c r="G48" i="22"/>
  <c r="H48" i="22"/>
  <c r="I48" i="22"/>
  <c r="J48" i="22"/>
  <c r="K48" i="22"/>
  <c r="D49" i="22"/>
  <c r="F49" i="22"/>
  <c r="G49" i="22"/>
  <c r="H49" i="22"/>
  <c r="I49" i="22"/>
  <c r="J49" i="22"/>
  <c r="K49" i="22"/>
  <c r="D50" i="22"/>
  <c r="F50" i="22"/>
  <c r="G50" i="22"/>
  <c r="H50" i="22"/>
  <c r="I50" i="22"/>
  <c r="J50" i="22"/>
  <c r="K50" i="22"/>
  <c r="C42" i="22"/>
  <c r="T20" i="22" s="1"/>
  <c r="C43" i="22"/>
  <c r="T21" i="22" s="1"/>
  <c r="C44" i="22"/>
  <c r="C45" i="22"/>
  <c r="C46" i="22"/>
  <c r="C47" i="22"/>
  <c r="C48" i="22"/>
  <c r="C49" i="22"/>
  <c r="C50" i="22"/>
  <c r="C39" i="22"/>
  <c r="D23" i="22"/>
  <c r="F23" i="22"/>
  <c r="G23" i="22"/>
  <c r="H23" i="22"/>
  <c r="I23" i="22"/>
  <c r="J23" i="22"/>
  <c r="K23" i="22"/>
  <c r="D26" i="22"/>
  <c r="F26" i="22"/>
  <c r="G26" i="22"/>
  <c r="H26" i="22"/>
  <c r="I26" i="22"/>
  <c r="J26" i="22"/>
  <c r="K26" i="22"/>
  <c r="D27" i="22"/>
  <c r="U15" i="22" s="1"/>
  <c r="F27" i="22"/>
  <c r="W15" i="22" s="1"/>
  <c r="G27" i="22"/>
  <c r="X15" i="22" s="1"/>
  <c r="H27" i="22"/>
  <c r="Y15" i="22" s="1"/>
  <c r="I27" i="22"/>
  <c r="Z15" i="22" s="1"/>
  <c r="J27" i="22"/>
  <c r="AA15" i="22" s="1"/>
  <c r="K27" i="22"/>
  <c r="AB15" i="22" s="1"/>
  <c r="D28" i="22"/>
  <c r="F28" i="22"/>
  <c r="G28" i="22"/>
  <c r="H28" i="22"/>
  <c r="I28" i="22"/>
  <c r="J28" i="22"/>
  <c r="K28" i="22"/>
  <c r="D29" i="22"/>
  <c r="F29" i="22"/>
  <c r="G29" i="22"/>
  <c r="H29" i="22"/>
  <c r="I29" i="22"/>
  <c r="J29" i="22"/>
  <c r="K29" i="22"/>
  <c r="D30" i="22"/>
  <c r="F30" i="22"/>
  <c r="G30" i="22"/>
  <c r="H30" i="22"/>
  <c r="I30" i="22"/>
  <c r="J30" i="22"/>
  <c r="K30" i="22"/>
  <c r="D31" i="22"/>
  <c r="F31" i="22"/>
  <c r="G31" i="22"/>
  <c r="H31" i="22"/>
  <c r="I31" i="22"/>
  <c r="J31" i="22"/>
  <c r="K31" i="22"/>
  <c r="D32" i="22"/>
  <c r="F32" i="22"/>
  <c r="G32" i="22"/>
  <c r="H32" i="22"/>
  <c r="I32" i="22"/>
  <c r="J32" i="22"/>
  <c r="K32" i="22"/>
  <c r="D33" i="22"/>
  <c r="F33" i="22"/>
  <c r="G33" i="22"/>
  <c r="H33" i="22"/>
  <c r="I33" i="22"/>
  <c r="J33" i="22"/>
  <c r="K33" i="22"/>
  <c r="D34" i="22"/>
  <c r="F34" i="22"/>
  <c r="G34" i="22"/>
  <c r="H34" i="22"/>
  <c r="I34" i="22"/>
  <c r="J34" i="22"/>
  <c r="K34" i="22"/>
  <c r="C26" i="22"/>
  <c r="C27" i="22"/>
  <c r="T15" i="22" s="1"/>
  <c r="C28" i="22"/>
  <c r="C29" i="22"/>
  <c r="C30" i="22"/>
  <c r="C31" i="22"/>
  <c r="C32" i="22"/>
  <c r="C33" i="22"/>
  <c r="C34" i="22"/>
  <c r="C23" i="22"/>
  <c r="D7" i="22"/>
  <c r="F7" i="22"/>
  <c r="G7" i="22"/>
  <c r="H7" i="22"/>
  <c r="I7" i="22"/>
  <c r="J7" i="22"/>
  <c r="K7" i="22"/>
  <c r="D10" i="22"/>
  <c r="F10" i="22"/>
  <c r="G10" i="22"/>
  <c r="H10" i="22"/>
  <c r="I10" i="22"/>
  <c r="J10" i="22"/>
  <c r="K10" i="22"/>
  <c r="D11" i="22"/>
  <c r="U9" i="22" s="1"/>
  <c r="F11" i="22"/>
  <c r="W9" i="22" s="1"/>
  <c r="G11" i="22"/>
  <c r="X9" i="22" s="1"/>
  <c r="H11" i="22"/>
  <c r="Y9" i="22" s="1"/>
  <c r="I11" i="22"/>
  <c r="Z9" i="22" s="1"/>
  <c r="J11" i="22"/>
  <c r="AA9" i="22" s="1"/>
  <c r="K11" i="22"/>
  <c r="AB9" i="22" s="1"/>
  <c r="D12" i="22"/>
  <c r="F12" i="22"/>
  <c r="G12" i="22"/>
  <c r="H12" i="22"/>
  <c r="I12" i="22"/>
  <c r="J12" i="22"/>
  <c r="K12" i="22"/>
  <c r="D13" i="22"/>
  <c r="F13" i="22"/>
  <c r="G13" i="22"/>
  <c r="H13" i="22"/>
  <c r="I13" i="22"/>
  <c r="J13" i="22"/>
  <c r="K13" i="22"/>
  <c r="D14" i="22"/>
  <c r="F14" i="22"/>
  <c r="G14" i="22"/>
  <c r="H14" i="22"/>
  <c r="I14" i="22"/>
  <c r="J14" i="22"/>
  <c r="K14" i="22"/>
  <c r="D15" i="22"/>
  <c r="F15" i="22"/>
  <c r="G15" i="22"/>
  <c r="H15" i="22"/>
  <c r="I15" i="22"/>
  <c r="J15" i="22"/>
  <c r="K15" i="22"/>
  <c r="D16" i="22"/>
  <c r="F16" i="22"/>
  <c r="G16" i="22"/>
  <c r="H16" i="22"/>
  <c r="I16" i="22"/>
  <c r="J16" i="22"/>
  <c r="K16" i="22"/>
  <c r="D17" i="22"/>
  <c r="F17" i="22"/>
  <c r="G17" i="22"/>
  <c r="H17" i="22"/>
  <c r="I17" i="22"/>
  <c r="J17" i="22"/>
  <c r="K17" i="22"/>
  <c r="D18" i="22"/>
  <c r="F18" i="22"/>
  <c r="G18" i="22"/>
  <c r="H18" i="22"/>
  <c r="I18" i="22"/>
  <c r="J18" i="22"/>
  <c r="K18" i="22"/>
  <c r="C10" i="22"/>
  <c r="T8" i="22" s="1"/>
  <c r="C11" i="22"/>
  <c r="T9" i="22" s="1"/>
  <c r="C12" i="22"/>
  <c r="C13" i="22"/>
  <c r="C14" i="22"/>
  <c r="C15" i="22"/>
  <c r="C16" i="22"/>
  <c r="C17" i="22"/>
  <c r="C18" i="22"/>
  <c r="C7" i="22"/>
  <c r="D7" i="36"/>
  <c r="D8" i="36"/>
  <c r="D9" i="36"/>
  <c r="D10" i="36"/>
  <c r="D11" i="36"/>
  <c r="D12" i="36"/>
  <c r="D6" i="36"/>
  <c r="AC1672" i="38"/>
  <c r="AC1673" i="38" s="1"/>
  <c r="E21" i="12"/>
  <c r="E7" i="22" s="1"/>
  <c r="E44" i="12"/>
  <c r="E28" i="22" s="1"/>
  <c r="U8" i="22" l="1"/>
  <c r="U14" i="22"/>
  <c r="U20" i="22"/>
  <c r="T14" i="22"/>
  <c r="AB8" i="22"/>
  <c r="AB14" i="22"/>
  <c r="AB20" i="22"/>
  <c r="AA8" i="22"/>
  <c r="AA14" i="22"/>
  <c r="AA20" i="22"/>
  <c r="Z8" i="22"/>
  <c r="Z14" i="22"/>
  <c r="Z20" i="22"/>
  <c r="Y8" i="22"/>
  <c r="Y14" i="22"/>
  <c r="Y20" i="22"/>
  <c r="X8" i="22"/>
  <c r="X14" i="22"/>
  <c r="X20" i="22"/>
  <c r="W8" i="22"/>
  <c r="W14" i="22"/>
  <c r="W20" i="22"/>
  <c r="AD1672" i="32"/>
  <c r="D87" i="12"/>
  <c r="F87" i="12"/>
  <c r="G87" i="12"/>
  <c r="H87" i="12"/>
  <c r="I87" i="12"/>
  <c r="J87" i="12"/>
  <c r="K87" i="12"/>
  <c r="E58" i="12"/>
  <c r="E59" i="12"/>
  <c r="E60" i="12"/>
  <c r="E42" i="22" s="1"/>
  <c r="E61" i="12"/>
  <c r="E43" i="22" s="1"/>
  <c r="V21" i="22" s="1"/>
  <c r="E62" i="12"/>
  <c r="E44" i="22" s="1"/>
  <c r="E63" i="12"/>
  <c r="E45" i="22" s="1"/>
  <c r="E64" i="12"/>
  <c r="E46" i="22" s="1"/>
  <c r="E65" i="12"/>
  <c r="E47" i="22" s="1"/>
  <c r="E66" i="12"/>
  <c r="E48" i="22" s="1"/>
  <c r="E67" i="12"/>
  <c r="E49" i="22" s="1"/>
  <c r="E68" i="12"/>
  <c r="E50" i="22" s="1"/>
  <c r="E57" i="12"/>
  <c r="E39" i="22" s="1"/>
  <c r="E40" i="12"/>
  <c r="C20" i="5" s="1"/>
  <c r="E20" i="5" s="1"/>
  <c r="E41" i="12"/>
  <c r="C21" i="5" s="1"/>
  <c r="E21" i="5" s="1"/>
  <c r="E42" i="12"/>
  <c r="E26" i="22" s="1"/>
  <c r="E43" i="12"/>
  <c r="E27" i="22" s="1"/>
  <c r="V15" i="22" s="1"/>
  <c r="E45" i="12"/>
  <c r="E29" i="22" s="1"/>
  <c r="E46" i="12"/>
  <c r="E30" i="22" s="1"/>
  <c r="E47" i="12"/>
  <c r="E31" i="22" s="1"/>
  <c r="E48" i="12"/>
  <c r="E32" i="22" s="1"/>
  <c r="E49" i="12"/>
  <c r="E33" i="22" s="1"/>
  <c r="E50" i="12"/>
  <c r="E34" i="22" s="1"/>
  <c r="E39" i="12"/>
  <c r="D69" i="12"/>
  <c r="F69" i="12"/>
  <c r="G69" i="12"/>
  <c r="H69" i="12"/>
  <c r="I69" i="12"/>
  <c r="J69" i="12"/>
  <c r="K69" i="12"/>
  <c r="D51" i="12"/>
  <c r="F51" i="12"/>
  <c r="G51" i="12"/>
  <c r="H51" i="12"/>
  <c r="I51" i="12"/>
  <c r="J51" i="12"/>
  <c r="K51" i="12"/>
  <c r="D33" i="12"/>
  <c r="F33" i="12"/>
  <c r="G33" i="12"/>
  <c r="H33" i="12"/>
  <c r="I33" i="12"/>
  <c r="J33" i="12"/>
  <c r="K33" i="12"/>
  <c r="E22" i="12"/>
  <c r="E33" i="12" s="1"/>
  <c r="E23" i="12"/>
  <c r="E24" i="12"/>
  <c r="E10" i="22" s="1"/>
  <c r="E25" i="12"/>
  <c r="E11" i="22" s="1"/>
  <c r="V9" i="22" s="1"/>
  <c r="E26" i="12"/>
  <c r="E12" i="22" s="1"/>
  <c r="E27" i="12"/>
  <c r="E13" i="22" s="1"/>
  <c r="E28" i="12"/>
  <c r="E14" i="22" s="1"/>
  <c r="E29" i="12"/>
  <c r="E15" i="22" s="1"/>
  <c r="E30" i="12"/>
  <c r="E16" i="22" s="1"/>
  <c r="E31" i="12"/>
  <c r="E17" i="22" s="1"/>
  <c r="E32" i="12"/>
  <c r="E18" i="22" s="1"/>
  <c r="C75" i="12"/>
  <c r="AD7" i="38"/>
  <c r="AD8" i="38"/>
  <c r="AD9" i="38"/>
  <c r="AD10" i="38"/>
  <c r="AD11" i="38"/>
  <c r="AD12" i="38"/>
  <c r="AD13" i="38"/>
  <c r="AD14" i="38"/>
  <c r="AD15" i="38"/>
  <c r="AD16" i="38"/>
  <c r="AD17" i="38"/>
  <c r="AD18" i="38"/>
  <c r="AD19" i="38"/>
  <c r="AD20" i="38"/>
  <c r="AD21" i="38"/>
  <c r="AD22" i="38"/>
  <c r="AD23" i="38"/>
  <c r="AD24" i="38"/>
  <c r="AD25" i="38"/>
  <c r="AD26" i="38"/>
  <c r="AD27" i="38"/>
  <c r="AD28" i="38"/>
  <c r="AD29" i="38"/>
  <c r="AD30" i="38"/>
  <c r="AD31" i="38"/>
  <c r="AD32" i="38"/>
  <c r="AD33" i="38"/>
  <c r="AD34" i="38"/>
  <c r="AD35" i="38"/>
  <c r="AD36" i="38"/>
  <c r="AD37" i="38"/>
  <c r="AD38" i="38"/>
  <c r="AD39" i="38"/>
  <c r="AD40" i="38"/>
  <c r="AD41" i="38"/>
  <c r="AD42" i="38"/>
  <c r="AD43" i="38"/>
  <c r="AD44" i="38"/>
  <c r="AD45" i="38"/>
  <c r="AD46" i="38"/>
  <c r="AD47" i="38"/>
  <c r="AD48" i="38"/>
  <c r="AD49" i="38"/>
  <c r="AD50" i="38"/>
  <c r="AD51" i="38"/>
  <c r="AD52" i="38"/>
  <c r="AD53" i="38"/>
  <c r="AD54" i="38"/>
  <c r="AD55" i="38"/>
  <c r="AD56" i="38"/>
  <c r="AD57" i="38"/>
  <c r="AD58" i="38"/>
  <c r="AD59" i="38"/>
  <c r="AD60" i="38"/>
  <c r="AD61" i="38"/>
  <c r="AD62" i="38"/>
  <c r="AD63" i="38"/>
  <c r="AD64" i="38"/>
  <c r="AD65" i="38"/>
  <c r="AD66" i="38"/>
  <c r="AD67" i="38"/>
  <c r="AD68" i="38"/>
  <c r="AD69" i="38"/>
  <c r="AD70" i="38"/>
  <c r="AD71" i="38"/>
  <c r="AD72" i="38"/>
  <c r="AD73" i="38"/>
  <c r="AD74" i="38"/>
  <c r="AD75" i="38"/>
  <c r="AD76" i="38"/>
  <c r="AD77" i="38"/>
  <c r="AD78" i="38"/>
  <c r="AD79" i="38"/>
  <c r="AD80" i="38"/>
  <c r="AD81" i="38"/>
  <c r="AD82" i="38"/>
  <c r="AD83" i="38"/>
  <c r="AD84" i="38"/>
  <c r="AD85" i="38"/>
  <c r="AD86" i="38"/>
  <c r="AD87" i="38"/>
  <c r="AD88" i="38"/>
  <c r="AD89" i="38"/>
  <c r="AD90" i="38"/>
  <c r="AD91" i="38"/>
  <c r="AD92" i="38"/>
  <c r="AD93" i="38"/>
  <c r="AD94" i="38"/>
  <c r="AD95" i="38"/>
  <c r="AD96" i="38"/>
  <c r="AD97" i="38"/>
  <c r="AD98" i="38"/>
  <c r="AD99" i="38"/>
  <c r="AD100" i="38"/>
  <c r="AD101" i="38"/>
  <c r="AD102" i="38"/>
  <c r="AD103" i="38"/>
  <c r="AD104" i="38"/>
  <c r="AD105" i="38"/>
  <c r="AD106" i="38"/>
  <c r="AD107" i="38"/>
  <c r="AD108" i="38"/>
  <c r="AD109" i="38"/>
  <c r="AD110" i="38"/>
  <c r="AD111" i="38"/>
  <c r="AD112" i="38"/>
  <c r="AD113" i="38"/>
  <c r="AD114" i="38"/>
  <c r="AD115" i="38"/>
  <c r="AD116" i="38"/>
  <c r="AD117" i="38"/>
  <c r="AD118" i="38"/>
  <c r="AD119" i="38"/>
  <c r="AD120" i="38"/>
  <c r="AD121" i="38"/>
  <c r="AD122" i="38"/>
  <c r="AD123" i="38"/>
  <c r="AD124" i="38"/>
  <c r="AD125" i="38"/>
  <c r="AD126" i="38"/>
  <c r="AD127" i="38"/>
  <c r="AD128" i="38"/>
  <c r="AD129" i="38"/>
  <c r="AD130" i="38"/>
  <c r="AD131" i="38"/>
  <c r="AD132" i="38"/>
  <c r="AD133" i="38"/>
  <c r="AD134" i="38"/>
  <c r="AD135" i="38"/>
  <c r="AD136" i="38"/>
  <c r="AD137" i="38"/>
  <c r="AD138" i="38"/>
  <c r="AD139" i="38"/>
  <c r="AD140" i="38"/>
  <c r="AD141" i="38"/>
  <c r="AD142" i="38"/>
  <c r="AD143" i="38"/>
  <c r="AD144" i="38"/>
  <c r="AD145" i="38"/>
  <c r="AD146" i="38"/>
  <c r="AD147" i="38"/>
  <c r="AD148" i="38"/>
  <c r="AD149" i="38"/>
  <c r="AD150" i="38"/>
  <c r="AD151" i="38"/>
  <c r="AD152" i="38"/>
  <c r="AD153" i="38"/>
  <c r="AD154" i="38"/>
  <c r="AD155" i="38"/>
  <c r="AD156" i="38"/>
  <c r="AD157" i="38"/>
  <c r="AD158" i="38"/>
  <c r="AD159" i="38"/>
  <c r="AD160" i="38"/>
  <c r="AD161" i="38"/>
  <c r="AD162" i="38"/>
  <c r="AD163" i="38"/>
  <c r="AD164" i="38"/>
  <c r="AD165" i="38"/>
  <c r="AD166" i="38"/>
  <c r="AD167" i="38"/>
  <c r="AD168" i="38"/>
  <c r="AD169" i="38"/>
  <c r="AD170" i="38"/>
  <c r="AD171" i="38"/>
  <c r="AD172" i="38"/>
  <c r="AD173" i="38"/>
  <c r="AD174" i="38"/>
  <c r="AD175" i="38"/>
  <c r="AD176" i="38"/>
  <c r="AD177" i="38"/>
  <c r="AD178" i="38"/>
  <c r="AD179" i="38"/>
  <c r="AD180" i="38"/>
  <c r="AD181" i="38"/>
  <c r="AD182" i="38"/>
  <c r="AD183" i="38"/>
  <c r="AD184" i="38"/>
  <c r="AD185" i="38"/>
  <c r="AD186" i="38"/>
  <c r="AD187" i="38"/>
  <c r="AD188" i="38"/>
  <c r="AD189" i="38"/>
  <c r="AD190" i="38"/>
  <c r="AD191" i="38"/>
  <c r="AD192" i="38"/>
  <c r="AD193" i="38"/>
  <c r="AD194" i="38"/>
  <c r="AD195" i="38"/>
  <c r="AD196" i="38"/>
  <c r="AD197" i="38"/>
  <c r="AD198" i="38"/>
  <c r="AD199" i="38"/>
  <c r="AD200" i="38"/>
  <c r="AD201" i="38"/>
  <c r="AD202" i="38"/>
  <c r="AD203" i="38"/>
  <c r="AD204" i="38"/>
  <c r="AD205" i="38"/>
  <c r="AD206" i="38"/>
  <c r="AD207" i="38"/>
  <c r="AD208" i="38"/>
  <c r="AD209" i="38"/>
  <c r="AD210" i="38"/>
  <c r="AD211" i="38"/>
  <c r="AD212" i="38"/>
  <c r="AD213" i="38"/>
  <c r="AD214" i="38"/>
  <c r="AD215" i="38"/>
  <c r="AD216" i="38"/>
  <c r="AD217" i="38"/>
  <c r="AD218" i="38"/>
  <c r="AD219" i="38"/>
  <c r="AD220" i="38"/>
  <c r="AD221" i="38"/>
  <c r="AD222" i="38"/>
  <c r="AD223" i="38"/>
  <c r="AD224" i="38"/>
  <c r="AD225" i="38"/>
  <c r="AD226" i="38"/>
  <c r="AD227" i="38"/>
  <c r="AD228" i="38"/>
  <c r="AD229" i="38"/>
  <c r="AD230" i="38"/>
  <c r="AD231" i="38"/>
  <c r="AD232" i="38"/>
  <c r="AD233" i="38"/>
  <c r="AD234" i="38"/>
  <c r="AD235" i="38"/>
  <c r="AD236" i="38"/>
  <c r="AD237" i="38"/>
  <c r="AD238" i="38"/>
  <c r="AD239" i="38"/>
  <c r="AD240" i="38"/>
  <c r="AD241" i="38"/>
  <c r="AD242" i="38"/>
  <c r="AD243" i="38"/>
  <c r="AD244" i="38"/>
  <c r="AD245" i="38"/>
  <c r="AD246" i="38"/>
  <c r="AD247" i="38"/>
  <c r="AD248" i="38"/>
  <c r="AD249" i="38"/>
  <c r="AD250" i="38"/>
  <c r="AD251" i="38"/>
  <c r="AD252" i="38"/>
  <c r="AD253" i="38"/>
  <c r="AD254" i="38"/>
  <c r="AD255" i="38"/>
  <c r="AD256" i="38"/>
  <c r="AD257" i="38"/>
  <c r="AD258" i="38"/>
  <c r="AD259" i="38"/>
  <c r="AD260" i="38"/>
  <c r="AD261" i="38"/>
  <c r="AD262" i="38"/>
  <c r="AD263" i="38"/>
  <c r="AD264" i="38"/>
  <c r="AD265" i="38"/>
  <c r="AD266" i="38"/>
  <c r="AD267" i="38"/>
  <c r="AD268" i="38"/>
  <c r="AD269" i="38"/>
  <c r="AD270" i="38"/>
  <c r="AD271" i="38"/>
  <c r="AD272" i="38"/>
  <c r="AD273" i="38"/>
  <c r="AD274" i="38"/>
  <c r="AD275" i="38"/>
  <c r="AD276" i="38"/>
  <c r="AD277" i="38"/>
  <c r="AD278" i="38"/>
  <c r="AD279" i="38"/>
  <c r="AD280" i="38"/>
  <c r="AD281" i="38"/>
  <c r="AD282" i="38"/>
  <c r="AD283" i="38"/>
  <c r="AD284" i="38"/>
  <c r="AD285" i="38"/>
  <c r="AD286" i="38"/>
  <c r="AD287" i="38"/>
  <c r="AD288" i="38"/>
  <c r="AD289" i="38"/>
  <c r="AD290" i="38"/>
  <c r="AD291" i="38"/>
  <c r="AD292" i="38"/>
  <c r="AD293" i="38"/>
  <c r="AD294" i="38"/>
  <c r="AD295" i="38"/>
  <c r="AD296" i="38"/>
  <c r="AD297" i="38"/>
  <c r="AD298" i="38"/>
  <c r="AD299" i="38"/>
  <c r="AD300" i="38"/>
  <c r="AD301" i="38"/>
  <c r="AD302" i="38"/>
  <c r="AD303" i="38"/>
  <c r="AD304" i="38"/>
  <c r="AD305" i="38"/>
  <c r="AD306" i="38"/>
  <c r="AD307" i="38"/>
  <c r="AD308" i="38"/>
  <c r="AD309" i="38"/>
  <c r="AD310" i="38"/>
  <c r="AD311" i="38"/>
  <c r="AD312" i="38"/>
  <c r="AD313" i="38"/>
  <c r="AD314" i="38"/>
  <c r="AD315" i="38"/>
  <c r="AD316" i="38"/>
  <c r="AD317" i="38"/>
  <c r="AD318" i="38"/>
  <c r="AD319" i="38"/>
  <c r="AD320" i="38"/>
  <c r="AD321" i="38"/>
  <c r="AD322" i="38"/>
  <c r="AD323" i="38"/>
  <c r="AD324" i="38"/>
  <c r="AD325" i="38"/>
  <c r="AD326" i="38"/>
  <c r="AD327" i="38"/>
  <c r="AD328" i="38"/>
  <c r="AD329" i="38"/>
  <c r="AD330" i="38"/>
  <c r="AD331" i="38"/>
  <c r="AD332" i="38"/>
  <c r="AD333" i="38"/>
  <c r="AD334" i="38"/>
  <c r="AD335" i="38"/>
  <c r="AD336" i="38"/>
  <c r="AD337" i="38"/>
  <c r="AD338" i="38"/>
  <c r="AD339" i="38"/>
  <c r="AD340" i="38"/>
  <c r="AD341" i="38"/>
  <c r="AD342" i="38"/>
  <c r="AD343" i="38"/>
  <c r="AD344" i="38"/>
  <c r="AD345" i="38"/>
  <c r="AD346" i="38"/>
  <c r="AD347" i="38"/>
  <c r="AD348" i="38"/>
  <c r="AD349" i="38"/>
  <c r="AD350" i="38"/>
  <c r="AD351" i="38"/>
  <c r="AD352" i="38"/>
  <c r="AD353" i="38"/>
  <c r="AD354" i="38"/>
  <c r="AD355" i="38"/>
  <c r="AD356" i="38"/>
  <c r="AD357" i="38"/>
  <c r="AD358" i="38"/>
  <c r="AD359" i="38"/>
  <c r="AD360" i="38"/>
  <c r="AD361" i="38"/>
  <c r="AD362" i="38"/>
  <c r="AD363" i="38"/>
  <c r="AD364" i="38"/>
  <c r="AD365" i="38"/>
  <c r="AD366" i="38"/>
  <c r="AD367" i="38"/>
  <c r="AD368" i="38"/>
  <c r="AD369" i="38"/>
  <c r="AD370" i="38"/>
  <c r="AD371" i="38"/>
  <c r="AD372" i="38"/>
  <c r="AD373" i="38"/>
  <c r="AD374" i="38"/>
  <c r="AD375" i="38"/>
  <c r="AD376" i="38"/>
  <c r="AD377" i="38"/>
  <c r="AD378" i="38"/>
  <c r="AD379" i="38"/>
  <c r="AD380" i="38"/>
  <c r="AD381" i="38"/>
  <c r="AD382" i="38"/>
  <c r="AD383" i="38"/>
  <c r="AD384" i="38"/>
  <c r="AD385" i="38"/>
  <c r="AD386" i="38"/>
  <c r="AD387" i="38"/>
  <c r="AD388" i="38"/>
  <c r="AD389" i="38"/>
  <c r="AD390" i="38"/>
  <c r="AD391" i="38"/>
  <c r="AD392" i="38"/>
  <c r="AD393" i="38"/>
  <c r="AD394" i="38"/>
  <c r="AD395" i="38"/>
  <c r="AD396" i="38"/>
  <c r="AD397" i="38"/>
  <c r="AD398" i="38"/>
  <c r="AD399" i="38"/>
  <c r="AD400" i="38"/>
  <c r="AD401" i="38"/>
  <c r="AD402" i="38"/>
  <c r="AD403" i="38"/>
  <c r="AD404" i="38"/>
  <c r="AD405" i="38"/>
  <c r="AD406" i="38"/>
  <c r="AD407" i="38"/>
  <c r="AD408" i="38"/>
  <c r="AD409" i="38"/>
  <c r="AD410" i="38"/>
  <c r="AD411" i="38"/>
  <c r="AD412" i="38"/>
  <c r="AD413" i="38"/>
  <c r="AD414" i="38"/>
  <c r="AD415" i="38"/>
  <c r="AD416" i="38"/>
  <c r="AD417" i="38"/>
  <c r="AD418" i="38"/>
  <c r="AD419" i="38"/>
  <c r="AD420" i="38"/>
  <c r="AD421" i="38"/>
  <c r="AD422" i="38"/>
  <c r="AD423" i="38"/>
  <c r="AD424" i="38"/>
  <c r="AD425" i="38"/>
  <c r="AD426" i="38"/>
  <c r="AD427" i="38"/>
  <c r="AD428" i="38"/>
  <c r="AD429" i="38"/>
  <c r="AD430" i="38"/>
  <c r="AD431" i="38"/>
  <c r="AD432" i="38"/>
  <c r="AD433" i="38"/>
  <c r="AD434" i="38"/>
  <c r="AD435" i="38"/>
  <c r="AD436" i="38"/>
  <c r="AD437" i="38"/>
  <c r="AD438" i="38"/>
  <c r="AD439" i="38"/>
  <c r="AD440" i="38"/>
  <c r="AD441" i="38"/>
  <c r="AD442" i="38"/>
  <c r="AD443" i="38"/>
  <c r="AD444" i="38"/>
  <c r="AD445" i="38"/>
  <c r="AD446" i="38"/>
  <c r="AD447" i="38"/>
  <c r="AD448" i="38"/>
  <c r="AD449" i="38"/>
  <c r="AD450" i="38"/>
  <c r="AD451" i="38"/>
  <c r="AD452" i="38"/>
  <c r="AD453" i="38"/>
  <c r="AD454" i="38"/>
  <c r="AD455" i="38"/>
  <c r="AD456" i="38"/>
  <c r="AD457" i="38"/>
  <c r="AD458" i="38"/>
  <c r="AD459" i="38"/>
  <c r="AD460" i="38"/>
  <c r="AD461" i="38"/>
  <c r="AD462" i="38"/>
  <c r="AD463" i="38"/>
  <c r="AD464" i="38"/>
  <c r="AD465" i="38"/>
  <c r="AD466" i="38"/>
  <c r="AD467" i="38"/>
  <c r="AD468" i="38"/>
  <c r="AD469" i="38"/>
  <c r="AD470" i="38"/>
  <c r="AD471" i="38"/>
  <c r="AD472" i="38"/>
  <c r="AD473" i="38"/>
  <c r="AD474" i="38"/>
  <c r="AD475" i="38"/>
  <c r="AD476" i="38"/>
  <c r="AD477" i="38"/>
  <c r="AD478" i="38"/>
  <c r="AD479" i="38"/>
  <c r="AD480" i="38"/>
  <c r="AD481" i="38"/>
  <c r="AD482" i="38"/>
  <c r="AD483" i="38"/>
  <c r="AD484" i="38"/>
  <c r="AD485" i="38"/>
  <c r="AD486" i="38"/>
  <c r="AD487" i="38"/>
  <c r="AD488" i="38"/>
  <c r="AD489" i="38"/>
  <c r="AD490" i="38"/>
  <c r="AD491" i="38"/>
  <c r="AD492" i="38"/>
  <c r="AD493" i="38"/>
  <c r="AD494" i="38"/>
  <c r="AD495" i="38"/>
  <c r="AD496" i="38"/>
  <c r="AD497" i="38"/>
  <c r="AD498" i="38"/>
  <c r="AD499" i="38"/>
  <c r="AD500" i="38"/>
  <c r="AD501" i="38"/>
  <c r="AD502" i="38"/>
  <c r="AD503" i="38"/>
  <c r="AD504" i="38"/>
  <c r="AD505" i="38"/>
  <c r="AD506" i="38"/>
  <c r="AD507" i="38"/>
  <c r="AD508" i="38"/>
  <c r="AD509" i="38"/>
  <c r="AD510" i="38"/>
  <c r="AD511" i="38"/>
  <c r="AD512" i="38"/>
  <c r="AD513" i="38"/>
  <c r="AD514" i="38"/>
  <c r="AD515" i="38"/>
  <c r="AD516" i="38"/>
  <c r="AD517" i="38"/>
  <c r="AD518" i="38"/>
  <c r="AD519" i="38"/>
  <c r="AD520" i="38"/>
  <c r="AD521" i="38"/>
  <c r="AD522" i="38"/>
  <c r="AD523" i="38"/>
  <c r="AD524" i="38"/>
  <c r="AD525" i="38"/>
  <c r="AD526" i="38"/>
  <c r="AD527" i="38"/>
  <c r="AD528" i="38"/>
  <c r="AD529" i="38"/>
  <c r="AD530" i="38"/>
  <c r="AD531" i="38"/>
  <c r="AD532" i="38"/>
  <c r="AD533" i="38"/>
  <c r="AD534" i="38"/>
  <c r="AD535" i="38"/>
  <c r="AD536" i="38"/>
  <c r="AD537" i="38"/>
  <c r="AD538" i="38"/>
  <c r="AD539" i="38"/>
  <c r="AD540" i="38"/>
  <c r="AD541" i="38"/>
  <c r="AD542" i="38"/>
  <c r="AD543" i="38"/>
  <c r="AD544" i="38"/>
  <c r="AD545" i="38"/>
  <c r="AD546" i="38"/>
  <c r="AD547" i="38"/>
  <c r="AD548" i="38"/>
  <c r="AD549" i="38"/>
  <c r="AD550" i="38"/>
  <c r="AD551" i="38"/>
  <c r="AD552" i="38"/>
  <c r="AD553" i="38"/>
  <c r="AD554" i="38"/>
  <c r="AD555" i="38"/>
  <c r="AD556" i="38"/>
  <c r="AD557" i="38"/>
  <c r="AD558" i="38"/>
  <c r="AD559" i="38"/>
  <c r="AD560" i="38"/>
  <c r="AD561" i="38"/>
  <c r="AD562" i="38"/>
  <c r="AD563" i="38"/>
  <c r="AD564" i="38"/>
  <c r="AD565" i="38"/>
  <c r="AD566" i="38"/>
  <c r="AD567" i="38"/>
  <c r="AD568" i="38"/>
  <c r="AD569" i="38"/>
  <c r="AD570" i="38"/>
  <c r="AD571" i="38"/>
  <c r="AD572" i="38"/>
  <c r="AD573" i="38"/>
  <c r="AD574" i="38"/>
  <c r="AD575" i="38"/>
  <c r="AD576" i="38"/>
  <c r="AD577" i="38"/>
  <c r="AD578" i="38"/>
  <c r="AD579" i="38"/>
  <c r="AD580" i="38"/>
  <c r="AD581" i="38"/>
  <c r="AD582" i="38"/>
  <c r="AD583" i="38"/>
  <c r="AD584" i="38"/>
  <c r="AD585" i="38"/>
  <c r="AD586" i="38"/>
  <c r="AD587" i="38"/>
  <c r="AD588" i="38"/>
  <c r="AD589" i="38"/>
  <c r="AD590" i="38"/>
  <c r="AD591" i="38"/>
  <c r="AD592" i="38"/>
  <c r="AD593" i="38"/>
  <c r="AD594" i="38"/>
  <c r="AD595" i="38"/>
  <c r="AD596" i="38"/>
  <c r="AD597" i="38"/>
  <c r="AD598" i="38"/>
  <c r="AD599" i="38"/>
  <c r="AD600" i="38"/>
  <c r="AD601" i="38"/>
  <c r="AD602" i="38"/>
  <c r="AD603" i="38"/>
  <c r="AD604" i="38"/>
  <c r="AD605" i="38"/>
  <c r="AD606" i="38"/>
  <c r="AD607" i="38"/>
  <c r="AD608" i="38"/>
  <c r="AD609" i="38"/>
  <c r="AD610" i="38"/>
  <c r="AD611" i="38"/>
  <c r="AD612" i="38"/>
  <c r="AD613" i="38"/>
  <c r="AD614" i="38"/>
  <c r="AD615" i="38"/>
  <c r="AD616" i="38"/>
  <c r="AD617" i="38"/>
  <c r="AD618" i="38"/>
  <c r="AD619" i="38"/>
  <c r="AD620" i="38"/>
  <c r="AD621" i="38"/>
  <c r="AD622" i="38"/>
  <c r="AD623" i="38"/>
  <c r="AD624" i="38"/>
  <c r="AD625" i="38"/>
  <c r="AD626" i="38"/>
  <c r="AD627" i="38"/>
  <c r="AD628" i="38"/>
  <c r="AD629" i="38"/>
  <c r="AD630" i="38"/>
  <c r="AD631" i="38"/>
  <c r="AD632" i="38"/>
  <c r="AD633" i="38"/>
  <c r="AD634" i="38"/>
  <c r="AD635" i="38"/>
  <c r="AD636" i="38"/>
  <c r="AD637" i="38"/>
  <c r="AD638" i="38"/>
  <c r="AD639" i="38"/>
  <c r="AD640" i="38"/>
  <c r="AD641" i="38"/>
  <c r="AD642" i="38"/>
  <c r="AD643" i="38"/>
  <c r="AD644" i="38"/>
  <c r="AD645" i="38"/>
  <c r="AD646" i="38"/>
  <c r="AD647" i="38"/>
  <c r="AD648" i="38"/>
  <c r="AD649" i="38"/>
  <c r="AD650" i="38"/>
  <c r="AD651" i="38"/>
  <c r="AD652" i="38"/>
  <c r="AD653" i="38"/>
  <c r="AD654" i="38"/>
  <c r="AD655" i="38"/>
  <c r="AD656" i="38"/>
  <c r="AD657" i="38"/>
  <c r="AD658" i="38"/>
  <c r="AD659" i="38"/>
  <c r="AD660" i="38"/>
  <c r="AD661" i="38"/>
  <c r="AD662" i="38"/>
  <c r="AD663" i="38"/>
  <c r="AD664" i="38"/>
  <c r="AD665" i="38"/>
  <c r="AD666" i="38"/>
  <c r="AD667" i="38"/>
  <c r="AD668" i="38"/>
  <c r="AD669" i="38"/>
  <c r="AD670" i="38"/>
  <c r="AD671" i="38"/>
  <c r="AD672" i="38"/>
  <c r="AD673" i="38"/>
  <c r="AD674" i="38"/>
  <c r="AD675" i="38"/>
  <c r="AD676" i="38"/>
  <c r="AD677" i="38"/>
  <c r="AD678" i="38"/>
  <c r="AD679" i="38"/>
  <c r="AD680" i="38"/>
  <c r="AD681" i="38"/>
  <c r="AD682" i="38"/>
  <c r="AD683" i="38"/>
  <c r="AD684" i="38"/>
  <c r="AD685" i="38"/>
  <c r="AD686" i="38"/>
  <c r="AD687" i="38"/>
  <c r="AD688" i="38"/>
  <c r="AD689" i="38"/>
  <c r="AD690" i="38"/>
  <c r="AD691" i="38"/>
  <c r="AD692" i="38"/>
  <c r="AD693" i="38"/>
  <c r="AD694" i="38"/>
  <c r="AD695" i="38"/>
  <c r="AD696" i="38"/>
  <c r="AD697" i="38"/>
  <c r="AD698" i="38"/>
  <c r="AD699" i="38"/>
  <c r="AD700" i="38"/>
  <c r="AD701" i="38"/>
  <c r="AD702" i="38"/>
  <c r="AD703" i="38"/>
  <c r="AD704" i="38"/>
  <c r="AD705" i="38"/>
  <c r="AD706" i="38"/>
  <c r="AD707" i="38"/>
  <c r="AD708" i="38"/>
  <c r="AD709" i="38"/>
  <c r="AD710" i="38"/>
  <c r="AD711" i="38"/>
  <c r="AD712" i="38"/>
  <c r="AD713" i="38"/>
  <c r="AD714" i="38"/>
  <c r="AD715" i="38"/>
  <c r="AD716" i="38"/>
  <c r="AD717" i="38"/>
  <c r="AD718" i="38"/>
  <c r="AD719" i="38"/>
  <c r="AD720" i="38"/>
  <c r="AD721" i="38"/>
  <c r="AD722" i="38"/>
  <c r="AD723" i="38"/>
  <c r="AD724" i="38"/>
  <c r="AD725" i="38"/>
  <c r="AD726" i="38"/>
  <c r="AD727" i="38"/>
  <c r="AD728" i="38"/>
  <c r="AD729" i="38"/>
  <c r="AD730" i="38"/>
  <c r="AD731" i="38"/>
  <c r="AD732" i="38"/>
  <c r="AD733" i="38"/>
  <c r="AD734" i="38"/>
  <c r="AD735" i="38"/>
  <c r="AD736" i="38"/>
  <c r="AD737" i="38"/>
  <c r="AD738" i="38"/>
  <c r="AD739" i="38"/>
  <c r="AD740" i="38"/>
  <c r="AD741" i="38"/>
  <c r="AD742" i="38"/>
  <c r="AD743" i="38"/>
  <c r="AD744" i="38"/>
  <c r="AD745" i="38"/>
  <c r="AD746" i="38"/>
  <c r="AD747" i="38"/>
  <c r="AD748" i="38"/>
  <c r="AD749" i="38"/>
  <c r="AD750" i="38"/>
  <c r="AD751" i="38"/>
  <c r="AD752" i="38"/>
  <c r="AD753" i="38"/>
  <c r="AD754" i="38"/>
  <c r="AD755" i="38"/>
  <c r="AD756" i="38"/>
  <c r="AD757" i="38"/>
  <c r="AD758" i="38"/>
  <c r="AD759" i="38"/>
  <c r="AD760" i="38"/>
  <c r="AD761" i="38"/>
  <c r="AD762" i="38"/>
  <c r="AD763" i="38"/>
  <c r="AD764" i="38"/>
  <c r="AD765" i="38"/>
  <c r="AD766" i="38"/>
  <c r="AD767" i="38"/>
  <c r="AD768" i="38"/>
  <c r="AD769" i="38"/>
  <c r="AD770" i="38"/>
  <c r="AD771" i="38"/>
  <c r="AD772" i="38"/>
  <c r="AD773" i="38"/>
  <c r="AD774" i="38"/>
  <c r="AD775" i="38"/>
  <c r="AD776" i="38"/>
  <c r="AD777" i="38"/>
  <c r="AD778" i="38"/>
  <c r="AD779" i="38"/>
  <c r="AD780" i="38"/>
  <c r="AD781" i="38"/>
  <c r="AD782" i="38"/>
  <c r="AD783" i="38"/>
  <c r="AD784" i="38"/>
  <c r="AD785" i="38"/>
  <c r="AD786" i="38"/>
  <c r="AD787" i="38"/>
  <c r="AD788" i="38"/>
  <c r="AD789" i="38"/>
  <c r="AD790" i="38"/>
  <c r="AD791" i="38"/>
  <c r="AD792" i="38"/>
  <c r="AD793" i="38"/>
  <c r="AD794" i="38"/>
  <c r="AD795" i="38"/>
  <c r="AD796" i="38"/>
  <c r="AD797" i="38"/>
  <c r="AD798" i="38"/>
  <c r="AD799" i="38"/>
  <c r="AD800" i="38"/>
  <c r="AD801" i="38"/>
  <c r="AD802" i="38"/>
  <c r="AD803" i="38"/>
  <c r="AD804" i="38"/>
  <c r="AD805" i="38"/>
  <c r="AD806" i="38"/>
  <c r="AD807" i="38"/>
  <c r="AD808" i="38"/>
  <c r="AD809" i="38"/>
  <c r="AD810" i="38"/>
  <c r="AD811" i="38"/>
  <c r="AD812" i="38"/>
  <c r="AD813" i="38"/>
  <c r="AD814" i="38"/>
  <c r="AD815" i="38"/>
  <c r="AD816" i="38"/>
  <c r="AD817" i="38"/>
  <c r="AD818" i="38"/>
  <c r="AD819" i="38"/>
  <c r="AD820" i="38"/>
  <c r="AD821" i="38"/>
  <c r="AD822" i="38"/>
  <c r="AD823" i="38"/>
  <c r="AD824" i="38"/>
  <c r="AD825" i="38"/>
  <c r="AD826" i="38"/>
  <c r="AD827" i="38"/>
  <c r="AD828" i="38"/>
  <c r="AD829" i="38"/>
  <c r="AD830" i="38"/>
  <c r="AD831" i="38"/>
  <c r="AD832" i="38"/>
  <c r="AD833" i="38"/>
  <c r="AD834" i="38"/>
  <c r="AD835" i="38"/>
  <c r="AD836" i="38"/>
  <c r="AD837" i="38"/>
  <c r="AD838" i="38"/>
  <c r="AD839" i="38"/>
  <c r="AD840" i="38"/>
  <c r="AD841" i="38"/>
  <c r="AD842" i="38"/>
  <c r="AD843" i="38"/>
  <c r="AD844" i="38"/>
  <c r="AD845" i="38"/>
  <c r="AD846" i="38"/>
  <c r="AD847" i="38"/>
  <c r="AD848" i="38"/>
  <c r="AD849" i="38"/>
  <c r="AD850" i="38"/>
  <c r="AD851" i="38"/>
  <c r="AD852" i="38"/>
  <c r="AD853" i="38"/>
  <c r="AD854" i="38"/>
  <c r="AD855" i="38"/>
  <c r="AD856" i="38"/>
  <c r="AD857" i="38"/>
  <c r="AD858" i="38"/>
  <c r="AD859" i="38"/>
  <c r="AD860" i="38"/>
  <c r="AD861" i="38"/>
  <c r="AD862" i="38"/>
  <c r="AD863" i="38"/>
  <c r="AD864" i="38"/>
  <c r="AD865" i="38"/>
  <c r="AD866" i="38"/>
  <c r="AD867" i="38"/>
  <c r="AD868" i="38"/>
  <c r="AD869" i="38"/>
  <c r="AD870" i="38"/>
  <c r="AD871" i="38"/>
  <c r="AD872" i="38"/>
  <c r="AD873" i="38"/>
  <c r="AD874" i="38"/>
  <c r="AD875" i="38"/>
  <c r="AD876" i="38"/>
  <c r="AD877" i="38"/>
  <c r="AD878" i="38"/>
  <c r="AD879" i="38"/>
  <c r="AD880" i="38"/>
  <c r="AD881" i="38"/>
  <c r="AD882" i="38"/>
  <c r="AD883" i="38"/>
  <c r="AD884" i="38"/>
  <c r="AD885" i="38"/>
  <c r="AD886" i="38"/>
  <c r="AD887" i="38"/>
  <c r="AD888" i="38"/>
  <c r="AD889" i="38"/>
  <c r="AD890" i="38"/>
  <c r="AD891" i="38"/>
  <c r="AD892" i="38"/>
  <c r="AD893" i="38"/>
  <c r="AD894" i="38"/>
  <c r="AD895" i="38"/>
  <c r="AD896" i="38"/>
  <c r="AD897" i="38"/>
  <c r="AD898" i="38"/>
  <c r="AD899" i="38"/>
  <c r="AD900" i="38"/>
  <c r="AD901" i="38"/>
  <c r="AD902" i="38"/>
  <c r="AD903" i="38"/>
  <c r="AD904" i="38"/>
  <c r="AD905" i="38"/>
  <c r="AD906" i="38"/>
  <c r="AD907" i="38"/>
  <c r="AD908" i="38"/>
  <c r="AD909" i="38"/>
  <c r="AD910" i="38"/>
  <c r="AD911" i="38"/>
  <c r="AD912" i="38"/>
  <c r="AD913" i="38"/>
  <c r="AD914" i="38"/>
  <c r="AD915" i="38"/>
  <c r="AD916" i="38"/>
  <c r="AD917" i="38"/>
  <c r="AD918" i="38"/>
  <c r="AD919" i="38"/>
  <c r="AD920" i="38"/>
  <c r="AD921" i="38"/>
  <c r="AD922" i="38"/>
  <c r="AD923" i="38"/>
  <c r="AD924" i="38"/>
  <c r="AD925" i="38"/>
  <c r="AD926" i="38"/>
  <c r="AD927" i="38"/>
  <c r="AD928" i="38"/>
  <c r="AD929" i="38"/>
  <c r="AD930" i="38"/>
  <c r="AD931" i="38"/>
  <c r="AD932" i="38"/>
  <c r="AD933" i="38"/>
  <c r="AD934" i="38"/>
  <c r="AD935" i="38"/>
  <c r="AD936" i="38"/>
  <c r="AD937" i="38"/>
  <c r="AD938" i="38"/>
  <c r="AD939" i="38"/>
  <c r="AD940" i="38"/>
  <c r="AD941" i="38"/>
  <c r="AD942" i="38"/>
  <c r="AD943" i="38"/>
  <c r="AD944" i="38"/>
  <c r="AD945" i="38"/>
  <c r="AD946" i="38"/>
  <c r="AD947" i="38"/>
  <c r="AD948" i="38"/>
  <c r="AD949" i="38"/>
  <c r="AD950" i="38"/>
  <c r="AD951" i="38"/>
  <c r="AD952" i="38"/>
  <c r="AD953" i="38"/>
  <c r="AD954" i="38"/>
  <c r="AD955" i="38"/>
  <c r="AD956" i="38"/>
  <c r="AD957" i="38"/>
  <c r="AD958" i="38"/>
  <c r="AD959" i="38"/>
  <c r="AD960" i="38"/>
  <c r="AD961" i="38"/>
  <c r="AD962" i="38"/>
  <c r="AD963" i="38"/>
  <c r="AD964" i="38"/>
  <c r="AD965" i="38"/>
  <c r="AD966" i="38"/>
  <c r="AD967" i="38"/>
  <c r="AD968" i="38"/>
  <c r="AD969" i="38"/>
  <c r="AD970" i="38"/>
  <c r="AD971" i="38"/>
  <c r="AD972" i="38"/>
  <c r="AD973" i="38"/>
  <c r="AD974" i="38"/>
  <c r="AD975" i="38"/>
  <c r="AD976" i="38"/>
  <c r="AD977" i="38"/>
  <c r="AD978" i="38"/>
  <c r="AD979" i="38"/>
  <c r="AD980" i="38"/>
  <c r="AD981" i="38"/>
  <c r="AD982" i="38"/>
  <c r="AD983" i="38"/>
  <c r="AD984" i="38"/>
  <c r="AD985" i="38"/>
  <c r="AD986" i="38"/>
  <c r="AD987" i="38"/>
  <c r="AD988" i="38"/>
  <c r="AD989" i="38"/>
  <c r="AD990" i="38"/>
  <c r="AD991" i="38"/>
  <c r="AD992" i="38"/>
  <c r="AD993" i="38"/>
  <c r="AD994" i="38"/>
  <c r="AD995" i="38"/>
  <c r="AD996" i="38"/>
  <c r="AD997" i="38"/>
  <c r="AD998" i="38"/>
  <c r="AD999" i="38"/>
  <c r="AD1000" i="38"/>
  <c r="AD1001" i="38"/>
  <c r="AD1002" i="38"/>
  <c r="AD1003" i="38"/>
  <c r="AD1004" i="38"/>
  <c r="AD1005" i="38"/>
  <c r="AD1006" i="38"/>
  <c r="AD1007" i="38"/>
  <c r="AD1008" i="38"/>
  <c r="AD1009" i="38"/>
  <c r="AD1010" i="38"/>
  <c r="AD1011" i="38"/>
  <c r="AD1012" i="38"/>
  <c r="AD1013" i="38"/>
  <c r="AD1014" i="38"/>
  <c r="AD1015" i="38"/>
  <c r="AD1016" i="38"/>
  <c r="AD1017" i="38"/>
  <c r="AD1018" i="38"/>
  <c r="AD1019" i="38"/>
  <c r="AD1020" i="38"/>
  <c r="AD1021" i="38"/>
  <c r="AD1022" i="38"/>
  <c r="AD1023" i="38"/>
  <c r="AD1024" i="38"/>
  <c r="AD1025" i="38"/>
  <c r="AD1026" i="38"/>
  <c r="AD1027" i="38"/>
  <c r="AD1028" i="38"/>
  <c r="AD1029" i="38"/>
  <c r="AD1030" i="38"/>
  <c r="AD1031" i="38"/>
  <c r="AD1032" i="38"/>
  <c r="AD1033" i="38"/>
  <c r="AD1034" i="38"/>
  <c r="AD1035" i="38"/>
  <c r="AD1036" i="38"/>
  <c r="AD1037" i="38"/>
  <c r="AD1038" i="38"/>
  <c r="AD1039" i="38"/>
  <c r="AD1040" i="38"/>
  <c r="AD1041" i="38"/>
  <c r="AD1042" i="38"/>
  <c r="AD1043" i="38"/>
  <c r="AD1044" i="38"/>
  <c r="AD1045" i="38"/>
  <c r="AD1046" i="38"/>
  <c r="AD1047" i="38"/>
  <c r="AD1048" i="38"/>
  <c r="AD1049" i="38"/>
  <c r="AD1050" i="38"/>
  <c r="AD1051" i="38"/>
  <c r="AD1052" i="38"/>
  <c r="AD1053" i="38"/>
  <c r="AD1054" i="38"/>
  <c r="AD1055" i="38"/>
  <c r="AD1056" i="38"/>
  <c r="AD1057" i="38"/>
  <c r="AD1058" i="38"/>
  <c r="AD1059" i="38"/>
  <c r="AD1060" i="38"/>
  <c r="AD1061" i="38"/>
  <c r="AD1062" i="38"/>
  <c r="AD1063" i="38"/>
  <c r="AD1064" i="38"/>
  <c r="AD1065" i="38"/>
  <c r="AD1066" i="38"/>
  <c r="AD1067" i="38"/>
  <c r="AD1068" i="38"/>
  <c r="AD1069" i="38"/>
  <c r="AD1070" i="38"/>
  <c r="AD1071" i="38"/>
  <c r="AD1072" i="38"/>
  <c r="AD1073" i="38"/>
  <c r="AD1074" i="38"/>
  <c r="AD1075" i="38"/>
  <c r="AD1076" i="38"/>
  <c r="AD1077" i="38"/>
  <c r="AD1078" i="38"/>
  <c r="AD1079" i="38"/>
  <c r="AD1080" i="38"/>
  <c r="AD1081" i="38"/>
  <c r="AD1082" i="38"/>
  <c r="AD1083" i="38"/>
  <c r="AD1084" i="38"/>
  <c r="AD1085" i="38"/>
  <c r="AD1086" i="38"/>
  <c r="AD1087" i="38"/>
  <c r="AD1088" i="38"/>
  <c r="AD1089" i="38"/>
  <c r="AD1090" i="38"/>
  <c r="AD1091" i="38"/>
  <c r="AD1092" i="38"/>
  <c r="AD1093" i="38"/>
  <c r="AD1094" i="38"/>
  <c r="AD1095" i="38"/>
  <c r="AD1096" i="38"/>
  <c r="AD1097" i="38"/>
  <c r="AD1098" i="38"/>
  <c r="AD1099" i="38"/>
  <c r="AD1100" i="38"/>
  <c r="AD1101" i="38"/>
  <c r="AD1102" i="38"/>
  <c r="AD1103" i="38"/>
  <c r="AD1104" i="38"/>
  <c r="AD1105" i="38"/>
  <c r="AD1106" i="38"/>
  <c r="AD1107" i="38"/>
  <c r="AD1108" i="38"/>
  <c r="AD1109" i="38"/>
  <c r="AD1110" i="38"/>
  <c r="AD1111" i="38"/>
  <c r="AD1112" i="38"/>
  <c r="AD1113" i="38"/>
  <c r="AD1114" i="38"/>
  <c r="AD1115" i="38"/>
  <c r="AD1116" i="38"/>
  <c r="AD1117" i="38"/>
  <c r="AD1118" i="38"/>
  <c r="AD1119" i="38"/>
  <c r="AD1120" i="38"/>
  <c r="AD1121" i="38"/>
  <c r="AD1122" i="38"/>
  <c r="AD1123" i="38"/>
  <c r="AD1124" i="38"/>
  <c r="AD1125" i="38"/>
  <c r="AD1126" i="38"/>
  <c r="AD1127" i="38"/>
  <c r="AD1128" i="38"/>
  <c r="AD1129" i="38"/>
  <c r="AD1130" i="38"/>
  <c r="AD1131" i="38"/>
  <c r="AD1132" i="38"/>
  <c r="AD1133" i="38"/>
  <c r="AD1134" i="38"/>
  <c r="AD1135" i="38"/>
  <c r="AD1136" i="38"/>
  <c r="AD1137" i="38"/>
  <c r="AD1138" i="38"/>
  <c r="AD1139" i="38"/>
  <c r="AD1140" i="38"/>
  <c r="AD1141" i="38"/>
  <c r="AD1142" i="38"/>
  <c r="AD1143" i="38"/>
  <c r="AD1144" i="38"/>
  <c r="AD1145" i="38"/>
  <c r="AD1146" i="38"/>
  <c r="AD1147" i="38"/>
  <c r="AD1148" i="38"/>
  <c r="AD1149" i="38"/>
  <c r="AD1150" i="38"/>
  <c r="AD1151" i="38"/>
  <c r="AD1152" i="38"/>
  <c r="AD1153" i="38"/>
  <c r="AD1154" i="38"/>
  <c r="AD1155" i="38"/>
  <c r="AD1156" i="38"/>
  <c r="AD1157" i="38"/>
  <c r="AD1158" i="38"/>
  <c r="AD1159" i="38"/>
  <c r="AD1160" i="38"/>
  <c r="AD1161" i="38"/>
  <c r="AD1162" i="38"/>
  <c r="AD1163" i="38"/>
  <c r="AD1164" i="38"/>
  <c r="AD1165" i="38"/>
  <c r="AD1166" i="38"/>
  <c r="AD1167" i="38"/>
  <c r="AD1168" i="38"/>
  <c r="AD1169" i="38"/>
  <c r="AD1170" i="38"/>
  <c r="AD1171" i="38"/>
  <c r="AD1172" i="38"/>
  <c r="AD1173" i="38"/>
  <c r="AD1174" i="38"/>
  <c r="AD1175" i="38"/>
  <c r="AD1176" i="38"/>
  <c r="AD1177" i="38"/>
  <c r="AD1178" i="38"/>
  <c r="AD1179" i="38"/>
  <c r="AD1180" i="38"/>
  <c r="AD1181" i="38"/>
  <c r="AD1182" i="38"/>
  <c r="AD1183" i="38"/>
  <c r="AD1184" i="38"/>
  <c r="AD1185" i="38"/>
  <c r="AD1186" i="38"/>
  <c r="AD1187" i="38"/>
  <c r="AD1188" i="38"/>
  <c r="AD1189" i="38"/>
  <c r="AD1190" i="38"/>
  <c r="AD1191" i="38"/>
  <c r="AD1192" i="38"/>
  <c r="AD1193" i="38"/>
  <c r="AD1194" i="38"/>
  <c r="AD1195" i="38"/>
  <c r="AD1196" i="38"/>
  <c r="AD1197" i="38"/>
  <c r="AD1198" i="38"/>
  <c r="AD1199" i="38"/>
  <c r="AD1200" i="38"/>
  <c r="AD1201" i="38"/>
  <c r="AD1202" i="38"/>
  <c r="AD1203" i="38"/>
  <c r="AD1204" i="38"/>
  <c r="AD1205" i="38"/>
  <c r="AD1206" i="38"/>
  <c r="AD1207" i="38"/>
  <c r="AD1208" i="38"/>
  <c r="AD1209" i="38"/>
  <c r="AD1210" i="38"/>
  <c r="AD1211" i="38"/>
  <c r="AD1212" i="38"/>
  <c r="AD1213" i="38"/>
  <c r="AD1214" i="38"/>
  <c r="AD1215" i="38"/>
  <c r="AD1216" i="38"/>
  <c r="AD1217" i="38"/>
  <c r="AD1218" i="38"/>
  <c r="AD1219" i="38"/>
  <c r="AD1220" i="38"/>
  <c r="AD1221" i="38"/>
  <c r="AD1222" i="38"/>
  <c r="AD1223" i="38"/>
  <c r="AD1224" i="38"/>
  <c r="AD1225" i="38"/>
  <c r="AD1226" i="38"/>
  <c r="AD1227" i="38"/>
  <c r="AD1228" i="38"/>
  <c r="AD1229" i="38"/>
  <c r="AD1230" i="38"/>
  <c r="AD1231" i="38"/>
  <c r="AD1232" i="38"/>
  <c r="AD1233" i="38"/>
  <c r="AD1234" i="38"/>
  <c r="AD1235" i="38"/>
  <c r="AD1236" i="38"/>
  <c r="AD1237" i="38"/>
  <c r="AD1238" i="38"/>
  <c r="AD1239" i="38"/>
  <c r="AD1240" i="38"/>
  <c r="AD1241" i="38"/>
  <c r="AD1242" i="38"/>
  <c r="AD1243" i="38"/>
  <c r="AD1244" i="38"/>
  <c r="AD1245" i="38"/>
  <c r="AD1246" i="38"/>
  <c r="AD1247" i="38"/>
  <c r="AD1248" i="38"/>
  <c r="AD1249" i="38"/>
  <c r="AD1250" i="38"/>
  <c r="AD1251" i="38"/>
  <c r="AD1252" i="38"/>
  <c r="AD1253" i="38"/>
  <c r="AD1254" i="38"/>
  <c r="AD1255" i="38"/>
  <c r="AD1256" i="38"/>
  <c r="AD1257" i="38"/>
  <c r="AD1258" i="38"/>
  <c r="AD1259" i="38"/>
  <c r="AD1260" i="38"/>
  <c r="AD1261" i="38"/>
  <c r="AD1262" i="38"/>
  <c r="AD1263" i="38"/>
  <c r="AD1264" i="38"/>
  <c r="AD1265" i="38"/>
  <c r="AD1266" i="38"/>
  <c r="AD1267" i="38"/>
  <c r="AD1268" i="38"/>
  <c r="AD1269" i="38"/>
  <c r="AD1270" i="38"/>
  <c r="AD1271" i="38"/>
  <c r="AD1272" i="38"/>
  <c r="AD1273" i="38"/>
  <c r="AD1274" i="38"/>
  <c r="AD1275" i="38"/>
  <c r="AD1276" i="38"/>
  <c r="AD1277" i="38"/>
  <c r="AD1278" i="38"/>
  <c r="AD1279" i="38"/>
  <c r="AD1280" i="38"/>
  <c r="AD1281" i="38"/>
  <c r="AD1282" i="38"/>
  <c r="AD1283" i="38"/>
  <c r="AD1284" i="38"/>
  <c r="AD1285" i="38"/>
  <c r="AD1286" i="38"/>
  <c r="AD1287" i="38"/>
  <c r="AD1288" i="38"/>
  <c r="AD1289" i="38"/>
  <c r="AD1290" i="38"/>
  <c r="AD1291" i="38"/>
  <c r="AD1292" i="38"/>
  <c r="AD1293" i="38"/>
  <c r="AD1294" i="38"/>
  <c r="AD1295" i="38"/>
  <c r="AD1296" i="38"/>
  <c r="AD1297" i="38"/>
  <c r="AD1298" i="38"/>
  <c r="AD1299" i="38"/>
  <c r="AD1300" i="38"/>
  <c r="AD1301" i="38"/>
  <c r="AD1302" i="38"/>
  <c r="AD1303" i="38"/>
  <c r="AD1304" i="38"/>
  <c r="AD1305" i="38"/>
  <c r="AD1306" i="38"/>
  <c r="AD1307" i="38"/>
  <c r="AD1308" i="38"/>
  <c r="AD1309" i="38"/>
  <c r="AD1310" i="38"/>
  <c r="AD1311" i="38"/>
  <c r="AD1312" i="38"/>
  <c r="AD1313" i="38"/>
  <c r="AD1314" i="38"/>
  <c r="AD1315" i="38"/>
  <c r="AD1316" i="38"/>
  <c r="AD1317" i="38"/>
  <c r="AD1318" i="38"/>
  <c r="AD1319" i="38"/>
  <c r="AD1320" i="38"/>
  <c r="AD1321" i="38"/>
  <c r="AD1322" i="38"/>
  <c r="AD1323" i="38"/>
  <c r="AD1324" i="38"/>
  <c r="AD1325" i="38"/>
  <c r="AD1326" i="38"/>
  <c r="AD1327" i="38"/>
  <c r="AD1328" i="38"/>
  <c r="AD1329" i="38"/>
  <c r="AD1330" i="38"/>
  <c r="AD1331" i="38"/>
  <c r="AD1332" i="38"/>
  <c r="AD1333" i="38"/>
  <c r="AD1334" i="38"/>
  <c r="AD1335" i="38"/>
  <c r="AD1336" i="38"/>
  <c r="AD1337" i="38"/>
  <c r="AD1338" i="38"/>
  <c r="AD1339" i="38"/>
  <c r="AD1340" i="38"/>
  <c r="AD1341" i="38"/>
  <c r="AD1342" i="38"/>
  <c r="AD1343" i="38"/>
  <c r="AD1344" i="38"/>
  <c r="AD1345" i="38"/>
  <c r="AD1346" i="38"/>
  <c r="AD1347" i="38"/>
  <c r="AD1348" i="38"/>
  <c r="AD1349" i="38"/>
  <c r="AD1350" i="38"/>
  <c r="AD1351" i="38"/>
  <c r="AD1352" i="38"/>
  <c r="AD1353" i="38"/>
  <c r="AD1354" i="38"/>
  <c r="AD1355" i="38"/>
  <c r="AD1356" i="38"/>
  <c r="AD1357" i="38"/>
  <c r="AD1358" i="38"/>
  <c r="AD1359" i="38"/>
  <c r="AD1360" i="38"/>
  <c r="AD1361" i="38"/>
  <c r="AD1362" i="38"/>
  <c r="AD1363" i="38"/>
  <c r="AD1364" i="38"/>
  <c r="AD1365" i="38"/>
  <c r="AD1366" i="38"/>
  <c r="AD1367" i="38"/>
  <c r="AD1368" i="38"/>
  <c r="AD1369" i="38"/>
  <c r="AD1370" i="38"/>
  <c r="AD1371" i="38"/>
  <c r="AD1372" i="38"/>
  <c r="AD1373" i="38"/>
  <c r="AD1374" i="38"/>
  <c r="AD1375" i="38"/>
  <c r="AD1376" i="38"/>
  <c r="AD1377" i="38"/>
  <c r="AD1378" i="38"/>
  <c r="AD1379" i="38"/>
  <c r="AD1380" i="38"/>
  <c r="AD1381" i="38"/>
  <c r="AD1382" i="38"/>
  <c r="AD1383" i="38"/>
  <c r="AD1384" i="38"/>
  <c r="AD1385" i="38"/>
  <c r="AD1386" i="38"/>
  <c r="AD1387" i="38"/>
  <c r="AD1388" i="38"/>
  <c r="AD1389" i="38"/>
  <c r="AD1390" i="38"/>
  <c r="AD1391" i="38"/>
  <c r="AD1392" i="38"/>
  <c r="AD1393" i="38"/>
  <c r="AD1394" i="38"/>
  <c r="AD1395" i="38"/>
  <c r="AD1396" i="38"/>
  <c r="AD1397" i="38"/>
  <c r="AD1398" i="38"/>
  <c r="AD1399" i="38"/>
  <c r="AD1400" i="38"/>
  <c r="AD1401" i="38"/>
  <c r="AD1402" i="38"/>
  <c r="AD1403" i="38"/>
  <c r="AD1404" i="38"/>
  <c r="AD1405" i="38"/>
  <c r="AD1406" i="38"/>
  <c r="AD1407" i="38"/>
  <c r="AD1408" i="38"/>
  <c r="AD1409" i="38"/>
  <c r="AD1410" i="38"/>
  <c r="AD1411" i="38"/>
  <c r="AD1412" i="38"/>
  <c r="AD1413" i="38"/>
  <c r="AD1414" i="38"/>
  <c r="AD1415" i="38"/>
  <c r="AD1416" i="38"/>
  <c r="AD1417" i="38"/>
  <c r="AD1418" i="38"/>
  <c r="AD1419" i="38"/>
  <c r="AD1420" i="38"/>
  <c r="AD1421" i="38"/>
  <c r="AD1422" i="38"/>
  <c r="AD1423" i="38"/>
  <c r="AD1424" i="38"/>
  <c r="AD1425" i="38"/>
  <c r="AD1426" i="38"/>
  <c r="AD1427" i="38"/>
  <c r="AD1428" i="38"/>
  <c r="AD1429" i="38"/>
  <c r="AD1430" i="38"/>
  <c r="AD1431" i="38"/>
  <c r="AD1432" i="38"/>
  <c r="AD1433" i="38"/>
  <c r="AD1434" i="38"/>
  <c r="AD1435" i="38"/>
  <c r="AD1436" i="38"/>
  <c r="AD1437" i="38"/>
  <c r="AD1438" i="38"/>
  <c r="AD1439" i="38"/>
  <c r="AD1440" i="38"/>
  <c r="AD1441" i="38"/>
  <c r="AD1442" i="38"/>
  <c r="AD1443" i="38"/>
  <c r="AD1444" i="38"/>
  <c r="AD1445" i="38"/>
  <c r="AD1446" i="38"/>
  <c r="AD1447" i="38"/>
  <c r="AD1448" i="38"/>
  <c r="AD1449" i="38"/>
  <c r="AD1450" i="38"/>
  <c r="AD1451" i="38"/>
  <c r="AD1452" i="38"/>
  <c r="AD1453" i="38"/>
  <c r="AD1454" i="38"/>
  <c r="AD1455" i="38"/>
  <c r="AD1456" i="38"/>
  <c r="AD1457" i="38"/>
  <c r="AD1458" i="38"/>
  <c r="AD1459" i="38"/>
  <c r="AD1460" i="38"/>
  <c r="AD1461" i="38"/>
  <c r="AD1462" i="38"/>
  <c r="AD1463" i="38"/>
  <c r="AD1464" i="38"/>
  <c r="AD1465" i="38"/>
  <c r="AD1466" i="38"/>
  <c r="AD1467" i="38"/>
  <c r="AD1468" i="38"/>
  <c r="AD1469" i="38"/>
  <c r="AD1470" i="38"/>
  <c r="AD1471" i="38"/>
  <c r="AD1472" i="38"/>
  <c r="AD1473" i="38"/>
  <c r="AD1474" i="38"/>
  <c r="AD1475" i="38"/>
  <c r="AD1476" i="38"/>
  <c r="AD1477" i="38"/>
  <c r="AD1478" i="38"/>
  <c r="AD1479" i="38"/>
  <c r="AD1480" i="38"/>
  <c r="AD1481" i="38"/>
  <c r="AD1482" i="38"/>
  <c r="AD1483" i="38"/>
  <c r="AD1484" i="38"/>
  <c r="AD1485" i="38"/>
  <c r="AD1486" i="38"/>
  <c r="AD1487" i="38"/>
  <c r="AD1488" i="38"/>
  <c r="AD1489" i="38"/>
  <c r="AD1490" i="38"/>
  <c r="AD1491" i="38"/>
  <c r="AD1492" i="38"/>
  <c r="AD1493" i="38"/>
  <c r="AD1494" i="38"/>
  <c r="AD1495" i="38"/>
  <c r="AD1496" i="38"/>
  <c r="AD1497" i="38"/>
  <c r="AD1498" i="38"/>
  <c r="AD1499" i="38"/>
  <c r="AD1500" i="38"/>
  <c r="AD1501" i="38"/>
  <c r="AD1502" i="38"/>
  <c r="AD1503" i="38"/>
  <c r="AD1504" i="38"/>
  <c r="AD1505" i="38"/>
  <c r="AD1506" i="38"/>
  <c r="AD1507" i="38"/>
  <c r="AD1508" i="38"/>
  <c r="AD1509" i="38"/>
  <c r="AD1510" i="38"/>
  <c r="AD1511" i="38"/>
  <c r="AD1512" i="38"/>
  <c r="AD1513" i="38"/>
  <c r="AD1514" i="38"/>
  <c r="AD1515" i="38"/>
  <c r="AD1516" i="38"/>
  <c r="AD1517" i="38"/>
  <c r="AD1518" i="38"/>
  <c r="AD1519" i="38"/>
  <c r="AD1520" i="38"/>
  <c r="AD1521" i="38"/>
  <c r="AD1522" i="38"/>
  <c r="AD1523" i="38"/>
  <c r="AD1524" i="38"/>
  <c r="AD1525" i="38"/>
  <c r="AD1526" i="38"/>
  <c r="AD1527" i="38"/>
  <c r="AD1528" i="38"/>
  <c r="AD1529" i="38"/>
  <c r="AD1530" i="38"/>
  <c r="AD1531" i="38"/>
  <c r="AD1532" i="38"/>
  <c r="AD1533" i="38"/>
  <c r="AD1534" i="38"/>
  <c r="AD1535" i="38"/>
  <c r="AD1536" i="38"/>
  <c r="AD1537" i="38"/>
  <c r="AD1538" i="38"/>
  <c r="AD1539" i="38"/>
  <c r="AD1540" i="38"/>
  <c r="AD1541" i="38"/>
  <c r="AD1542" i="38"/>
  <c r="AD1543" i="38"/>
  <c r="AD1544" i="38"/>
  <c r="AD1545" i="38"/>
  <c r="AD1546" i="38"/>
  <c r="AD1547" i="38"/>
  <c r="AD1548" i="38"/>
  <c r="AD1549" i="38"/>
  <c r="AD1550" i="38"/>
  <c r="AD1551" i="38"/>
  <c r="AD1552" i="38"/>
  <c r="AD1553" i="38"/>
  <c r="AD1554" i="38"/>
  <c r="AD1555" i="38"/>
  <c r="AD1556" i="38"/>
  <c r="AD1557" i="38"/>
  <c r="AD1558" i="38"/>
  <c r="AD1559" i="38"/>
  <c r="AD1560" i="38"/>
  <c r="AD1561" i="38"/>
  <c r="AD1562" i="38"/>
  <c r="AD1563" i="38"/>
  <c r="AD1564" i="38"/>
  <c r="AD1565" i="38"/>
  <c r="AD1566" i="38"/>
  <c r="AD1567" i="38"/>
  <c r="AD1568" i="38"/>
  <c r="AD1569" i="38"/>
  <c r="AD1570" i="38"/>
  <c r="AD1571" i="38"/>
  <c r="AD1572" i="38"/>
  <c r="AD1573" i="38"/>
  <c r="AD1574" i="38"/>
  <c r="AD1575" i="38"/>
  <c r="AD1576" i="38"/>
  <c r="AD1577" i="38"/>
  <c r="AD1578" i="38"/>
  <c r="AD1579" i="38"/>
  <c r="AD1580" i="38"/>
  <c r="AD1581" i="38"/>
  <c r="AD1582" i="38"/>
  <c r="AD1583" i="38"/>
  <c r="AD1584" i="38"/>
  <c r="AD1585" i="38"/>
  <c r="AD1586" i="38"/>
  <c r="AD1587" i="38"/>
  <c r="AD1588" i="38"/>
  <c r="AD1589" i="38"/>
  <c r="AD1590" i="38"/>
  <c r="AD1591" i="38"/>
  <c r="AD1592" i="38"/>
  <c r="AD1593" i="38"/>
  <c r="AD1594" i="38"/>
  <c r="AD1595" i="38"/>
  <c r="AD1596" i="38"/>
  <c r="AD1597" i="38"/>
  <c r="AD1598" i="38"/>
  <c r="AD1599" i="38"/>
  <c r="AD1600" i="38"/>
  <c r="AD1601" i="38"/>
  <c r="AD1602" i="38"/>
  <c r="AD1603" i="38"/>
  <c r="AD1604" i="38"/>
  <c r="AD1605" i="38"/>
  <c r="AD1606" i="38"/>
  <c r="AD1607" i="38"/>
  <c r="AD1608" i="38"/>
  <c r="AD1609" i="38"/>
  <c r="AD1610" i="38"/>
  <c r="AD1611" i="38"/>
  <c r="AD1612" i="38"/>
  <c r="AD1613" i="38"/>
  <c r="AD1614" i="38"/>
  <c r="AD1615" i="38"/>
  <c r="AD1616" i="38"/>
  <c r="AD1617" i="38"/>
  <c r="AD1618" i="38"/>
  <c r="AD1619" i="38"/>
  <c r="AD1620" i="38"/>
  <c r="AD1621" i="38"/>
  <c r="AD1622" i="38"/>
  <c r="AD1623" i="38"/>
  <c r="AD1624" i="38"/>
  <c r="AD1625" i="38"/>
  <c r="AD1626" i="38"/>
  <c r="AD1627" i="38"/>
  <c r="AD1628" i="38"/>
  <c r="AD1629" i="38"/>
  <c r="AD1630" i="38"/>
  <c r="AD1631" i="38"/>
  <c r="AD1632" i="38"/>
  <c r="AD1633" i="38"/>
  <c r="AD1634" i="38"/>
  <c r="AD1635" i="38"/>
  <c r="AD1636" i="38"/>
  <c r="AD1637" i="38"/>
  <c r="AD1638" i="38"/>
  <c r="AD1639" i="38"/>
  <c r="AD1640" i="38"/>
  <c r="AD1641" i="38"/>
  <c r="AD1642" i="38"/>
  <c r="AD1643" i="38"/>
  <c r="AD1644" i="38"/>
  <c r="AD1645" i="38"/>
  <c r="AD1646" i="38"/>
  <c r="AD1647" i="38"/>
  <c r="AD1648" i="38"/>
  <c r="AD1649" i="38"/>
  <c r="AD1650" i="38"/>
  <c r="AD1651" i="38"/>
  <c r="AD1652" i="38"/>
  <c r="AD1653" i="38"/>
  <c r="AD1654" i="38"/>
  <c r="AD1655" i="38"/>
  <c r="AD1656" i="38"/>
  <c r="AD1657" i="38"/>
  <c r="AD1658" i="38"/>
  <c r="AD1659" i="38"/>
  <c r="AD1660" i="38"/>
  <c r="AD1661" i="38"/>
  <c r="AD1662" i="38"/>
  <c r="AD1663" i="38"/>
  <c r="AD1664" i="38"/>
  <c r="AD1665" i="38"/>
  <c r="AD1666" i="38"/>
  <c r="AD1667" i="38"/>
  <c r="AD1668" i="38"/>
  <c r="AD1669" i="38"/>
  <c r="K589" i="35"/>
  <c r="J193" i="35"/>
  <c r="K193" i="35"/>
  <c r="K169" i="35"/>
  <c r="F169" i="35"/>
  <c r="G169" i="35"/>
  <c r="H169" i="35"/>
  <c r="I169" i="35"/>
  <c r="J169" i="35"/>
  <c r="E169" i="35"/>
  <c r="E39" i="34"/>
  <c r="F39" i="34"/>
  <c r="E40" i="34"/>
  <c r="F40" i="34"/>
  <c r="G40" i="34"/>
  <c r="H40" i="34"/>
  <c r="I40" i="34"/>
  <c r="J40" i="34"/>
  <c r="K40" i="34"/>
  <c r="K39" i="34"/>
  <c r="G39" i="34"/>
  <c r="H39" i="34"/>
  <c r="I39" i="34"/>
  <c r="J39" i="34"/>
  <c r="V8" i="22" l="1"/>
  <c r="V14" i="22"/>
  <c r="V20" i="22"/>
  <c r="E51" i="12"/>
  <c r="E23" i="22"/>
  <c r="E69" i="12"/>
  <c r="C44" i="34"/>
  <c r="C39" i="34" s="1"/>
  <c r="F14" i="16"/>
  <c r="C99" i="35" s="1"/>
  <c r="D14" i="16"/>
  <c r="K301" i="12"/>
  <c r="J301" i="12"/>
  <c r="I301" i="12"/>
  <c r="G301" i="12"/>
  <c r="F301" i="12"/>
  <c r="E301" i="12"/>
  <c r="D301" i="12"/>
  <c r="C301" i="12"/>
  <c r="K241" i="12"/>
  <c r="J241" i="12"/>
  <c r="I241" i="12"/>
  <c r="H241" i="12"/>
  <c r="G241" i="12"/>
  <c r="F241" i="12"/>
  <c r="E241" i="12"/>
  <c r="D241" i="12"/>
  <c r="C241" i="12"/>
  <c r="K187" i="12"/>
  <c r="J187" i="12"/>
  <c r="I187" i="12"/>
  <c r="G187" i="12"/>
  <c r="F187" i="12"/>
  <c r="C187" i="12"/>
  <c r="E187" i="12"/>
  <c r="D187" i="12"/>
  <c r="C188" i="12" l="1"/>
  <c r="D44" i="34"/>
  <c r="D39" i="34" s="1"/>
  <c r="I193" i="35" l="1"/>
  <c r="E193" i="35"/>
  <c r="G217" i="35"/>
  <c r="H367" i="35"/>
  <c r="F391" i="35"/>
  <c r="K415" i="35"/>
  <c r="F511" i="35"/>
  <c r="K565" i="35"/>
  <c r="E565" i="35"/>
  <c r="E589" i="35"/>
  <c r="E613" i="35"/>
  <c r="F208" i="31"/>
  <c r="G208" i="31"/>
  <c r="H208" i="31"/>
  <c r="I208" i="31"/>
  <c r="J208" i="31"/>
  <c r="K208" i="31"/>
  <c r="L208" i="31"/>
  <c r="F209" i="31"/>
  <c r="G209" i="31"/>
  <c r="H209" i="31"/>
  <c r="I209" i="31"/>
  <c r="J209" i="31"/>
  <c r="K209" i="31"/>
  <c r="L209" i="31"/>
  <c r="F210" i="31"/>
  <c r="G210" i="31"/>
  <c r="H210" i="31"/>
  <c r="I210" i="31"/>
  <c r="J210" i="31"/>
  <c r="K210" i="31"/>
  <c r="L210" i="31"/>
  <c r="F211" i="31"/>
  <c r="G211" i="31"/>
  <c r="H211" i="31"/>
  <c r="I211" i="31"/>
  <c r="J211" i="31"/>
  <c r="K211" i="31"/>
  <c r="L211" i="31"/>
  <c r="F212" i="31"/>
  <c r="G212" i="31"/>
  <c r="H212" i="31"/>
  <c r="I212" i="31"/>
  <c r="J212" i="31"/>
  <c r="K212" i="31"/>
  <c r="L212" i="31"/>
  <c r="F213" i="31"/>
  <c r="G213" i="31"/>
  <c r="H213" i="31"/>
  <c r="I213" i="31"/>
  <c r="J213" i="31"/>
  <c r="K213" i="31"/>
  <c r="L213" i="31"/>
  <c r="F214" i="31"/>
  <c r="G214" i="31"/>
  <c r="H214" i="31"/>
  <c r="I214" i="31"/>
  <c r="J214" i="31"/>
  <c r="K214" i="31"/>
  <c r="L214" i="31"/>
  <c r="F215" i="31"/>
  <c r="G215" i="31"/>
  <c r="H215" i="31"/>
  <c r="I215" i="31"/>
  <c r="J215" i="31"/>
  <c r="K215" i="31"/>
  <c r="L215" i="31"/>
  <c r="F216" i="31"/>
  <c r="G216" i="31"/>
  <c r="H216" i="31"/>
  <c r="I216" i="31"/>
  <c r="J216" i="31"/>
  <c r="K216" i="31"/>
  <c r="L216" i="31"/>
  <c r="F207" i="31"/>
  <c r="G207" i="31"/>
  <c r="H207" i="31"/>
  <c r="I207" i="31"/>
  <c r="J207" i="31"/>
  <c r="K207" i="31"/>
  <c r="L207" i="31"/>
  <c r="F202" i="31"/>
  <c r="G202" i="31"/>
  <c r="H202" i="31"/>
  <c r="I202" i="31"/>
  <c r="J202" i="31"/>
  <c r="K202" i="31"/>
  <c r="L202" i="31"/>
  <c r="F203" i="31"/>
  <c r="G203" i="31"/>
  <c r="H203" i="31"/>
  <c r="I203" i="31"/>
  <c r="J203" i="31"/>
  <c r="K203" i="31"/>
  <c r="L203" i="31"/>
  <c r="F204" i="31"/>
  <c r="G204" i="31"/>
  <c r="H204" i="31"/>
  <c r="I204" i="31"/>
  <c r="J204" i="31"/>
  <c r="K204" i="31"/>
  <c r="L204" i="31"/>
  <c r="F205" i="31"/>
  <c r="G205" i="31"/>
  <c r="H205" i="31"/>
  <c r="I205" i="31"/>
  <c r="J205" i="31"/>
  <c r="K205" i="31"/>
  <c r="L205" i="31"/>
  <c r="F206" i="31"/>
  <c r="G206" i="31"/>
  <c r="H206" i="31"/>
  <c r="I206" i="31"/>
  <c r="J206" i="31"/>
  <c r="K206" i="31"/>
  <c r="L206" i="31"/>
  <c r="F119" i="31"/>
  <c r="G119" i="31"/>
  <c r="H119" i="31"/>
  <c r="I119" i="31"/>
  <c r="J119" i="31"/>
  <c r="K119" i="31"/>
  <c r="L119" i="31"/>
  <c r="F120" i="31"/>
  <c r="G120" i="31"/>
  <c r="H120" i="31"/>
  <c r="I120" i="31"/>
  <c r="J120" i="31"/>
  <c r="K120" i="31"/>
  <c r="L120" i="31"/>
  <c r="F121" i="31"/>
  <c r="G121" i="31"/>
  <c r="H121" i="31"/>
  <c r="I121" i="31"/>
  <c r="J121" i="31"/>
  <c r="K121" i="31"/>
  <c r="L121" i="31"/>
  <c r="F122" i="31"/>
  <c r="G122" i="31"/>
  <c r="H122" i="31"/>
  <c r="I122" i="31"/>
  <c r="J122" i="31"/>
  <c r="K122" i="31"/>
  <c r="L122" i="31"/>
  <c r="F123" i="31"/>
  <c r="G123" i="31"/>
  <c r="H123" i="31"/>
  <c r="I123" i="31"/>
  <c r="J123" i="31"/>
  <c r="K123" i="31"/>
  <c r="L123" i="31"/>
  <c r="F124" i="31"/>
  <c r="G124" i="31"/>
  <c r="H124" i="31"/>
  <c r="I124" i="31"/>
  <c r="J124" i="31"/>
  <c r="K124" i="31"/>
  <c r="L124" i="31"/>
  <c r="F125" i="31"/>
  <c r="G125" i="31"/>
  <c r="H125" i="31"/>
  <c r="I125" i="31"/>
  <c r="J125" i="31"/>
  <c r="K125" i="31"/>
  <c r="L125" i="31"/>
  <c r="F126" i="31"/>
  <c r="G126" i="31"/>
  <c r="H126" i="31"/>
  <c r="I126" i="31"/>
  <c r="J126" i="31"/>
  <c r="K126" i="31"/>
  <c r="L126" i="31"/>
  <c r="F127" i="31"/>
  <c r="G127" i="31"/>
  <c r="H127" i="31"/>
  <c r="I127" i="31"/>
  <c r="J127" i="31"/>
  <c r="K127" i="31"/>
  <c r="L127" i="31"/>
  <c r="F118" i="31"/>
  <c r="G118" i="31"/>
  <c r="H118" i="31"/>
  <c r="I118" i="31"/>
  <c r="J118" i="31"/>
  <c r="K118" i="31"/>
  <c r="L118" i="31"/>
  <c r="F112" i="31"/>
  <c r="G112" i="31"/>
  <c r="H112" i="31"/>
  <c r="I112" i="31"/>
  <c r="J112" i="31"/>
  <c r="K112" i="31"/>
  <c r="L112" i="31"/>
  <c r="F113" i="31"/>
  <c r="G113" i="31"/>
  <c r="H113" i="31"/>
  <c r="I113" i="31"/>
  <c r="J113" i="31"/>
  <c r="K113" i="31"/>
  <c r="L113" i="31"/>
  <c r="F114" i="31"/>
  <c r="G114" i="31"/>
  <c r="H114" i="31"/>
  <c r="I114" i="31"/>
  <c r="J114" i="31"/>
  <c r="K114" i="31"/>
  <c r="L114" i="31"/>
  <c r="F115" i="31"/>
  <c r="G115" i="31"/>
  <c r="H115" i="31"/>
  <c r="I115" i="31"/>
  <c r="J115" i="31"/>
  <c r="K115" i="31"/>
  <c r="L115" i="31"/>
  <c r="F116" i="31"/>
  <c r="G116" i="31"/>
  <c r="H116" i="31"/>
  <c r="I116" i="31"/>
  <c r="J116" i="31"/>
  <c r="K116" i="31"/>
  <c r="L116" i="31"/>
  <c r="F117" i="31"/>
  <c r="G117" i="31"/>
  <c r="H117" i="31"/>
  <c r="I117" i="31"/>
  <c r="J117" i="31"/>
  <c r="K117" i="31"/>
  <c r="L117" i="31"/>
  <c r="F29" i="31"/>
  <c r="G29" i="31"/>
  <c r="H29" i="31"/>
  <c r="I29" i="31"/>
  <c r="J29" i="31"/>
  <c r="K29" i="31"/>
  <c r="L29" i="31"/>
  <c r="F30" i="31"/>
  <c r="G30" i="31"/>
  <c r="H30" i="31"/>
  <c r="I30" i="31"/>
  <c r="J30" i="31"/>
  <c r="K30" i="31"/>
  <c r="L30" i="31"/>
  <c r="F31" i="31"/>
  <c r="G31" i="31"/>
  <c r="H31" i="31"/>
  <c r="I31" i="31"/>
  <c r="J31" i="31"/>
  <c r="K31" i="31"/>
  <c r="L31" i="31"/>
  <c r="F32" i="31"/>
  <c r="G32" i="31"/>
  <c r="H32" i="31"/>
  <c r="I32" i="31"/>
  <c r="J32" i="31"/>
  <c r="K32" i="31"/>
  <c r="L32" i="31"/>
  <c r="F33" i="31"/>
  <c r="G33" i="31"/>
  <c r="H33" i="31"/>
  <c r="I33" i="31"/>
  <c r="J33" i="31"/>
  <c r="K33" i="31"/>
  <c r="L33" i="31"/>
  <c r="F34" i="31"/>
  <c r="G34" i="31"/>
  <c r="H34" i="31"/>
  <c r="I34" i="31"/>
  <c r="J34" i="31"/>
  <c r="K34" i="31"/>
  <c r="L34" i="31"/>
  <c r="F35" i="31"/>
  <c r="G35" i="31"/>
  <c r="H35" i="31"/>
  <c r="I35" i="31"/>
  <c r="J35" i="31"/>
  <c r="K35" i="31"/>
  <c r="L35" i="31"/>
  <c r="F36" i="31"/>
  <c r="G36" i="31"/>
  <c r="H36" i="31"/>
  <c r="I36" i="31"/>
  <c r="J36" i="31"/>
  <c r="K36" i="31"/>
  <c r="L36" i="31"/>
  <c r="F37" i="31"/>
  <c r="G37" i="31"/>
  <c r="H37" i="31"/>
  <c r="I37" i="31"/>
  <c r="J37" i="31"/>
  <c r="K37" i="31"/>
  <c r="L37" i="31"/>
  <c r="F38" i="31"/>
  <c r="G38" i="31"/>
  <c r="H38" i="31"/>
  <c r="I38" i="31"/>
  <c r="J38" i="31"/>
  <c r="K38" i="31"/>
  <c r="L38" i="31"/>
  <c r="M34" i="31" l="1"/>
  <c r="M29" i="31"/>
  <c r="M126" i="31"/>
  <c r="M125" i="31"/>
  <c r="M123" i="31"/>
  <c r="M119" i="31"/>
  <c r="M215" i="31"/>
  <c r="M203" i="31"/>
  <c r="M202" i="31"/>
  <c r="M204" i="31"/>
  <c r="M213" i="31"/>
  <c r="M124" i="31"/>
  <c r="M205" i="31"/>
  <c r="M214" i="31"/>
  <c r="M206" i="31"/>
  <c r="M208" i="31"/>
  <c r="M216" i="31"/>
  <c r="M209" i="31"/>
  <c r="M127" i="31"/>
  <c r="M120" i="31"/>
  <c r="M207" i="31"/>
  <c r="M212" i="31"/>
  <c r="M210" i="31"/>
  <c r="M118" i="31"/>
  <c r="M121" i="31"/>
  <c r="M211" i="31"/>
  <c r="M122" i="31"/>
  <c r="M114" i="31"/>
  <c r="M37" i="31"/>
  <c r="M30" i="31"/>
  <c r="M115" i="31"/>
  <c r="M38" i="31"/>
  <c r="M31" i="31"/>
  <c r="M116" i="31"/>
  <c r="M36" i="31"/>
  <c r="M32" i="31"/>
  <c r="M33" i="31"/>
  <c r="M117" i="31"/>
  <c r="M35" i="31"/>
  <c r="L207" i="35"/>
  <c r="L208" i="35"/>
  <c r="L209" i="35"/>
  <c r="L210" i="35"/>
  <c r="L211" i="35"/>
  <c r="L212" i="35"/>
  <c r="L213" i="35"/>
  <c r="L214" i="35"/>
  <c r="L215" i="35"/>
  <c r="L216" i="35"/>
  <c r="L183" i="35"/>
  <c r="L184" i="35"/>
  <c r="L185" i="35"/>
  <c r="L186" i="35"/>
  <c r="L187" i="35"/>
  <c r="L188" i="35"/>
  <c r="L189" i="35"/>
  <c r="L190" i="35"/>
  <c r="L191" i="35"/>
  <c r="L192" i="35"/>
  <c r="L381" i="35"/>
  <c r="L382" i="35"/>
  <c r="L383" i="35"/>
  <c r="L384" i="35"/>
  <c r="L385" i="35"/>
  <c r="L386" i="35"/>
  <c r="L387" i="35"/>
  <c r="L388" i="35"/>
  <c r="L389" i="35"/>
  <c r="L390" i="35"/>
  <c r="L405" i="35"/>
  <c r="L406" i="35"/>
  <c r="L407" i="35"/>
  <c r="L408" i="35"/>
  <c r="L409" i="35"/>
  <c r="L410" i="35"/>
  <c r="L411" i="35"/>
  <c r="L412" i="35"/>
  <c r="L413" i="35"/>
  <c r="L414" i="35"/>
  <c r="L579" i="35"/>
  <c r="L580" i="35"/>
  <c r="L581" i="35"/>
  <c r="L582" i="35"/>
  <c r="L583" i="35"/>
  <c r="L584" i="35"/>
  <c r="L585" i="35"/>
  <c r="L586" i="35"/>
  <c r="L587" i="35"/>
  <c r="L588" i="35"/>
  <c r="K613" i="35"/>
  <c r="L603" i="35"/>
  <c r="L604" i="35"/>
  <c r="L605" i="35"/>
  <c r="L606" i="35"/>
  <c r="L607" i="35"/>
  <c r="L608" i="35"/>
  <c r="L609" i="35"/>
  <c r="L610" i="35"/>
  <c r="L611" i="35"/>
  <c r="L612" i="35"/>
  <c r="L601" i="35"/>
  <c r="R467" i="35"/>
  <c r="S467" i="35"/>
  <c r="T467" i="35"/>
  <c r="U467" i="35"/>
  <c r="V467" i="35"/>
  <c r="W467" i="35"/>
  <c r="X467" i="35"/>
  <c r="R468" i="35"/>
  <c r="S468" i="35"/>
  <c r="T468" i="35"/>
  <c r="U468" i="35"/>
  <c r="V468" i="35"/>
  <c r="W468" i="35"/>
  <c r="X468" i="35"/>
  <c r="R469" i="35"/>
  <c r="S469" i="35"/>
  <c r="T469" i="35"/>
  <c r="U469" i="35"/>
  <c r="V469" i="35"/>
  <c r="W469" i="35"/>
  <c r="X469" i="35"/>
  <c r="R470" i="35"/>
  <c r="S470" i="35"/>
  <c r="T470" i="35"/>
  <c r="U470" i="35"/>
  <c r="V470" i="35"/>
  <c r="W470" i="35"/>
  <c r="X470" i="35"/>
  <c r="R471" i="35"/>
  <c r="S471" i="35"/>
  <c r="T471" i="35"/>
  <c r="U471" i="35"/>
  <c r="V471" i="35"/>
  <c r="W471" i="35"/>
  <c r="X471" i="35"/>
  <c r="R472" i="35"/>
  <c r="S472" i="35"/>
  <c r="T472" i="35"/>
  <c r="U472" i="35"/>
  <c r="V472" i="35"/>
  <c r="W472" i="35"/>
  <c r="X472" i="35"/>
  <c r="R473" i="35"/>
  <c r="S473" i="35"/>
  <c r="T473" i="35"/>
  <c r="U473" i="35"/>
  <c r="V473" i="35"/>
  <c r="W473" i="35"/>
  <c r="X473" i="35"/>
  <c r="R474" i="35"/>
  <c r="S474" i="35"/>
  <c r="T474" i="35"/>
  <c r="U474" i="35"/>
  <c r="V474" i="35"/>
  <c r="W474" i="35"/>
  <c r="X474" i="35"/>
  <c r="R475" i="35"/>
  <c r="S475" i="35"/>
  <c r="T475" i="35"/>
  <c r="U475" i="35"/>
  <c r="V475" i="35"/>
  <c r="W475" i="35"/>
  <c r="X475" i="35"/>
  <c r="R476" i="35"/>
  <c r="S476" i="35"/>
  <c r="T476" i="35"/>
  <c r="U476" i="35"/>
  <c r="V476" i="35"/>
  <c r="W476" i="35"/>
  <c r="X476" i="35"/>
  <c r="R460" i="35"/>
  <c r="S460" i="35"/>
  <c r="T460" i="35"/>
  <c r="U460" i="35"/>
  <c r="V460" i="35"/>
  <c r="W460" i="35"/>
  <c r="X460" i="35"/>
  <c r="R461" i="35"/>
  <c r="S461" i="35"/>
  <c r="T461" i="35"/>
  <c r="U461" i="35"/>
  <c r="V461" i="35"/>
  <c r="W461" i="35"/>
  <c r="X461" i="35"/>
  <c r="R462" i="35"/>
  <c r="S462" i="35"/>
  <c r="T462" i="35"/>
  <c r="U462" i="35"/>
  <c r="V462" i="35"/>
  <c r="W462" i="35"/>
  <c r="X462" i="35"/>
  <c r="R463" i="35"/>
  <c r="S463" i="35"/>
  <c r="T463" i="35"/>
  <c r="U463" i="35"/>
  <c r="V463" i="35"/>
  <c r="W463" i="35"/>
  <c r="X463" i="35"/>
  <c r="R464" i="35"/>
  <c r="S464" i="35"/>
  <c r="T464" i="35"/>
  <c r="U464" i="35"/>
  <c r="V464" i="35"/>
  <c r="W464" i="35"/>
  <c r="X464" i="35"/>
  <c r="R465" i="35"/>
  <c r="S465" i="35"/>
  <c r="T465" i="35"/>
  <c r="U465" i="35"/>
  <c r="V465" i="35"/>
  <c r="W465" i="35"/>
  <c r="X465" i="35"/>
  <c r="R466" i="35"/>
  <c r="S466" i="35"/>
  <c r="T466" i="35"/>
  <c r="U466" i="35"/>
  <c r="V466" i="35"/>
  <c r="W466" i="35"/>
  <c r="X466" i="35"/>
  <c r="R269" i="35"/>
  <c r="S269" i="35"/>
  <c r="T269" i="35"/>
  <c r="U269" i="35"/>
  <c r="V269" i="35"/>
  <c r="W269" i="35"/>
  <c r="X269" i="35"/>
  <c r="R270" i="35"/>
  <c r="S270" i="35"/>
  <c r="T270" i="35"/>
  <c r="U270" i="35"/>
  <c r="V270" i="35"/>
  <c r="W270" i="35"/>
  <c r="X270" i="35"/>
  <c r="R271" i="35"/>
  <c r="S271" i="35"/>
  <c r="T271" i="35"/>
  <c r="U271" i="35"/>
  <c r="V271" i="35"/>
  <c r="W271" i="35"/>
  <c r="X271" i="35"/>
  <c r="R272" i="35"/>
  <c r="S272" i="35"/>
  <c r="T272" i="35"/>
  <c r="U272" i="35"/>
  <c r="V272" i="35"/>
  <c r="W272" i="35"/>
  <c r="X272" i="35"/>
  <c r="R273" i="35"/>
  <c r="S273" i="35"/>
  <c r="T273" i="35"/>
  <c r="U273" i="35"/>
  <c r="V273" i="35"/>
  <c r="W273" i="35"/>
  <c r="X273" i="35"/>
  <c r="R274" i="35"/>
  <c r="S274" i="35"/>
  <c r="T274" i="35"/>
  <c r="U274" i="35"/>
  <c r="V274" i="35"/>
  <c r="W274" i="35"/>
  <c r="X274" i="35"/>
  <c r="R275" i="35"/>
  <c r="S275" i="35"/>
  <c r="T275" i="35"/>
  <c r="U275" i="35"/>
  <c r="V275" i="35"/>
  <c r="W275" i="35"/>
  <c r="X275" i="35"/>
  <c r="R276" i="35"/>
  <c r="S276" i="35"/>
  <c r="T276" i="35"/>
  <c r="U276" i="35"/>
  <c r="V276" i="35"/>
  <c r="W276" i="35"/>
  <c r="X276" i="35"/>
  <c r="R277" i="35"/>
  <c r="S277" i="35"/>
  <c r="T277" i="35"/>
  <c r="U277" i="35"/>
  <c r="V277" i="35"/>
  <c r="W277" i="35"/>
  <c r="X277" i="35"/>
  <c r="R278" i="35"/>
  <c r="S278" i="35"/>
  <c r="T278" i="35"/>
  <c r="U278" i="35"/>
  <c r="V278" i="35"/>
  <c r="W278" i="35"/>
  <c r="X278" i="35"/>
  <c r="R262" i="35"/>
  <c r="S262" i="35"/>
  <c r="T262" i="35"/>
  <c r="U262" i="35"/>
  <c r="V262" i="35"/>
  <c r="W262" i="35"/>
  <c r="X262" i="35"/>
  <c r="R263" i="35"/>
  <c r="S263" i="35"/>
  <c r="T263" i="35"/>
  <c r="U263" i="35"/>
  <c r="V263" i="35"/>
  <c r="W263" i="35"/>
  <c r="X263" i="35"/>
  <c r="R264" i="35"/>
  <c r="S264" i="35"/>
  <c r="T264" i="35"/>
  <c r="U264" i="35"/>
  <c r="V264" i="35"/>
  <c r="W264" i="35"/>
  <c r="X264" i="35"/>
  <c r="R265" i="35"/>
  <c r="S265" i="35"/>
  <c r="T265" i="35"/>
  <c r="U265" i="35"/>
  <c r="V265" i="35"/>
  <c r="W265" i="35"/>
  <c r="X265" i="35"/>
  <c r="R266" i="35"/>
  <c r="S266" i="35"/>
  <c r="T266" i="35"/>
  <c r="U266" i="35"/>
  <c r="V266" i="35"/>
  <c r="W266" i="35"/>
  <c r="X266" i="35"/>
  <c r="R267" i="35"/>
  <c r="S267" i="35"/>
  <c r="T267" i="35"/>
  <c r="U267" i="35"/>
  <c r="V267" i="35"/>
  <c r="W267" i="35"/>
  <c r="X267" i="35"/>
  <c r="R268" i="35"/>
  <c r="S268" i="35"/>
  <c r="T268" i="35"/>
  <c r="U268" i="35"/>
  <c r="V268" i="35"/>
  <c r="W268" i="35"/>
  <c r="X268" i="35"/>
  <c r="R71" i="35"/>
  <c r="S71" i="35"/>
  <c r="T71" i="35"/>
  <c r="U71" i="35"/>
  <c r="V71" i="35"/>
  <c r="W71" i="35"/>
  <c r="X71" i="35"/>
  <c r="R72" i="35"/>
  <c r="S72" i="35"/>
  <c r="T72" i="35"/>
  <c r="U72" i="35"/>
  <c r="V72" i="35"/>
  <c r="W72" i="35"/>
  <c r="X72" i="35"/>
  <c r="R73" i="35"/>
  <c r="S73" i="35"/>
  <c r="T73" i="35"/>
  <c r="U73" i="35"/>
  <c r="V73" i="35"/>
  <c r="W73" i="35"/>
  <c r="X73" i="35"/>
  <c r="R74" i="35"/>
  <c r="S74" i="35"/>
  <c r="T74" i="35"/>
  <c r="U74" i="35"/>
  <c r="V74" i="35"/>
  <c r="W74" i="35"/>
  <c r="X74" i="35"/>
  <c r="R75" i="35"/>
  <c r="S75" i="35"/>
  <c r="T75" i="35"/>
  <c r="U75" i="35"/>
  <c r="V75" i="35"/>
  <c r="W75" i="35"/>
  <c r="X75" i="35"/>
  <c r="R76" i="35"/>
  <c r="S76" i="35"/>
  <c r="T76" i="35"/>
  <c r="U76" i="35"/>
  <c r="V76" i="35"/>
  <c r="W76" i="35"/>
  <c r="X76" i="35"/>
  <c r="R77" i="35"/>
  <c r="S77" i="35"/>
  <c r="T77" i="35"/>
  <c r="U77" i="35"/>
  <c r="V77" i="35"/>
  <c r="W77" i="35"/>
  <c r="X77" i="35"/>
  <c r="R78" i="35"/>
  <c r="S78" i="35"/>
  <c r="T78" i="35"/>
  <c r="U78" i="35"/>
  <c r="V78" i="35"/>
  <c r="W78" i="35"/>
  <c r="X78" i="35"/>
  <c r="R79" i="35"/>
  <c r="S79" i="35"/>
  <c r="T79" i="35"/>
  <c r="U79" i="35"/>
  <c r="V79" i="35"/>
  <c r="W79" i="35"/>
  <c r="X79" i="35"/>
  <c r="R80" i="35"/>
  <c r="S80" i="35"/>
  <c r="T80" i="35"/>
  <c r="U80" i="35"/>
  <c r="V80" i="35"/>
  <c r="W80" i="35"/>
  <c r="X80" i="35"/>
  <c r="R64" i="35"/>
  <c r="S64" i="35"/>
  <c r="T64" i="35"/>
  <c r="H58" i="31" s="1"/>
  <c r="U64" i="35"/>
  <c r="V64" i="35"/>
  <c r="W64" i="35"/>
  <c r="X64" i="35"/>
  <c r="R65" i="35"/>
  <c r="S65" i="35"/>
  <c r="T65" i="35"/>
  <c r="U65" i="35"/>
  <c r="V65" i="35"/>
  <c r="W65" i="35"/>
  <c r="X65" i="35"/>
  <c r="R66" i="35"/>
  <c r="S66" i="35"/>
  <c r="T66" i="35"/>
  <c r="U66" i="35"/>
  <c r="V66" i="35"/>
  <c r="W66" i="35"/>
  <c r="X66" i="35"/>
  <c r="R67" i="35"/>
  <c r="S67" i="35"/>
  <c r="T67" i="35"/>
  <c r="U67" i="35"/>
  <c r="V67" i="35"/>
  <c r="W67" i="35"/>
  <c r="X67" i="35"/>
  <c r="R68" i="35"/>
  <c r="S68" i="35"/>
  <c r="T68" i="35"/>
  <c r="U68" i="35"/>
  <c r="V68" i="35"/>
  <c r="W68" i="35"/>
  <c r="X68" i="35"/>
  <c r="R69" i="35"/>
  <c r="S69" i="35"/>
  <c r="T69" i="35"/>
  <c r="U69" i="35"/>
  <c r="V69" i="35"/>
  <c r="W69" i="35"/>
  <c r="X69" i="35"/>
  <c r="R70" i="35"/>
  <c r="S70" i="35"/>
  <c r="T70" i="35"/>
  <c r="U70" i="35"/>
  <c r="V70" i="35"/>
  <c r="W70" i="35"/>
  <c r="X70" i="35"/>
  <c r="X63" i="35"/>
  <c r="E627" i="35"/>
  <c r="F627" i="35"/>
  <c r="G627" i="35"/>
  <c r="H627" i="35"/>
  <c r="I627" i="35"/>
  <c r="J627" i="35"/>
  <c r="K627" i="35"/>
  <c r="E628" i="35"/>
  <c r="F628" i="35"/>
  <c r="G628" i="35"/>
  <c r="H628" i="35"/>
  <c r="I628" i="35"/>
  <c r="J628" i="35"/>
  <c r="K628" i="35"/>
  <c r="E629" i="35"/>
  <c r="F629" i="35"/>
  <c r="G629" i="35"/>
  <c r="H629" i="35"/>
  <c r="I629" i="35"/>
  <c r="J629" i="35"/>
  <c r="K629" i="35"/>
  <c r="E630" i="35"/>
  <c r="F630" i="35"/>
  <c r="G630" i="35"/>
  <c r="H630" i="35"/>
  <c r="I630" i="35"/>
  <c r="J630" i="35"/>
  <c r="K630" i="35"/>
  <c r="E631" i="35"/>
  <c r="F631" i="35"/>
  <c r="G631" i="35"/>
  <c r="H631" i="35"/>
  <c r="I631" i="35"/>
  <c r="J631" i="35"/>
  <c r="K631" i="35"/>
  <c r="E632" i="35"/>
  <c r="F632" i="35"/>
  <c r="G632" i="35"/>
  <c r="H632" i="35"/>
  <c r="I632" i="35"/>
  <c r="J632" i="35"/>
  <c r="K632" i="35"/>
  <c r="E633" i="35"/>
  <c r="F633" i="35"/>
  <c r="G633" i="35"/>
  <c r="H633" i="35"/>
  <c r="I633" i="35"/>
  <c r="J633" i="35"/>
  <c r="K633" i="35"/>
  <c r="E634" i="35"/>
  <c r="F634" i="35"/>
  <c r="G634" i="35"/>
  <c r="H634" i="35"/>
  <c r="I634" i="35"/>
  <c r="J634" i="35"/>
  <c r="K634" i="35"/>
  <c r="E635" i="35"/>
  <c r="F635" i="35"/>
  <c r="G635" i="35"/>
  <c r="H635" i="35"/>
  <c r="I635" i="35"/>
  <c r="J635" i="35"/>
  <c r="K635" i="35"/>
  <c r="E636" i="35"/>
  <c r="F636" i="35"/>
  <c r="G636" i="35"/>
  <c r="H636" i="35"/>
  <c r="I636" i="35"/>
  <c r="J636" i="35"/>
  <c r="K636" i="35"/>
  <c r="E429" i="35"/>
  <c r="F429" i="35"/>
  <c r="G429" i="35"/>
  <c r="H429" i="35"/>
  <c r="I429" i="35"/>
  <c r="J429" i="35"/>
  <c r="K429" i="35"/>
  <c r="E430" i="35"/>
  <c r="F430" i="35"/>
  <c r="G430" i="35"/>
  <c r="H430" i="35"/>
  <c r="I430" i="35"/>
  <c r="J430" i="35"/>
  <c r="K430" i="35"/>
  <c r="E431" i="35"/>
  <c r="F431" i="35"/>
  <c r="G431" i="35"/>
  <c r="H431" i="35"/>
  <c r="I431" i="35"/>
  <c r="J431" i="35"/>
  <c r="K431" i="35"/>
  <c r="E432" i="35"/>
  <c r="F432" i="35"/>
  <c r="G432" i="35"/>
  <c r="H432" i="35"/>
  <c r="I432" i="35"/>
  <c r="J432" i="35"/>
  <c r="K432" i="35"/>
  <c r="E433" i="35"/>
  <c r="F433" i="35"/>
  <c r="G433" i="35"/>
  <c r="H433" i="35"/>
  <c r="I433" i="35"/>
  <c r="J433" i="35"/>
  <c r="K433" i="35"/>
  <c r="E434" i="35"/>
  <c r="F434" i="35"/>
  <c r="G434" i="35"/>
  <c r="H434" i="35"/>
  <c r="I434" i="35"/>
  <c r="J434" i="35"/>
  <c r="K434" i="35"/>
  <c r="E435" i="35"/>
  <c r="F435" i="35"/>
  <c r="G435" i="35"/>
  <c r="H435" i="35"/>
  <c r="I435" i="35"/>
  <c r="J435" i="35"/>
  <c r="K435" i="35"/>
  <c r="E436" i="35"/>
  <c r="F436" i="35"/>
  <c r="G436" i="35"/>
  <c r="H436" i="35"/>
  <c r="I436" i="35"/>
  <c r="J436" i="35"/>
  <c r="K436" i="35"/>
  <c r="E224" i="35"/>
  <c r="F224" i="35"/>
  <c r="G224" i="35"/>
  <c r="H224" i="35"/>
  <c r="I224" i="35"/>
  <c r="J224" i="35"/>
  <c r="K224" i="35"/>
  <c r="E225" i="35"/>
  <c r="F225" i="35"/>
  <c r="G225" i="35"/>
  <c r="H225" i="35"/>
  <c r="I225" i="35"/>
  <c r="J225" i="35"/>
  <c r="K225" i="35"/>
  <c r="E226" i="35"/>
  <c r="F226" i="35"/>
  <c r="G226" i="35"/>
  <c r="H226" i="35"/>
  <c r="I226" i="35"/>
  <c r="J226" i="35"/>
  <c r="K226" i="35"/>
  <c r="E227" i="35"/>
  <c r="F227" i="35"/>
  <c r="G227" i="35"/>
  <c r="H227" i="35"/>
  <c r="I227" i="35"/>
  <c r="J227" i="35"/>
  <c r="K227" i="35"/>
  <c r="E228" i="35"/>
  <c r="F228" i="35"/>
  <c r="G228" i="35"/>
  <c r="H228" i="35"/>
  <c r="I228" i="35"/>
  <c r="J228" i="35"/>
  <c r="K228" i="35"/>
  <c r="E229" i="35"/>
  <c r="F229" i="35"/>
  <c r="G229" i="35"/>
  <c r="H229" i="35"/>
  <c r="I229" i="35"/>
  <c r="J229" i="35"/>
  <c r="K229" i="35"/>
  <c r="E231" i="35"/>
  <c r="F231" i="35"/>
  <c r="G231" i="35"/>
  <c r="H231" i="35"/>
  <c r="I231" i="35"/>
  <c r="J231" i="35"/>
  <c r="K231" i="35"/>
  <c r="E232" i="35"/>
  <c r="F232" i="35"/>
  <c r="G232" i="35"/>
  <c r="H232" i="35"/>
  <c r="I232" i="35"/>
  <c r="J232" i="35"/>
  <c r="K232" i="35"/>
  <c r="E233" i="35"/>
  <c r="F233" i="35"/>
  <c r="G233" i="35"/>
  <c r="H233" i="35"/>
  <c r="I233" i="35"/>
  <c r="J233" i="35"/>
  <c r="K233" i="35"/>
  <c r="E234" i="35"/>
  <c r="F234" i="35"/>
  <c r="G234" i="35"/>
  <c r="H234" i="35"/>
  <c r="I234" i="35"/>
  <c r="J234" i="35"/>
  <c r="K234" i="35"/>
  <c r="E235" i="35"/>
  <c r="F235" i="35"/>
  <c r="G235" i="35"/>
  <c r="H235" i="35"/>
  <c r="I235" i="35"/>
  <c r="J235" i="35"/>
  <c r="K235" i="35"/>
  <c r="E236" i="35"/>
  <c r="F236" i="35"/>
  <c r="G236" i="35"/>
  <c r="H236" i="35"/>
  <c r="I236" i="35"/>
  <c r="J236" i="35"/>
  <c r="K236" i="35"/>
  <c r="E237" i="35"/>
  <c r="F237" i="35"/>
  <c r="G237" i="35"/>
  <c r="H237" i="35"/>
  <c r="I237" i="35"/>
  <c r="J237" i="35"/>
  <c r="K237" i="35"/>
  <c r="E238" i="35"/>
  <c r="F238" i="35"/>
  <c r="G238" i="35"/>
  <c r="H238" i="35"/>
  <c r="I238" i="35"/>
  <c r="J238" i="35"/>
  <c r="K238" i="35"/>
  <c r="E239" i="35"/>
  <c r="F239" i="35"/>
  <c r="G239" i="35"/>
  <c r="H239" i="35"/>
  <c r="I239" i="35"/>
  <c r="J239" i="35"/>
  <c r="K239" i="35"/>
  <c r="E240" i="35"/>
  <c r="F240" i="35"/>
  <c r="G240" i="35"/>
  <c r="H240" i="35"/>
  <c r="I240" i="35"/>
  <c r="J240" i="35"/>
  <c r="K240" i="35"/>
  <c r="F200" i="31"/>
  <c r="G200" i="31"/>
  <c r="H200" i="31"/>
  <c r="I200" i="31"/>
  <c r="J200" i="31"/>
  <c r="K200" i="31"/>
  <c r="L200" i="31"/>
  <c r="F201" i="31"/>
  <c r="G201" i="31"/>
  <c r="H201" i="31"/>
  <c r="I201" i="31"/>
  <c r="J201" i="31"/>
  <c r="K201" i="31"/>
  <c r="L201" i="31"/>
  <c r="F190" i="31"/>
  <c r="G190" i="31"/>
  <c r="H190" i="31"/>
  <c r="I190" i="31"/>
  <c r="J190" i="31"/>
  <c r="K190" i="31"/>
  <c r="L190" i="31"/>
  <c r="F191" i="31"/>
  <c r="G191" i="31"/>
  <c r="H191" i="31"/>
  <c r="I191" i="31"/>
  <c r="J191" i="31"/>
  <c r="K191" i="31"/>
  <c r="L191" i="31"/>
  <c r="F192" i="31"/>
  <c r="G192" i="31"/>
  <c r="H192" i="31"/>
  <c r="I192" i="31"/>
  <c r="J192" i="31"/>
  <c r="K192" i="31"/>
  <c r="L192" i="31"/>
  <c r="F193" i="31"/>
  <c r="G193" i="31"/>
  <c r="H193" i="31"/>
  <c r="I193" i="31"/>
  <c r="J193" i="31"/>
  <c r="K193" i="31"/>
  <c r="L193" i="31"/>
  <c r="F194" i="31"/>
  <c r="G194" i="31"/>
  <c r="H194" i="31"/>
  <c r="I194" i="31"/>
  <c r="J194" i="31"/>
  <c r="K194" i="31"/>
  <c r="L194" i="31"/>
  <c r="F195" i="31"/>
  <c r="G195" i="31"/>
  <c r="H195" i="31"/>
  <c r="I195" i="31"/>
  <c r="J195" i="31"/>
  <c r="K195" i="31"/>
  <c r="L195" i="31"/>
  <c r="F196" i="31"/>
  <c r="G196" i="31"/>
  <c r="H196" i="31"/>
  <c r="I196" i="31"/>
  <c r="J196" i="31"/>
  <c r="K196" i="31"/>
  <c r="L196" i="31"/>
  <c r="F197" i="31"/>
  <c r="G197" i="31"/>
  <c r="H197" i="31"/>
  <c r="I197" i="31"/>
  <c r="J197" i="31"/>
  <c r="K197" i="31"/>
  <c r="L197" i="31"/>
  <c r="F198" i="31"/>
  <c r="G198" i="31"/>
  <c r="H198" i="31"/>
  <c r="I198" i="31"/>
  <c r="J198" i="31"/>
  <c r="K198" i="31"/>
  <c r="L198" i="31"/>
  <c r="F199" i="31"/>
  <c r="G199" i="31"/>
  <c r="H199" i="31"/>
  <c r="I199" i="31"/>
  <c r="J199" i="31"/>
  <c r="K199" i="31"/>
  <c r="L199" i="31"/>
  <c r="F185" i="31"/>
  <c r="G185" i="31"/>
  <c r="H185" i="31"/>
  <c r="I185" i="31"/>
  <c r="J185" i="31"/>
  <c r="K185" i="31"/>
  <c r="L185" i="31"/>
  <c r="F186" i="31"/>
  <c r="G186" i="31"/>
  <c r="H186" i="31"/>
  <c r="I186" i="31"/>
  <c r="J186" i="31"/>
  <c r="K186" i="31"/>
  <c r="L186" i="31"/>
  <c r="F187" i="31"/>
  <c r="G187" i="31"/>
  <c r="H187" i="31"/>
  <c r="I187" i="31"/>
  <c r="J187" i="31"/>
  <c r="K187" i="31"/>
  <c r="L187" i="31"/>
  <c r="F188" i="31"/>
  <c r="G188" i="31"/>
  <c r="H188" i="31"/>
  <c r="I188" i="31"/>
  <c r="J188" i="31"/>
  <c r="K188" i="31"/>
  <c r="L188" i="31"/>
  <c r="F189" i="31"/>
  <c r="G189" i="31"/>
  <c r="H189" i="31"/>
  <c r="I189" i="31"/>
  <c r="J189" i="31"/>
  <c r="K189" i="31"/>
  <c r="L189" i="31"/>
  <c r="F111" i="31"/>
  <c r="G111" i="31"/>
  <c r="H111" i="31"/>
  <c r="I111" i="31"/>
  <c r="J111" i="31"/>
  <c r="K111" i="31"/>
  <c r="L111" i="31"/>
  <c r="F101" i="31"/>
  <c r="G101" i="31"/>
  <c r="H101" i="31"/>
  <c r="I101" i="31"/>
  <c r="J101" i="31"/>
  <c r="K101" i="31"/>
  <c r="L101" i="31"/>
  <c r="F102" i="31"/>
  <c r="G102" i="31"/>
  <c r="H102" i="31"/>
  <c r="I102" i="31"/>
  <c r="J102" i="31"/>
  <c r="K102" i="31"/>
  <c r="L102" i="31"/>
  <c r="F103" i="31"/>
  <c r="G103" i="31"/>
  <c r="H103" i="31"/>
  <c r="I103" i="31"/>
  <c r="J103" i="31"/>
  <c r="K103" i="31"/>
  <c r="L103" i="31"/>
  <c r="F104" i="31"/>
  <c r="G104" i="31"/>
  <c r="H104" i="31"/>
  <c r="I104" i="31"/>
  <c r="J104" i="31"/>
  <c r="K104" i="31"/>
  <c r="L104" i="31"/>
  <c r="F105" i="31"/>
  <c r="G105" i="31"/>
  <c r="H105" i="31"/>
  <c r="I105" i="31"/>
  <c r="J105" i="31"/>
  <c r="K105" i="31"/>
  <c r="L105" i="31"/>
  <c r="F106" i="31"/>
  <c r="G106" i="31"/>
  <c r="H106" i="31"/>
  <c r="I106" i="31"/>
  <c r="J106" i="31"/>
  <c r="K106" i="31"/>
  <c r="L106" i="31"/>
  <c r="F107" i="31"/>
  <c r="G107" i="31"/>
  <c r="H107" i="31"/>
  <c r="I107" i="31"/>
  <c r="J107" i="31"/>
  <c r="K107" i="31"/>
  <c r="L107" i="31"/>
  <c r="F108" i="31"/>
  <c r="G108" i="31"/>
  <c r="H108" i="31"/>
  <c r="I108" i="31"/>
  <c r="J108" i="31"/>
  <c r="K108" i="31"/>
  <c r="L108" i="31"/>
  <c r="F109" i="31"/>
  <c r="G109" i="31"/>
  <c r="H109" i="31"/>
  <c r="I109" i="31"/>
  <c r="J109" i="31"/>
  <c r="K109" i="31"/>
  <c r="L109" i="31"/>
  <c r="F110" i="31"/>
  <c r="G110" i="31"/>
  <c r="H110" i="31"/>
  <c r="I110" i="31"/>
  <c r="J110" i="31"/>
  <c r="K110" i="31"/>
  <c r="L110" i="31"/>
  <c r="F96" i="31"/>
  <c r="G96" i="31"/>
  <c r="H96" i="31"/>
  <c r="I96" i="31"/>
  <c r="J96" i="31"/>
  <c r="K96" i="31"/>
  <c r="L96" i="31"/>
  <c r="F97" i="31"/>
  <c r="G97" i="31"/>
  <c r="H97" i="31"/>
  <c r="I97" i="31"/>
  <c r="J97" i="31"/>
  <c r="K97" i="31"/>
  <c r="L97" i="31"/>
  <c r="F98" i="31"/>
  <c r="G98" i="31"/>
  <c r="H98" i="31"/>
  <c r="I98" i="31"/>
  <c r="J98" i="31"/>
  <c r="K98" i="31"/>
  <c r="L98" i="31"/>
  <c r="F99" i="31"/>
  <c r="G99" i="31"/>
  <c r="H99" i="31"/>
  <c r="I99" i="31"/>
  <c r="J99" i="31"/>
  <c r="K99" i="31"/>
  <c r="L99" i="31"/>
  <c r="F100" i="31"/>
  <c r="G100" i="31"/>
  <c r="H100" i="31"/>
  <c r="I100" i="31"/>
  <c r="J100" i="31"/>
  <c r="K100" i="31"/>
  <c r="L100" i="31"/>
  <c r="F22" i="31"/>
  <c r="G22" i="31"/>
  <c r="H22" i="31"/>
  <c r="I22" i="31"/>
  <c r="J22" i="31"/>
  <c r="K22" i="31"/>
  <c r="L22" i="31"/>
  <c r="F23" i="31"/>
  <c r="G23" i="31"/>
  <c r="H23" i="31"/>
  <c r="I23" i="31"/>
  <c r="J23" i="31"/>
  <c r="K23" i="31"/>
  <c r="L23" i="31"/>
  <c r="F24" i="31"/>
  <c r="G24" i="31"/>
  <c r="H24" i="31"/>
  <c r="I24" i="31"/>
  <c r="J24" i="31"/>
  <c r="K24" i="31"/>
  <c r="L24" i="31"/>
  <c r="F25" i="31"/>
  <c r="G25" i="31"/>
  <c r="H25" i="31"/>
  <c r="I25" i="31"/>
  <c r="J25" i="31"/>
  <c r="K25" i="31"/>
  <c r="L25" i="31"/>
  <c r="F26" i="31"/>
  <c r="G26" i="31"/>
  <c r="H26" i="31"/>
  <c r="I26" i="31"/>
  <c r="J26" i="31"/>
  <c r="K26" i="31"/>
  <c r="L26" i="31"/>
  <c r="F27" i="31"/>
  <c r="G27" i="31"/>
  <c r="H27" i="31"/>
  <c r="I27" i="31"/>
  <c r="J27" i="31"/>
  <c r="K27" i="31"/>
  <c r="L27" i="31"/>
  <c r="F28" i="31"/>
  <c r="G28" i="31"/>
  <c r="H28" i="31"/>
  <c r="I28" i="31"/>
  <c r="J28" i="31"/>
  <c r="K28" i="31"/>
  <c r="L28" i="31"/>
  <c r="F12" i="31"/>
  <c r="G12" i="31"/>
  <c r="H12" i="31"/>
  <c r="I12" i="31"/>
  <c r="J12" i="31"/>
  <c r="K12" i="31"/>
  <c r="L12" i="31"/>
  <c r="F13" i="31"/>
  <c r="G13" i="31"/>
  <c r="H13" i="31"/>
  <c r="I13" i="31"/>
  <c r="J13" i="31"/>
  <c r="K13" i="31"/>
  <c r="L13" i="31"/>
  <c r="F14" i="31"/>
  <c r="G14" i="31"/>
  <c r="H14" i="31"/>
  <c r="I14" i="31"/>
  <c r="J14" i="31"/>
  <c r="K14" i="31"/>
  <c r="L14" i="31"/>
  <c r="F15" i="31"/>
  <c r="G15" i="31"/>
  <c r="H15" i="31"/>
  <c r="I15" i="31"/>
  <c r="J15" i="31"/>
  <c r="K15" i="31"/>
  <c r="L15" i="31"/>
  <c r="F16" i="31"/>
  <c r="G16" i="31"/>
  <c r="H16" i="31"/>
  <c r="I16" i="31"/>
  <c r="J16" i="31"/>
  <c r="K16" i="31"/>
  <c r="L16" i="31"/>
  <c r="F17" i="31"/>
  <c r="G17" i="31"/>
  <c r="H17" i="31"/>
  <c r="I17" i="31"/>
  <c r="J17" i="31"/>
  <c r="K17" i="31"/>
  <c r="L17" i="31"/>
  <c r="F18" i="31"/>
  <c r="G18" i="31"/>
  <c r="H18" i="31"/>
  <c r="I18" i="31"/>
  <c r="J18" i="31"/>
  <c r="K18" i="31"/>
  <c r="L18" i="31"/>
  <c r="F19" i="31"/>
  <c r="G19" i="31"/>
  <c r="H19" i="31"/>
  <c r="I19" i="31"/>
  <c r="J19" i="31"/>
  <c r="K19" i="31"/>
  <c r="L19" i="31"/>
  <c r="F20" i="31"/>
  <c r="G20" i="31"/>
  <c r="H20" i="31"/>
  <c r="I20" i="31"/>
  <c r="J20" i="31"/>
  <c r="K20" i="31"/>
  <c r="L20" i="31"/>
  <c r="F21" i="31"/>
  <c r="G21" i="31"/>
  <c r="H21" i="31"/>
  <c r="I21" i="31"/>
  <c r="J21" i="31"/>
  <c r="K21" i="31"/>
  <c r="L21" i="31"/>
  <c r="F7" i="31"/>
  <c r="G7" i="31"/>
  <c r="H7" i="31"/>
  <c r="I7" i="31"/>
  <c r="J7" i="31"/>
  <c r="K7" i="31"/>
  <c r="L7" i="31"/>
  <c r="F8" i="31"/>
  <c r="G8" i="31"/>
  <c r="H8" i="31"/>
  <c r="I8" i="31"/>
  <c r="J8" i="31"/>
  <c r="K8" i="31"/>
  <c r="L8" i="31"/>
  <c r="F9" i="31"/>
  <c r="G9" i="31"/>
  <c r="H9" i="31"/>
  <c r="I9" i="31"/>
  <c r="J9" i="31"/>
  <c r="K9" i="31"/>
  <c r="L9" i="31"/>
  <c r="F10" i="31"/>
  <c r="G10" i="31"/>
  <c r="H10" i="31"/>
  <c r="I10" i="31"/>
  <c r="J10" i="31"/>
  <c r="K10" i="31"/>
  <c r="L10" i="31"/>
  <c r="F11" i="31"/>
  <c r="G11" i="31"/>
  <c r="H11" i="31"/>
  <c r="I11" i="31"/>
  <c r="J11" i="31"/>
  <c r="K11" i="31"/>
  <c r="L11" i="31"/>
  <c r="L521" i="35"/>
  <c r="E532" i="35"/>
  <c r="F532" i="35"/>
  <c r="G532" i="35"/>
  <c r="H532" i="35"/>
  <c r="I532" i="35"/>
  <c r="J532" i="35"/>
  <c r="K532" i="35"/>
  <c r="E533" i="35"/>
  <c r="F533" i="35"/>
  <c r="G533" i="35"/>
  <c r="H533" i="35"/>
  <c r="I533" i="35"/>
  <c r="J533" i="35"/>
  <c r="K533" i="35"/>
  <c r="E534" i="35"/>
  <c r="F534" i="35"/>
  <c r="G534" i="35"/>
  <c r="H534" i="35"/>
  <c r="I534" i="35"/>
  <c r="J534" i="35"/>
  <c r="K534" i="35"/>
  <c r="E535" i="35"/>
  <c r="F535" i="35"/>
  <c r="G535" i="35"/>
  <c r="H535" i="35"/>
  <c r="I535" i="35"/>
  <c r="J535" i="35"/>
  <c r="K535" i="35"/>
  <c r="E536" i="35"/>
  <c r="F536" i="35"/>
  <c r="G536" i="35"/>
  <c r="H536" i="35"/>
  <c r="I536" i="35"/>
  <c r="J536" i="35"/>
  <c r="K536" i="35"/>
  <c r="E537" i="35"/>
  <c r="F537" i="35"/>
  <c r="G537" i="35"/>
  <c r="H537" i="35"/>
  <c r="I537" i="35"/>
  <c r="J537" i="35"/>
  <c r="K537" i="35"/>
  <c r="E538" i="35"/>
  <c r="F538" i="35"/>
  <c r="G538" i="35"/>
  <c r="H538" i="35"/>
  <c r="I538" i="35"/>
  <c r="J538" i="35"/>
  <c r="K538" i="35"/>
  <c r="E539" i="35"/>
  <c r="F539" i="35"/>
  <c r="G539" i="35"/>
  <c r="H539" i="35"/>
  <c r="I539" i="35"/>
  <c r="J539" i="35"/>
  <c r="K539" i="35"/>
  <c r="E540" i="35"/>
  <c r="F540" i="35"/>
  <c r="G540" i="35"/>
  <c r="H540" i="35"/>
  <c r="I540" i="35"/>
  <c r="J540" i="35"/>
  <c r="K540" i="35"/>
  <c r="L520" i="35"/>
  <c r="L522" i="35"/>
  <c r="L505" i="35"/>
  <c r="L506" i="35"/>
  <c r="L507" i="35"/>
  <c r="K480" i="35"/>
  <c r="E477" i="35"/>
  <c r="F477" i="35"/>
  <c r="G477" i="35"/>
  <c r="H477" i="35"/>
  <c r="I477" i="35"/>
  <c r="J477" i="35"/>
  <c r="K477" i="35"/>
  <c r="E478" i="35"/>
  <c r="F478" i="35"/>
  <c r="G478" i="35"/>
  <c r="H478" i="35"/>
  <c r="I478" i="35"/>
  <c r="J478" i="35"/>
  <c r="K478" i="35"/>
  <c r="E479" i="35"/>
  <c r="F479" i="35"/>
  <c r="G479" i="35"/>
  <c r="H479" i="35"/>
  <c r="I479" i="35"/>
  <c r="J479" i="35"/>
  <c r="K479" i="35"/>
  <c r="E480" i="35"/>
  <c r="F480" i="35"/>
  <c r="G480" i="35"/>
  <c r="H480" i="35"/>
  <c r="I480" i="35"/>
  <c r="J480" i="35"/>
  <c r="L467" i="35"/>
  <c r="L468" i="35"/>
  <c r="L457" i="35"/>
  <c r="L458" i="35"/>
  <c r="K427" i="35"/>
  <c r="J342" i="35"/>
  <c r="E335" i="35"/>
  <c r="F335" i="35"/>
  <c r="G335" i="35"/>
  <c r="H335" i="35"/>
  <c r="I335" i="35"/>
  <c r="J335" i="35"/>
  <c r="K335" i="35"/>
  <c r="E336" i="35"/>
  <c r="F336" i="35"/>
  <c r="G336" i="35"/>
  <c r="H336" i="35"/>
  <c r="I336" i="35"/>
  <c r="J336" i="35"/>
  <c r="K336" i="35"/>
  <c r="E337" i="35"/>
  <c r="F337" i="35"/>
  <c r="G337" i="35"/>
  <c r="H337" i="35"/>
  <c r="I337" i="35"/>
  <c r="J337" i="35"/>
  <c r="K337" i="35"/>
  <c r="E338" i="35"/>
  <c r="F338" i="35"/>
  <c r="G338" i="35"/>
  <c r="H338" i="35"/>
  <c r="I338" i="35"/>
  <c r="J338" i="35"/>
  <c r="K338" i="35"/>
  <c r="E339" i="35"/>
  <c r="F339" i="35"/>
  <c r="G339" i="35"/>
  <c r="H339" i="35"/>
  <c r="I339" i="35"/>
  <c r="J339" i="35"/>
  <c r="K339" i="35"/>
  <c r="E340" i="35"/>
  <c r="F340" i="35"/>
  <c r="G340" i="35"/>
  <c r="H340" i="35"/>
  <c r="I340" i="35"/>
  <c r="J340" i="35"/>
  <c r="K340" i="35"/>
  <c r="E341" i="35"/>
  <c r="F341" i="35"/>
  <c r="G341" i="35"/>
  <c r="H341" i="35"/>
  <c r="I341" i="35"/>
  <c r="J341" i="35"/>
  <c r="K341" i="35"/>
  <c r="E342" i="35"/>
  <c r="F342" i="35"/>
  <c r="G342" i="35"/>
  <c r="H342" i="35"/>
  <c r="I342" i="35"/>
  <c r="K342" i="35"/>
  <c r="L322" i="35"/>
  <c r="L323" i="35"/>
  <c r="L324" i="35"/>
  <c r="L307" i="35"/>
  <c r="L308" i="35"/>
  <c r="L309" i="35"/>
  <c r="I282" i="35"/>
  <c r="E281" i="35"/>
  <c r="F281" i="35"/>
  <c r="G281" i="35"/>
  <c r="H281" i="35"/>
  <c r="I281" i="35"/>
  <c r="J281" i="35"/>
  <c r="K281" i="35"/>
  <c r="E282" i="35"/>
  <c r="F282" i="35"/>
  <c r="G282" i="35"/>
  <c r="H282" i="35"/>
  <c r="J282" i="35"/>
  <c r="K282" i="35"/>
  <c r="E279" i="35"/>
  <c r="F279" i="35"/>
  <c r="G279" i="35"/>
  <c r="H279" i="35"/>
  <c r="I279" i="35"/>
  <c r="J279" i="35"/>
  <c r="K279" i="35"/>
  <c r="E280" i="35"/>
  <c r="F280" i="35"/>
  <c r="G280" i="35"/>
  <c r="H280" i="35"/>
  <c r="I280" i="35"/>
  <c r="J280" i="35"/>
  <c r="K280" i="35"/>
  <c r="E273" i="35"/>
  <c r="L269" i="35"/>
  <c r="L270" i="35"/>
  <c r="L259" i="35"/>
  <c r="L260" i="35"/>
  <c r="R450" i="35"/>
  <c r="S450" i="35"/>
  <c r="T450" i="35"/>
  <c r="U450" i="35"/>
  <c r="V450" i="35"/>
  <c r="W450" i="35"/>
  <c r="X450" i="35"/>
  <c r="R451" i="35"/>
  <c r="S451" i="35"/>
  <c r="T451" i="35"/>
  <c r="U451" i="35"/>
  <c r="V451" i="35"/>
  <c r="W451" i="35"/>
  <c r="X451" i="35"/>
  <c r="R452" i="35"/>
  <c r="S452" i="35"/>
  <c r="T452" i="35"/>
  <c r="U452" i="35"/>
  <c r="V452" i="35"/>
  <c r="W452" i="35"/>
  <c r="X452" i="35"/>
  <c r="R453" i="35"/>
  <c r="S453" i="35"/>
  <c r="T453" i="35"/>
  <c r="U453" i="35"/>
  <c r="V453" i="35"/>
  <c r="W453" i="35"/>
  <c r="X453" i="35"/>
  <c r="R454" i="35"/>
  <c r="S454" i="35"/>
  <c r="T454" i="35"/>
  <c r="U454" i="35"/>
  <c r="V454" i="35"/>
  <c r="W454" i="35"/>
  <c r="X454" i="35"/>
  <c r="R455" i="35"/>
  <c r="S455" i="35"/>
  <c r="T455" i="35"/>
  <c r="U455" i="35"/>
  <c r="V455" i="35"/>
  <c r="W455" i="35"/>
  <c r="X455" i="35"/>
  <c r="R456" i="35"/>
  <c r="S456" i="35"/>
  <c r="T456" i="35"/>
  <c r="U456" i="35"/>
  <c r="V456" i="35"/>
  <c r="W456" i="35"/>
  <c r="X456" i="35"/>
  <c r="R457" i="35"/>
  <c r="S457" i="35"/>
  <c r="T457" i="35"/>
  <c r="U457" i="35"/>
  <c r="V457" i="35"/>
  <c r="W457" i="35"/>
  <c r="X457" i="35"/>
  <c r="R458" i="35"/>
  <c r="S458" i="35"/>
  <c r="T458" i="35"/>
  <c r="U458" i="35"/>
  <c r="V458" i="35"/>
  <c r="W458" i="35"/>
  <c r="X458" i="35"/>
  <c r="R459" i="35"/>
  <c r="S459" i="35"/>
  <c r="T459" i="35"/>
  <c r="U459" i="35"/>
  <c r="V459" i="35"/>
  <c r="W459" i="35"/>
  <c r="X459" i="35"/>
  <c r="X449" i="35"/>
  <c r="R252" i="35"/>
  <c r="S252" i="35"/>
  <c r="T252" i="35"/>
  <c r="U252" i="35"/>
  <c r="V252" i="35"/>
  <c r="W252" i="35"/>
  <c r="X252" i="35"/>
  <c r="R253" i="35"/>
  <c r="S253" i="35"/>
  <c r="T253" i="35"/>
  <c r="U253" i="35"/>
  <c r="V253" i="35"/>
  <c r="W253" i="35"/>
  <c r="X253" i="35"/>
  <c r="R254" i="35"/>
  <c r="S254" i="35"/>
  <c r="T254" i="35"/>
  <c r="U254" i="35"/>
  <c r="V254" i="35"/>
  <c r="W254" i="35"/>
  <c r="X254" i="35"/>
  <c r="R255" i="35"/>
  <c r="S255" i="35"/>
  <c r="T255" i="35"/>
  <c r="U255" i="35"/>
  <c r="V255" i="35"/>
  <c r="W255" i="35"/>
  <c r="X255" i="35"/>
  <c r="R256" i="35"/>
  <c r="S256" i="35"/>
  <c r="T256" i="35"/>
  <c r="U256" i="35"/>
  <c r="V256" i="35"/>
  <c r="W256" i="35"/>
  <c r="X256" i="35"/>
  <c r="R257" i="35"/>
  <c r="S257" i="35"/>
  <c r="T257" i="35"/>
  <c r="U257" i="35"/>
  <c r="V257" i="35"/>
  <c r="W257" i="35"/>
  <c r="X257" i="35"/>
  <c r="R258" i="35"/>
  <c r="S258" i="35"/>
  <c r="T258" i="35"/>
  <c r="U258" i="35"/>
  <c r="V258" i="35"/>
  <c r="W258" i="35"/>
  <c r="X258" i="35"/>
  <c r="R259" i="35"/>
  <c r="S259" i="35"/>
  <c r="T259" i="35"/>
  <c r="U259" i="35"/>
  <c r="V259" i="35"/>
  <c r="W259" i="35"/>
  <c r="X259" i="35"/>
  <c r="R260" i="35"/>
  <c r="S260" i="35"/>
  <c r="G145" i="31" s="1"/>
  <c r="T260" i="35"/>
  <c r="U260" i="35"/>
  <c r="V260" i="35"/>
  <c r="W260" i="35"/>
  <c r="X260" i="35"/>
  <c r="R261" i="35"/>
  <c r="S261" i="35"/>
  <c r="T261" i="35"/>
  <c r="H146" i="31" s="1"/>
  <c r="U261" i="35"/>
  <c r="V261" i="35"/>
  <c r="W261" i="35"/>
  <c r="X261" i="35"/>
  <c r="R247" i="35"/>
  <c r="S247" i="35"/>
  <c r="T247" i="35"/>
  <c r="U247" i="35"/>
  <c r="I132" i="31" s="1"/>
  <c r="V247" i="35"/>
  <c r="W247" i="35"/>
  <c r="X247" i="35"/>
  <c r="R248" i="35"/>
  <c r="S248" i="35"/>
  <c r="T248" i="35"/>
  <c r="U248" i="35"/>
  <c r="V248" i="35"/>
  <c r="J133" i="31" s="1"/>
  <c r="W248" i="35"/>
  <c r="X248" i="35"/>
  <c r="R249" i="35"/>
  <c r="S249" i="35"/>
  <c r="T249" i="35"/>
  <c r="U249" i="35"/>
  <c r="V249" i="35"/>
  <c r="W249" i="35"/>
  <c r="K134" i="31" s="1"/>
  <c r="X249" i="35"/>
  <c r="R250" i="35"/>
  <c r="S250" i="35"/>
  <c r="T250" i="35"/>
  <c r="U250" i="35"/>
  <c r="V250" i="35"/>
  <c r="W250" i="35"/>
  <c r="X250" i="35"/>
  <c r="L135" i="31" s="1"/>
  <c r="R251" i="35"/>
  <c r="S251" i="35"/>
  <c r="T251" i="35"/>
  <c r="U251" i="35"/>
  <c r="V251" i="35"/>
  <c r="W251" i="35"/>
  <c r="X251" i="35"/>
  <c r="E620" i="35"/>
  <c r="F620" i="35"/>
  <c r="G620" i="35"/>
  <c r="H620" i="35"/>
  <c r="I620" i="35"/>
  <c r="J620" i="35"/>
  <c r="K620" i="35"/>
  <c r="E621" i="35"/>
  <c r="F621" i="35"/>
  <c r="G621" i="35"/>
  <c r="H621" i="35"/>
  <c r="I621" i="35"/>
  <c r="J621" i="35"/>
  <c r="K621" i="35"/>
  <c r="E622" i="35"/>
  <c r="F622" i="35"/>
  <c r="G622" i="35"/>
  <c r="H622" i="35"/>
  <c r="I622" i="35"/>
  <c r="J622" i="35"/>
  <c r="K622" i="35"/>
  <c r="E623" i="35"/>
  <c r="F623" i="35"/>
  <c r="G623" i="35"/>
  <c r="H623" i="35"/>
  <c r="I623" i="35"/>
  <c r="J623" i="35"/>
  <c r="K623" i="35"/>
  <c r="E624" i="35"/>
  <c r="F624" i="35"/>
  <c r="G624" i="35"/>
  <c r="H624" i="35"/>
  <c r="I624" i="35"/>
  <c r="J624" i="35"/>
  <c r="K624" i="35"/>
  <c r="E625" i="35"/>
  <c r="F625" i="35"/>
  <c r="G625" i="35"/>
  <c r="H625" i="35"/>
  <c r="I625" i="35"/>
  <c r="J625" i="35"/>
  <c r="K625" i="35"/>
  <c r="K619" i="35"/>
  <c r="J619" i="35"/>
  <c r="I619" i="35"/>
  <c r="H619" i="35"/>
  <c r="G619" i="35"/>
  <c r="F619" i="35"/>
  <c r="E619" i="35"/>
  <c r="J438" i="35"/>
  <c r="E422" i="35"/>
  <c r="F422" i="35"/>
  <c r="G422" i="35"/>
  <c r="H422" i="35"/>
  <c r="I422" i="35"/>
  <c r="J422" i="35"/>
  <c r="K422" i="35"/>
  <c r="E423" i="35"/>
  <c r="F423" i="35"/>
  <c r="G423" i="35"/>
  <c r="H423" i="35"/>
  <c r="I423" i="35"/>
  <c r="J423" i="35"/>
  <c r="K423" i="35"/>
  <c r="E424" i="35"/>
  <c r="F424" i="35"/>
  <c r="G424" i="35"/>
  <c r="H424" i="35"/>
  <c r="I424" i="35"/>
  <c r="J424" i="35"/>
  <c r="K424" i="35"/>
  <c r="E425" i="35"/>
  <c r="F425" i="35"/>
  <c r="G425" i="35"/>
  <c r="H425" i="35"/>
  <c r="I425" i="35"/>
  <c r="J425" i="35"/>
  <c r="K425" i="35"/>
  <c r="E426" i="35"/>
  <c r="F426" i="35"/>
  <c r="G426" i="35"/>
  <c r="H426" i="35"/>
  <c r="I426" i="35"/>
  <c r="J426" i="35"/>
  <c r="K426" i="35"/>
  <c r="E427" i="35"/>
  <c r="F427" i="35"/>
  <c r="G427" i="35"/>
  <c r="H427" i="35"/>
  <c r="I427" i="35"/>
  <c r="J427" i="35"/>
  <c r="E437" i="35"/>
  <c r="F437" i="35"/>
  <c r="G437" i="35"/>
  <c r="H437" i="35"/>
  <c r="I437" i="35"/>
  <c r="J437" i="35"/>
  <c r="K437" i="35"/>
  <c r="E438" i="35"/>
  <c r="F438" i="35"/>
  <c r="G438" i="35"/>
  <c r="H438" i="35"/>
  <c r="I438" i="35"/>
  <c r="K438" i="35"/>
  <c r="K421" i="35"/>
  <c r="E421" i="35"/>
  <c r="F421" i="35"/>
  <c r="G421" i="35"/>
  <c r="H421" i="35"/>
  <c r="I421" i="35"/>
  <c r="J421" i="35"/>
  <c r="J613" i="35"/>
  <c r="I613" i="35"/>
  <c r="H613" i="35"/>
  <c r="G613" i="35"/>
  <c r="F613" i="35"/>
  <c r="A612" i="35"/>
  <c r="A611" i="35"/>
  <c r="A601" i="35"/>
  <c r="L600" i="35"/>
  <c r="A600" i="35"/>
  <c r="L599" i="35"/>
  <c r="A599" i="35"/>
  <c r="L598" i="35"/>
  <c r="A598" i="35"/>
  <c r="L597" i="35"/>
  <c r="A597" i="35"/>
  <c r="L596" i="35"/>
  <c r="A596" i="35"/>
  <c r="L595" i="35"/>
  <c r="A595" i="35"/>
  <c r="J589" i="35"/>
  <c r="I589" i="35"/>
  <c r="H589" i="35"/>
  <c r="G589" i="35"/>
  <c r="F589" i="35"/>
  <c r="A588" i="35"/>
  <c r="A587" i="35"/>
  <c r="L577" i="35"/>
  <c r="A577" i="35"/>
  <c r="L576" i="35"/>
  <c r="A576" i="35"/>
  <c r="L575" i="35"/>
  <c r="A575" i="35"/>
  <c r="L574" i="35"/>
  <c r="A574" i="35"/>
  <c r="L573" i="35"/>
  <c r="A573" i="35"/>
  <c r="L572" i="35"/>
  <c r="A572" i="35"/>
  <c r="L571" i="35"/>
  <c r="A571" i="35"/>
  <c r="J565" i="35"/>
  <c r="I565" i="35"/>
  <c r="H565" i="35"/>
  <c r="G565" i="35"/>
  <c r="F565" i="35"/>
  <c r="K531" i="35"/>
  <c r="J531" i="35"/>
  <c r="I531" i="35"/>
  <c r="H531" i="35"/>
  <c r="G531" i="35"/>
  <c r="F531" i="35"/>
  <c r="E531" i="35"/>
  <c r="K526" i="35"/>
  <c r="J526" i="35"/>
  <c r="I526" i="35"/>
  <c r="H526" i="35"/>
  <c r="G526" i="35"/>
  <c r="F526" i="35"/>
  <c r="E526" i="35"/>
  <c r="L525" i="35"/>
  <c r="A525" i="35"/>
  <c r="L524" i="35"/>
  <c r="A524" i="35"/>
  <c r="L523" i="35"/>
  <c r="A523" i="35"/>
  <c r="L519" i="35"/>
  <c r="A519" i="35"/>
  <c r="L518" i="35"/>
  <c r="A518" i="35"/>
  <c r="L517" i="35"/>
  <c r="A517" i="35"/>
  <c r="L516" i="35"/>
  <c r="A516" i="35"/>
  <c r="K511" i="35"/>
  <c r="J511" i="35"/>
  <c r="I511" i="35"/>
  <c r="H511" i="35"/>
  <c r="G511" i="35"/>
  <c r="E511" i="35"/>
  <c r="L510" i="35"/>
  <c r="A510" i="35"/>
  <c r="L509" i="35"/>
  <c r="A509" i="35"/>
  <c r="L508" i="35"/>
  <c r="A508" i="35"/>
  <c r="L504" i="35"/>
  <c r="A504" i="35"/>
  <c r="L503" i="35"/>
  <c r="A503" i="35"/>
  <c r="L502" i="35"/>
  <c r="A502" i="35"/>
  <c r="L501" i="35"/>
  <c r="A501" i="35"/>
  <c r="K496" i="35"/>
  <c r="J496" i="35"/>
  <c r="I496" i="35"/>
  <c r="H496" i="35"/>
  <c r="G496" i="35"/>
  <c r="F496" i="35"/>
  <c r="E496" i="35"/>
  <c r="K476" i="35"/>
  <c r="J476" i="35"/>
  <c r="I476" i="35"/>
  <c r="H476" i="35"/>
  <c r="G476" i="35"/>
  <c r="F476" i="35"/>
  <c r="E476" i="35"/>
  <c r="K471" i="35"/>
  <c r="J471" i="35"/>
  <c r="I471" i="35"/>
  <c r="H471" i="35"/>
  <c r="G471" i="35"/>
  <c r="F471" i="35"/>
  <c r="E471" i="35"/>
  <c r="L470" i="35"/>
  <c r="L469" i="35"/>
  <c r="L466" i="35"/>
  <c r="K461" i="35"/>
  <c r="J461" i="35"/>
  <c r="I461" i="35"/>
  <c r="H461" i="35"/>
  <c r="G461" i="35"/>
  <c r="F461" i="35"/>
  <c r="E461" i="35"/>
  <c r="L460" i="35"/>
  <c r="A460" i="35"/>
  <c r="L459" i="35"/>
  <c r="A459" i="35"/>
  <c r="L456" i="35"/>
  <c r="A456" i="35"/>
  <c r="K451" i="35"/>
  <c r="J451" i="35"/>
  <c r="I451" i="35"/>
  <c r="H451" i="35"/>
  <c r="G451" i="35"/>
  <c r="F451" i="35"/>
  <c r="E451" i="35"/>
  <c r="W449" i="35"/>
  <c r="V449" i="35"/>
  <c r="U449" i="35"/>
  <c r="T449" i="35"/>
  <c r="S449" i="35"/>
  <c r="R449" i="35"/>
  <c r="X448" i="35"/>
  <c r="W448" i="35"/>
  <c r="V448" i="35"/>
  <c r="U448" i="35"/>
  <c r="T448" i="35"/>
  <c r="S448" i="35"/>
  <c r="R448" i="35"/>
  <c r="X447" i="35"/>
  <c r="W447" i="35"/>
  <c r="V447" i="35"/>
  <c r="U447" i="35"/>
  <c r="T447" i="35"/>
  <c r="S447" i="35"/>
  <c r="R447" i="35"/>
  <c r="X446" i="35"/>
  <c r="W446" i="35"/>
  <c r="V446" i="35"/>
  <c r="U446" i="35"/>
  <c r="T446" i="35"/>
  <c r="S446" i="35"/>
  <c r="R446" i="35"/>
  <c r="X445" i="35"/>
  <c r="W445" i="35"/>
  <c r="V445" i="35"/>
  <c r="U445" i="35"/>
  <c r="T445" i="35"/>
  <c r="S445" i="35"/>
  <c r="R445" i="35"/>
  <c r="J415" i="35"/>
  <c r="I415" i="35"/>
  <c r="H415" i="35"/>
  <c r="G415" i="35"/>
  <c r="F415" i="35"/>
  <c r="E415" i="35"/>
  <c r="A414" i="35"/>
  <c r="A413" i="35"/>
  <c r="L403" i="35"/>
  <c r="A403" i="35"/>
  <c r="L402" i="35"/>
  <c r="A402" i="35"/>
  <c r="L401" i="35"/>
  <c r="A401" i="35"/>
  <c r="L400" i="35"/>
  <c r="A400" i="35"/>
  <c r="L399" i="35"/>
  <c r="A399" i="35"/>
  <c r="L398" i="35"/>
  <c r="A398" i="35"/>
  <c r="L397" i="35"/>
  <c r="A397" i="35"/>
  <c r="K328" i="35"/>
  <c r="J328" i="35"/>
  <c r="I328" i="35"/>
  <c r="H328" i="35"/>
  <c r="G328" i="35"/>
  <c r="F328" i="35"/>
  <c r="E328" i="35"/>
  <c r="L327" i="35"/>
  <c r="A327" i="35"/>
  <c r="L326" i="35"/>
  <c r="A326" i="35"/>
  <c r="L325" i="35"/>
  <c r="A325" i="35"/>
  <c r="L321" i="35"/>
  <c r="A321" i="35"/>
  <c r="L320" i="35"/>
  <c r="A320" i="35"/>
  <c r="L319" i="35"/>
  <c r="A319" i="35"/>
  <c r="L318" i="35"/>
  <c r="A318" i="35"/>
  <c r="K273" i="35"/>
  <c r="J273" i="35"/>
  <c r="I273" i="35"/>
  <c r="H273" i="35"/>
  <c r="G273" i="35"/>
  <c r="F273" i="35"/>
  <c r="L272" i="35"/>
  <c r="L271" i="35"/>
  <c r="L268" i="35"/>
  <c r="R55" i="35"/>
  <c r="S55" i="35"/>
  <c r="T55" i="35"/>
  <c r="U55" i="35"/>
  <c r="V55" i="35"/>
  <c r="W55" i="35"/>
  <c r="X55" i="35"/>
  <c r="R56" i="35"/>
  <c r="S56" i="35"/>
  <c r="T56" i="35"/>
  <c r="U56" i="35"/>
  <c r="V56" i="35"/>
  <c r="W56" i="35"/>
  <c r="X56" i="35"/>
  <c r="R57" i="35"/>
  <c r="S57" i="35"/>
  <c r="T57" i="35"/>
  <c r="U57" i="35"/>
  <c r="V57" i="35"/>
  <c r="W57" i="35"/>
  <c r="X57" i="35"/>
  <c r="R58" i="35"/>
  <c r="S58" i="35"/>
  <c r="T58" i="35"/>
  <c r="U58" i="35"/>
  <c r="V58" i="35"/>
  <c r="W58" i="35"/>
  <c r="X58" i="35"/>
  <c r="R59" i="35"/>
  <c r="F53" i="31" s="1"/>
  <c r="S59" i="35"/>
  <c r="T59" i="35"/>
  <c r="U59" i="35"/>
  <c r="V59" i="35"/>
  <c r="W59" i="35"/>
  <c r="X59" i="35"/>
  <c r="R60" i="35"/>
  <c r="S60" i="35"/>
  <c r="G54" i="31" s="1"/>
  <c r="T60" i="35"/>
  <c r="U60" i="35"/>
  <c r="V60" i="35"/>
  <c r="W60" i="35"/>
  <c r="X60" i="35"/>
  <c r="R61" i="35"/>
  <c r="S61" i="35"/>
  <c r="T61" i="35"/>
  <c r="H55" i="31" s="1"/>
  <c r="U61" i="35"/>
  <c r="V61" i="35"/>
  <c r="W61" i="35"/>
  <c r="X61" i="35"/>
  <c r="R62" i="35"/>
  <c r="S62" i="35"/>
  <c r="T62" i="35"/>
  <c r="U62" i="35"/>
  <c r="V62" i="35"/>
  <c r="J56" i="31" s="1"/>
  <c r="W62" i="35"/>
  <c r="X62" i="35"/>
  <c r="R63" i="35"/>
  <c r="S63" i="35"/>
  <c r="T63" i="35"/>
  <c r="U63" i="35"/>
  <c r="V63" i="35"/>
  <c r="W63" i="35"/>
  <c r="K57" i="31" s="1"/>
  <c r="R50" i="35"/>
  <c r="S50" i="35"/>
  <c r="T50" i="35"/>
  <c r="U50" i="35"/>
  <c r="V50" i="35"/>
  <c r="W50" i="35"/>
  <c r="X50" i="35"/>
  <c r="L44" i="31" s="1"/>
  <c r="R51" i="35"/>
  <c r="S51" i="35"/>
  <c r="T51" i="35"/>
  <c r="U51" i="35"/>
  <c r="V51" i="35"/>
  <c r="W51" i="35"/>
  <c r="X51" i="35"/>
  <c r="R52" i="35"/>
  <c r="F46" i="31" s="1"/>
  <c r="S52" i="35"/>
  <c r="T52" i="35"/>
  <c r="U52" i="35"/>
  <c r="V52" i="35"/>
  <c r="W52" i="35"/>
  <c r="X52" i="35"/>
  <c r="R53" i="35"/>
  <c r="S53" i="35"/>
  <c r="G47" i="31" s="1"/>
  <c r="T53" i="35"/>
  <c r="U53" i="35"/>
  <c r="V53" i="35"/>
  <c r="W53" i="35"/>
  <c r="X53" i="35"/>
  <c r="K217" i="35"/>
  <c r="J217" i="35"/>
  <c r="I217" i="35"/>
  <c r="H217" i="35"/>
  <c r="F217" i="35"/>
  <c r="E217" i="35"/>
  <c r="L205" i="35"/>
  <c r="L204" i="35"/>
  <c r="L203" i="35"/>
  <c r="L202" i="35"/>
  <c r="L201" i="35"/>
  <c r="L200" i="35"/>
  <c r="L199" i="35"/>
  <c r="K223" i="35"/>
  <c r="J223" i="35"/>
  <c r="I223" i="35"/>
  <c r="H223" i="35"/>
  <c r="G223" i="35"/>
  <c r="F223" i="35"/>
  <c r="E223" i="35"/>
  <c r="I140" i="35"/>
  <c r="E139" i="35"/>
  <c r="F139" i="35"/>
  <c r="G139" i="35"/>
  <c r="H139" i="35"/>
  <c r="I139" i="35"/>
  <c r="J139" i="35"/>
  <c r="K139" i="35"/>
  <c r="E140" i="35"/>
  <c r="F140" i="35"/>
  <c r="G140" i="35"/>
  <c r="H140" i="35"/>
  <c r="J140" i="35"/>
  <c r="K140" i="35"/>
  <c r="E141" i="35"/>
  <c r="F141" i="35"/>
  <c r="G141" i="35"/>
  <c r="H141" i="35"/>
  <c r="I141" i="35"/>
  <c r="J141" i="35"/>
  <c r="K141" i="35"/>
  <c r="F84" i="35"/>
  <c r="L120" i="35"/>
  <c r="K130" i="35"/>
  <c r="J130" i="35"/>
  <c r="I130" i="35"/>
  <c r="H130" i="35"/>
  <c r="G130" i="35"/>
  <c r="F130" i="35"/>
  <c r="E130" i="35"/>
  <c r="L129" i="35"/>
  <c r="C129" i="35"/>
  <c r="D129" i="35" s="1"/>
  <c r="E21" i="31" s="1"/>
  <c r="L128" i="35"/>
  <c r="L127" i="35"/>
  <c r="L126" i="35"/>
  <c r="L125" i="35"/>
  <c r="L124" i="35"/>
  <c r="L123" i="35"/>
  <c r="L122" i="35"/>
  <c r="L121" i="35"/>
  <c r="Q87" i="35" s="1"/>
  <c r="R87" i="35" s="1"/>
  <c r="L109" i="35"/>
  <c r="L110" i="35"/>
  <c r="L111" i="35"/>
  <c r="G14" i="16"/>
  <c r="E14" i="16"/>
  <c r="C192" i="35" s="1"/>
  <c r="D192" i="35" s="1"/>
  <c r="F12" i="16"/>
  <c r="F11" i="16"/>
  <c r="G11" i="16" s="1"/>
  <c r="E11" i="16"/>
  <c r="D10" i="16"/>
  <c r="F10" i="16" s="1"/>
  <c r="H10" i="16" s="1"/>
  <c r="I10" i="16" s="1"/>
  <c r="F9" i="16"/>
  <c r="H9" i="16" s="1"/>
  <c r="E9" i="16"/>
  <c r="G9" i="16" s="1"/>
  <c r="I9" i="16" s="1"/>
  <c r="I81" i="35"/>
  <c r="E81" i="35"/>
  <c r="R49" i="35"/>
  <c r="S49" i="35"/>
  <c r="T49" i="35"/>
  <c r="U49" i="35"/>
  <c r="V49" i="35"/>
  <c r="W49" i="35"/>
  <c r="X49" i="35"/>
  <c r="Q490" i="35" l="1"/>
  <c r="R490" i="35" s="1"/>
  <c r="P483" i="35"/>
  <c r="P490" i="35"/>
  <c r="Q482" i="35"/>
  <c r="R482" i="35" s="1"/>
  <c r="Q483" i="35"/>
  <c r="R483" i="35" s="1"/>
  <c r="Q92" i="35"/>
  <c r="R92" i="35" s="1"/>
  <c r="Q94" i="35"/>
  <c r="R94" i="35" s="1"/>
  <c r="Q91" i="35"/>
  <c r="R91" i="35" s="1"/>
  <c r="P486" i="35"/>
  <c r="P491" i="35"/>
  <c r="Q288" i="35"/>
  <c r="R288" i="35" s="1"/>
  <c r="Q489" i="35"/>
  <c r="R489" i="35" s="1"/>
  <c r="Q291" i="35"/>
  <c r="R291" i="35" s="1"/>
  <c r="D27" i="35"/>
  <c r="Q95" i="35"/>
  <c r="R95" i="35" s="1"/>
  <c r="Q285" i="35"/>
  <c r="R285" i="35" s="1"/>
  <c r="Q491" i="35"/>
  <c r="R491" i="35" s="1"/>
  <c r="Q292" i="35"/>
  <c r="R292" i="35" s="1"/>
  <c r="C25" i="35"/>
  <c r="D25" i="35"/>
  <c r="C19" i="35"/>
  <c r="P482" i="35"/>
  <c r="D22" i="35"/>
  <c r="C22" i="35"/>
  <c r="Q287" i="35"/>
  <c r="R287" i="35" s="1"/>
  <c r="Q487" i="35"/>
  <c r="R487" i="35" s="1"/>
  <c r="Q484" i="35"/>
  <c r="R484" i="35" s="1"/>
  <c r="Q286" i="35"/>
  <c r="R286" i="35" s="1"/>
  <c r="D24" i="35"/>
  <c r="C24" i="35"/>
  <c r="D19" i="35"/>
  <c r="Q290" i="35"/>
  <c r="R290" i="35" s="1"/>
  <c r="D23" i="35"/>
  <c r="Q289" i="35"/>
  <c r="R289" i="35" s="1"/>
  <c r="C23" i="35"/>
  <c r="D26" i="35"/>
  <c r="P489" i="35"/>
  <c r="C26" i="35"/>
  <c r="Q488" i="35"/>
  <c r="R488" i="35" s="1"/>
  <c r="Q284" i="35"/>
  <c r="R284" i="35" s="1"/>
  <c r="Q293" i="35"/>
  <c r="R293" i="35" s="1"/>
  <c r="Q486" i="35"/>
  <c r="R486" i="35" s="1"/>
  <c r="C27" i="35"/>
  <c r="P485" i="35"/>
  <c r="P488" i="35"/>
  <c r="P484" i="35"/>
  <c r="P487" i="35"/>
  <c r="Q485" i="35"/>
  <c r="R485" i="35" s="1"/>
  <c r="M185" i="31"/>
  <c r="C5" i="35"/>
  <c r="L217" i="35"/>
  <c r="K241" i="35"/>
  <c r="K42" i="35" s="1"/>
  <c r="E241" i="35"/>
  <c r="K34" i="35" s="1"/>
  <c r="L613" i="35"/>
  <c r="G147" i="31"/>
  <c r="E439" i="35"/>
  <c r="H34" i="35" s="1"/>
  <c r="K439" i="35"/>
  <c r="H42" i="35" s="1"/>
  <c r="H637" i="35"/>
  <c r="E39" i="35" s="1"/>
  <c r="L51" i="31"/>
  <c r="K50" i="31"/>
  <c r="J49" i="31"/>
  <c r="C403" i="35"/>
  <c r="D117" i="31" s="1"/>
  <c r="C577" i="35"/>
  <c r="D577" i="35" s="1"/>
  <c r="C588" i="35"/>
  <c r="D588" i="35" s="1"/>
  <c r="H12" i="16"/>
  <c r="C75" i="34"/>
  <c r="C106" i="34"/>
  <c r="C107" i="34"/>
  <c r="C76" i="34"/>
  <c r="C184" i="35"/>
  <c r="D184" i="35" s="1"/>
  <c r="C121" i="35"/>
  <c r="D121" i="35" s="1"/>
  <c r="E13" i="31" s="1"/>
  <c r="C319" i="35"/>
  <c r="D319" i="35" s="1"/>
  <c r="E102" i="31" s="1"/>
  <c r="C366" i="35"/>
  <c r="D366" i="35" s="1"/>
  <c r="Q278" i="35" s="1"/>
  <c r="E163" i="31" s="1"/>
  <c r="C612" i="35"/>
  <c r="F58" i="31"/>
  <c r="L43" i="31"/>
  <c r="C96" i="35"/>
  <c r="D96" i="35" s="1"/>
  <c r="D141" i="35" s="1"/>
  <c r="C495" i="35"/>
  <c r="D495" i="35" s="1"/>
  <c r="Q459" i="35" s="1"/>
  <c r="C510" i="35"/>
  <c r="D510" i="35" s="1"/>
  <c r="C208" i="35"/>
  <c r="C205" i="35"/>
  <c r="D205" i="35" s="1"/>
  <c r="E28" i="31" s="1"/>
  <c r="C604" i="35"/>
  <c r="L143" i="31"/>
  <c r="J141" i="31"/>
  <c r="H139" i="31"/>
  <c r="G138" i="31"/>
  <c r="F137" i="31"/>
  <c r="K142" i="31"/>
  <c r="C111" i="35"/>
  <c r="D111" i="35" s="1"/>
  <c r="C168" i="35"/>
  <c r="D168" i="35" s="1"/>
  <c r="D240" i="35" s="1"/>
  <c r="C406" i="35"/>
  <c r="I140" i="31"/>
  <c r="C492" i="35"/>
  <c r="D492" i="35" s="1"/>
  <c r="Q456" i="35" s="1"/>
  <c r="L238" i="31"/>
  <c r="K239" i="31"/>
  <c r="J240" i="31"/>
  <c r="I241" i="31"/>
  <c r="G242" i="31"/>
  <c r="F243" i="31"/>
  <c r="L245" i="31"/>
  <c r="K246" i="31"/>
  <c r="J247" i="31"/>
  <c r="I248" i="31"/>
  <c r="H249" i="31"/>
  <c r="G250" i="31"/>
  <c r="L252" i="31"/>
  <c r="G148" i="31"/>
  <c r="F149" i="31"/>
  <c r="L151" i="31"/>
  <c r="K152" i="31"/>
  <c r="I153" i="31"/>
  <c r="H154" i="31"/>
  <c r="G155" i="31"/>
  <c r="F156" i="31"/>
  <c r="L158" i="31"/>
  <c r="K159" i="31"/>
  <c r="J160" i="31"/>
  <c r="I161" i="31"/>
  <c r="G162" i="31"/>
  <c r="F163" i="31"/>
  <c r="L61" i="31"/>
  <c r="K62" i="31"/>
  <c r="J63" i="31"/>
  <c r="H64" i="31"/>
  <c r="G65" i="31"/>
  <c r="F66" i="31"/>
  <c r="L68" i="31"/>
  <c r="K69" i="31"/>
  <c r="J70" i="31"/>
  <c r="I71" i="31"/>
  <c r="H72" i="31"/>
  <c r="F73" i="31"/>
  <c r="F150" i="31"/>
  <c r="J153" i="31"/>
  <c r="H155" i="31"/>
  <c r="F157" i="31"/>
  <c r="L159" i="31"/>
  <c r="J161" i="31"/>
  <c r="H162" i="31"/>
  <c r="F60" i="31"/>
  <c r="L239" i="31"/>
  <c r="K240" i="31"/>
  <c r="J241" i="31"/>
  <c r="H242" i="31"/>
  <c r="G243" i="31"/>
  <c r="F244" i="31"/>
  <c r="L246" i="31"/>
  <c r="K247" i="31"/>
  <c r="J248" i="31"/>
  <c r="I249" i="31"/>
  <c r="H250" i="31"/>
  <c r="F251" i="31"/>
  <c r="H148" i="31"/>
  <c r="G149" i="31"/>
  <c r="L152" i="31"/>
  <c r="I154" i="31"/>
  <c r="G156" i="31"/>
  <c r="K160" i="31"/>
  <c r="G163" i="31"/>
  <c r="F238" i="31"/>
  <c r="G238" i="31"/>
  <c r="F239" i="31"/>
  <c r="L241" i="31"/>
  <c r="J242" i="31"/>
  <c r="I243" i="31"/>
  <c r="H244" i="31"/>
  <c r="G245" i="31"/>
  <c r="F246" i="31"/>
  <c r="L248" i="31"/>
  <c r="K249" i="31"/>
  <c r="J250" i="31"/>
  <c r="H251" i="31"/>
  <c r="G252" i="31"/>
  <c r="J148" i="31"/>
  <c r="I149" i="31"/>
  <c r="H150" i="31"/>
  <c r="G151" i="31"/>
  <c r="F152" i="31"/>
  <c r="L153" i="31"/>
  <c r="K154" i="31"/>
  <c r="J155" i="31"/>
  <c r="I156" i="31"/>
  <c r="H157" i="31"/>
  <c r="G158" i="31"/>
  <c r="H239" i="31"/>
  <c r="L240" i="31"/>
  <c r="K242" i="31"/>
  <c r="I245" i="31"/>
  <c r="G248" i="31"/>
  <c r="L249" i="31"/>
  <c r="J251" i="31"/>
  <c r="H149" i="31"/>
  <c r="K150" i="31"/>
  <c r="G152" i="31"/>
  <c r="I155" i="31"/>
  <c r="L156" i="31"/>
  <c r="H158" i="31"/>
  <c r="I159" i="31"/>
  <c r="L160" i="31"/>
  <c r="H163" i="31"/>
  <c r="I60" i="31"/>
  <c r="I61" i="31"/>
  <c r="J62" i="31"/>
  <c r="K63" i="31"/>
  <c r="K64" i="31"/>
  <c r="K65" i="31"/>
  <c r="K66" i="31"/>
  <c r="K67" i="31"/>
  <c r="K68" i="31"/>
  <c r="L69" i="31"/>
  <c r="L70" i="31"/>
  <c r="L71" i="31"/>
  <c r="F162" i="31"/>
  <c r="L64" i="31"/>
  <c r="I239" i="31"/>
  <c r="L242" i="31"/>
  <c r="G244" i="31"/>
  <c r="J245" i="31"/>
  <c r="F247" i="31"/>
  <c r="H248" i="31"/>
  <c r="K251" i="31"/>
  <c r="J149" i="31"/>
  <c r="L150" i="31"/>
  <c r="H152" i="31"/>
  <c r="F154" i="31"/>
  <c r="K155" i="31"/>
  <c r="I158" i="31"/>
  <c r="H238" i="31"/>
  <c r="J239" i="31"/>
  <c r="F241" i="31"/>
  <c r="I244" i="31"/>
  <c r="K245" i="31"/>
  <c r="G247" i="31"/>
  <c r="K248" i="31"/>
  <c r="L251" i="31"/>
  <c r="F148" i="31"/>
  <c r="K149" i="31"/>
  <c r="F151" i="31"/>
  <c r="I152" i="31"/>
  <c r="G154" i="31"/>
  <c r="L155" i="31"/>
  <c r="G157" i="31"/>
  <c r="J158" i="31"/>
  <c r="I162" i="31"/>
  <c r="J163" i="31"/>
  <c r="K60" i="31"/>
  <c r="K61" i="31"/>
  <c r="F74" i="31"/>
  <c r="F72" i="31"/>
  <c r="G73" i="31"/>
  <c r="G68" i="31"/>
  <c r="G72" i="31"/>
  <c r="H74" i="31"/>
  <c r="J73" i="31"/>
  <c r="J150" i="31"/>
  <c r="I160" i="31"/>
  <c r="I63" i="31"/>
  <c r="J68" i="31"/>
  <c r="K73" i="31"/>
  <c r="L73" i="31"/>
  <c r="I163" i="31"/>
  <c r="L66" i="31"/>
  <c r="I238" i="31"/>
  <c r="G241" i="31"/>
  <c r="J244" i="31"/>
  <c r="H247" i="31"/>
  <c r="F250" i="31"/>
  <c r="F252" i="31"/>
  <c r="I148" i="31"/>
  <c r="L149" i="31"/>
  <c r="H151" i="31"/>
  <c r="J152" i="31"/>
  <c r="F153" i="31"/>
  <c r="J154" i="31"/>
  <c r="I157" i="31"/>
  <c r="K158" i="31"/>
  <c r="F161" i="31"/>
  <c r="J162" i="31"/>
  <c r="K163" i="31"/>
  <c r="L60" i="31"/>
  <c r="F67" i="31"/>
  <c r="F68" i="31"/>
  <c r="F69" i="31"/>
  <c r="F70" i="31"/>
  <c r="F71" i="31"/>
  <c r="G74" i="31"/>
  <c r="G69" i="31"/>
  <c r="G71" i="31"/>
  <c r="H73" i="31"/>
  <c r="I73" i="31"/>
  <c r="F155" i="31"/>
  <c r="I62" i="31"/>
  <c r="J65" i="31"/>
  <c r="K71" i="31"/>
  <c r="L72" i="31"/>
  <c r="L62" i="31"/>
  <c r="J238" i="31"/>
  <c r="F240" i="31"/>
  <c r="H241" i="31"/>
  <c r="H243" i="31"/>
  <c r="K244" i="31"/>
  <c r="G246" i="31"/>
  <c r="I247" i="31"/>
  <c r="I250" i="31"/>
  <c r="H252" i="31"/>
  <c r="K148" i="31"/>
  <c r="I151" i="31"/>
  <c r="G153" i="31"/>
  <c r="L154" i="31"/>
  <c r="J157" i="31"/>
  <c r="F160" i="31"/>
  <c r="G161" i="31"/>
  <c r="K162" i="31"/>
  <c r="L163" i="31"/>
  <c r="F62" i="31"/>
  <c r="F63" i="31"/>
  <c r="F64" i="31"/>
  <c r="F65" i="31"/>
  <c r="G66" i="31"/>
  <c r="G67" i="31"/>
  <c r="G70" i="31"/>
  <c r="I74" i="31"/>
  <c r="K252" i="31"/>
  <c r="K156" i="31"/>
  <c r="H60" i="31"/>
  <c r="J67" i="31"/>
  <c r="J60" i="31"/>
  <c r="L67" i="31"/>
  <c r="K238" i="31"/>
  <c r="G240" i="31"/>
  <c r="K241" i="31"/>
  <c r="J243" i="31"/>
  <c r="L244" i="31"/>
  <c r="H246" i="31"/>
  <c r="L247" i="31"/>
  <c r="F249" i="31"/>
  <c r="K250" i="31"/>
  <c r="I252" i="31"/>
  <c r="L148" i="31"/>
  <c r="G150" i="31"/>
  <c r="J151" i="31"/>
  <c r="H153" i="31"/>
  <c r="H156" i="31"/>
  <c r="K157" i="31"/>
  <c r="F159" i="31"/>
  <c r="G160" i="31"/>
  <c r="H161" i="31"/>
  <c r="L162" i="31"/>
  <c r="F61" i="31"/>
  <c r="G62" i="31"/>
  <c r="G63" i="31"/>
  <c r="G64" i="31"/>
  <c r="H65" i="31"/>
  <c r="H66" i="31"/>
  <c r="H67" i="31"/>
  <c r="H68" i="31"/>
  <c r="H69" i="31"/>
  <c r="H70" i="31"/>
  <c r="H71" i="31"/>
  <c r="I72" i="31"/>
  <c r="I251" i="31"/>
  <c r="F158" i="31"/>
  <c r="H61" i="31"/>
  <c r="J66" i="31"/>
  <c r="K72" i="31"/>
  <c r="L63" i="31"/>
  <c r="H240" i="31"/>
  <c r="F242" i="31"/>
  <c r="K243" i="31"/>
  <c r="F245" i="31"/>
  <c r="I246" i="31"/>
  <c r="G249" i="31"/>
  <c r="L250" i="31"/>
  <c r="G251" i="31"/>
  <c r="J252" i="31"/>
  <c r="I150" i="31"/>
  <c r="K151" i="31"/>
  <c r="K153" i="31"/>
  <c r="J156" i="31"/>
  <c r="L157" i="31"/>
  <c r="G159" i="31"/>
  <c r="H160" i="31"/>
  <c r="K161" i="31"/>
  <c r="G60" i="31"/>
  <c r="G61" i="31"/>
  <c r="H62" i="31"/>
  <c r="H63" i="31"/>
  <c r="I64" i="31"/>
  <c r="I65" i="31"/>
  <c r="I66" i="31"/>
  <c r="I67" i="31"/>
  <c r="I68" i="31"/>
  <c r="I69" i="31"/>
  <c r="I70" i="31"/>
  <c r="J71" i="31"/>
  <c r="J72" i="31"/>
  <c r="J74" i="31"/>
  <c r="L161" i="31"/>
  <c r="J69" i="31"/>
  <c r="K74" i="31"/>
  <c r="L74" i="31"/>
  <c r="J159" i="31"/>
  <c r="L65" i="31"/>
  <c r="G239" i="31"/>
  <c r="I240" i="31"/>
  <c r="I242" i="31"/>
  <c r="L243" i="31"/>
  <c r="H245" i="31"/>
  <c r="J246" i="31"/>
  <c r="F248" i="31"/>
  <c r="J249" i="31"/>
  <c r="H159" i="31"/>
  <c r="J64" i="31"/>
  <c r="K70" i="31"/>
  <c r="J61" i="31"/>
  <c r="F47" i="31"/>
  <c r="J57" i="31"/>
  <c r="J50" i="31"/>
  <c r="H132" i="31"/>
  <c r="J43" i="31"/>
  <c r="L46" i="31"/>
  <c r="K45" i="31"/>
  <c r="J44" i="31"/>
  <c r="I57" i="31"/>
  <c r="H56" i="31"/>
  <c r="F55" i="31"/>
  <c r="L53" i="31"/>
  <c r="K52" i="31"/>
  <c r="J51" i="31"/>
  <c r="I50" i="31"/>
  <c r="H49" i="31"/>
  <c r="J59" i="31"/>
  <c r="K136" i="31"/>
  <c r="J135" i="31"/>
  <c r="I134" i="31"/>
  <c r="H133" i="31"/>
  <c r="G132" i="31"/>
  <c r="F146" i="31"/>
  <c r="K144" i="31"/>
  <c r="J143" i="31"/>
  <c r="I142" i="31"/>
  <c r="H141" i="31"/>
  <c r="G140" i="31"/>
  <c r="F139" i="31"/>
  <c r="L137" i="31"/>
  <c r="L58" i="31"/>
  <c r="K43" i="31"/>
  <c r="L45" i="31"/>
  <c r="I56" i="31"/>
  <c r="G55" i="31"/>
  <c r="L52" i="31"/>
  <c r="I49" i="31"/>
  <c r="K135" i="31"/>
  <c r="I133" i="31"/>
  <c r="F145" i="31"/>
  <c r="K143" i="31"/>
  <c r="I141" i="31"/>
  <c r="G139" i="31"/>
  <c r="I43" i="31"/>
  <c r="L47" i="31"/>
  <c r="K46" i="31"/>
  <c r="J45" i="31"/>
  <c r="I44" i="31"/>
  <c r="H57" i="31"/>
  <c r="G56" i="31"/>
  <c r="L54" i="31"/>
  <c r="K53" i="31"/>
  <c r="J52" i="31"/>
  <c r="I51" i="31"/>
  <c r="H50" i="31"/>
  <c r="G49" i="31"/>
  <c r="I59" i="31"/>
  <c r="J136" i="31"/>
  <c r="I135" i="31"/>
  <c r="H134" i="31"/>
  <c r="G133" i="31"/>
  <c r="F132" i="31"/>
  <c r="L145" i="31"/>
  <c r="J144" i="31"/>
  <c r="I143" i="31"/>
  <c r="H142" i="31"/>
  <c r="G141" i="31"/>
  <c r="F140" i="31"/>
  <c r="L138" i="31"/>
  <c r="K137" i="31"/>
  <c r="L147" i="31"/>
  <c r="L59" i="31"/>
  <c r="K58" i="31"/>
  <c r="K44" i="31"/>
  <c r="F54" i="31"/>
  <c r="K51" i="31"/>
  <c r="G58" i="31"/>
  <c r="L136" i="31"/>
  <c r="J134" i="31"/>
  <c r="G146" i="31"/>
  <c r="L144" i="31"/>
  <c r="J142" i="31"/>
  <c r="H140" i="31"/>
  <c r="F138" i="31"/>
  <c r="F147" i="31"/>
  <c r="H43" i="31"/>
  <c r="K47" i="31"/>
  <c r="J46" i="31"/>
  <c r="I45" i="31"/>
  <c r="H44" i="31"/>
  <c r="G57" i="31"/>
  <c r="F56" i="31"/>
  <c r="L55" i="31"/>
  <c r="K54" i="31"/>
  <c r="J53" i="31"/>
  <c r="I52" i="31"/>
  <c r="H51" i="31"/>
  <c r="G50" i="31"/>
  <c r="F49" i="31"/>
  <c r="H59" i="31"/>
  <c r="I136" i="31"/>
  <c r="H135" i="31"/>
  <c r="G134" i="31"/>
  <c r="F133" i="31"/>
  <c r="L146" i="31"/>
  <c r="K145" i="31"/>
  <c r="I144" i="31"/>
  <c r="H143" i="31"/>
  <c r="G142" i="31"/>
  <c r="F141" i="31"/>
  <c r="L139" i="31"/>
  <c r="K138" i="31"/>
  <c r="J137" i="31"/>
  <c r="K147" i="31"/>
  <c r="K59" i="31"/>
  <c r="J58" i="31"/>
  <c r="G43" i="31"/>
  <c r="J47" i="31"/>
  <c r="I46" i="31"/>
  <c r="G44" i="31"/>
  <c r="J54" i="31"/>
  <c r="H52" i="31"/>
  <c r="F50" i="31"/>
  <c r="H136" i="31"/>
  <c r="F134" i="31"/>
  <c r="K146" i="31"/>
  <c r="J145" i="31"/>
  <c r="H144" i="31"/>
  <c r="F142" i="31"/>
  <c r="L140" i="31"/>
  <c r="K139" i="31"/>
  <c r="J138" i="31"/>
  <c r="I137" i="31"/>
  <c r="F43" i="31"/>
  <c r="I47" i="31"/>
  <c r="H46" i="31"/>
  <c r="G45" i="31"/>
  <c r="F44" i="31"/>
  <c r="L56" i="31"/>
  <c r="J55" i="31"/>
  <c r="I54" i="31"/>
  <c r="H53" i="31"/>
  <c r="G52" i="31"/>
  <c r="F51" i="31"/>
  <c r="L49" i="31"/>
  <c r="F59" i="31"/>
  <c r="G136" i="31"/>
  <c r="F135" i="31"/>
  <c r="L133" i="31"/>
  <c r="K132" i="31"/>
  <c r="J146" i="31"/>
  <c r="I145" i="31"/>
  <c r="G144" i="31"/>
  <c r="F143" i="31"/>
  <c r="L141" i="31"/>
  <c r="K140" i="31"/>
  <c r="J139" i="31"/>
  <c r="I138" i="31"/>
  <c r="H137" i="31"/>
  <c r="I147" i="31"/>
  <c r="H45" i="31"/>
  <c r="F57" i="31"/>
  <c r="K55" i="31"/>
  <c r="I53" i="31"/>
  <c r="G51" i="31"/>
  <c r="G59" i="31"/>
  <c r="G135" i="31"/>
  <c r="L132" i="31"/>
  <c r="G143" i="31"/>
  <c r="J147" i="31"/>
  <c r="H47" i="31"/>
  <c r="G46" i="31"/>
  <c r="F45" i="31"/>
  <c r="L57" i="31"/>
  <c r="K56" i="31"/>
  <c r="I55" i="31"/>
  <c r="H54" i="31"/>
  <c r="G53" i="31"/>
  <c r="F52" i="31"/>
  <c r="L50" i="31"/>
  <c r="K49" i="31"/>
  <c r="I58" i="31"/>
  <c r="F136" i="31"/>
  <c r="L134" i="31"/>
  <c r="K133" i="31"/>
  <c r="J132" i="31"/>
  <c r="I146" i="31"/>
  <c r="H145" i="31"/>
  <c r="F144" i="31"/>
  <c r="L142" i="31"/>
  <c r="K141" i="31"/>
  <c r="J140" i="31"/>
  <c r="I139" i="31"/>
  <c r="H138" i="31"/>
  <c r="G137" i="31"/>
  <c r="H147" i="31"/>
  <c r="E10" i="16"/>
  <c r="C327" i="35"/>
  <c r="D327" i="35" s="1"/>
  <c r="E110" i="31" s="1"/>
  <c r="C522" i="35"/>
  <c r="D196" i="31" s="1"/>
  <c r="C358" i="35"/>
  <c r="D358" i="35" s="1"/>
  <c r="D430" i="35" s="1"/>
  <c r="C561" i="35"/>
  <c r="C633" i="35" s="1"/>
  <c r="C580" i="35"/>
  <c r="D580" i="35" s="1"/>
  <c r="C609" i="35"/>
  <c r="C189" i="35"/>
  <c r="D189" i="35" s="1"/>
  <c r="C165" i="35"/>
  <c r="D165" i="35" s="1"/>
  <c r="D237" i="35" s="1"/>
  <c r="C402" i="35"/>
  <c r="C294" i="35"/>
  <c r="P258" i="35" s="1"/>
  <c r="D143" i="31" s="1"/>
  <c r="C157" i="35"/>
  <c r="C229" i="35" s="1"/>
  <c r="C216" i="35"/>
  <c r="C387" i="35"/>
  <c r="D387" i="35" s="1"/>
  <c r="C414" i="35"/>
  <c r="D127" i="31" s="1"/>
  <c r="C507" i="35"/>
  <c r="D507" i="35" s="1"/>
  <c r="C363" i="35"/>
  <c r="D363" i="35" s="1"/>
  <c r="D435" i="35" s="1"/>
  <c r="H11" i="16"/>
  <c r="I11" i="16" s="1"/>
  <c r="C517" i="35"/>
  <c r="D517" i="35" s="1"/>
  <c r="E191" i="31" s="1"/>
  <c r="C553" i="35"/>
  <c r="P466" i="35" s="1"/>
  <c r="D242" i="31" s="1"/>
  <c r="C576" i="35"/>
  <c r="D576" i="35" s="1"/>
  <c r="C601" i="35"/>
  <c r="C324" i="35"/>
  <c r="D324" i="35" s="1"/>
  <c r="E107" i="31" s="1"/>
  <c r="C160" i="35"/>
  <c r="D160" i="35" s="1"/>
  <c r="D232" i="35" s="1"/>
  <c r="C564" i="35"/>
  <c r="C636" i="35" s="1"/>
  <c r="C487" i="35"/>
  <c r="D487" i="35" s="1"/>
  <c r="Q451" i="35" s="1"/>
  <c r="C525" i="35"/>
  <c r="D525" i="35" s="1"/>
  <c r="E199" i="31" s="1"/>
  <c r="C213" i="35"/>
  <c r="C390" i="35"/>
  <c r="D390" i="35" s="1"/>
  <c r="C411" i="35"/>
  <c r="C556" i="35"/>
  <c r="D556" i="35" s="1"/>
  <c r="C552" i="35"/>
  <c r="C624" i="35" s="1"/>
  <c r="C126" i="35"/>
  <c r="D126" i="35" s="1"/>
  <c r="E18" i="31" s="1"/>
  <c r="C204" i="35"/>
  <c r="D204" i="35" s="1"/>
  <c r="E27" i="31" s="1"/>
  <c r="C585" i="35"/>
  <c r="D585" i="35" s="1"/>
  <c r="C502" i="35"/>
  <c r="D502" i="35" s="1"/>
  <c r="C600" i="35"/>
  <c r="C309" i="35"/>
  <c r="D309" i="35" s="1"/>
  <c r="C382" i="35"/>
  <c r="D382" i="35" s="1"/>
  <c r="C11" i="35"/>
  <c r="C12" i="35"/>
  <c r="C13" i="35"/>
  <c r="G481" i="35"/>
  <c r="E637" i="35"/>
  <c r="E34" i="35" s="1"/>
  <c r="L461" i="35"/>
  <c r="C10" i="35"/>
  <c r="C9" i="35"/>
  <c r="C8" i="35"/>
  <c r="J439" i="35"/>
  <c r="H41" i="35" s="1"/>
  <c r="M108" i="31"/>
  <c r="M107" i="31"/>
  <c r="H481" i="35"/>
  <c r="K637" i="35"/>
  <c r="E42" i="35" s="1"/>
  <c r="L415" i="35"/>
  <c r="M109" i="31"/>
  <c r="M102" i="31"/>
  <c r="H439" i="35"/>
  <c r="H39" i="35" s="1"/>
  <c r="M110" i="31"/>
  <c r="M103" i="31"/>
  <c r="D21" i="31"/>
  <c r="M98" i="31"/>
  <c r="M97" i="31"/>
  <c r="M113" i="31"/>
  <c r="M106" i="31"/>
  <c r="M105" i="31"/>
  <c r="M104" i="31"/>
  <c r="M17" i="31"/>
  <c r="M16" i="31"/>
  <c r="M9" i="31"/>
  <c r="M8" i="31"/>
  <c r="M18" i="31"/>
  <c r="M15" i="31"/>
  <c r="L589" i="35"/>
  <c r="G637" i="35"/>
  <c r="E38" i="35" s="1"/>
  <c r="J637" i="35"/>
  <c r="E41" i="35" s="1"/>
  <c r="I637" i="35"/>
  <c r="E40" i="35" s="1"/>
  <c r="F637" i="35"/>
  <c r="E37" i="35" s="1"/>
  <c r="I541" i="35"/>
  <c r="D40" i="35" s="1"/>
  <c r="L526" i="35"/>
  <c r="L511" i="35"/>
  <c r="J541" i="35"/>
  <c r="D41" i="35" s="1"/>
  <c r="K541" i="35"/>
  <c r="D42" i="35" s="1"/>
  <c r="E541" i="35"/>
  <c r="D34" i="35" s="1"/>
  <c r="F541" i="35"/>
  <c r="D37" i="35" s="1"/>
  <c r="G541" i="35"/>
  <c r="D38" i="35" s="1"/>
  <c r="H541" i="35"/>
  <c r="D39" i="35" s="1"/>
  <c r="E481" i="35"/>
  <c r="C34" i="35" s="1"/>
  <c r="J481" i="35"/>
  <c r="C41" i="35" s="1"/>
  <c r="F481" i="35"/>
  <c r="L471" i="35"/>
  <c r="I481" i="35"/>
  <c r="K481" i="35"/>
  <c r="F439" i="35"/>
  <c r="H37" i="35" s="1"/>
  <c r="I439" i="35"/>
  <c r="H40" i="35" s="1"/>
  <c r="G439" i="35"/>
  <c r="H38" i="35" s="1"/>
  <c r="L328" i="35"/>
  <c r="L273" i="35"/>
  <c r="L130" i="35"/>
  <c r="G10" i="16"/>
  <c r="G12" i="16"/>
  <c r="C537" i="35" l="1"/>
  <c r="D403" i="35"/>
  <c r="E117" i="31" s="1"/>
  <c r="Q60" i="35"/>
  <c r="E54" i="31" s="1"/>
  <c r="D102" i="31"/>
  <c r="C141" i="35"/>
  <c r="P60" i="35"/>
  <c r="D54" i="31" s="1"/>
  <c r="P278" i="35"/>
  <c r="D163" i="31" s="1"/>
  <c r="G43" i="14"/>
  <c r="C42" i="35"/>
  <c r="G40" i="14"/>
  <c r="C39" i="35"/>
  <c r="G41" i="14"/>
  <c r="C40" i="35"/>
  <c r="G39" i="14"/>
  <c r="C38" i="35"/>
  <c r="G38" i="14"/>
  <c r="C37" i="35"/>
  <c r="G42" i="14"/>
  <c r="P72" i="35"/>
  <c r="D66" i="31" s="1"/>
  <c r="D553" i="35"/>
  <c r="Q466" i="35" s="1"/>
  <c r="E242" i="31" s="1"/>
  <c r="G35" i="14"/>
  <c r="G37" i="14"/>
  <c r="M243" i="31"/>
  <c r="M240" i="31"/>
  <c r="M69" i="31"/>
  <c r="M162" i="31"/>
  <c r="M156" i="31"/>
  <c r="P459" i="35"/>
  <c r="D522" i="35"/>
  <c r="E196" i="31" s="1"/>
  <c r="D294" i="35"/>
  <c r="Q258" i="35" s="1"/>
  <c r="E143" i="31" s="1"/>
  <c r="C339" i="35"/>
  <c r="C625" i="35"/>
  <c r="D110" i="31"/>
  <c r="C232" i="35"/>
  <c r="D537" i="35"/>
  <c r="D540" i="35"/>
  <c r="P456" i="35"/>
  <c r="C540" i="35"/>
  <c r="Q275" i="35"/>
  <c r="E160" i="31" s="1"/>
  <c r="P275" i="35"/>
  <c r="D160" i="31" s="1"/>
  <c r="C532" i="35"/>
  <c r="D13" i="31"/>
  <c r="P77" i="35"/>
  <c r="D71" i="31" s="1"/>
  <c r="Q77" i="35"/>
  <c r="E71" i="31" s="1"/>
  <c r="P468" i="35"/>
  <c r="D244" i="31" s="1"/>
  <c r="C240" i="35"/>
  <c r="P476" i="35"/>
  <c r="D252" i="31" s="1"/>
  <c r="Q80" i="35"/>
  <c r="E74" i="31" s="1"/>
  <c r="C628" i="35"/>
  <c r="D28" i="31"/>
  <c r="P80" i="35"/>
  <c r="D74" i="31" s="1"/>
  <c r="D107" i="31"/>
  <c r="C237" i="35"/>
  <c r="D411" i="35"/>
  <c r="E124" i="31" s="1"/>
  <c r="D124" i="31"/>
  <c r="M245" i="31"/>
  <c r="M158" i="31"/>
  <c r="M155" i="31"/>
  <c r="M70" i="31"/>
  <c r="M161" i="31"/>
  <c r="M152" i="31"/>
  <c r="M157" i="31"/>
  <c r="M149" i="31"/>
  <c r="M248" i="31"/>
  <c r="M242" i="31"/>
  <c r="M65" i="31"/>
  <c r="M68" i="31"/>
  <c r="M151" i="31"/>
  <c r="M154" i="31"/>
  <c r="M247" i="31"/>
  <c r="M239" i="31"/>
  <c r="M163" i="31"/>
  <c r="D612" i="35"/>
  <c r="E216" i="31" s="1"/>
  <c r="D216" i="31"/>
  <c r="P451" i="35"/>
  <c r="D18" i="31"/>
  <c r="M64" i="31"/>
  <c r="M160" i="31"/>
  <c r="M67" i="31"/>
  <c r="M250" i="31"/>
  <c r="M246" i="31"/>
  <c r="M150" i="31"/>
  <c r="M66" i="31"/>
  <c r="D208" i="35"/>
  <c r="E30" i="31" s="1"/>
  <c r="D30" i="31"/>
  <c r="I12" i="16"/>
  <c r="C45" i="34"/>
  <c r="C40" i="34" s="1"/>
  <c r="D609" i="35"/>
  <c r="E213" i="31" s="1"/>
  <c r="D213" i="31"/>
  <c r="D213" i="35"/>
  <c r="E35" i="31" s="1"/>
  <c r="D35" i="31"/>
  <c r="C435" i="35"/>
  <c r="Q270" i="35"/>
  <c r="E155" i="31" s="1"/>
  <c r="D216" i="35"/>
  <c r="E38" i="31" s="1"/>
  <c r="D38" i="31"/>
  <c r="M159" i="31"/>
  <c r="M153" i="31"/>
  <c r="M148" i="31"/>
  <c r="M241" i="31"/>
  <c r="M238" i="31"/>
  <c r="M60" i="31"/>
  <c r="M73" i="31"/>
  <c r="D600" i="35"/>
  <c r="E205" i="31" s="1"/>
  <c r="D205" i="31"/>
  <c r="D601" i="35"/>
  <c r="E206" i="31" s="1"/>
  <c r="D206" i="31"/>
  <c r="M63" i="31"/>
  <c r="M249" i="31"/>
  <c r="M62" i="31"/>
  <c r="M244" i="31"/>
  <c r="M72" i="31"/>
  <c r="D604" i="35"/>
  <c r="E208" i="31" s="1"/>
  <c r="D208" i="31"/>
  <c r="M252" i="31"/>
  <c r="M61" i="31"/>
  <c r="M71" i="31"/>
  <c r="M74" i="31"/>
  <c r="M251" i="31"/>
  <c r="D406" i="35"/>
  <c r="E119" i="31" s="1"/>
  <c r="D119" i="31"/>
  <c r="D402" i="35"/>
  <c r="E116" i="31" s="1"/>
  <c r="D116" i="31"/>
  <c r="M44" i="31"/>
  <c r="D564" i="35"/>
  <c r="Q476" i="35" s="1"/>
  <c r="E252" i="31" s="1"/>
  <c r="P270" i="35"/>
  <c r="D155" i="31" s="1"/>
  <c r="D27" i="31"/>
  <c r="C430" i="35"/>
  <c r="D552" i="35"/>
  <c r="P465" i="35"/>
  <c r="D241" i="31" s="1"/>
  <c r="D561" i="35"/>
  <c r="P473" i="35"/>
  <c r="D249" i="31" s="1"/>
  <c r="D157" i="35"/>
  <c r="P70" i="35"/>
  <c r="D64" i="31" s="1"/>
  <c r="D532" i="35"/>
  <c r="D414" i="35"/>
  <c r="E127" i="31" s="1"/>
  <c r="D191" i="31"/>
  <c r="D199" i="31"/>
  <c r="Q72" i="35"/>
  <c r="E66" i="31" s="1"/>
  <c r="Q468" i="35"/>
  <c r="E244" i="31" s="1"/>
  <c r="D628" i="35"/>
  <c r="C410" i="35"/>
  <c r="C212" i="35"/>
  <c r="C401" i="35"/>
  <c r="D115" i="31" s="1"/>
  <c r="C188" i="35"/>
  <c r="D188" i="35" s="1"/>
  <c r="C110" i="35"/>
  <c r="D110" i="35" s="1"/>
  <c r="C95" i="35"/>
  <c r="C608" i="35"/>
  <c r="C386" i="35"/>
  <c r="D386" i="35" s="1"/>
  <c r="C323" i="35"/>
  <c r="C584" i="35"/>
  <c r="D584" i="35" s="1"/>
  <c r="C362" i="35"/>
  <c r="C506" i="35"/>
  <c r="D506" i="35" s="1"/>
  <c r="C599" i="35"/>
  <c r="D204" i="31" s="1"/>
  <c r="C560" i="35"/>
  <c r="C521" i="35"/>
  <c r="C575" i="35"/>
  <c r="D575" i="35" s="1"/>
  <c r="C551" i="35"/>
  <c r="C203" i="35"/>
  <c r="C125" i="35"/>
  <c r="C491" i="35"/>
  <c r="C308" i="35"/>
  <c r="D308" i="35" s="1"/>
  <c r="C164" i="35"/>
  <c r="C293" i="35"/>
  <c r="D636" i="35" l="1"/>
  <c r="D625" i="35"/>
  <c r="D339" i="35"/>
  <c r="D608" i="35"/>
  <c r="E212" i="31" s="1"/>
  <c r="D212" i="31"/>
  <c r="D212" i="35"/>
  <c r="E34" i="31" s="1"/>
  <c r="D34" i="31"/>
  <c r="D410" i="35"/>
  <c r="E123" i="31" s="1"/>
  <c r="D123" i="31"/>
  <c r="D125" i="35"/>
  <c r="E17" i="31" s="1"/>
  <c r="D17" i="31"/>
  <c r="D362" i="35"/>
  <c r="C434" i="35"/>
  <c r="P274" i="35"/>
  <c r="D159" i="31" s="1"/>
  <c r="D401" i="35"/>
  <c r="E115" i="31" s="1"/>
  <c r="D551" i="35"/>
  <c r="P464" i="35"/>
  <c r="D240" i="31" s="1"/>
  <c r="C623" i="35"/>
  <c r="D491" i="35"/>
  <c r="P455" i="35"/>
  <c r="C536" i="35"/>
  <c r="D203" i="35"/>
  <c r="E26" i="31" s="1"/>
  <c r="D26" i="31"/>
  <c r="D323" i="35"/>
  <c r="E106" i="31" s="1"/>
  <c r="D106" i="31"/>
  <c r="P257" i="35"/>
  <c r="D142" i="31" s="1"/>
  <c r="D293" i="35"/>
  <c r="C338" i="35"/>
  <c r="D521" i="35"/>
  <c r="E195" i="31" s="1"/>
  <c r="D195" i="31"/>
  <c r="D599" i="35"/>
  <c r="E204" i="31" s="1"/>
  <c r="D633" i="35"/>
  <c r="Q473" i="35"/>
  <c r="E249" i="31" s="1"/>
  <c r="Q465" i="35"/>
  <c r="E241" i="31" s="1"/>
  <c r="D624" i="35"/>
  <c r="D164" i="35"/>
  <c r="P76" i="35"/>
  <c r="D70" i="31" s="1"/>
  <c r="C236" i="35"/>
  <c r="D560" i="35"/>
  <c r="P472" i="35"/>
  <c r="D248" i="31" s="1"/>
  <c r="C632" i="35"/>
  <c r="D95" i="35"/>
  <c r="P59" i="35"/>
  <c r="D53" i="31" s="1"/>
  <c r="C140" i="35"/>
  <c r="D229" i="35"/>
  <c r="Q70" i="35"/>
  <c r="E64" i="31" s="1"/>
  <c r="D236" i="35" l="1"/>
  <c r="Q76" i="35"/>
  <c r="E70" i="31" s="1"/>
  <c r="Q472" i="35"/>
  <c r="E248" i="31" s="1"/>
  <c r="D632" i="35"/>
  <c r="D623" i="35"/>
  <c r="Q464" i="35"/>
  <c r="E240" i="31" s="1"/>
  <c r="D140" i="35"/>
  <c r="Q59" i="35"/>
  <c r="E53" i="31" s="1"/>
  <c r="Q257" i="35"/>
  <c r="E142" i="31" s="1"/>
  <c r="D338" i="35"/>
  <c r="Q455" i="35"/>
  <c r="D536" i="35"/>
  <c r="D434" i="35"/>
  <c r="Q274" i="35"/>
  <c r="E159" i="31" s="1"/>
  <c r="L71" i="35"/>
  <c r="Q88" i="35" s="1"/>
  <c r="R88" i="35" s="1"/>
  <c r="L72" i="35"/>
  <c r="Q89" i="35" s="1"/>
  <c r="R89" i="35" s="1"/>
  <c r="L61" i="35"/>
  <c r="L62" i="35"/>
  <c r="K75" i="35"/>
  <c r="E27" i="35" s="1"/>
  <c r="J75" i="35"/>
  <c r="E26" i="35" s="1"/>
  <c r="I75" i="35"/>
  <c r="E25" i="35" s="1"/>
  <c r="H75" i="35"/>
  <c r="E24" i="35" s="1"/>
  <c r="G75" i="35"/>
  <c r="E23" i="35" s="1"/>
  <c r="F75" i="35"/>
  <c r="E22" i="35" s="1"/>
  <c r="E75" i="35"/>
  <c r="E19" i="35" s="1"/>
  <c r="L74" i="35"/>
  <c r="Q93" i="35" s="1"/>
  <c r="R93" i="35" s="1"/>
  <c r="L73" i="35"/>
  <c r="Q90" i="35" s="1"/>
  <c r="R90" i="35" s="1"/>
  <c r="L70" i="35"/>
  <c r="Q86" i="35" s="1"/>
  <c r="R86" i="35" s="1"/>
  <c r="J82" i="35"/>
  <c r="F81" i="35"/>
  <c r="G81" i="35"/>
  <c r="H81" i="35"/>
  <c r="J81" i="35"/>
  <c r="K81" i="35"/>
  <c r="E82" i="35"/>
  <c r="F82" i="35"/>
  <c r="G82" i="35"/>
  <c r="H82" i="35"/>
  <c r="I82" i="35"/>
  <c r="K82" i="35"/>
  <c r="E83" i="35"/>
  <c r="F83" i="35"/>
  <c r="G83" i="35"/>
  <c r="H83" i="35"/>
  <c r="I83" i="35"/>
  <c r="J83" i="35"/>
  <c r="K83" i="35"/>
  <c r="E84" i="35"/>
  <c r="G84" i="35"/>
  <c r="H84" i="35"/>
  <c r="I84" i="35"/>
  <c r="J84" i="35"/>
  <c r="K84" i="35"/>
  <c r="E80" i="35"/>
  <c r="D8" i="16"/>
  <c r="E8" i="16" s="1"/>
  <c r="D7" i="16"/>
  <c r="E7" i="16" s="1"/>
  <c r="D5" i="16"/>
  <c r="E5" i="16" s="1"/>
  <c r="D6" i="16"/>
  <c r="E6" i="16" s="1"/>
  <c r="F4" i="16"/>
  <c r="H4" i="16" s="1"/>
  <c r="I4" i="16" s="1"/>
  <c r="E4" i="16"/>
  <c r="K55" i="35"/>
  <c r="J218" i="12"/>
  <c r="C218" i="12"/>
  <c r="C86" i="12"/>
  <c r="C85" i="12"/>
  <c r="E85" i="12" s="1"/>
  <c r="L85" i="12" s="1"/>
  <c r="C84" i="12"/>
  <c r="C83" i="12"/>
  <c r="C82" i="12"/>
  <c r="C81" i="12"/>
  <c r="C80" i="12"/>
  <c r="C79" i="12"/>
  <c r="C148" i="12" s="1"/>
  <c r="C78" i="12"/>
  <c r="C77" i="12"/>
  <c r="C76" i="12"/>
  <c r="C33" i="12"/>
  <c r="E84" i="12" l="1"/>
  <c r="E81" i="12"/>
  <c r="E80" i="12"/>
  <c r="C555" i="35"/>
  <c r="C207" i="35"/>
  <c r="C501" i="35"/>
  <c r="D501" i="35" s="1"/>
  <c r="C397" i="35"/>
  <c r="C159" i="35"/>
  <c r="C571" i="35"/>
  <c r="D571" i="35" s="1"/>
  <c r="C547" i="35"/>
  <c r="C486" i="35"/>
  <c r="C446" i="35"/>
  <c r="C318" i="35"/>
  <c r="C405" i="35"/>
  <c r="C579" i="35"/>
  <c r="D579" i="35" s="1"/>
  <c r="C357" i="35"/>
  <c r="C516" i="35"/>
  <c r="C456" i="35"/>
  <c r="C199" i="35"/>
  <c r="C603" i="35"/>
  <c r="C183" i="35"/>
  <c r="D183" i="35" s="1"/>
  <c r="C466" i="35"/>
  <c r="C120" i="35"/>
  <c r="D12" i="31" s="1"/>
  <c r="C381" i="35"/>
  <c r="D381" i="35" s="1"/>
  <c r="C595" i="35"/>
  <c r="C268" i="35"/>
  <c r="C70" i="35"/>
  <c r="D7" i="31" s="1"/>
  <c r="L75" i="35"/>
  <c r="G4" i="16"/>
  <c r="C229" i="37"/>
  <c r="C228" i="37"/>
  <c r="C227" i="37"/>
  <c r="C76" i="37"/>
  <c r="C77" i="37"/>
  <c r="C75" i="37"/>
  <c r="C156" i="37"/>
  <c r="C155" i="37"/>
  <c r="C154" i="37"/>
  <c r="K53" i="37"/>
  <c r="K54" i="37"/>
  <c r="K55" i="37"/>
  <c r="K56" i="37"/>
  <c r="K57" i="37"/>
  <c r="K58" i="37"/>
  <c r="K61" i="37"/>
  <c r="K62" i="37"/>
  <c r="K63" i="37"/>
  <c r="K65" i="37"/>
  <c r="K66" i="37"/>
  <c r="K67" i="37"/>
  <c r="K68" i="37"/>
  <c r="K52" i="37"/>
  <c r="E278" i="35"/>
  <c r="F278" i="35"/>
  <c r="G278" i="35"/>
  <c r="H278" i="35"/>
  <c r="I278" i="35"/>
  <c r="J278" i="35"/>
  <c r="K278" i="35"/>
  <c r="F80" i="35"/>
  <c r="G80" i="35"/>
  <c r="H80" i="35"/>
  <c r="I80" i="35"/>
  <c r="J80" i="35"/>
  <c r="K80" i="35"/>
  <c r="H26" i="14"/>
  <c r="H12" i="14"/>
  <c r="D167" i="12"/>
  <c r="C167" i="12"/>
  <c r="D161" i="12"/>
  <c r="D155" i="12"/>
  <c r="L81" i="12" l="1"/>
  <c r="L80" i="12"/>
  <c r="L84" i="12"/>
  <c r="D405" i="35"/>
  <c r="E118" i="31" s="1"/>
  <c r="D118" i="31"/>
  <c r="D207" i="35"/>
  <c r="E29" i="31" s="1"/>
  <c r="D29" i="31"/>
  <c r="D603" i="35"/>
  <c r="E207" i="31" s="1"/>
  <c r="D207" i="31"/>
  <c r="D120" i="35"/>
  <c r="E12" i="31" s="1"/>
  <c r="D466" i="35"/>
  <c r="D185" i="31"/>
  <c r="D318" i="35"/>
  <c r="E101" i="31" s="1"/>
  <c r="D101" i="31"/>
  <c r="D397" i="35"/>
  <c r="E111" i="31" s="1"/>
  <c r="D111" i="31"/>
  <c r="D555" i="35"/>
  <c r="P467" i="35"/>
  <c r="D243" i="31" s="1"/>
  <c r="C627" i="35"/>
  <c r="D199" i="35"/>
  <c r="E22" i="31" s="1"/>
  <c r="D22" i="31"/>
  <c r="C531" i="35"/>
  <c r="D486" i="35"/>
  <c r="P450" i="35"/>
  <c r="D268" i="35"/>
  <c r="D96" i="31"/>
  <c r="D456" i="35"/>
  <c r="D547" i="35"/>
  <c r="P460" i="35"/>
  <c r="C619" i="35"/>
  <c r="D200" i="31"/>
  <c r="D595" i="35"/>
  <c r="E200" i="31" s="1"/>
  <c r="D516" i="35"/>
  <c r="E190" i="31" s="1"/>
  <c r="D190" i="31"/>
  <c r="C476" i="35"/>
  <c r="P445" i="35"/>
  <c r="D221" i="31" s="1"/>
  <c r="D446" i="35"/>
  <c r="D357" i="35"/>
  <c r="C429" i="35"/>
  <c r="P269" i="35"/>
  <c r="D154" i="31" s="1"/>
  <c r="D159" i="35"/>
  <c r="P71" i="35"/>
  <c r="D65" i="31" s="1"/>
  <c r="C231" i="35"/>
  <c r="D70" i="35"/>
  <c r="E7" i="31" s="1"/>
  <c r="F111" i="12"/>
  <c r="C147" i="12" s="1"/>
  <c r="A192" i="35"/>
  <c r="A191" i="35"/>
  <c r="A181" i="35"/>
  <c r="A180" i="35"/>
  <c r="A179" i="35"/>
  <c r="A178" i="35"/>
  <c r="A312" i="35"/>
  <c r="A311" i="35"/>
  <c r="A310" i="35"/>
  <c r="A306" i="35"/>
  <c r="A390" i="35"/>
  <c r="A389" i="35"/>
  <c r="A379" i="35"/>
  <c r="A378" i="35"/>
  <c r="A377" i="35"/>
  <c r="A376" i="35"/>
  <c r="A375" i="35"/>
  <c r="A374" i="35"/>
  <c r="A373" i="35"/>
  <c r="A305" i="35"/>
  <c r="A304" i="35"/>
  <c r="A303" i="35"/>
  <c r="A262" i="35"/>
  <c r="A261" i="35"/>
  <c r="A258" i="35"/>
  <c r="A177" i="35"/>
  <c r="A176" i="35"/>
  <c r="A175" i="35"/>
  <c r="A115" i="35"/>
  <c r="A114" i="35"/>
  <c r="A113" i="35"/>
  <c r="A112" i="35"/>
  <c r="A108" i="35"/>
  <c r="A107" i="35"/>
  <c r="A106" i="35"/>
  <c r="A105" i="35"/>
  <c r="A64" i="35"/>
  <c r="A63" i="35"/>
  <c r="A60" i="35"/>
  <c r="L181" i="35"/>
  <c r="L180" i="35"/>
  <c r="P92" i="35" s="1"/>
  <c r="L179" i="35"/>
  <c r="P91" i="35" s="1"/>
  <c r="L178" i="35"/>
  <c r="L177" i="35"/>
  <c r="L176" i="35"/>
  <c r="L175" i="35"/>
  <c r="L114" i="35"/>
  <c r="P95" i="35" s="1"/>
  <c r="L113" i="35"/>
  <c r="P94" i="35" s="1"/>
  <c r="L112" i="35"/>
  <c r="L108" i="35"/>
  <c r="L107" i="35"/>
  <c r="L106" i="35"/>
  <c r="P87" i="35" s="1"/>
  <c r="L105" i="35"/>
  <c r="L64" i="35"/>
  <c r="L63" i="35"/>
  <c r="L60" i="35"/>
  <c r="L379" i="35"/>
  <c r="L378" i="35"/>
  <c r="P290" i="35" s="1"/>
  <c r="L377" i="35"/>
  <c r="P289" i="35" s="1"/>
  <c r="L376" i="35"/>
  <c r="L375" i="35"/>
  <c r="L374" i="35"/>
  <c r="L373" i="35"/>
  <c r="L312" i="35"/>
  <c r="L311" i="35"/>
  <c r="P292" i="35" s="1"/>
  <c r="L310" i="35"/>
  <c r="L306" i="35"/>
  <c r="L305" i="35"/>
  <c r="L304" i="35"/>
  <c r="P285" i="35" s="1"/>
  <c r="L303" i="35"/>
  <c r="L262" i="35"/>
  <c r="L261" i="35"/>
  <c r="L258" i="35"/>
  <c r="C99" i="12" l="1"/>
  <c r="C25" i="22" s="1"/>
  <c r="C9" i="22"/>
  <c r="C104" i="12"/>
  <c r="C41" i="22" s="1"/>
  <c r="P293" i="35"/>
  <c r="P90" i="35"/>
  <c r="P93" i="35"/>
  <c r="P286" i="35"/>
  <c r="P86" i="35"/>
  <c r="P284" i="35"/>
  <c r="P288" i="35"/>
  <c r="P89" i="35"/>
  <c r="P291" i="35"/>
  <c r="P287" i="35"/>
  <c r="P88" i="35"/>
  <c r="Q467" i="35"/>
  <c r="E243" i="31" s="1"/>
  <c r="D627" i="35"/>
  <c r="D231" i="35"/>
  <c r="Q71" i="35"/>
  <c r="E65" i="31" s="1"/>
  <c r="E96" i="31"/>
  <c r="Q450" i="35"/>
  <c r="D531" i="35"/>
  <c r="E185" i="31"/>
  <c r="Q445" i="35"/>
  <c r="D476" i="35"/>
  <c r="Q460" i="35"/>
  <c r="D619" i="35"/>
  <c r="D429" i="35"/>
  <c r="Q269" i="35"/>
  <c r="E154" i="31" s="1"/>
  <c r="D216" i="12" l="1"/>
  <c r="F216" i="12"/>
  <c r="G216" i="12"/>
  <c r="H216" i="12"/>
  <c r="I216" i="12"/>
  <c r="J216" i="12"/>
  <c r="K216" i="12"/>
  <c r="C213" i="12"/>
  <c r="C216" i="12"/>
  <c r="C296" i="12" l="1"/>
  <c r="D65" i="10" l="1"/>
  <c r="D154" i="12" l="1"/>
  <c r="D270" i="12"/>
  <c r="D272" i="12"/>
  <c r="D266" i="12"/>
  <c r="D162" i="12"/>
  <c r="D160" i="12"/>
  <c r="D158" i="12"/>
  <c r="F343" i="12" l="1"/>
  <c r="F342" i="12"/>
  <c r="C139" i="12"/>
  <c r="C355" i="12" l="1"/>
  <c r="C8" i="22"/>
  <c r="T7" i="22" s="1"/>
  <c r="M93" i="34"/>
  <c r="N93" i="34"/>
  <c r="O93" i="34"/>
  <c r="P93" i="34"/>
  <c r="Q93" i="34"/>
  <c r="R93" i="34"/>
  <c r="L93" i="34"/>
  <c r="M58" i="34"/>
  <c r="N58" i="34"/>
  <c r="L58" i="34"/>
  <c r="R92" i="34"/>
  <c r="Q92" i="34"/>
  <c r="P92" i="34"/>
  <c r="O92" i="34"/>
  <c r="N92" i="34"/>
  <c r="M92" i="34"/>
  <c r="L92" i="34"/>
  <c r="R89" i="34"/>
  <c r="Q89" i="34"/>
  <c r="M89" i="34"/>
  <c r="R88" i="34"/>
  <c r="Q88" i="34"/>
  <c r="P88" i="34"/>
  <c r="P89" i="34" s="1"/>
  <c r="O88" i="34"/>
  <c r="O89" i="34" s="1"/>
  <c r="N88" i="34"/>
  <c r="N89" i="34" s="1"/>
  <c r="M88" i="34"/>
  <c r="L88" i="34"/>
  <c r="L89" i="34" s="1"/>
  <c r="M62" i="34"/>
  <c r="Q62" i="34"/>
  <c r="M61" i="34"/>
  <c r="N61" i="34"/>
  <c r="N62" i="34" s="1"/>
  <c r="O61" i="34"/>
  <c r="O62" i="34" s="1"/>
  <c r="P61" i="34"/>
  <c r="P62" i="34" s="1"/>
  <c r="Q61" i="34"/>
  <c r="R61" i="34"/>
  <c r="R62" i="34" s="1"/>
  <c r="L62" i="34"/>
  <c r="L61" i="34"/>
  <c r="R57" i="34"/>
  <c r="R58" i="34" s="1"/>
  <c r="Q57" i="34"/>
  <c r="Q58" i="34" s="1"/>
  <c r="P57" i="34"/>
  <c r="P58" i="34" s="1"/>
  <c r="O57" i="34"/>
  <c r="O58" i="34" s="1"/>
  <c r="N57" i="34"/>
  <c r="M57" i="34"/>
  <c r="L57" i="34"/>
  <c r="C98" i="12" l="1"/>
  <c r="C19" i="22"/>
  <c r="E57" i="22" s="1"/>
  <c r="N30" i="34"/>
  <c r="P30" i="34"/>
  <c r="K30" i="34"/>
  <c r="L29" i="34"/>
  <c r="L30" i="34" s="1"/>
  <c r="M29" i="34"/>
  <c r="M30" i="34" s="1"/>
  <c r="N29" i="34"/>
  <c r="O29" i="34"/>
  <c r="O30" i="34" s="1"/>
  <c r="P29" i="34"/>
  <c r="Q29" i="34"/>
  <c r="Q30" i="34" s="1"/>
  <c r="K29" i="34"/>
  <c r="L25" i="34"/>
  <c r="L26" i="34" s="1"/>
  <c r="M25" i="34"/>
  <c r="M26" i="34" s="1"/>
  <c r="N25" i="34"/>
  <c r="N26" i="34" s="1"/>
  <c r="O25" i="34"/>
  <c r="O26" i="34" s="1"/>
  <c r="P25" i="34"/>
  <c r="P26" i="34" s="1"/>
  <c r="Q25" i="34"/>
  <c r="Q26" i="34" s="1"/>
  <c r="K25" i="34"/>
  <c r="K26" i="34" s="1"/>
  <c r="F344" i="12"/>
  <c r="C357" i="12" s="1"/>
  <c r="F229" i="12"/>
  <c r="C249" i="12" s="1"/>
  <c r="C258" i="12" s="1"/>
  <c r="F230" i="12"/>
  <c r="C250" i="12" s="1"/>
  <c r="H137" i="12"/>
  <c r="E198" i="12"/>
  <c r="E199" i="12"/>
  <c r="L199" i="12" s="1"/>
  <c r="E200" i="12"/>
  <c r="L200" i="12" s="1"/>
  <c r="E201" i="12"/>
  <c r="E202" i="12"/>
  <c r="L202" i="12" s="1"/>
  <c r="E203" i="12"/>
  <c r="E204" i="12"/>
  <c r="L204" i="12" s="1"/>
  <c r="E205" i="12"/>
  <c r="J213" i="12"/>
  <c r="B80" i="22"/>
  <c r="B79" i="22"/>
  <c r="B78" i="22"/>
  <c r="B77" i="22"/>
  <c r="B76" i="22"/>
  <c r="B75" i="22"/>
  <c r="B74" i="22"/>
  <c r="B73" i="22"/>
  <c r="B72" i="22"/>
  <c r="B71" i="22"/>
  <c r="B150" i="22"/>
  <c r="B149" i="22"/>
  <c r="B148" i="22"/>
  <c r="B147" i="22"/>
  <c r="B146" i="22"/>
  <c r="B145" i="22"/>
  <c r="B144" i="22"/>
  <c r="B143" i="22"/>
  <c r="B142" i="22"/>
  <c r="B141" i="22"/>
  <c r="B220" i="22"/>
  <c r="B219" i="22"/>
  <c r="B218" i="22"/>
  <c r="B217" i="22"/>
  <c r="B216" i="22"/>
  <c r="B215" i="22"/>
  <c r="B214" i="22"/>
  <c r="B213" i="22"/>
  <c r="B212" i="22"/>
  <c r="B211" i="22"/>
  <c r="B57" i="22"/>
  <c r="B58" i="22"/>
  <c r="B59" i="22"/>
  <c r="B60" i="22"/>
  <c r="B61" i="22"/>
  <c r="B62" i="22"/>
  <c r="B63" i="22"/>
  <c r="B64" i="22"/>
  <c r="B65" i="22"/>
  <c r="B56" i="22"/>
  <c r="B127" i="22"/>
  <c r="B128" i="22"/>
  <c r="B129" i="22"/>
  <c r="B130" i="22"/>
  <c r="B131" i="22"/>
  <c r="B132" i="22"/>
  <c r="B133" i="22"/>
  <c r="B134" i="22"/>
  <c r="B135" i="22"/>
  <c r="B126" i="22"/>
  <c r="B197" i="22"/>
  <c r="B198" i="22"/>
  <c r="B199" i="22"/>
  <c r="B200" i="22"/>
  <c r="B201" i="22"/>
  <c r="B202" i="22"/>
  <c r="B203" i="22"/>
  <c r="B204" i="22"/>
  <c r="B205" i="22"/>
  <c r="B196" i="22"/>
  <c r="E162" i="12"/>
  <c r="E161" i="12"/>
  <c r="E160" i="12"/>
  <c r="E159" i="12"/>
  <c r="E158" i="12"/>
  <c r="E155" i="12"/>
  <c r="E154" i="12"/>
  <c r="K139" i="12"/>
  <c r="K138" i="12" s="1"/>
  <c r="J139" i="12"/>
  <c r="J138" i="12" s="1"/>
  <c r="I139" i="12"/>
  <c r="I138" i="12" s="1"/>
  <c r="H139" i="12"/>
  <c r="H138" i="12" s="1"/>
  <c r="G139" i="12"/>
  <c r="G138" i="12" s="1"/>
  <c r="F139" i="12"/>
  <c r="F138" i="12" s="1"/>
  <c r="E139" i="12"/>
  <c r="E138" i="12" s="1"/>
  <c r="D139" i="12"/>
  <c r="C127" i="12"/>
  <c r="C366" i="12" s="1"/>
  <c r="D126" i="12"/>
  <c r="D125" i="12"/>
  <c r="D124" i="12"/>
  <c r="C115" i="12"/>
  <c r="C113" i="12"/>
  <c r="C110" i="12"/>
  <c r="E274" i="12"/>
  <c r="E273" i="12"/>
  <c r="E272" i="12"/>
  <c r="E271" i="12"/>
  <c r="E270" i="12"/>
  <c r="D269" i="12"/>
  <c r="E269" i="12" s="1"/>
  <c r="D268" i="12"/>
  <c r="E268" i="12" s="1"/>
  <c r="E267" i="12"/>
  <c r="E266" i="12"/>
  <c r="K242" i="12"/>
  <c r="J242" i="12"/>
  <c r="I242" i="12"/>
  <c r="H242" i="12"/>
  <c r="G242" i="12"/>
  <c r="F242" i="12"/>
  <c r="E242" i="12"/>
  <c r="C242" i="12"/>
  <c r="C233" i="12"/>
  <c r="C231" i="12"/>
  <c r="C228" i="12"/>
  <c r="K221" i="12"/>
  <c r="J221" i="12"/>
  <c r="I221" i="12"/>
  <c r="H221" i="12"/>
  <c r="G221" i="12"/>
  <c r="F221" i="12"/>
  <c r="D221" i="12"/>
  <c r="C221" i="12"/>
  <c r="K220" i="12"/>
  <c r="J220" i="12"/>
  <c r="I220" i="12"/>
  <c r="H220" i="12"/>
  <c r="G220" i="12"/>
  <c r="F220" i="12"/>
  <c r="D220" i="12"/>
  <c r="C220" i="12"/>
  <c r="K218" i="12"/>
  <c r="I218" i="12"/>
  <c r="H218" i="12"/>
  <c r="G218" i="12"/>
  <c r="F218" i="12"/>
  <c r="K213" i="12"/>
  <c r="H213" i="12"/>
  <c r="G213" i="12"/>
  <c r="F213" i="12"/>
  <c r="D213" i="12"/>
  <c r="E206" i="12"/>
  <c r="B33" i="28"/>
  <c r="B32" i="28"/>
  <c r="B31" i="28"/>
  <c r="B30" i="28"/>
  <c r="B29" i="28"/>
  <c r="B28" i="28"/>
  <c r="B27" i="28"/>
  <c r="B26" i="28"/>
  <c r="B25" i="28"/>
  <c r="B24" i="28"/>
  <c r="B65" i="28"/>
  <c r="B64" i="28"/>
  <c r="B63" i="28"/>
  <c r="B62" i="28"/>
  <c r="B61" i="28"/>
  <c r="B60" i="28"/>
  <c r="B59" i="28"/>
  <c r="B58" i="28"/>
  <c r="B57" i="28"/>
  <c r="B56" i="28"/>
  <c r="D15" i="5" a="1"/>
  <c r="D15" i="5" s="1"/>
  <c r="H89" i="28" s="1"/>
  <c r="D14" i="5" a="1"/>
  <c r="D14" i="5" s="1"/>
  <c r="H59" i="28" s="1"/>
  <c r="D13" i="5" a="1"/>
  <c r="D13" i="5" s="1"/>
  <c r="H25" i="28" s="1"/>
  <c r="C15" i="5" a="1"/>
  <c r="C15" i="5" s="1"/>
  <c r="G90" i="28" s="1"/>
  <c r="C14" i="5" a="1"/>
  <c r="C14" i="5" s="1"/>
  <c r="G62" i="28" s="1"/>
  <c r="C13" i="5" a="1"/>
  <c r="C13" i="5" s="1"/>
  <c r="G28" i="28" s="1"/>
  <c r="B15" i="5" a="1"/>
  <c r="B15" i="5" s="1"/>
  <c r="F95" i="28" s="1"/>
  <c r="B14" i="5" a="1"/>
  <c r="B14" i="5" s="1"/>
  <c r="F57" i="28" s="1"/>
  <c r="B13" i="5" a="1"/>
  <c r="B13" i="5" s="1"/>
  <c r="F31" i="28" s="1"/>
  <c r="B97" i="28"/>
  <c r="B96" i="28"/>
  <c r="B95" i="28"/>
  <c r="B94" i="28"/>
  <c r="B93" i="28"/>
  <c r="B92" i="28"/>
  <c r="B91" i="28"/>
  <c r="B90" i="28"/>
  <c r="B89" i="28"/>
  <c r="B88" i="28"/>
  <c r="C24" i="22" l="1"/>
  <c r="C40" i="22"/>
  <c r="T19" i="22" s="1"/>
  <c r="H357" i="12"/>
  <c r="C215" i="12"/>
  <c r="C331" i="12"/>
  <c r="C328" i="12"/>
  <c r="E218" i="12"/>
  <c r="L203" i="12"/>
  <c r="E221" i="12"/>
  <c r="L206" i="12"/>
  <c r="D127" i="12"/>
  <c r="D148" i="12" s="1"/>
  <c r="E216" i="12"/>
  <c r="L216" i="12" s="1"/>
  <c r="L201" i="12"/>
  <c r="E220" i="12"/>
  <c r="L205" i="12"/>
  <c r="E213" i="12"/>
  <c r="L198" i="12"/>
  <c r="C257" i="12"/>
  <c r="I357" i="12"/>
  <c r="J357" i="12"/>
  <c r="K357" i="12"/>
  <c r="F357" i="12"/>
  <c r="E357" i="12"/>
  <c r="G357" i="12"/>
  <c r="H249" i="12"/>
  <c r="H258" i="12" s="1"/>
  <c r="H215" i="12" s="1"/>
  <c r="H147" i="12"/>
  <c r="J259" i="12"/>
  <c r="C288" i="12"/>
  <c r="H74" i="22"/>
  <c r="K250" i="12"/>
  <c r="H143" i="22"/>
  <c r="H146" i="22"/>
  <c r="G213" i="22"/>
  <c r="G250" i="12"/>
  <c r="H250" i="12"/>
  <c r="E250" i="12"/>
  <c r="I250" i="12"/>
  <c r="H356" i="12"/>
  <c r="H365" i="12" s="1"/>
  <c r="H329" i="12" s="1"/>
  <c r="J250" i="12"/>
  <c r="F250" i="12"/>
  <c r="F212" i="22"/>
  <c r="H214" i="22"/>
  <c r="G217" i="22"/>
  <c r="G142" i="22"/>
  <c r="F145" i="22"/>
  <c r="H147" i="22"/>
  <c r="G73" i="22"/>
  <c r="F76" i="22"/>
  <c r="H78" i="22"/>
  <c r="G212" i="22"/>
  <c r="F215" i="22"/>
  <c r="H217" i="22"/>
  <c r="H142" i="22"/>
  <c r="G145" i="22"/>
  <c r="F148" i="22"/>
  <c r="F71" i="22"/>
  <c r="H73" i="22"/>
  <c r="G76" i="22"/>
  <c r="F79" i="22"/>
  <c r="H212" i="22"/>
  <c r="G215" i="22"/>
  <c r="F218" i="22"/>
  <c r="F143" i="22"/>
  <c r="H145" i="22"/>
  <c r="G148" i="22"/>
  <c r="G71" i="22"/>
  <c r="F74" i="22"/>
  <c r="H76" i="22"/>
  <c r="G79" i="22"/>
  <c r="F213" i="22"/>
  <c r="H215" i="22"/>
  <c r="G218" i="22"/>
  <c r="G143" i="22"/>
  <c r="F146" i="22"/>
  <c r="H148" i="22"/>
  <c r="H71" i="22"/>
  <c r="G74" i="22"/>
  <c r="F77" i="22"/>
  <c r="H79" i="22"/>
  <c r="H218" i="22"/>
  <c r="F141" i="22"/>
  <c r="G146" i="22"/>
  <c r="F72" i="22"/>
  <c r="G77" i="22"/>
  <c r="F211" i="22"/>
  <c r="G216" i="22"/>
  <c r="G141" i="22"/>
  <c r="G149" i="22"/>
  <c r="G72" i="22"/>
  <c r="H77" i="22"/>
  <c r="G211" i="22"/>
  <c r="F214" i="22"/>
  <c r="H216" i="22"/>
  <c r="G219" i="22"/>
  <c r="H141" i="22"/>
  <c r="G144" i="22"/>
  <c r="F147" i="22"/>
  <c r="H149" i="22"/>
  <c r="H72" i="22"/>
  <c r="G75" i="22"/>
  <c r="F78" i="22"/>
  <c r="F216" i="22"/>
  <c r="F149" i="22"/>
  <c r="H213" i="22"/>
  <c r="F219" i="22"/>
  <c r="F144" i="22"/>
  <c r="F75" i="22"/>
  <c r="H211" i="22"/>
  <c r="G214" i="22"/>
  <c r="F217" i="22"/>
  <c r="H219" i="22"/>
  <c r="F142" i="22"/>
  <c r="H144" i="22"/>
  <c r="G147" i="22"/>
  <c r="F73" i="22"/>
  <c r="H75" i="22"/>
  <c r="G78" i="22"/>
  <c r="G137" i="12"/>
  <c r="G147" i="12" s="1"/>
  <c r="E136" i="12"/>
  <c r="H148" i="12"/>
  <c r="K136" i="12"/>
  <c r="F136" i="12"/>
  <c r="F146" i="12" s="1"/>
  <c r="D136" i="12"/>
  <c r="E137" i="12"/>
  <c r="J136" i="12"/>
  <c r="K137" i="12"/>
  <c r="K147" i="12" s="1"/>
  <c r="D137" i="12"/>
  <c r="I136" i="12"/>
  <c r="J137" i="12"/>
  <c r="J147" i="12" s="1"/>
  <c r="H136" i="12"/>
  <c r="I137" i="12"/>
  <c r="I147" i="12" s="1"/>
  <c r="F137" i="12"/>
  <c r="G136" i="12"/>
  <c r="K207" i="12"/>
  <c r="F14" i="12" s="1"/>
  <c r="F219" i="12"/>
  <c r="F118" i="22" s="1"/>
  <c r="G219" i="12"/>
  <c r="G118" i="22" s="1"/>
  <c r="J219" i="12"/>
  <c r="J118" i="22" s="1"/>
  <c r="G207" i="12"/>
  <c r="F10" i="12" s="1"/>
  <c r="E219" i="12"/>
  <c r="F207" i="12"/>
  <c r="F9" i="12" s="1"/>
  <c r="C207" i="12"/>
  <c r="F7" i="12" s="1"/>
  <c r="I207" i="12"/>
  <c r="F12" i="12" s="1"/>
  <c r="I213" i="12"/>
  <c r="J207" i="12"/>
  <c r="F13" i="12" s="1"/>
  <c r="D218" i="12"/>
  <c r="E77" i="12"/>
  <c r="L77" i="12" s="1"/>
  <c r="H61" i="28"/>
  <c r="G24" i="28"/>
  <c r="F60" i="28"/>
  <c r="H24" i="28"/>
  <c r="G88" i="28"/>
  <c r="G59" i="28"/>
  <c r="H30" i="28"/>
  <c r="G95" i="28"/>
  <c r="G56" i="28"/>
  <c r="F59" i="28"/>
  <c r="H28" i="28"/>
  <c r="H94" i="28"/>
  <c r="H64" i="28"/>
  <c r="G57" i="28"/>
  <c r="F28" i="28"/>
  <c r="G94" i="28"/>
  <c r="G64" i="28"/>
  <c r="H27" i="28"/>
  <c r="G92" i="28"/>
  <c r="H62" i="28"/>
  <c r="G25" i="28"/>
  <c r="G89" i="28"/>
  <c r="F62" i="28"/>
  <c r="H96" i="28"/>
  <c r="F94" i="28"/>
  <c r="G91" i="28"/>
  <c r="F64" i="28"/>
  <c r="G61" i="28"/>
  <c r="H58" i="28"/>
  <c r="H32" i="28"/>
  <c r="F30" i="28"/>
  <c r="G27" i="28"/>
  <c r="H88" i="28"/>
  <c r="F89" i="28"/>
  <c r="F25" i="28"/>
  <c r="G96" i="28"/>
  <c r="H93" i="28"/>
  <c r="F91" i="28"/>
  <c r="H63" i="28"/>
  <c r="F61" i="28"/>
  <c r="G58" i="28"/>
  <c r="G32" i="28"/>
  <c r="H29" i="28"/>
  <c r="F27" i="28"/>
  <c r="F96" i="28"/>
  <c r="G93" i="28"/>
  <c r="H90" i="28"/>
  <c r="G63" i="28"/>
  <c r="H60" i="28"/>
  <c r="F58" i="28"/>
  <c r="F32" i="28"/>
  <c r="G29" i="28"/>
  <c r="H26" i="28"/>
  <c r="F92" i="28"/>
  <c r="H91" i="28"/>
  <c r="G30" i="28"/>
  <c r="H95" i="28"/>
  <c r="F93" i="28"/>
  <c r="F56" i="28"/>
  <c r="F63" i="28"/>
  <c r="G60" i="28"/>
  <c r="H57" i="28"/>
  <c r="H31" i="28"/>
  <c r="F29" i="28"/>
  <c r="G26" i="28"/>
  <c r="H92" i="28"/>
  <c r="F90" i="28"/>
  <c r="G31" i="28"/>
  <c r="F26" i="28"/>
  <c r="F88" i="28"/>
  <c r="H56" i="28"/>
  <c r="F24" i="28"/>
  <c r="E75" i="12"/>
  <c r="E78" i="12"/>
  <c r="L78" i="12" s="1"/>
  <c r="E86" i="12"/>
  <c r="L86" i="12" s="1"/>
  <c r="E76" i="12"/>
  <c r="C117" i="12"/>
  <c r="D138" i="12"/>
  <c r="C235" i="12"/>
  <c r="C51" i="22" l="1"/>
  <c r="G57" i="22" s="1"/>
  <c r="C35" i="22"/>
  <c r="F57" i="22" s="1"/>
  <c r="T13" i="22"/>
  <c r="T25" i="22" s="1"/>
  <c r="K99" i="12"/>
  <c r="K25" i="22" s="1"/>
  <c r="K94" i="12"/>
  <c r="K9" i="22" s="1"/>
  <c r="K104" i="12"/>
  <c r="K41" i="22" s="1"/>
  <c r="I94" i="12"/>
  <c r="I9" i="22" s="1"/>
  <c r="I104" i="12"/>
  <c r="I41" i="22" s="1"/>
  <c r="I99" i="12"/>
  <c r="I25" i="22" s="1"/>
  <c r="G104" i="12"/>
  <c r="G41" i="22" s="1"/>
  <c r="G99" i="12"/>
  <c r="G25" i="22" s="1"/>
  <c r="G94" i="12"/>
  <c r="G9" i="22" s="1"/>
  <c r="L76" i="12"/>
  <c r="J99" i="12"/>
  <c r="J25" i="22" s="1"/>
  <c r="J94" i="12"/>
  <c r="J9" i="22" s="1"/>
  <c r="J104" i="12"/>
  <c r="J41" i="22" s="1"/>
  <c r="H104" i="12"/>
  <c r="H41" i="22" s="1"/>
  <c r="H94" i="12"/>
  <c r="H9" i="22" s="1"/>
  <c r="H99" i="12"/>
  <c r="H25" i="22" s="1"/>
  <c r="F172" i="12"/>
  <c r="F103" i="12"/>
  <c r="F40" i="22" s="1"/>
  <c r="F98" i="12"/>
  <c r="F24" i="22" s="1"/>
  <c r="F93" i="12"/>
  <c r="F8" i="22" s="1"/>
  <c r="L75" i="12"/>
  <c r="D147" i="12"/>
  <c r="E147" i="12" s="1"/>
  <c r="C69" i="12"/>
  <c r="J57" i="22" s="1"/>
  <c r="C51" i="12"/>
  <c r="I57" i="22" s="1"/>
  <c r="C287" i="12"/>
  <c r="D146" i="12"/>
  <c r="C214" i="12"/>
  <c r="C286" i="12"/>
  <c r="E105" i="22"/>
  <c r="L213" i="12"/>
  <c r="L221" i="12"/>
  <c r="L220" i="12"/>
  <c r="L218" i="12"/>
  <c r="H288" i="12"/>
  <c r="J289" i="12"/>
  <c r="E28" i="14" s="1"/>
  <c r="J217" i="12"/>
  <c r="F356" i="12"/>
  <c r="F365" i="12" s="1"/>
  <c r="F329" i="12" s="1"/>
  <c r="F147" i="12"/>
  <c r="E356" i="12"/>
  <c r="D250" i="12"/>
  <c r="D357" i="12"/>
  <c r="C259" i="12"/>
  <c r="J148" i="12"/>
  <c r="J366" i="12"/>
  <c r="J331" i="12" s="1"/>
  <c r="D248" i="12"/>
  <c r="D355" i="12"/>
  <c r="G248" i="12"/>
  <c r="G257" i="12" s="1"/>
  <c r="G214" i="12" s="1"/>
  <c r="G355" i="12"/>
  <c r="G364" i="12" s="1"/>
  <c r="G328" i="12" s="1"/>
  <c r="I248" i="12"/>
  <c r="I257" i="12" s="1"/>
  <c r="I214" i="12" s="1"/>
  <c r="I355" i="12"/>
  <c r="I364" i="12" s="1"/>
  <c r="I328" i="12" s="1"/>
  <c r="F248" i="12"/>
  <c r="F257" i="12" s="1"/>
  <c r="F214" i="12" s="1"/>
  <c r="F355" i="12"/>
  <c r="F364" i="12" s="1"/>
  <c r="F328" i="12" s="1"/>
  <c r="C365" i="12"/>
  <c r="C329" i="12" s="1"/>
  <c r="D249" i="12"/>
  <c r="D258" i="12" s="1"/>
  <c r="D356" i="12"/>
  <c r="D365" i="12" s="1"/>
  <c r="D329" i="12" s="1"/>
  <c r="K248" i="12"/>
  <c r="K257" i="12" s="1"/>
  <c r="K214" i="12" s="1"/>
  <c r="K355" i="12"/>
  <c r="K364" i="12" s="1"/>
  <c r="K328" i="12" s="1"/>
  <c r="K366" i="12"/>
  <c r="K331" i="12" s="1"/>
  <c r="K259" i="12"/>
  <c r="F148" i="12"/>
  <c r="F366" i="12"/>
  <c r="F331" i="12" s="1"/>
  <c r="F259" i="12"/>
  <c r="G249" i="12"/>
  <c r="G258" i="12" s="1"/>
  <c r="G215" i="12" s="1"/>
  <c r="G356" i="12"/>
  <c r="G365" i="12" s="1"/>
  <c r="G329" i="12" s="1"/>
  <c r="J249" i="12"/>
  <c r="J258" i="12" s="1"/>
  <c r="J215" i="12" s="1"/>
  <c r="J356" i="12"/>
  <c r="J365" i="12" s="1"/>
  <c r="J329" i="12" s="1"/>
  <c r="I249" i="12"/>
  <c r="I258" i="12" s="1"/>
  <c r="I215" i="12" s="1"/>
  <c r="I356" i="12"/>
  <c r="I365" i="12" s="1"/>
  <c r="I329" i="12" s="1"/>
  <c r="K249" i="12"/>
  <c r="K258" i="12" s="1"/>
  <c r="K215" i="12" s="1"/>
  <c r="K356" i="12"/>
  <c r="K365" i="12" s="1"/>
  <c r="K329" i="12" s="1"/>
  <c r="H259" i="12"/>
  <c r="H366" i="12"/>
  <c r="H331" i="12" s="1"/>
  <c r="H248" i="12"/>
  <c r="H257" i="12" s="1"/>
  <c r="H214" i="12" s="1"/>
  <c r="H355" i="12"/>
  <c r="H364" i="12" s="1"/>
  <c r="H328" i="12" s="1"/>
  <c r="J248" i="12"/>
  <c r="J257" i="12" s="1"/>
  <c r="J214" i="12" s="1"/>
  <c r="J355" i="12"/>
  <c r="J364" i="12" s="1"/>
  <c r="J328" i="12" s="1"/>
  <c r="I148" i="12"/>
  <c r="I366" i="12"/>
  <c r="I331" i="12" s="1"/>
  <c r="I259" i="12"/>
  <c r="D366" i="12"/>
  <c r="D259" i="12"/>
  <c r="G366" i="12"/>
  <c r="G331" i="12" s="1"/>
  <c r="G259" i="12"/>
  <c r="E248" i="12"/>
  <c r="E355" i="12"/>
  <c r="F249" i="12"/>
  <c r="E249" i="12"/>
  <c r="J146" i="12"/>
  <c r="H146" i="12"/>
  <c r="K146" i="12"/>
  <c r="G146" i="12"/>
  <c r="I146" i="12"/>
  <c r="K148" i="12"/>
  <c r="G148" i="12"/>
  <c r="G92" i="22"/>
  <c r="E82" i="12"/>
  <c r="L82" i="12" s="1"/>
  <c r="G105" i="22"/>
  <c r="F105" i="22"/>
  <c r="I9" i="12"/>
  <c r="F92" i="22"/>
  <c r="I13" i="12"/>
  <c r="J92" i="22"/>
  <c r="J105" i="22"/>
  <c r="E118" i="22"/>
  <c r="D219" i="12"/>
  <c r="E92" i="22"/>
  <c r="I10" i="12"/>
  <c r="E79" i="12"/>
  <c r="L79" i="12" s="1"/>
  <c r="I219" i="12"/>
  <c r="C219" i="12"/>
  <c r="E207" i="12"/>
  <c r="F6" i="12" s="1"/>
  <c r="D207" i="12"/>
  <c r="F8" i="12" s="1"/>
  <c r="K219" i="12"/>
  <c r="E99" i="12" l="1"/>
  <c r="E25" i="22" s="1"/>
  <c r="E94" i="12"/>
  <c r="E9" i="22" s="1"/>
  <c r="E104" i="12"/>
  <c r="E41" i="22" s="1"/>
  <c r="G103" i="12"/>
  <c r="G98" i="12"/>
  <c r="G24" i="22" s="1"/>
  <c r="X13" i="22" s="1"/>
  <c r="G93" i="12"/>
  <c r="L147" i="12"/>
  <c r="F104" i="12"/>
  <c r="F41" i="22" s="1"/>
  <c r="F51" i="22" s="1"/>
  <c r="F99" i="12"/>
  <c r="F25" i="22" s="1"/>
  <c r="W13" i="22" s="1"/>
  <c r="F94" i="12"/>
  <c r="D93" i="12"/>
  <c r="D8" i="22" s="1"/>
  <c r="U7" i="22" s="1"/>
  <c r="D98" i="12"/>
  <c r="D24" i="22" s="1"/>
  <c r="U13" i="22" s="1"/>
  <c r="D103" i="12"/>
  <c r="H103" i="12"/>
  <c r="H98" i="12"/>
  <c r="H24" i="22" s="1"/>
  <c r="Y13" i="22" s="1"/>
  <c r="H93" i="12"/>
  <c r="I103" i="12"/>
  <c r="I98" i="12"/>
  <c r="I24" i="22" s="1"/>
  <c r="Z13" i="22" s="1"/>
  <c r="I93" i="12"/>
  <c r="K98" i="12"/>
  <c r="K24" i="22" s="1"/>
  <c r="AB13" i="22" s="1"/>
  <c r="K93" i="12"/>
  <c r="K103" i="12"/>
  <c r="D99" i="12"/>
  <c r="D25" i="22" s="1"/>
  <c r="D94" i="12"/>
  <c r="D9" i="22" s="1"/>
  <c r="D104" i="12"/>
  <c r="D41" i="22" s="1"/>
  <c r="J98" i="12"/>
  <c r="J24" i="22" s="1"/>
  <c r="AA13" i="22" s="1"/>
  <c r="J93" i="12"/>
  <c r="J103" i="12"/>
  <c r="D172" i="12"/>
  <c r="E146" i="12"/>
  <c r="D331" i="12"/>
  <c r="E366" i="12"/>
  <c r="E259" i="12"/>
  <c r="E289" i="12" s="1"/>
  <c r="D215" i="12"/>
  <c r="E258" i="12"/>
  <c r="E365" i="12"/>
  <c r="C175" i="12"/>
  <c r="E8" i="14" s="1"/>
  <c r="E148" i="12"/>
  <c r="L148" i="12" s="1"/>
  <c r="C289" i="12"/>
  <c r="E22" i="14" s="1"/>
  <c r="C217" i="12"/>
  <c r="K288" i="12"/>
  <c r="D289" i="12"/>
  <c r="E23" i="14" s="1"/>
  <c r="D217" i="12"/>
  <c r="J288" i="12"/>
  <c r="K289" i="12"/>
  <c r="E29" i="14" s="1"/>
  <c r="K217" i="12"/>
  <c r="G289" i="12"/>
  <c r="E25" i="14" s="1"/>
  <c r="G217" i="12"/>
  <c r="G222" i="12" s="1"/>
  <c r="I289" i="12"/>
  <c r="E27" i="14" s="1"/>
  <c r="I217" i="12"/>
  <c r="H289" i="12"/>
  <c r="E26" i="14" s="1"/>
  <c r="H217" i="12"/>
  <c r="G288" i="12"/>
  <c r="D288" i="12"/>
  <c r="I288" i="12"/>
  <c r="F289" i="12"/>
  <c r="E24" i="14" s="1"/>
  <c r="F217" i="12"/>
  <c r="D257" i="12"/>
  <c r="D364" i="12"/>
  <c r="E364" i="12" s="1"/>
  <c r="I173" i="12"/>
  <c r="K287" i="12"/>
  <c r="K286" i="12"/>
  <c r="D173" i="12"/>
  <c r="F173" i="12"/>
  <c r="G286" i="12"/>
  <c r="G287" i="12"/>
  <c r="G173" i="12"/>
  <c r="J173" i="12"/>
  <c r="J286" i="12"/>
  <c r="J287" i="12"/>
  <c r="K172" i="12"/>
  <c r="K173" i="12"/>
  <c r="H172" i="12"/>
  <c r="H173" i="12"/>
  <c r="H286" i="12"/>
  <c r="H287" i="12"/>
  <c r="F287" i="12"/>
  <c r="F286" i="12"/>
  <c r="I286" i="12"/>
  <c r="I287" i="12"/>
  <c r="J367" i="12"/>
  <c r="D13" i="12" s="1"/>
  <c r="H367" i="12"/>
  <c r="D11" i="12" s="1"/>
  <c r="C367" i="12"/>
  <c r="D7" i="12" s="1"/>
  <c r="K367" i="12"/>
  <c r="D14" i="12" s="1"/>
  <c r="G367" i="12"/>
  <c r="D10" i="12" s="1"/>
  <c r="I367" i="12"/>
  <c r="D12" i="12" s="1"/>
  <c r="J172" i="12"/>
  <c r="F367" i="12"/>
  <c r="D9" i="12" s="1"/>
  <c r="F258" i="12"/>
  <c r="C260" i="12"/>
  <c r="G7" i="12" s="1"/>
  <c r="J260" i="12"/>
  <c r="G13" i="12" s="1"/>
  <c r="G260" i="12"/>
  <c r="G10" i="12" s="1"/>
  <c r="K260" i="12"/>
  <c r="G14" i="12" s="1"/>
  <c r="I260" i="12"/>
  <c r="G12" i="12" s="1"/>
  <c r="H260" i="12"/>
  <c r="G11" i="12" s="1"/>
  <c r="I172" i="12"/>
  <c r="G172" i="12"/>
  <c r="I14" i="12"/>
  <c r="E83" i="12"/>
  <c r="C87" i="12"/>
  <c r="I7" i="12" s="1"/>
  <c r="H219" i="12"/>
  <c r="L219" i="12" s="1"/>
  <c r="C118" i="22"/>
  <c r="C92" i="22"/>
  <c r="C105" i="22"/>
  <c r="I8" i="12"/>
  <c r="I118" i="22"/>
  <c r="I105" i="22"/>
  <c r="I92" i="22"/>
  <c r="D105" i="22"/>
  <c r="D118" i="22"/>
  <c r="D92" i="22"/>
  <c r="H207" i="12"/>
  <c r="F11" i="12" s="1"/>
  <c r="I12" i="12"/>
  <c r="K118" i="22"/>
  <c r="K92" i="22"/>
  <c r="K105" i="22"/>
  <c r="W19" i="22" l="1"/>
  <c r="K40" i="22"/>
  <c r="H40" i="22"/>
  <c r="G8" i="22"/>
  <c r="J40" i="22"/>
  <c r="K8" i="22"/>
  <c r="D40" i="22"/>
  <c r="H8" i="22"/>
  <c r="J8" i="22"/>
  <c r="G40" i="22"/>
  <c r="I8" i="22"/>
  <c r="F9" i="22"/>
  <c r="I40" i="22"/>
  <c r="L146" i="12"/>
  <c r="E93" i="12"/>
  <c r="E98" i="12"/>
  <c r="E24" i="22" s="1"/>
  <c r="E103" i="12"/>
  <c r="L83" i="12"/>
  <c r="L87" i="12" s="1"/>
  <c r="E87" i="12"/>
  <c r="I6" i="12" s="1"/>
  <c r="D19" i="22"/>
  <c r="E172" i="12"/>
  <c r="L172" i="12" s="1"/>
  <c r="E173" i="12"/>
  <c r="L258" i="12"/>
  <c r="L259" i="12"/>
  <c r="D157" i="12"/>
  <c r="E157" i="12" s="1"/>
  <c r="D156" i="12"/>
  <c r="E156" i="12" s="1"/>
  <c r="C174" i="12" s="1"/>
  <c r="L207" i="12"/>
  <c r="F15" i="12" s="1"/>
  <c r="C290" i="12"/>
  <c r="H7" i="12" s="1"/>
  <c r="E142" i="22" s="1"/>
  <c r="E217" i="12"/>
  <c r="D260" i="12"/>
  <c r="G8" i="12" s="1"/>
  <c r="E257" i="12"/>
  <c r="E260" i="12" s="1"/>
  <c r="G6" i="12" s="1"/>
  <c r="L173" i="12"/>
  <c r="E21" i="14"/>
  <c r="L289" i="12"/>
  <c r="G223" i="12"/>
  <c r="D367" i="12"/>
  <c r="D8" i="12" s="1"/>
  <c r="D328" i="12"/>
  <c r="E215" i="12"/>
  <c r="D286" i="12"/>
  <c r="D214" i="12"/>
  <c r="F215" i="12"/>
  <c r="D287" i="12"/>
  <c r="J222" i="12"/>
  <c r="J223" i="12" s="1"/>
  <c r="K290" i="12"/>
  <c r="H14" i="12" s="1"/>
  <c r="E149" i="22" s="1"/>
  <c r="I222" i="12"/>
  <c r="I223" i="12" s="1"/>
  <c r="H290" i="12"/>
  <c r="H11" i="12" s="1"/>
  <c r="E146" i="22" s="1"/>
  <c r="J290" i="12"/>
  <c r="H13" i="12" s="1"/>
  <c r="E148" i="22" s="1"/>
  <c r="F260" i="12"/>
  <c r="G9" i="12" s="1"/>
  <c r="F288" i="12"/>
  <c r="F290" i="12" s="1"/>
  <c r="H9" i="12" s="1"/>
  <c r="E144" i="22" s="1"/>
  <c r="E288" i="12"/>
  <c r="I290" i="12"/>
  <c r="H12" i="12" s="1"/>
  <c r="E147" i="22" s="1"/>
  <c r="G290" i="12"/>
  <c r="H10" i="12" s="1"/>
  <c r="E145" i="22" s="1"/>
  <c r="I11" i="12"/>
  <c r="H118" i="22"/>
  <c r="H105" i="22"/>
  <c r="H92" i="22"/>
  <c r="H222" i="12"/>
  <c r="H223" i="12" s="1"/>
  <c r="C222" i="12"/>
  <c r="C223" i="12" s="1"/>
  <c r="K222" i="12"/>
  <c r="K223" i="12" s="1"/>
  <c r="V13" i="22" l="1"/>
  <c r="V25" i="22" s="1"/>
  <c r="V39" i="22"/>
  <c r="V43" i="22" s="1"/>
  <c r="H19" i="22"/>
  <c r="Y7" i="22"/>
  <c r="K19" i="22"/>
  <c r="AB7" i="22"/>
  <c r="D51" i="22"/>
  <c r="U19" i="22"/>
  <c r="I51" i="22"/>
  <c r="Z19" i="22"/>
  <c r="H51" i="22"/>
  <c r="Y19" i="22"/>
  <c r="J51" i="22"/>
  <c r="AA19" i="22"/>
  <c r="F19" i="22"/>
  <c r="W7" i="22"/>
  <c r="I19" i="22"/>
  <c r="Z7" i="22"/>
  <c r="G51" i="22"/>
  <c r="X19" i="22"/>
  <c r="K51" i="22"/>
  <c r="G19" i="22"/>
  <c r="X7" i="22"/>
  <c r="J19" i="22"/>
  <c r="AA7" i="22"/>
  <c r="E40" i="22"/>
  <c r="E8" i="22"/>
  <c r="D25" i="14"/>
  <c r="D22" i="14"/>
  <c r="C24" i="14"/>
  <c r="F16" i="12"/>
  <c r="L217" i="12"/>
  <c r="C22" i="14"/>
  <c r="E214" i="12"/>
  <c r="E222" i="12" s="1"/>
  <c r="E287" i="12"/>
  <c r="L287" i="12" s="1"/>
  <c r="E286" i="12"/>
  <c r="L286" i="12" s="1"/>
  <c r="L257" i="12"/>
  <c r="L215" i="12"/>
  <c r="C28" i="14"/>
  <c r="D28" i="14"/>
  <c r="C26" i="14"/>
  <c r="D26" i="14"/>
  <c r="C25" i="14"/>
  <c r="C27" i="14"/>
  <c r="D27" i="14"/>
  <c r="C29" i="14"/>
  <c r="D29" i="14"/>
  <c r="L288" i="12"/>
  <c r="D290" i="12"/>
  <c r="H8" i="12" s="1"/>
  <c r="E143" i="22" s="1"/>
  <c r="F222" i="12"/>
  <c r="F223" i="12" s="1"/>
  <c r="D222" i="12"/>
  <c r="D223" i="12" s="1"/>
  <c r="L260" i="12"/>
  <c r="E19" i="22" l="1"/>
  <c r="E56" i="22" s="1"/>
  <c r="V7" i="22"/>
  <c r="E51" i="22"/>
  <c r="V19" i="22"/>
  <c r="G15" i="12"/>
  <c r="G16" i="12" s="1"/>
  <c r="I15" i="12"/>
  <c r="I16" i="12" s="1"/>
  <c r="D24" i="14"/>
  <c r="E290" i="12"/>
  <c r="H6" i="12" s="1"/>
  <c r="E141" i="22" s="1"/>
  <c r="L214" i="12"/>
  <c r="L222" i="12"/>
  <c r="E223" i="12"/>
  <c r="C23" i="14"/>
  <c r="D23" i="14"/>
  <c r="C78" i="37"/>
  <c r="C79" i="37" s="1"/>
  <c r="C157" i="37"/>
  <c r="C158" i="37" s="1"/>
  <c r="C159" i="37" s="1"/>
  <c r="C166" i="37" s="1"/>
  <c r="H7" i="37" s="1"/>
  <c r="K148" i="37"/>
  <c r="K69" i="37" s="1"/>
  <c r="K143" i="37"/>
  <c r="K64" i="37" s="1"/>
  <c r="K139" i="37"/>
  <c r="K60" i="37" s="1"/>
  <c r="K138" i="37"/>
  <c r="L98" i="37"/>
  <c r="L97" i="37"/>
  <c r="G104" i="37" s="1"/>
  <c r="L96" i="37"/>
  <c r="G103" i="37" s="1"/>
  <c r="L95" i="37"/>
  <c r="G102" i="37" s="1"/>
  <c r="C230" i="37"/>
  <c r="C231" i="37" s="1"/>
  <c r="C232" i="37" s="1"/>
  <c r="C239" i="37" s="1"/>
  <c r="E7" i="37" s="1"/>
  <c r="K221" i="37"/>
  <c r="K216" i="37"/>
  <c r="K212" i="37"/>
  <c r="K211" i="37"/>
  <c r="B10" i="28"/>
  <c r="B11" i="28"/>
  <c r="B12" i="28"/>
  <c r="B13" i="28"/>
  <c r="B14" i="28"/>
  <c r="B15" i="28"/>
  <c r="B16" i="28"/>
  <c r="B17" i="28"/>
  <c r="B18" i="28"/>
  <c r="B9" i="28"/>
  <c r="J17" i="28"/>
  <c r="I17" i="28"/>
  <c r="J16" i="28"/>
  <c r="I16" i="28"/>
  <c r="J15" i="28"/>
  <c r="I15" i="28"/>
  <c r="J14" i="28"/>
  <c r="I14" i="28"/>
  <c r="J13" i="28"/>
  <c r="I13" i="28"/>
  <c r="J12" i="28"/>
  <c r="I12" i="28"/>
  <c r="J11" i="28"/>
  <c r="I11" i="28"/>
  <c r="J10" i="28"/>
  <c r="I10" i="28"/>
  <c r="J9" i="28"/>
  <c r="I9" i="28"/>
  <c r="B74" i="28"/>
  <c r="B75" i="28"/>
  <c r="B76" i="28"/>
  <c r="B77" i="28"/>
  <c r="B78" i="28"/>
  <c r="B79" i="28"/>
  <c r="B80" i="28"/>
  <c r="B81" i="28"/>
  <c r="B82" i="28"/>
  <c r="B73" i="28"/>
  <c r="B42" i="28"/>
  <c r="B43" i="28"/>
  <c r="B44" i="28"/>
  <c r="B45" i="28"/>
  <c r="B46" i="28"/>
  <c r="B47" i="28"/>
  <c r="B48" i="28"/>
  <c r="B49" i="28"/>
  <c r="B50" i="28"/>
  <c r="B41" i="28"/>
  <c r="J49" i="28"/>
  <c r="I49" i="28"/>
  <c r="J48" i="28"/>
  <c r="I48" i="28"/>
  <c r="J47" i="28"/>
  <c r="I47" i="28"/>
  <c r="J46" i="28"/>
  <c r="I46" i="28"/>
  <c r="J45" i="28"/>
  <c r="I45" i="28"/>
  <c r="J44" i="28"/>
  <c r="I44" i="28"/>
  <c r="J43" i="28"/>
  <c r="I43" i="28"/>
  <c r="J42" i="28"/>
  <c r="I42" i="28"/>
  <c r="J41" i="28"/>
  <c r="I41" i="28"/>
  <c r="E165" i="37" l="1"/>
  <c r="E166" i="37" s="1"/>
  <c r="K59" i="37"/>
  <c r="D21" i="14"/>
  <c r="L290" i="12"/>
  <c r="C21" i="14"/>
  <c r="G175" i="37"/>
  <c r="G176" i="37"/>
  <c r="G177" i="37"/>
  <c r="F165" i="37"/>
  <c r="J86" i="37"/>
  <c r="J87" i="37" s="1"/>
  <c r="K13" i="37" s="1"/>
  <c r="I86" i="37"/>
  <c r="I87" i="37" s="1"/>
  <c r="K12" i="37" s="1"/>
  <c r="H86" i="37"/>
  <c r="H87" i="37" s="1"/>
  <c r="K11" i="37" s="1"/>
  <c r="G86" i="37"/>
  <c r="G87" i="37" s="1"/>
  <c r="K10" i="37" s="1"/>
  <c r="H165" i="37"/>
  <c r="H166" i="37" s="1"/>
  <c r="H11" i="37" s="1"/>
  <c r="C102" i="37"/>
  <c r="D103" i="37"/>
  <c r="D44" i="37" s="1"/>
  <c r="D102" i="37"/>
  <c r="C103" i="37"/>
  <c r="I165" i="37"/>
  <c r="I166" i="37" s="1"/>
  <c r="H12" i="37" s="1"/>
  <c r="F103" i="37"/>
  <c r="E103" i="37"/>
  <c r="F102" i="37"/>
  <c r="G165" i="37"/>
  <c r="G166" i="37" s="1"/>
  <c r="H10" i="37" s="1"/>
  <c r="E102" i="37"/>
  <c r="E37" i="37" s="1"/>
  <c r="G123" i="37"/>
  <c r="G117" i="37"/>
  <c r="G124" i="37"/>
  <c r="G118" i="37"/>
  <c r="G122" i="37"/>
  <c r="G116" i="37"/>
  <c r="C104" i="37"/>
  <c r="K104" i="37"/>
  <c r="K103" i="37"/>
  <c r="K102" i="37"/>
  <c r="K165" i="37"/>
  <c r="K166" i="37" s="1"/>
  <c r="H14" i="37" s="1"/>
  <c r="E104" i="37"/>
  <c r="J104" i="37"/>
  <c r="J103" i="37"/>
  <c r="J102" i="37"/>
  <c r="I104" i="37"/>
  <c r="I103" i="37"/>
  <c r="I102" i="37"/>
  <c r="D104" i="37"/>
  <c r="H104" i="37"/>
  <c r="H103" i="37"/>
  <c r="H102" i="37"/>
  <c r="J165" i="37"/>
  <c r="J166" i="37" s="1"/>
  <c r="H13" i="37" s="1"/>
  <c r="F104" i="37"/>
  <c r="F238" i="37"/>
  <c r="F239" i="37" s="1"/>
  <c r="E9" i="37" s="1"/>
  <c r="K238" i="37"/>
  <c r="I238" i="37"/>
  <c r="I239" i="37" s="1"/>
  <c r="E12" i="37" s="1"/>
  <c r="G238" i="37"/>
  <c r="G239" i="37" s="1"/>
  <c r="E10" i="37" s="1"/>
  <c r="J238" i="37"/>
  <c r="J239" i="37" s="1"/>
  <c r="E13" i="37" s="1"/>
  <c r="H238" i="37"/>
  <c r="H239" i="37" s="1"/>
  <c r="E11" i="37" s="1"/>
  <c r="E238" i="37"/>
  <c r="K86" i="37" l="1"/>
  <c r="K87" i="37" s="1"/>
  <c r="K14" i="37" s="1"/>
  <c r="E86" i="37"/>
  <c r="F87" i="37"/>
  <c r="K9" i="37" s="1"/>
  <c r="F166" i="37"/>
  <c r="H9" i="37" s="1"/>
  <c r="L165" i="37"/>
  <c r="H15" i="12"/>
  <c r="H16" i="12" s="1"/>
  <c r="I175" i="37"/>
  <c r="I37" i="37"/>
  <c r="F177" i="37"/>
  <c r="K176" i="37"/>
  <c r="K44" i="37"/>
  <c r="H175" i="37"/>
  <c r="H43" i="37"/>
  <c r="J175" i="37"/>
  <c r="J37" i="37"/>
  <c r="C177" i="37"/>
  <c r="K175" i="37"/>
  <c r="K177" i="37"/>
  <c r="K45" i="37"/>
  <c r="H176" i="37"/>
  <c r="H38" i="37"/>
  <c r="J176" i="37"/>
  <c r="I177" i="37"/>
  <c r="H177" i="37"/>
  <c r="H39" i="37"/>
  <c r="J177" i="37"/>
  <c r="J39" i="37"/>
  <c r="I176" i="37"/>
  <c r="I38" i="37"/>
  <c r="D177" i="37"/>
  <c r="D39" i="37"/>
  <c r="E177" i="37"/>
  <c r="E39" i="37"/>
  <c r="C116" i="37"/>
  <c r="C43" i="37"/>
  <c r="C175" i="37"/>
  <c r="F116" i="37"/>
  <c r="F175" i="37"/>
  <c r="F123" i="37"/>
  <c r="F176" i="37"/>
  <c r="E122" i="37"/>
  <c r="E175" i="37"/>
  <c r="C123" i="37"/>
  <c r="C176" i="37"/>
  <c r="D117" i="37"/>
  <c r="D176" i="37"/>
  <c r="E117" i="37"/>
  <c r="E176" i="37"/>
  <c r="D116" i="37"/>
  <c r="D175" i="37"/>
  <c r="G125" i="37"/>
  <c r="F11" i="37" s="1"/>
  <c r="E61" i="28" s="1"/>
  <c r="F26" i="14" s="1"/>
  <c r="G119" i="37"/>
  <c r="G11" i="37" s="1"/>
  <c r="E46" i="28" s="1"/>
  <c r="C122" i="37"/>
  <c r="E44" i="37"/>
  <c r="G38" i="37"/>
  <c r="F122" i="37"/>
  <c r="D122" i="37"/>
  <c r="D38" i="37"/>
  <c r="C117" i="37"/>
  <c r="I39" i="37"/>
  <c r="F39" i="37"/>
  <c r="C39" i="37"/>
  <c r="J38" i="37"/>
  <c r="G45" i="37"/>
  <c r="D123" i="37"/>
  <c r="F43" i="37"/>
  <c r="K43" i="37"/>
  <c r="E43" i="37"/>
  <c r="G43" i="37"/>
  <c r="F38" i="37"/>
  <c r="D37" i="37"/>
  <c r="C38" i="37"/>
  <c r="L104" i="37"/>
  <c r="E123" i="37"/>
  <c r="L103" i="37"/>
  <c r="L102" i="37"/>
  <c r="F117" i="37"/>
  <c r="E116" i="37"/>
  <c r="J118" i="37"/>
  <c r="J124" i="37"/>
  <c r="K117" i="37"/>
  <c r="K123" i="37"/>
  <c r="E118" i="37"/>
  <c r="E124" i="37"/>
  <c r="F124" i="37"/>
  <c r="F118" i="37"/>
  <c r="H123" i="37"/>
  <c r="H117" i="37"/>
  <c r="C118" i="37"/>
  <c r="C124" i="37"/>
  <c r="K118" i="37"/>
  <c r="K124" i="37"/>
  <c r="H124" i="37"/>
  <c r="H118" i="37"/>
  <c r="I122" i="37"/>
  <c r="I116" i="37"/>
  <c r="I117" i="37"/>
  <c r="I123" i="37"/>
  <c r="I118" i="37"/>
  <c r="I124" i="37"/>
  <c r="J116" i="37"/>
  <c r="J122" i="37"/>
  <c r="H122" i="37"/>
  <c r="H116" i="37"/>
  <c r="D118" i="37"/>
  <c r="D124" i="37"/>
  <c r="J123" i="37"/>
  <c r="J117" i="37"/>
  <c r="K116" i="37"/>
  <c r="K122" i="37"/>
  <c r="K239" i="37"/>
  <c r="E14" i="37" s="1"/>
  <c r="E239" i="37"/>
  <c r="D238" i="37"/>
  <c r="D239" i="37" s="1"/>
  <c r="E8" i="37" s="1"/>
  <c r="E15" i="37" l="1"/>
  <c r="H45" i="37"/>
  <c r="L86" i="37"/>
  <c r="E87" i="37"/>
  <c r="D119" i="37"/>
  <c r="G8" i="37" s="1"/>
  <c r="L24" i="37"/>
  <c r="K39" i="37"/>
  <c r="L25" i="37"/>
  <c r="L23" i="37"/>
  <c r="K61" i="28"/>
  <c r="U61" i="28" s="1"/>
  <c r="J61" i="28"/>
  <c r="T61" i="28" s="1"/>
  <c r="I61" i="28"/>
  <c r="E6" i="37"/>
  <c r="I45" i="37"/>
  <c r="E125" i="37"/>
  <c r="F9" i="37" s="1"/>
  <c r="E59" i="28" s="1"/>
  <c r="F24" i="14" s="1"/>
  <c r="E119" i="37"/>
  <c r="G9" i="37" s="1"/>
  <c r="E44" i="28" s="1"/>
  <c r="C44" i="37"/>
  <c r="F37" i="37"/>
  <c r="F40" i="37" s="1"/>
  <c r="J10" i="37" s="1"/>
  <c r="E13" i="28" s="1"/>
  <c r="E38" i="37"/>
  <c r="E40" i="37" s="1"/>
  <c r="J9" i="37" s="1"/>
  <c r="E12" i="28" s="1"/>
  <c r="H125" i="37"/>
  <c r="F12" i="37" s="1"/>
  <c r="E62" i="28" s="1"/>
  <c r="F27" i="14" s="1"/>
  <c r="I125" i="37"/>
  <c r="F13" i="37" s="1"/>
  <c r="E63" i="28" s="1"/>
  <c r="F28" i="14" s="1"/>
  <c r="F125" i="37"/>
  <c r="F10" i="37" s="1"/>
  <c r="E60" i="28" s="1"/>
  <c r="F25" i="14" s="1"/>
  <c r="K125" i="37"/>
  <c r="J125" i="37"/>
  <c r="F14" i="37" s="1"/>
  <c r="E64" i="28" s="1"/>
  <c r="F29" i="14" s="1"/>
  <c r="C125" i="37"/>
  <c r="F7" i="37" s="1"/>
  <c r="D125" i="37"/>
  <c r="F8" i="37" s="1"/>
  <c r="E58" i="28" s="1"/>
  <c r="F23" i="14" s="1"/>
  <c r="G44" i="37"/>
  <c r="G46" i="37" s="1"/>
  <c r="I11" i="37" s="1"/>
  <c r="E29" i="28" s="1"/>
  <c r="F12" i="14" s="1"/>
  <c r="J119" i="37"/>
  <c r="G14" i="37" s="1"/>
  <c r="E49" i="28" s="1"/>
  <c r="F119" i="37"/>
  <c r="G10" i="37" s="1"/>
  <c r="E45" i="28" s="1"/>
  <c r="C119" i="37"/>
  <c r="G7" i="37" s="1"/>
  <c r="I119" i="37"/>
  <c r="G13" i="37" s="1"/>
  <c r="E48" i="28" s="1"/>
  <c r="I43" i="37"/>
  <c r="H119" i="37"/>
  <c r="G12" i="37" s="1"/>
  <c r="E47" i="28" s="1"/>
  <c r="E45" i="37"/>
  <c r="E46" i="37" s="1"/>
  <c r="I9" i="37" s="1"/>
  <c r="E27" i="28" s="1"/>
  <c r="F10" i="14" s="1"/>
  <c r="K119" i="37"/>
  <c r="D43" i="37"/>
  <c r="H44" i="37"/>
  <c r="H46" i="37" s="1"/>
  <c r="I12" i="37" s="1"/>
  <c r="E30" i="28" s="1"/>
  <c r="F13" i="14" s="1"/>
  <c r="I44" i="37"/>
  <c r="D40" i="37"/>
  <c r="J8" i="37" s="1"/>
  <c r="J44" i="37"/>
  <c r="J43" i="37"/>
  <c r="K38" i="37"/>
  <c r="C37" i="37"/>
  <c r="C40" i="37" s="1"/>
  <c r="J7" i="37" s="1"/>
  <c r="D45" i="37"/>
  <c r="J45" i="37"/>
  <c r="F45" i="37"/>
  <c r="K46" i="37"/>
  <c r="I40" i="37"/>
  <c r="J13" i="37" s="1"/>
  <c r="E16" i="28" s="1"/>
  <c r="F44" i="37"/>
  <c r="J40" i="37"/>
  <c r="J14" i="37" s="1"/>
  <c r="E17" i="28" s="1"/>
  <c r="H37" i="37"/>
  <c r="H40" i="37" s="1"/>
  <c r="J12" i="37" s="1"/>
  <c r="E15" i="28" s="1"/>
  <c r="C45" i="37"/>
  <c r="G39" i="37"/>
  <c r="K37" i="37"/>
  <c r="G37" i="37"/>
  <c r="D165" i="37"/>
  <c r="D166" i="37" s="1"/>
  <c r="H8" i="37" s="1"/>
  <c r="D86" i="37" l="1"/>
  <c r="C87" i="37"/>
  <c r="K7" i="37" s="1"/>
  <c r="K59" i="28"/>
  <c r="U59" i="28" s="1"/>
  <c r="I59" i="28"/>
  <c r="J59" i="28"/>
  <c r="T59" i="28" s="1"/>
  <c r="G15" i="37"/>
  <c r="G6" i="37"/>
  <c r="E42" i="28"/>
  <c r="J30" i="28"/>
  <c r="T30" i="28" s="1"/>
  <c r="K30" i="28"/>
  <c r="U30" i="28" s="1"/>
  <c r="I30" i="28"/>
  <c r="K63" i="28"/>
  <c r="U63" i="28" s="1"/>
  <c r="I63" i="28"/>
  <c r="J63" i="28"/>
  <c r="T63" i="28" s="1"/>
  <c r="S61" i="28"/>
  <c r="L61" i="28"/>
  <c r="J60" i="28"/>
  <c r="T60" i="28" s="1"/>
  <c r="I60" i="28"/>
  <c r="K60" i="28"/>
  <c r="U60" i="28" s="1"/>
  <c r="C46" i="37"/>
  <c r="K62" i="28"/>
  <c r="U62" i="28" s="1"/>
  <c r="J62" i="28"/>
  <c r="T62" i="28" s="1"/>
  <c r="I62" i="28"/>
  <c r="I29" i="28"/>
  <c r="K29" i="28"/>
  <c r="U29" i="28" s="1"/>
  <c r="J29" i="28"/>
  <c r="T29" i="28" s="1"/>
  <c r="K27" i="28"/>
  <c r="U27" i="28" s="1"/>
  <c r="I27" i="28"/>
  <c r="J27" i="28"/>
  <c r="T27" i="28" s="1"/>
  <c r="I58" i="28"/>
  <c r="K58" i="28"/>
  <c r="U58" i="28" s="1"/>
  <c r="J58" i="28"/>
  <c r="T58" i="28" s="1"/>
  <c r="E57" i="28"/>
  <c r="F22" i="14" s="1"/>
  <c r="F6" i="37"/>
  <c r="E56" i="28" s="1"/>
  <c r="F21" i="14" s="1"/>
  <c r="F15" i="37"/>
  <c r="I64" i="28"/>
  <c r="K64" i="28"/>
  <c r="U64" i="28" s="1"/>
  <c r="J64" i="28"/>
  <c r="T64" i="28" s="1"/>
  <c r="J6" i="37"/>
  <c r="E10" i="28"/>
  <c r="E43" i="28"/>
  <c r="H15" i="37"/>
  <c r="H6" i="37"/>
  <c r="D46" i="37"/>
  <c r="I8" i="37" s="1"/>
  <c r="E26" i="28" s="1"/>
  <c r="F9" i="14" s="1"/>
  <c r="F46" i="37"/>
  <c r="I10" i="37" s="1"/>
  <c r="E28" i="28" s="1"/>
  <c r="F11" i="14" s="1"/>
  <c r="I46" i="37"/>
  <c r="I13" i="37" s="1"/>
  <c r="E31" i="28" s="1"/>
  <c r="F14" i="14" s="1"/>
  <c r="G40" i="37"/>
  <c r="J11" i="37" s="1"/>
  <c r="E14" i="28" s="1"/>
  <c r="J46" i="37"/>
  <c r="K40" i="37"/>
  <c r="E25" i="28" l="1"/>
  <c r="F8" i="14" s="1"/>
  <c r="I7" i="37"/>
  <c r="I14" i="37"/>
  <c r="E32" i="28" s="1"/>
  <c r="E41" i="28"/>
  <c r="I6" i="37"/>
  <c r="E24" i="28" s="1"/>
  <c r="J24" i="28" s="1"/>
  <c r="K26" i="28"/>
  <c r="U26" i="28" s="1"/>
  <c r="I26" i="28"/>
  <c r="J26" i="28"/>
  <c r="T26" i="28" s="1"/>
  <c r="I56" i="28"/>
  <c r="E65" i="28"/>
  <c r="K56" i="28"/>
  <c r="J56" i="28"/>
  <c r="I57" i="28"/>
  <c r="J57" i="28"/>
  <c r="T57" i="28" s="1"/>
  <c r="K57" i="28"/>
  <c r="U57" i="28" s="1"/>
  <c r="S63" i="28"/>
  <c r="L63" i="28"/>
  <c r="K28" i="28"/>
  <c r="U28" i="28" s="1"/>
  <c r="J28" i="28"/>
  <c r="T28" i="28" s="1"/>
  <c r="I28" i="28"/>
  <c r="J15" i="37"/>
  <c r="S27" i="28"/>
  <c r="L27" i="28"/>
  <c r="I15" i="37"/>
  <c r="S29" i="28"/>
  <c r="L29" i="28"/>
  <c r="S60" i="28"/>
  <c r="L60" i="28"/>
  <c r="S59" i="28"/>
  <c r="L59" i="28"/>
  <c r="S62" i="28"/>
  <c r="L62" i="28"/>
  <c r="S30" i="28"/>
  <c r="L30" i="28"/>
  <c r="I31" i="28"/>
  <c r="K31" i="28"/>
  <c r="U31" i="28" s="1"/>
  <c r="J31" i="28"/>
  <c r="T31" i="28" s="1"/>
  <c r="S64" i="28"/>
  <c r="L64" i="28"/>
  <c r="S58" i="28"/>
  <c r="L58" i="28"/>
  <c r="K25" i="28" l="1"/>
  <c r="U25" i="28" s="1"/>
  <c r="J25" i="28"/>
  <c r="T25" i="28" s="1"/>
  <c r="I25" i="28"/>
  <c r="S25" i="28" s="1"/>
  <c r="F15" i="14"/>
  <c r="K32" i="28"/>
  <c r="U32" i="28" s="1"/>
  <c r="E33" i="28"/>
  <c r="J32" i="28"/>
  <c r="T32" i="28" s="1"/>
  <c r="I32" i="28"/>
  <c r="S32" i="28" s="1"/>
  <c r="E50" i="28"/>
  <c r="K24" i="28"/>
  <c r="U24" i="28" s="1"/>
  <c r="F7" i="14"/>
  <c r="I24" i="28"/>
  <c r="S24" i="28" s="1"/>
  <c r="L28" i="28"/>
  <c r="S28" i="28"/>
  <c r="J65" i="28"/>
  <c r="T56" i="28"/>
  <c r="L57" i="28"/>
  <c r="S57" i="28"/>
  <c r="U56" i="28"/>
  <c r="K65" i="28"/>
  <c r="S31" i="28"/>
  <c r="L31" i="28"/>
  <c r="S56" i="28"/>
  <c r="I65" i="28"/>
  <c r="L56" i="28"/>
  <c r="S26" i="28"/>
  <c r="L26" i="28"/>
  <c r="T24" i="28"/>
  <c r="L25" i="28" l="1"/>
  <c r="J33" i="28"/>
  <c r="L32" i="28"/>
  <c r="K33" i="28"/>
  <c r="L24" i="28"/>
  <c r="I33" i="28"/>
  <c r="L65" i="28"/>
  <c r="L33" i="28" l="1"/>
  <c r="I74" i="28" l="1"/>
  <c r="J74" i="28"/>
  <c r="I75" i="28"/>
  <c r="J75" i="28"/>
  <c r="I76" i="28"/>
  <c r="J76" i="28"/>
  <c r="I77" i="28"/>
  <c r="J77" i="28"/>
  <c r="I78" i="28"/>
  <c r="J78" i="28"/>
  <c r="I79" i="28"/>
  <c r="J79" i="28"/>
  <c r="I80" i="28"/>
  <c r="J80" i="28"/>
  <c r="I81" i="28"/>
  <c r="J81" i="28"/>
  <c r="J73" i="28"/>
  <c r="I73" i="28"/>
  <c r="C17" i="36"/>
  <c r="C18" i="36" s="1"/>
  <c r="C38" i="36"/>
  <c r="D37" i="36"/>
  <c r="C59" i="36"/>
  <c r="D58" i="36"/>
  <c r="D54" i="36"/>
  <c r="D53" i="36"/>
  <c r="D52" i="36"/>
  <c r="D51" i="36"/>
  <c r="D50" i="36"/>
  <c r="D49" i="36"/>
  <c r="D48" i="36"/>
  <c r="L237" i="31"/>
  <c r="L234" i="31"/>
  <c r="L232" i="31"/>
  <c r="K229" i="31"/>
  <c r="K226" i="31"/>
  <c r="K223" i="31"/>
  <c r="F221" i="31"/>
  <c r="R54" i="35"/>
  <c r="F48" i="31" s="1"/>
  <c r="S54" i="35"/>
  <c r="G48" i="31" s="1"/>
  <c r="T54" i="35"/>
  <c r="H48" i="31" s="1"/>
  <c r="U54" i="35"/>
  <c r="I48" i="31" s="1"/>
  <c r="V54" i="35"/>
  <c r="J48" i="31" s="1"/>
  <c r="W54" i="35"/>
  <c r="K48" i="31" s="1"/>
  <c r="X54" i="35"/>
  <c r="L48" i="31" s="1"/>
  <c r="H193" i="35"/>
  <c r="G193" i="35"/>
  <c r="F193" i="35"/>
  <c r="K144" i="35"/>
  <c r="J144" i="35"/>
  <c r="I144" i="35"/>
  <c r="H144" i="35"/>
  <c r="G144" i="35"/>
  <c r="F144" i="35"/>
  <c r="E144" i="35"/>
  <c r="K143" i="35"/>
  <c r="J143" i="35"/>
  <c r="I143" i="35"/>
  <c r="H143" i="35"/>
  <c r="G143" i="35"/>
  <c r="F143" i="35"/>
  <c r="E143" i="35"/>
  <c r="K142" i="35"/>
  <c r="J142" i="35"/>
  <c r="I142" i="35"/>
  <c r="H142" i="35"/>
  <c r="G142" i="35"/>
  <c r="F142" i="35"/>
  <c r="E142" i="35"/>
  <c r="K138" i="35"/>
  <c r="J138" i="35"/>
  <c r="I138" i="35"/>
  <c r="H138" i="35"/>
  <c r="G138" i="35"/>
  <c r="F138" i="35"/>
  <c r="E138" i="35"/>
  <c r="K137" i="35"/>
  <c r="J137" i="35"/>
  <c r="I137" i="35"/>
  <c r="H137" i="35"/>
  <c r="G137" i="35"/>
  <c r="F137" i="35"/>
  <c r="E137" i="35"/>
  <c r="K136" i="35"/>
  <c r="J136" i="35"/>
  <c r="I136" i="35"/>
  <c r="H136" i="35"/>
  <c r="G136" i="35"/>
  <c r="F136" i="35"/>
  <c r="E136" i="35"/>
  <c r="K135" i="35"/>
  <c r="J135" i="35"/>
  <c r="I135" i="35"/>
  <c r="H135" i="35"/>
  <c r="G135" i="35"/>
  <c r="F135" i="35"/>
  <c r="E135" i="35"/>
  <c r="K115" i="35"/>
  <c r="J115" i="35"/>
  <c r="I115" i="35"/>
  <c r="H115" i="35"/>
  <c r="G115" i="35"/>
  <c r="F115" i="35"/>
  <c r="E115" i="35"/>
  <c r="K100" i="35"/>
  <c r="J100" i="35"/>
  <c r="I100" i="35"/>
  <c r="H100" i="35"/>
  <c r="G100" i="35"/>
  <c r="F100" i="35"/>
  <c r="E100" i="35"/>
  <c r="K65" i="35"/>
  <c r="J65" i="35"/>
  <c r="I65" i="35"/>
  <c r="H65" i="35"/>
  <c r="G65" i="35"/>
  <c r="F65" i="35"/>
  <c r="E65" i="35"/>
  <c r="J55" i="35"/>
  <c r="I55" i="35"/>
  <c r="H55" i="35"/>
  <c r="G55" i="35"/>
  <c r="F55" i="35"/>
  <c r="E55" i="35"/>
  <c r="E236" i="31"/>
  <c r="K391" i="35"/>
  <c r="J391" i="35"/>
  <c r="I391" i="35"/>
  <c r="H391" i="35"/>
  <c r="G391" i="35"/>
  <c r="E391" i="35"/>
  <c r="K367" i="35"/>
  <c r="J367" i="35"/>
  <c r="I367" i="35"/>
  <c r="G367" i="35"/>
  <c r="F367" i="35"/>
  <c r="E367" i="35"/>
  <c r="K334" i="35"/>
  <c r="J334" i="35"/>
  <c r="I334" i="35"/>
  <c r="H334" i="35"/>
  <c r="G334" i="35"/>
  <c r="F334" i="35"/>
  <c r="E334" i="35"/>
  <c r="K333" i="35"/>
  <c r="J333" i="35"/>
  <c r="I333" i="35"/>
  <c r="H333" i="35"/>
  <c r="G333" i="35"/>
  <c r="F333" i="35"/>
  <c r="E333" i="35"/>
  <c r="K313" i="35"/>
  <c r="J313" i="35"/>
  <c r="I313" i="35"/>
  <c r="H313" i="35"/>
  <c r="G313" i="35"/>
  <c r="F313" i="35"/>
  <c r="E313" i="35"/>
  <c r="K298" i="35"/>
  <c r="J298" i="35"/>
  <c r="I298" i="35"/>
  <c r="H298" i="35"/>
  <c r="G298" i="35"/>
  <c r="F298" i="35"/>
  <c r="E298" i="35"/>
  <c r="K263" i="35"/>
  <c r="J263" i="35"/>
  <c r="I263" i="35"/>
  <c r="H263" i="35"/>
  <c r="G263" i="35"/>
  <c r="F263" i="35"/>
  <c r="E263" i="35"/>
  <c r="K253" i="35"/>
  <c r="J253" i="35"/>
  <c r="I253" i="35"/>
  <c r="H253" i="35"/>
  <c r="G253" i="35"/>
  <c r="F253" i="35"/>
  <c r="E253" i="35"/>
  <c r="B33" i="29"/>
  <c r="B32" i="29"/>
  <c r="B31" i="29"/>
  <c r="B30" i="29"/>
  <c r="B29" i="29"/>
  <c r="B28" i="29"/>
  <c r="B27" i="29"/>
  <c r="B26" i="29"/>
  <c r="B25" i="29"/>
  <c r="B24" i="29"/>
  <c r="B10" i="29"/>
  <c r="B11" i="29"/>
  <c r="B12" i="29"/>
  <c r="B13" i="29"/>
  <c r="B14" i="29"/>
  <c r="B15" i="29"/>
  <c r="B16" i="29"/>
  <c r="B17" i="29"/>
  <c r="B18" i="29"/>
  <c r="B9" i="29"/>
  <c r="H32" i="29"/>
  <c r="G32" i="29"/>
  <c r="H31" i="29"/>
  <c r="G31" i="29"/>
  <c r="H30" i="29"/>
  <c r="G30" i="29"/>
  <c r="H29" i="29"/>
  <c r="G29" i="29"/>
  <c r="H28" i="29"/>
  <c r="G28" i="29"/>
  <c r="H27" i="29"/>
  <c r="G27" i="29"/>
  <c r="H26" i="29"/>
  <c r="G26" i="29"/>
  <c r="H25" i="29"/>
  <c r="G25" i="29"/>
  <c r="H24" i="29"/>
  <c r="G24" i="29"/>
  <c r="H17" i="29"/>
  <c r="G17" i="29"/>
  <c r="H16" i="29"/>
  <c r="G16" i="29"/>
  <c r="H15" i="29"/>
  <c r="G15" i="29"/>
  <c r="H14" i="29"/>
  <c r="G14" i="29"/>
  <c r="H13" i="29"/>
  <c r="G13" i="29"/>
  <c r="H12" i="29"/>
  <c r="G12" i="29"/>
  <c r="H11" i="29"/>
  <c r="G11" i="29"/>
  <c r="H10" i="29"/>
  <c r="G10" i="29"/>
  <c r="H9" i="29"/>
  <c r="G9" i="29"/>
  <c r="B65" i="29"/>
  <c r="B64" i="29"/>
  <c r="B63" i="29"/>
  <c r="B62" i="29"/>
  <c r="B61" i="29"/>
  <c r="B60" i="29"/>
  <c r="B59" i="29"/>
  <c r="B58" i="29"/>
  <c r="B57" i="29"/>
  <c r="B56" i="29"/>
  <c r="B50" i="29"/>
  <c r="B49" i="29"/>
  <c r="B48" i="29"/>
  <c r="B47" i="29"/>
  <c r="B46" i="29"/>
  <c r="B45" i="29"/>
  <c r="B44" i="29"/>
  <c r="B43" i="29"/>
  <c r="B42" i="29"/>
  <c r="B41" i="29"/>
  <c r="H64" i="29"/>
  <c r="G64" i="29"/>
  <c r="H63" i="29"/>
  <c r="G63" i="29"/>
  <c r="H62" i="29"/>
  <c r="G62" i="29"/>
  <c r="H61" i="29"/>
  <c r="G61" i="29"/>
  <c r="H60" i="29"/>
  <c r="G60" i="29"/>
  <c r="H59" i="29"/>
  <c r="G59" i="29"/>
  <c r="H58" i="29"/>
  <c r="G58" i="29"/>
  <c r="H57" i="29"/>
  <c r="G57" i="29"/>
  <c r="H56" i="29"/>
  <c r="G56" i="29"/>
  <c r="H49" i="29"/>
  <c r="G49" i="29"/>
  <c r="H48" i="29"/>
  <c r="G48" i="29"/>
  <c r="H47" i="29"/>
  <c r="G47" i="29"/>
  <c r="H46" i="29"/>
  <c r="G46" i="29"/>
  <c r="H45" i="29"/>
  <c r="G45" i="29"/>
  <c r="H44" i="29"/>
  <c r="G44" i="29"/>
  <c r="H43" i="29"/>
  <c r="G43" i="29"/>
  <c r="H42" i="29"/>
  <c r="G42" i="29"/>
  <c r="H41" i="29"/>
  <c r="G41" i="29"/>
  <c r="C64" i="34"/>
  <c r="G9" i="34"/>
  <c r="E12" i="29" s="1"/>
  <c r="G10" i="34"/>
  <c r="E13" i="29" s="1"/>
  <c r="G11" i="34"/>
  <c r="E14" i="29" s="1"/>
  <c r="G12" i="34"/>
  <c r="E15" i="29" s="1"/>
  <c r="G13" i="34"/>
  <c r="E16" i="29" s="1"/>
  <c r="G14" i="34"/>
  <c r="E17" i="29" s="1"/>
  <c r="E70" i="34"/>
  <c r="F70" i="34"/>
  <c r="F9" i="34" s="1"/>
  <c r="E59" i="29" s="1"/>
  <c r="G70" i="34"/>
  <c r="F10" i="34" s="1"/>
  <c r="E60" i="29" s="1"/>
  <c r="H70" i="34"/>
  <c r="F11" i="34" s="1"/>
  <c r="E61" i="29" s="1"/>
  <c r="I70" i="34"/>
  <c r="F12" i="34" s="1"/>
  <c r="E62" i="29" s="1"/>
  <c r="J70" i="34"/>
  <c r="F13" i="34" s="1"/>
  <c r="E63" i="29" s="1"/>
  <c r="K70" i="34"/>
  <c r="F14" i="34" s="1"/>
  <c r="E64" i="29" s="1"/>
  <c r="E71" i="34"/>
  <c r="F71" i="34"/>
  <c r="E9" i="34" s="1"/>
  <c r="E44" i="29" s="1"/>
  <c r="G71" i="34"/>
  <c r="E10" i="34" s="1"/>
  <c r="E45" i="29" s="1"/>
  <c r="H71" i="34"/>
  <c r="E11" i="34" s="1"/>
  <c r="E46" i="29" s="1"/>
  <c r="I71" i="34"/>
  <c r="E12" i="34" s="1"/>
  <c r="E47" i="29" s="1"/>
  <c r="J71" i="34"/>
  <c r="E13" i="34" s="1"/>
  <c r="E48" i="29" s="1"/>
  <c r="K71" i="34"/>
  <c r="E14" i="34" s="1"/>
  <c r="E49" i="29" s="1"/>
  <c r="E102" i="34"/>
  <c r="F102" i="34"/>
  <c r="C9" i="34" s="1"/>
  <c r="E77" i="29" s="1"/>
  <c r="G102" i="34"/>
  <c r="C10" i="34" s="1"/>
  <c r="E78" i="29" s="1"/>
  <c r="H102" i="34"/>
  <c r="I102" i="34"/>
  <c r="C12" i="34" s="1"/>
  <c r="E80" i="29" s="1"/>
  <c r="J102" i="34"/>
  <c r="C13" i="34" s="1"/>
  <c r="E81" i="29" s="1"/>
  <c r="K102" i="34"/>
  <c r="C14" i="34" s="1"/>
  <c r="E82" i="29" s="1"/>
  <c r="E101" i="34"/>
  <c r="F101" i="34"/>
  <c r="D9" i="34" s="1"/>
  <c r="E92" i="29" s="1"/>
  <c r="G101" i="34"/>
  <c r="D10" i="34" s="1"/>
  <c r="E93" i="29" s="1"/>
  <c r="H101" i="34"/>
  <c r="D11" i="34" s="1"/>
  <c r="E94" i="29" s="1"/>
  <c r="I101" i="34"/>
  <c r="D12" i="34" s="1"/>
  <c r="E95" i="29" s="1"/>
  <c r="J101" i="34"/>
  <c r="D13" i="34" s="1"/>
  <c r="E96" i="29" s="1"/>
  <c r="K101" i="34"/>
  <c r="D107" i="34"/>
  <c r="D102" i="34" s="1"/>
  <c r="C8" i="34" s="1"/>
  <c r="E76" i="29" s="1"/>
  <c r="D106" i="34"/>
  <c r="D101" i="34" s="1"/>
  <c r="D14" i="34"/>
  <c r="E97" i="29" s="1"/>
  <c r="C11" i="34"/>
  <c r="E79" i="29" s="1"/>
  <c r="H14" i="34"/>
  <c r="E32" i="29" s="1"/>
  <c r="H13" i="34"/>
  <c r="E31" i="29" s="1"/>
  <c r="H12" i="34"/>
  <c r="E30" i="29" s="1"/>
  <c r="H11" i="34"/>
  <c r="E29" i="29" s="1"/>
  <c r="H10" i="34"/>
  <c r="E28" i="29" s="1"/>
  <c r="H9" i="34"/>
  <c r="E27" i="29" s="1"/>
  <c r="E313" i="12"/>
  <c r="L313" i="12" s="1"/>
  <c r="E314" i="12"/>
  <c r="L314" i="12" s="1"/>
  <c r="E315" i="12"/>
  <c r="L315" i="12" s="1"/>
  <c r="E316" i="12"/>
  <c r="L316" i="12" s="1"/>
  <c r="E317" i="12"/>
  <c r="L317" i="12" s="1"/>
  <c r="E318" i="12"/>
  <c r="E319" i="12"/>
  <c r="E320" i="12"/>
  <c r="E321" i="12"/>
  <c r="C322" i="12"/>
  <c r="C7" i="12" s="1"/>
  <c r="D322" i="12"/>
  <c r="C8" i="12" s="1"/>
  <c r="F322" i="12"/>
  <c r="C9" i="12" s="1"/>
  <c r="G322" i="12"/>
  <c r="C10" i="12" s="1"/>
  <c r="H322" i="12"/>
  <c r="C11" i="12" s="1"/>
  <c r="I322" i="12"/>
  <c r="C12" i="12" s="1"/>
  <c r="J322" i="12"/>
  <c r="C13" i="12" s="1"/>
  <c r="K322" i="12"/>
  <c r="C14" i="12" s="1"/>
  <c r="C327" i="12"/>
  <c r="D327" i="12"/>
  <c r="F327" i="12"/>
  <c r="G327" i="12"/>
  <c r="H327" i="12"/>
  <c r="I327" i="12"/>
  <c r="J327" i="12"/>
  <c r="K327" i="12"/>
  <c r="C330" i="12"/>
  <c r="D330" i="12"/>
  <c r="F330" i="12"/>
  <c r="G330" i="12"/>
  <c r="H330" i="12"/>
  <c r="I330" i="12"/>
  <c r="J330" i="12"/>
  <c r="K330" i="12"/>
  <c r="C332" i="12"/>
  <c r="D332" i="12"/>
  <c r="F332" i="12"/>
  <c r="G332" i="12"/>
  <c r="H332" i="12"/>
  <c r="I332" i="12"/>
  <c r="J332" i="12"/>
  <c r="K332" i="12"/>
  <c r="C333" i="12"/>
  <c r="D333" i="12"/>
  <c r="F333" i="12"/>
  <c r="G333" i="12"/>
  <c r="H333" i="12"/>
  <c r="I333" i="12"/>
  <c r="J333" i="12"/>
  <c r="K333" i="12"/>
  <c r="C334" i="12"/>
  <c r="D334" i="12"/>
  <c r="F334" i="12"/>
  <c r="G334" i="12"/>
  <c r="H334" i="12"/>
  <c r="I334" i="12"/>
  <c r="J334" i="12"/>
  <c r="K334" i="12"/>
  <c r="C335" i="12"/>
  <c r="D335" i="12"/>
  <c r="F335" i="12"/>
  <c r="G335" i="12"/>
  <c r="H335" i="12"/>
  <c r="I335" i="12"/>
  <c r="J335" i="12"/>
  <c r="K335" i="12"/>
  <c r="C342" i="12"/>
  <c r="C345" i="12"/>
  <c r="C347" i="12"/>
  <c r="E373" i="12"/>
  <c r="E374" i="12"/>
  <c r="D375" i="12"/>
  <c r="E375" i="12" s="1"/>
  <c r="D376" i="12"/>
  <c r="E376" i="12" s="1"/>
  <c r="E377" i="12"/>
  <c r="E378" i="12"/>
  <c r="E379" i="12"/>
  <c r="E380" i="12"/>
  <c r="E381" i="12"/>
  <c r="G90" i="29"/>
  <c r="H90" i="29"/>
  <c r="G91" i="29"/>
  <c r="H91" i="29"/>
  <c r="G92" i="29"/>
  <c r="H92" i="29"/>
  <c r="G93" i="29"/>
  <c r="H93" i="29"/>
  <c r="G94" i="29"/>
  <c r="H94" i="29"/>
  <c r="G95" i="29"/>
  <c r="H95" i="29"/>
  <c r="G96" i="29"/>
  <c r="H96" i="29"/>
  <c r="G97" i="29"/>
  <c r="H97" i="29"/>
  <c r="G75" i="29"/>
  <c r="H75" i="29"/>
  <c r="G76" i="29"/>
  <c r="H76" i="29"/>
  <c r="G77" i="29"/>
  <c r="H77" i="29"/>
  <c r="G78" i="29"/>
  <c r="H78" i="29"/>
  <c r="G79" i="29"/>
  <c r="H79" i="29"/>
  <c r="G80" i="29"/>
  <c r="H80" i="29"/>
  <c r="G81" i="29"/>
  <c r="H81" i="29"/>
  <c r="G82" i="29"/>
  <c r="H82" i="29"/>
  <c r="H89" i="29"/>
  <c r="G89" i="29"/>
  <c r="H74" i="29"/>
  <c r="G74" i="29"/>
  <c r="B98" i="29"/>
  <c r="B97" i="29"/>
  <c r="B96" i="29"/>
  <c r="B95" i="29"/>
  <c r="B94" i="29"/>
  <c r="B93" i="29"/>
  <c r="B92" i="29"/>
  <c r="B91" i="29"/>
  <c r="B90" i="29"/>
  <c r="B89" i="29"/>
  <c r="B75" i="29"/>
  <c r="B76" i="29"/>
  <c r="B77" i="29"/>
  <c r="B78" i="29"/>
  <c r="B79" i="29"/>
  <c r="B80" i="29"/>
  <c r="B81" i="29"/>
  <c r="B82" i="29"/>
  <c r="B83" i="29"/>
  <c r="B74" i="29"/>
  <c r="D9" i="35" l="1"/>
  <c r="E173" i="31" s="1"/>
  <c r="D10" i="35"/>
  <c r="D5" i="35"/>
  <c r="E169" i="31" s="1"/>
  <c r="D8" i="35"/>
  <c r="E172" i="31" s="1"/>
  <c r="D11" i="35"/>
  <c r="E175" i="31" s="1"/>
  <c r="D12" i="35"/>
  <c r="E176" i="31" s="1"/>
  <c r="D13" i="35"/>
  <c r="E177" i="31" s="1"/>
  <c r="L65" i="35"/>
  <c r="H343" i="35"/>
  <c r="G39" i="35" s="1"/>
  <c r="E9" i="35"/>
  <c r="E84" i="31" s="1"/>
  <c r="E5" i="35"/>
  <c r="E80" i="31" s="1"/>
  <c r="E8" i="35"/>
  <c r="E83" i="31" s="1"/>
  <c r="E262" i="31"/>
  <c r="E266" i="31"/>
  <c r="E261" i="31"/>
  <c r="E265" i="31"/>
  <c r="E11" i="35"/>
  <c r="E86" i="31" s="1"/>
  <c r="E10" i="35"/>
  <c r="E85" i="31" s="1"/>
  <c r="E263" i="31"/>
  <c r="L193" i="35"/>
  <c r="L263" i="35"/>
  <c r="E258" i="31"/>
  <c r="L391" i="35"/>
  <c r="L115" i="35"/>
  <c r="E174" i="31"/>
  <c r="L313" i="35"/>
  <c r="E12" i="35"/>
  <c r="E87" i="31" s="1"/>
  <c r="E264" i="31"/>
  <c r="E13" i="35"/>
  <c r="E88" i="31" s="1"/>
  <c r="C396" i="12"/>
  <c r="E36" i="14" s="1"/>
  <c r="E335" i="12"/>
  <c r="L321" i="12"/>
  <c r="E334" i="12"/>
  <c r="L320" i="12"/>
  <c r="E333" i="12"/>
  <c r="E162" i="22" s="1"/>
  <c r="L319" i="12"/>
  <c r="E332" i="12"/>
  <c r="L318" i="12"/>
  <c r="L365" i="12"/>
  <c r="C394" i="12"/>
  <c r="F395" i="12"/>
  <c r="H395" i="12"/>
  <c r="I395" i="12"/>
  <c r="K395" i="12"/>
  <c r="J395" i="12"/>
  <c r="G395" i="12"/>
  <c r="D395" i="12"/>
  <c r="C395" i="12"/>
  <c r="J396" i="12"/>
  <c r="E42" i="14" s="1"/>
  <c r="G396" i="12"/>
  <c r="E39" i="14" s="1"/>
  <c r="I396" i="12"/>
  <c r="E41" i="14" s="1"/>
  <c r="D396" i="12"/>
  <c r="E37" i="14" s="1"/>
  <c r="H396" i="12"/>
  <c r="E40" i="14" s="1"/>
  <c r="F396" i="12"/>
  <c r="E38" i="14" s="1"/>
  <c r="K396" i="12"/>
  <c r="E43" i="14" s="1"/>
  <c r="C393" i="12"/>
  <c r="J393" i="12"/>
  <c r="I394" i="12"/>
  <c r="H394" i="12"/>
  <c r="K394" i="12"/>
  <c r="F394" i="12"/>
  <c r="D393" i="12"/>
  <c r="D394" i="12"/>
  <c r="F393" i="12"/>
  <c r="G393" i="12"/>
  <c r="J394" i="12"/>
  <c r="K393" i="12"/>
  <c r="G394" i="12"/>
  <c r="I393" i="12"/>
  <c r="H393" i="12"/>
  <c r="E393" i="12"/>
  <c r="E327" i="12"/>
  <c r="E330" i="12"/>
  <c r="I188" i="22"/>
  <c r="I175" i="22"/>
  <c r="I162" i="22"/>
  <c r="H175" i="22"/>
  <c r="H162" i="22"/>
  <c r="H188" i="22"/>
  <c r="G162" i="22"/>
  <c r="G188" i="22"/>
  <c r="G175" i="22"/>
  <c r="F188" i="22"/>
  <c r="F162" i="22"/>
  <c r="F175" i="22"/>
  <c r="D188" i="22"/>
  <c r="D175" i="22"/>
  <c r="D162" i="22"/>
  <c r="C188" i="22"/>
  <c r="C175" i="22"/>
  <c r="C162" i="22"/>
  <c r="K188" i="22"/>
  <c r="K175" i="22"/>
  <c r="K162" i="22"/>
  <c r="J188" i="22"/>
  <c r="J175" i="22"/>
  <c r="J162" i="22"/>
  <c r="C60" i="36"/>
  <c r="E52" i="36" s="1"/>
  <c r="F79" i="28" s="1"/>
  <c r="C39" i="36"/>
  <c r="D55" i="36"/>
  <c r="D56" i="36" s="1"/>
  <c r="F222" i="31"/>
  <c r="G223" i="31"/>
  <c r="H224" i="31"/>
  <c r="I225" i="31"/>
  <c r="J226" i="31"/>
  <c r="K227" i="31"/>
  <c r="L228" i="31"/>
  <c r="F230" i="31"/>
  <c r="G231" i="31"/>
  <c r="H232" i="31"/>
  <c r="I233" i="31"/>
  <c r="K234" i="31"/>
  <c r="L235" i="31"/>
  <c r="F237" i="31"/>
  <c r="G222" i="31"/>
  <c r="H223" i="31"/>
  <c r="I224" i="31"/>
  <c r="J225" i="31"/>
  <c r="L227" i="31"/>
  <c r="F229" i="31"/>
  <c r="G230" i="31"/>
  <c r="H231" i="31"/>
  <c r="I232" i="31"/>
  <c r="J233" i="31"/>
  <c r="F236" i="31"/>
  <c r="G237" i="31"/>
  <c r="G221" i="31"/>
  <c r="H222" i="31"/>
  <c r="I223" i="31"/>
  <c r="J224" i="31"/>
  <c r="K225" i="31"/>
  <c r="L226" i="31"/>
  <c r="F228" i="31"/>
  <c r="G229" i="31"/>
  <c r="H230" i="31"/>
  <c r="I231" i="31"/>
  <c r="J232" i="31"/>
  <c r="K233" i="31"/>
  <c r="F235" i="31"/>
  <c r="G236" i="31"/>
  <c r="H237" i="31"/>
  <c r="H221" i="31"/>
  <c r="I222" i="31"/>
  <c r="J223" i="31"/>
  <c r="K224" i="31"/>
  <c r="L225" i="31"/>
  <c r="F227" i="31"/>
  <c r="G228" i="31"/>
  <c r="H229" i="31"/>
  <c r="I230" i="31"/>
  <c r="J231" i="31"/>
  <c r="K232" i="31"/>
  <c r="L233" i="31"/>
  <c r="F234" i="31"/>
  <c r="G235" i="31"/>
  <c r="H236" i="31"/>
  <c r="I237" i="31"/>
  <c r="I221" i="31"/>
  <c r="J222" i="31"/>
  <c r="L224" i="31"/>
  <c r="F226" i="31"/>
  <c r="G227" i="31"/>
  <c r="H228" i="31"/>
  <c r="I229" i="31"/>
  <c r="J230" i="31"/>
  <c r="K231" i="31"/>
  <c r="G234" i="31"/>
  <c r="H235" i="31"/>
  <c r="I236" i="31"/>
  <c r="J237" i="31"/>
  <c r="J221" i="31"/>
  <c r="K222" i="31"/>
  <c r="L223" i="31"/>
  <c r="F225" i="31"/>
  <c r="G226" i="31"/>
  <c r="H227" i="31"/>
  <c r="I228" i="31"/>
  <c r="J229" i="31"/>
  <c r="K230" i="31"/>
  <c r="L231" i="31"/>
  <c r="F233" i="31"/>
  <c r="H234" i="31"/>
  <c r="I235" i="31"/>
  <c r="J236" i="31"/>
  <c r="K237" i="31"/>
  <c r="K221" i="31"/>
  <c r="L222" i="31"/>
  <c r="F224" i="31"/>
  <c r="G225" i="31"/>
  <c r="H226" i="31"/>
  <c r="I227" i="31"/>
  <c r="J228" i="31"/>
  <c r="F232" i="31"/>
  <c r="G233" i="31"/>
  <c r="I234" i="31"/>
  <c r="J235" i="31"/>
  <c r="K236" i="31"/>
  <c r="L221" i="31"/>
  <c r="F223" i="31"/>
  <c r="G224" i="31"/>
  <c r="H225" i="31"/>
  <c r="I226" i="31"/>
  <c r="J227" i="31"/>
  <c r="K228" i="31"/>
  <c r="L229" i="31"/>
  <c r="F231" i="31"/>
  <c r="G232" i="31"/>
  <c r="H233" i="31"/>
  <c r="J234" i="31"/>
  <c r="K235" i="31"/>
  <c r="L236" i="31"/>
  <c r="L230" i="31"/>
  <c r="E85" i="35"/>
  <c r="G85" i="35"/>
  <c r="F85" i="35"/>
  <c r="F241" i="35"/>
  <c r="K37" i="35" s="1"/>
  <c r="G241" i="35"/>
  <c r="K38" i="35" s="1"/>
  <c r="H85" i="35"/>
  <c r="J145" i="35"/>
  <c r="J41" i="35" s="1"/>
  <c r="I39" i="14"/>
  <c r="K85" i="35"/>
  <c r="I42" i="35" s="1"/>
  <c r="K145" i="35"/>
  <c r="J42" i="35" s="1"/>
  <c r="H241" i="35"/>
  <c r="K39" i="35" s="1"/>
  <c r="E145" i="35"/>
  <c r="J34" i="35" s="1"/>
  <c r="I241" i="35"/>
  <c r="K40" i="35" s="1"/>
  <c r="I85" i="35"/>
  <c r="F145" i="35"/>
  <c r="J37" i="35" s="1"/>
  <c r="J241" i="35"/>
  <c r="K41" i="35" s="1"/>
  <c r="J85" i="35"/>
  <c r="G145" i="35"/>
  <c r="J38" i="35" s="1"/>
  <c r="H145" i="35"/>
  <c r="J39" i="35" s="1"/>
  <c r="I145" i="35"/>
  <c r="J40" i="35" s="1"/>
  <c r="I35" i="14"/>
  <c r="I38" i="14"/>
  <c r="I41" i="14"/>
  <c r="I42" i="14"/>
  <c r="K283" i="35"/>
  <c r="I43" i="14"/>
  <c r="I40" i="14"/>
  <c r="F343" i="35"/>
  <c r="G37" i="35" s="1"/>
  <c r="G283" i="35"/>
  <c r="J343" i="35"/>
  <c r="G41" i="35" s="1"/>
  <c r="F283" i="35"/>
  <c r="H283" i="35"/>
  <c r="I283" i="35"/>
  <c r="J283" i="35"/>
  <c r="E343" i="35"/>
  <c r="G34" i="35" s="1"/>
  <c r="E283" i="35"/>
  <c r="G343" i="35"/>
  <c r="G38" i="35" s="1"/>
  <c r="I343" i="35"/>
  <c r="G40" i="35" s="1"/>
  <c r="K343" i="35"/>
  <c r="G42" i="35" s="1"/>
  <c r="J13" i="29"/>
  <c r="M13" i="29" s="1"/>
  <c r="R13" i="29" s="1"/>
  <c r="K12" i="29"/>
  <c r="N12" i="29" s="1"/>
  <c r="S12" i="29" s="1"/>
  <c r="C349" i="12"/>
  <c r="E322" i="12"/>
  <c r="C6" i="12" s="1"/>
  <c r="K48" i="29"/>
  <c r="N48" i="29" s="1"/>
  <c r="S48" i="29" s="1"/>
  <c r="K17" i="29"/>
  <c r="N17" i="29" s="1"/>
  <c r="S17" i="29" s="1"/>
  <c r="K27" i="29"/>
  <c r="N27" i="29" s="1"/>
  <c r="S27" i="29" s="1"/>
  <c r="K16" i="29"/>
  <c r="N16" i="29" s="1"/>
  <c r="S16" i="29" s="1"/>
  <c r="K60" i="29"/>
  <c r="N60" i="29" s="1"/>
  <c r="S60" i="29" s="1"/>
  <c r="J14" i="29"/>
  <c r="M14" i="29" s="1"/>
  <c r="R14" i="29" s="1"/>
  <c r="J30" i="29"/>
  <c r="M30" i="29" s="1"/>
  <c r="R30" i="29" s="1"/>
  <c r="K46" i="29"/>
  <c r="N46" i="29" s="1"/>
  <c r="S46" i="29" s="1"/>
  <c r="J17" i="29"/>
  <c r="M17" i="29" s="1"/>
  <c r="R17" i="29" s="1"/>
  <c r="J48" i="29"/>
  <c r="M48" i="29" s="1"/>
  <c r="R48" i="29" s="1"/>
  <c r="K44" i="29"/>
  <c r="N44" i="29" s="1"/>
  <c r="S44" i="29" s="1"/>
  <c r="K31" i="29"/>
  <c r="N31" i="29" s="1"/>
  <c r="S31" i="29" s="1"/>
  <c r="K32" i="29"/>
  <c r="N32" i="29" s="1"/>
  <c r="S32" i="29" s="1"/>
  <c r="J32" i="29"/>
  <c r="M32" i="29" s="1"/>
  <c r="R32" i="29" s="1"/>
  <c r="J31" i="29"/>
  <c r="M31" i="29" s="1"/>
  <c r="R31" i="29" s="1"/>
  <c r="K29" i="29"/>
  <c r="N29" i="29" s="1"/>
  <c r="S29" i="29" s="1"/>
  <c r="J28" i="29"/>
  <c r="M28" i="29" s="1"/>
  <c r="R28" i="29" s="1"/>
  <c r="K28" i="29"/>
  <c r="N28" i="29" s="1"/>
  <c r="S28" i="29" s="1"/>
  <c r="J15" i="29"/>
  <c r="M15" i="29" s="1"/>
  <c r="R15" i="29" s="1"/>
  <c r="K15" i="29"/>
  <c r="N15" i="29" s="1"/>
  <c r="S15" i="29" s="1"/>
  <c r="K14" i="29"/>
  <c r="N14" i="29" s="1"/>
  <c r="S14" i="29" s="1"/>
  <c r="K13" i="29"/>
  <c r="N13" i="29" s="1"/>
  <c r="S13" i="29" s="1"/>
  <c r="K61" i="29"/>
  <c r="N61" i="29" s="1"/>
  <c r="S61" i="29" s="1"/>
  <c r="J60" i="29"/>
  <c r="M60" i="29" s="1"/>
  <c r="R60" i="29" s="1"/>
  <c r="K59" i="29"/>
  <c r="N59" i="29" s="1"/>
  <c r="S59" i="29" s="1"/>
  <c r="J59" i="29"/>
  <c r="M59" i="29" s="1"/>
  <c r="R59" i="29" s="1"/>
  <c r="K45" i="29"/>
  <c r="N45" i="29" s="1"/>
  <c r="S45" i="29" s="1"/>
  <c r="J45" i="29"/>
  <c r="M45" i="29" s="1"/>
  <c r="R45" i="29" s="1"/>
  <c r="J44" i="29"/>
  <c r="M44" i="29" s="1"/>
  <c r="R44" i="29" s="1"/>
  <c r="K30" i="29"/>
  <c r="N30" i="29" s="1"/>
  <c r="S30" i="29" s="1"/>
  <c r="J29" i="29"/>
  <c r="M29" i="29" s="1"/>
  <c r="R29" i="29" s="1"/>
  <c r="J16" i="29"/>
  <c r="M16" i="29" s="1"/>
  <c r="R16" i="29" s="1"/>
  <c r="K64" i="29"/>
  <c r="N64" i="29" s="1"/>
  <c r="S64" i="29" s="1"/>
  <c r="J63" i="29"/>
  <c r="M63" i="29" s="1"/>
  <c r="R63" i="29" s="1"/>
  <c r="J12" i="29"/>
  <c r="M12" i="29" s="1"/>
  <c r="R12" i="29" s="1"/>
  <c r="J27" i="29"/>
  <c r="M27" i="29" s="1"/>
  <c r="R27" i="29" s="1"/>
  <c r="K63" i="29"/>
  <c r="N63" i="29" s="1"/>
  <c r="S63" i="29" s="1"/>
  <c r="K49" i="29"/>
  <c r="N49" i="29" s="1"/>
  <c r="S49" i="29" s="1"/>
  <c r="J49" i="29"/>
  <c r="M49" i="29" s="1"/>
  <c r="R49" i="29" s="1"/>
  <c r="J47" i="29"/>
  <c r="M47" i="29" s="1"/>
  <c r="R47" i="29" s="1"/>
  <c r="J46" i="29"/>
  <c r="M46" i="29" s="1"/>
  <c r="R46" i="29" s="1"/>
  <c r="K47" i="29"/>
  <c r="N47" i="29" s="1"/>
  <c r="S47" i="29" s="1"/>
  <c r="J61" i="29"/>
  <c r="M61" i="29" s="1"/>
  <c r="R61" i="29" s="1"/>
  <c r="K62" i="29"/>
  <c r="N62" i="29" s="1"/>
  <c r="S62" i="29" s="1"/>
  <c r="J62" i="29"/>
  <c r="M62" i="29" s="1"/>
  <c r="R62" i="29" s="1"/>
  <c r="J64" i="29"/>
  <c r="M64" i="29" s="1"/>
  <c r="R64" i="29" s="1"/>
  <c r="J94" i="29"/>
  <c r="M94" i="29" s="1"/>
  <c r="K96" i="29"/>
  <c r="N96" i="29" s="1"/>
  <c r="J97" i="29"/>
  <c r="M97" i="29" s="1"/>
  <c r="C101" i="34"/>
  <c r="D7" i="34" s="1"/>
  <c r="D8" i="34"/>
  <c r="E91" i="29" s="1"/>
  <c r="J91" i="29" s="1"/>
  <c r="M91" i="29" s="1"/>
  <c r="R91" i="29" s="1"/>
  <c r="C102" i="34"/>
  <c r="J79" i="29"/>
  <c r="K76" i="29"/>
  <c r="J76" i="29"/>
  <c r="J78" i="29"/>
  <c r="J80" i="29"/>
  <c r="K77" i="29"/>
  <c r="K92" i="29"/>
  <c r="N92" i="29" s="1"/>
  <c r="J77" i="29"/>
  <c r="J92" i="29"/>
  <c r="M92" i="29" s="1"/>
  <c r="K94" i="29"/>
  <c r="N94" i="29" s="1"/>
  <c r="K80" i="29"/>
  <c r="J93" i="29"/>
  <c r="M93" i="29" s="1"/>
  <c r="K95" i="29"/>
  <c r="N95" i="29" s="1"/>
  <c r="K81" i="29"/>
  <c r="J81" i="29"/>
  <c r="K78" i="29"/>
  <c r="J96" i="29"/>
  <c r="M96" i="29" s="1"/>
  <c r="K93" i="29"/>
  <c r="N93" i="29" s="1"/>
  <c r="J95" i="29"/>
  <c r="M95" i="29" s="1"/>
  <c r="K97" i="29"/>
  <c r="N97" i="29" s="1"/>
  <c r="K82" i="29"/>
  <c r="J82" i="29"/>
  <c r="K79" i="29"/>
  <c r="E12" i="30"/>
  <c r="E13" i="30"/>
  <c r="E14" i="30"/>
  <c r="E15" i="30"/>
  <c r="E16" i="30"/>
  <c r="E17" i="30"/>
  <c r="E28" i="30"/>
  <c r="E29" i="30"/>
  <c r="E30" i="30"/>
  <c r="E31" i="30"/>
  <c r="E32" i="30"/>
  <c r="E33" i="30"/>
  <c r="E45" i="30"/>
  <c r="E46" i="30"/>
  <c r="E47" i="30"/>
  <c r="E48" i="30"/>
  <c r="E49" i="30"/>
  <c r="E50" i="30"/>
  <c r="E51" i="30"/>
  <c r="E62" i="30"/>
  <c r="E63" i="30"/>
  <c r="E64" i="30"/>
  <c r="E65" i="30"/>
  <c r="E66" i="30"/>
  <c r="E67" i="30"/>
  <c r="E80" i="30"/>
  <c r="E81" i="30"/>
  <c r="E82" i="30"/>
  <c r="E83" i="30"/>
  <c r="E84" i="30"/>
  <c r="E85" i="30"/>
  <c r="E96" i="30"/>
  <c r="E97" i="30"/>
  <c r="E98" i="30"/>
  <c r="E99" i="30"/>
  <c r="E100" i="30"/>
  <c r="E101" i="30"/>
  <c r="G7" i="33"/>
  <c r="E8" i="33"/>
  <c r="E7" i="33"/>
  <c r="E6" i="33" s="1"/>
  <c r="E43" i="30" s="1"/>
  <c r="C7" i="33"/>
  <c r="G21" i="14" l="1"/>
  <c r="F34" i="35"/>
  <c r="G27" i="14"/>
  <c r="F40" i="35"/>
  <c r="G29" i="14"/>
  <c r="F42" i="35"/>
  <c r="G14" i="14"/>
  <c r="I41" i="35"/>
  <c r="G15" i="14"/>
  <c r="G7" i="14"/>
  <c r="I34" i="35"/>
  <c r="G26" i="14"/>
  <c r="I26" i="14" s="1"/>
  <c r="F39" i="35"/>
  <c r="G28" i="14"/>
  <c r="F41" i="35"/>
  <c r="G10" i="14"/>
  <c r="I37" i="35"/>
  <c r="G11" i="14"/>
  <c r="I38" i="35"/>
  <c r="G24" i="14"/>
  <c r="F37" i="35"/>
  <c r="G13" i="14"/>
  <c r="I40" i="35"/>
  <c r="G12" i="14"/>
  <c r="I12" i="14" s="1"/>
  <c r="I39" i="35"/>
  <c r="G25" i="14"/>
  <c r="F38" i="35"/>
  <c r="D15" i="34"/>
  <c r="M189" i="31"/>
  <c r="H39" i="31"/>
  <c r="L322" i="12"/>
  <c r="E175" i="22"/>
  <c r="E188" i="22"/>
  <c r="L393" i="12"/>
  <c r="E395" i="12"/>
  <c r="L395" i="12" s="1"/>
  <c r="E394" i="12"/>
  <c r="L394" i="12" s="1"/>
  <c r="L364" i="12"/>
  <c r="E367" i="12"/>
  <c r="D6" i="12" s="1"/>
  <c r="L366" i="12"/>
  <c r="E329" i="12"/>
  <c r="E396" i="12"/>
  <c r="E328" i="12"/>
  <c r="E331" i="12"/>
  <c r="I397" i="12"/>
  <c r="E12" i="12" s="1"/>
  <c r="E217" i="22" s="1"/>
  <c r="H397" i="12"/>
  <c r="E11" i="12" s="1"/>
  <c r="E216" i="22" s="1"/>
  <c r="E44" i="30"/>
  <c r="E15" i="33"/>
  <c r="D397" i="12"/>
  <c r="E8" i="12" s="1"/>
  <c r="E213" i="22" s="1"/>
  <c r="E10" i="30"/>
  <c r="K397" i="12"/>
  <c r="E13" i="12" s="1"/>
  <c r="E218" i="22" s="1"/>
  <c r="G397" i="12"/>
  <c r="E10" i="12" s="1"/>
  <c r="E215" i="22" s="1"/>
  <c r="J397" i="12"/>
  <c r="E14" i="12" s="1"/>
  <c r="E219" i="22" s="1"/>
  <c r="F397" i="12"/>
  <c r="E9" i="12" s="1"/>
  <c r="E214" i="22" s="1"/>
  <c r="C397" i="12"/>
  <c r="E7" i="12" s="1"/>
  <c r="E212" i="22" s="1"/>
  <c r="E50" i="36"/>
  <c r="F77" i="28" s="1"/>
  <c r="E48" i="36"/>
  <c r="F73" i="28" s="1"/>
  <c r="E49" i="36"/>
  <c r="F76" i="28" s="1"/>
  <c r="E53" i="36"/>
  <c r="F80" i="28" s="1"/>
  <c r="E54" i="36"/>
  <c r="F81" i="28" s="1"/>
  <c r="E51" i="36"/>
  <c r="F78" i="28" s="1"/>
  <c r="D236" i="31"/>
  <c r="D226" i="31"/>
  <c r="K91" i="29"/>
  <c r="N91" i="29" s="1"/>
  <c r="S91" i="29" s="1"/>
  <c r="E90" i="29"/>
  <c r="D6" i="34"/>
  <c r="E89" i="29" s="1"/>
  <c r="E78" i="30"/>
  <c r="F82" i="28" l="1"/>
  <c r="C15" i="12"/>
  <c r="C16" i="12" s="1"/>
  <c r="L367" i="12"/>
  <c r="D15" i="12" s="1"/>
  <c r="E35" i="14"/>
  <c r="L396" i="12"/>
  <c r="E397" i="12"/>
  <c r="E6" i="12" s="1"/>
  <c r="E211" i="22" s="1"/>
  <c r="J336" i="12"/>
  <c r="J337" i="12" s="1"/>
  <c r="H336" i="12"/>
  <c r="H337" i="12" s="1"/>
  <c r="I336" i="12"/>
  <c r="I337" i="12" s="1"/>
  <c r="D336" i="12"/>
  <c r="D337" i="12" s="1"/>
  <c r="G336" i="12"/>
  <c r="G337" i="12" s="1"/>
  <c r="K147" i="22"/>
  <c r="P147" i="22" s="1"/>
  <c r="I139" i="21" s="1"/>
  <c r="J147" i="22"/>
  <c r="O147" i="22" s="1"/>
  <c r="H139" i="21" s="1"/>
  <c r="I147" i="22"/>
  <c r="J143" i="22"/>
  <c r="O143" i="22" s="1"/>
  <c r="I143" i="22"/>
  <c r="K143" i="22"/>
  <c r="P143" i="22" s="1"/>
  <c r="J144" i="22"/>
  <c r="O144" i="22" s="1"/>
  <c r="H109" i="21" s="1"/>
  <c r="K144" i="22"/>
  <c r="P144" i="22" s="1"/>
  <c r="I109" i="21" s="1"/>
  <c r="I144" i="22"/>
  <c r="K149" i="22"/>
  <c r="P149" i="22" s="1"/>
  <c r="I159" i="21" s="1"/>
  <c r="I149" i="22"/>
  <c r="J149" i="22"/>
  <c r="O149" i="22" s="1"/>
  <c r="H159" i="21" s="1"/>
  <c r="I141" i="22"/>
  <c r="J141" i="22"/>
  <c r="E150" i="22"/>
  <c r="K141" i="22"/>
  <c r="I146" i="22"/>
  <c r="J146" i="22"/>
  <c r="O146" i="22" s="1"/>
  <c r="H119" i="21" s="1"/>
  <c r="K146" i="22"/>
  <c r="P146" i="22" s="1"/>
  <c r="I119" i="21" s="1"/>
  <c r="K142" i="22"/>
  <c r="P142" i="22" s="1"/>
  <c r="I89" i="21" s="1"/>
  <c r="I142" i="22"/>
  <c r="J142" i="22"/>
  <c r="O142" i="22" s="1"/>
  <c r="H89" i="21" s="1"/>
  <c r="I145" i="22"/>
  <c r="J145" i="22"/>
  <c r="O145" i="22" s="1"/>
  <c r="H129" i="21" s="1"/>
  <c r="K145" i="22"/>
  <c r="P145" i="22" s="1"/>
  <c r="I129" i="21" s="1"/>
  <c r="K148" i="22"/>
  <c r="P148" i="22" s="1"/>
  <c r="I149" i="21" s="1"/>
  <c r="I148" i="22"/>
  <c r="J148" i="22"/>
  <c r="O148" i="22" s="1"/>
  <c r="H149" i="21" s="1"/>
  <c r="E336" i="12"/>
  <c r="E337" i="12" s="1"/>
  <c r="E55" i="36"/>
  <c r="E226" i="31"/>
  <c r="K90" i="29"/>
  <c r="N90" i="29" s="1"/>
  <c r="J90" i="29"/>
  <c r="M90" i="29" s="1"/>
  <c r="E98" i="29"/>
  <c r="J89" i="29"/>
  <c r="K89" i="29"/>
  <c r="C336" i="12"/>
  <c r="C337" i="12" s="1"/>
  <c r="F336" i="12"/>
  <c r="F337" i="12" s="1"/>
  <c r="K336" i="12"/>
  <c r="K337" i="12" s="1"/>
  <c r="D16" i="12" l="1"/>
  <c r="C35" i="14"/>
  <c r="L397" i="12"/>
  <c r="D39" i="14"/>
  <c r="C41" i="14"/>
  <c r="I216" i="22"/>
  <c r="N216" i="22" s="1"/>
  <c r="G39" i="21" s="1"/>
  <c r="C40" i="14"/>
  <c r="J216" i="22"/>
  <c r="O216" i="22" s="1"/>
  <c r="H39" i="21" s="1"/>
  <c r="D35" i="14"/>
  <c r="K214" i="22"/>
  <c r="P214" i="22" s="1"/>
  <c r="I29" i="21" s="1"/>
  <c r="D38" i="14"/>
  <c r="I219" i="22"/>
  <c r="N219" i="22" s="1"/>
  <c r="G79" i="21" s="1"/>
  <c r="D43" i="14"/>
  <c r="K212" i="22"/>
  <c r="P212" i="22" s="1"/>
  <c r="I9" i="21" s="1"/>
  <c r="C36" i="14"/>
  <c r="K213" i="22"/>
  <c r="P213" i="22" s="1"/>
  <c r="D37" i="14"/>
  <c r="J212" i="22"/>
  <c r="O212" i="22" s="1"/>
  <c r="H9" i="21" s="1"/>
  <c r="K217" i="22"/>
  <c r="P217" i="22" s="1"/>
  <c r="I59" i="21" s="1"/>
  <c r="D41" i="14"/>
  <c r="J218" i="22"/>
  <c r="O218" i="22" s="1"/>
  <c r="H69" i="21" s="1"/>
  <c r="D42" i="14"/>
  <c r="C38" i="14"/>
  <c r="C43" i="14"/>
  <c r="C42" i="14"/>
  <c r="D36" i="14"/>
  <c r="C39" i="14"/>
  <c r="C37" i="14"/>
  <c r="D40" i="14"/>
  <c r="I214" i="22"/>
  <c r="N214" i="22" s="1"/>
  <c r="G29" i="21" s="1"/>
  <c r="J214" i="22"/>
  <c r="O214" i="22" s="1"/>
  <c r="H29" i="21" s="1"/>
  <c r="K216" i="22"/>
  <c r="P216" i="22" s="1"/>
  <c r="I39" i="21" s="1"/>
  <c r="K218" i="22"/>
  <c r="P218" i="22" s="1"/>
  <c r="I69" i="21" s="1"/>
  <c r="I212" i="22"/>
  <c r="N212" i="22" s="1"/>
  <c r="G9" i="21" s="1"/>
  <c r="I218" i="22"/>
  <c r="N218" i="22" s="1"/>
  <c r="G69" i="21" s="1"/>
  <c r="P141" i="22"/>
  <c r="I99" i="21" s="1"/>
  <c r="K150" i="22"/>
  <c r="N145" i="22"/>
  <c r="G129" i="21" s="1"/>
  <c r="L145" i="22"/>
  <c r="J219" i="22"/>
  <c r="O219" i="22" s="1"/>
  <c r="H79" i="21" s="1"/>
  <c r="O141" i="22"/>
  <c r="H99" i="21" s="1"/>
  <c r="J150" i="22"/>
  <c r="K219" i="22"/>
  <c r="P219" i="22" s="1"/>
  <c r="I79" i="21" s="1"/>
  <c r="N142" i="22"/>
  <c r="G89" i="21" s="1"/>
  <c r="L142" i="22"/>
  <c r="N141" i="22"/>
  <c r="G99" i="21" s="1"/>
  <c r="L141" i="22"/>
  <c r="I150" i="22"/>
  <c r="N143" i="22"/>
  <c r="L143" i="22"/>
  <c r="J213" i="22"/>
  <c r="O213" i="22" s="1"/>
  <c r="I213" i="22"/>
  <c r="N213" i="22" s="1"/>
  <c r="J217" i="22"/>
  <c r="O217" i="22" s="1"/>
  <c r="H59" i="21" s="1"/>
  <c r="N148" i="22"/>
  <c r="G149" i="21" s="1"/>
  <c r="L148" i="22"/>
  <c r="N149" i="22"/>
  <c r="G159" i="21" s="1"/>
  <c r="L149" i="22"/>
  <c r="N147" i="22"/>
  <c r="G139" i="21" s="1"/>
  <c r="L147" i="22"/>
  <c r="I217" i="22"/>
  <c r="N217" i="22" s="1"/>
  <c r="G59" i="21" s="1"/>
  <c r="N146" i="22"/>
  <c r="G119" i="21" s="1"/>
  <c r="L146" i="22"/>
  <c r="N144" i="22"/>
  <c r="G109" i="21" s="1"/>
  <c r="L144" i="22"/>
  <c r="I215" i="22"/>
  <c r="K215" i="22"/>
  <c r="P215" i="22" s="1"/>
  <c r="I49" i="21" s="1"/>
  <c r="J215" i="22"/>
  <c r="O215" i="22" s="1"/>
  <c r="H49" i="21" s="1"/>
  <c r="E220" i="22"/>
  <c r="N89" i="29"/>
  <c r="N98" i="29" s="1"/>
  <c r="K98" i="29"/>
  <c r="J98" i="29"/>
  <c r="M89" i="29"/>
  <c r="M98" i="29" s="1"/>
  <c r="E15" i="12" l="1"/>
  <c r="E16" i="12" s="1"/>
  <c r="K211" i="22"/>
  <c r="P211" i="22" s="1"/>
  <c r="I19" i="21" s="1"/>
  <c r="I211" i="22"/>
  <c r="N211" i="22" s="1"/>
  <c r="G19" i="21" s="1"/>
  <c r="J211" i="22"/>
  <c r="O211" i="22" s="1"/>
  <c r="H19" i="21" s="1"/>
  <c r="L216" i="22"/>
  <c r="L214" i="22"/>
  <c r="L218" i="22"/>
  <c r="L212" i="22"/>
  <c r="L217" i="22"/>
  <c r="L219" i="22"/>
  <c r="L150" i="22"/>
  <c r="U45" i="22" s="1"/>
  <c r="U46" i="22" s="1"/>
  <c r="U49" i="22" s="1"/>
  <c r="L213" i="22"/>
  <c r="N215" i="22"/>
  <c r="G49" i="21" s="1"/>
  <c r="L215" i="22"/>
  <c r="D23" i="33"/>
  <c r="D57" i="33"/>
  <c r="D41" i="33"/>
  <c r="F7" i="33" s="1"/>
  <c r="C32" i="33"/>
  <c r="C42" i="33"/>
  <c r="D39" i="33"/>
  <c r="B34" i="30"/>
  <c r="B33" i="30"/>
  <c r="B32" i="30"/>
  <c r="B31" i="30"/>
  <c r="B30" i="30"/>
  <c r="B29" i="30"/>
  <c r="B28" i="30"/>
  <c r="B27" i="30"/>
  <c r="B26" i="30"/>
  <c r="B25" i="30"/>
  <c r="B18" i="30"/>
  <c r="B17" i="30"/>
  <c r="B16" i="30"/>
  <c r="B15" i="30"/>
  <c r="B14" i="30"/>
  <c r="B13" i="30"/>
  <c r="B12" i="30"/>
  <c r="B11" i="30"/>
  <c r="B10" i="30"/>
  <c r="B9" i="30"/>
  <c r="H17" i="30"/>
  <c r="K17" i="30" s="1"/>
  <c r="P17" i="30" s="1"/>
  <c r="G17" i="30"/>
  <c r="J17" i="30" s="1"/>
  <c r="O17" i="30" s="1"/>
  <c r="H16" i="30"/>
  <c r="K16" i="30" s="1"/>
  <c r="P16" i="30" s="1"/>
  <c r="G16" i="30"/>
  <c r="J16" i="30" s="1"/>
  <c r="O16" i="30" s="1"/>
  <c r="H15" i="30"/>
  <c r="K15" i="30" s="1"/>
  <c r="P15" i="30" s="1"/>
  <c r="G15" i="30"/>
  <c r="J15" i="30" s="1"/>
  <c r="O15" i="30" s="1"/>
  <c r="H14" i="30"/>
  <c r="K14" i="30" s="1"/>
  <c r="P14" i="30" s="1"/>
  <c r="G14" i="30"/>
  <c r="J14" i="30" s="1"/>
  <c r="O14" i="30" s="1"/>
  <c r="H13" i="30"/>
  <c r="K13" i="30" s="1"/>
  <c r="P13" i="30" s="1"/>
  <c r="G13" i="30"/>
  <c r="J13" i="30" s="1"/>
  <c r="O13" i="30" s="1"/>
  <c r="H12" i="30"/>
  <c r="K12" i="30" s="1"/>
  <c r="P12" i="30" s="1"/>
  <c r="G12" i="30"/>
  <c r="J12" i="30" s="1"/>
  <c r="O12" i="30" s="1"/>
  <c r="H11" i="30"/>
  <c r="G11" i="30"/>
  <c r="H10" i="30"/>
  <c r="K10" i="30" s="1"/>
  <c r="P10" i="30" s="1"/>
  <c r="G10" i="30"/>
  <c r="J10" i="30" s="1"/>
  <c r="O10" i="30" s="1"/>
  <c r="H9" i="30"/>
  <c r="G9" i="30"/>
  <c r="B52" i="30"/>
  <c r="B51" i="30"/>
  <c r="B50" i="30"/>
  <c r="B49" i="30"/>
  <c r="B48" i="30"/>
  <c r="B47" i="30"/>
  <c r="B46" i="30"/>
  <c r="B45" i="30"/>
  <c r="B44" i="30"/>
  <c r="B43" i="30"/>
  <c r="B68" i="30"/>
  <c r="B67" i="30"/>
  <c r="B66" i="30"/>
  <c r="B65" i="30"/>
  <c r="B64" i="30"/>
  <c r="B63" i="30"/>
  <c r="B62" i="30"/>
  <c r="B61" i="30"/>
  <c r="B60" i="30"/>
  <c r="B59" i="30"/>
  <c r="B102" i="30"/>
  <c r="B101" i="30"/>
  <c r="B100" i="30"/>
  <c r="B99" i="30"/>
  <c r="B98" i="30"/>
  <c r="B97" i="30"/>
  <c r="B96" i="30"/>
  <c r="B95" i="30"/>
  <c r="B94" i="30"/>
  <c r="B93" i="30"/>
  <c r="B86" i="30"/>
  <c r="B85" i="30"/>
  <c r="B84" i="30"/>
  <c r="B83" i="30"/>
  <c r="B82" i="30"/>
  <c r="B81" i="30"/>
  <c r="B80" i="30"/>
  <c r="B79" i="30"/>
  <c r="B78" i="30"/>
  <c r="B77" i="30"/>
  <c r="H51" i="30"/>
  <c r="K51" i="30" s="1"/>
  <c r="P51" i="30" s="1"/>
  <c r="G51" i="30"/>
  <c r="J51" i="30" s="1"/>
  <c r="O51" i="30" s="1"/>
  <c r="H50" i="30"/>
  <c r="K50" i="30" s="1"/>
  <c r="P50" i="30" s="1"/>
  <c r="G50" i="30"/>
  <c r="J50" i="30" s="1"/>
  <c r="O50" i="30" s="1"/>
  <c r="H49" i="30"/>
  <c r="K49" i="30" s="1"/>
  <c r="P49" i="30" s="1"/>
  <c r="G49" i="30"/>
  <c r="J49" i="30" s="1"/>
  <c r="O49" i="30" s="1"/>
  <c r="H48" i="30"/>
  <c r="K48" i="30" s="1"/>
  <c r="P48" i="30" s="1"/>
  <c r="G48" i="30"/>
  <c r="J48" i="30" s="1"/>
  <c r="O48" i="30" s="1"/>
  <c r="H47" i="30"/>
  <c r="K47" i="30" s="1"/>
  <c r="P47" i="30" s="1"/>
  <c r="G47" i="30"/>
  <c r="J47" i="30" s="1"/>
  <c r="O47" i="30" s="1"/>
  <c r="H46" i="30"/>
  <c r="K46" i="30" s="1"/>
  <c r="P46" i="30" s="1"/>
  <c r="G46" i="30"/>
  <c r="J46" i="30" s="1"/>
  <c r="O46" i="30" s="1"/>
  <c r="H45" i="30"/>
  <c r="G45" i="30"/>
  <c r="J45" i="30" s="1"/>
  <c r="O45" i="30" s="1"/>
  <c r="H44" i="30"/>
  <c r="K44" i="30" s="1"/>
  <c r="P44" i="30" s="1"/>
  <c r="G44" i="30"/>
  <c r="J44" i="30" s="1"/>
  <c r="O44" i="30" s="1"/>
  <c r="H43" i="30"/>
  <c r="G43" i="30"/>
  <c r="B8" i="5"/>
  <c r="G78" i="30"/>
  <c r="J78" i="30" s="1"/>
  <c r="O78" i="30" s="1"/>
  <c r="H78" i="30"/>
  <c r="K78" i="30" s="1"/>
  <c r="P78" i="30" s="1"/>
  <c r="G79" i="30"/>
  <c r="H79" i="30"/>
  <c r="G80" i="30"/>
  <c r="J80" i="30" s="1"/>
  <c r="O80" i="30" s="1"/>
  <c r="H80" i="30"/>
  <c r="K80" i="30" s="1"/>
  <c r="P80" i="30" s="1"/>
  <c r="G81" i="30"/>
  <c r="J81" i="30" s="1"/>
  <c r="O81" i="30" s="1"/>
  <c r="H81" i="30"/>
  <c r="K81" i="30" s="1"/>
  <c r="P81" i="30" s="1"/>
  <c r="G82" i="30"/>
  <c r="J82" i="30" s="1"/>
  <c r="O82" i="30" s="1"/>
  <c r="H82" i="30"/>
  <c r="K82" i="30" s="1"/>
  <c r="P82" i="30" s="1"/>
  <c r="G83" i="30"/>
  <c r="J83" i="30" s="1"/>
  <c r="O83" i="30" s="1"/>
  <c r="H83" i="30"/>
  <c r="K83" i="30" s="1"/>
  <c r="P83" i="30" s="1"/>
  <c r="G84" i="30"/>
  <c r="J84" i="30" s="1"/>
  <c r="O84" i="30" s="1"/>
  <c r="H84" i="30"/>
  <c r="K84" i="30" s="1"/>
  <c r="P84" i="30" s="1"/>
  <c r="G85" i="30"/>
  <c r="J85" i="30" s="1"/>
  <c r="O85" i="30" s="1"/>
  <c r="H85" i="30"/>
  <c r="K85" i="30" s="1"/>
  <c r="P85" i="30" s="1"/>
  <c r="H77" i="30"/>
  <c r="G77" i="30"/>
  <c r="I220" i="22" l="1"/>
  <c r="J220" i="22"/>
  <c r="L211" i="22"/>
  <c r="K220" i="22"/>
  <c r="E60" i="30"/>
  <c r="H17" i="28"/>
  <c r="H9" i="28"/>
  <c r="H43" i="28"/>
  <c r="H14" i="28"/>
  <c r="H48" i="28"/>
  <c r="H11" i="28"/>
  <c r="H45" i="28"/>
  <c r="H44" i="28"/>
  <c r="H41" i="28"/>
  <c r="H16" i="28"/>
  <c r="H42" i="28"/>
  <c r="H10" i="28"/>
  <c r="H15" i="28"/>
  <c r="H13" i="28"/>
  <c r="H47" i="28"/>
  <c r="H49" i="28"/>
  <c r="H12" i="28"/>
  <c r="H46" i="28"/>
  <c r="H81" i="28"/>
  <c r="H76" i="28"/>
  <c r="H79" i="28"/>
  <c r="H74" i="28"/>
  <c r="H77" i="28"/>
  <c r="H80" i="28"/>
  <c r="H73" i="28"/>
  <c r="H75" i="28"/>
  <c r="H78" i="28"/>
  <c r="D24" i="33"/>
  <c r="H7" i="33" s="1"/>
  <c r="E26" i="30" s="1"/>
  <c r="F8" i="33"/>
  <c r="E61" i="30" s="1"/>
  <c r="D58" i="33"/>
  <c r="D7" i="33"/>
  <c r="E94" i="30" s="1"/>
  <c r="D42" i="33"/>
  <c r="K45" i="30"/>
  <c r="P45" i="30" s="1"/>
  <c r="L220" i="22" l="1"/>
  <c r="T45" i="22" s="1"/>
  <c r="T46" i="22" s="1"/>
  <c r="T49" i="22" s="1"/>
  <c r="F6" i="33"/>
  <c r="E59" i="30" s="1"/>
  <c r="E68" i="30" s="1"/>
  <c r="F15" i="33"/>
  <c r="AD1670" i="32" l="1"/>
  <c r="AD1669" i="32"/>
  <c r="AD1668" i="32"/>
  <c r="AD1667" i="32"/>
  <c r="AD1666" i="32"/>
  <c r="AD1665" i="32"/>
  <c r="AD1664" i="32"/>
  <c r="AD1663" i="32"/>
  <c r="AD1662" i="32"/>
  <c r="AD1661" i="32"/>
  <c r="AD1660" i="32"/>
  <c r="AD1659" i="32"/>
  <c r="AD1658" i="32"/>
  <c r="AD1657" i="32"/>
  <c r="AD1656" i="32"/>
  <c r="AD1655" i="32"/>
  <c r="AD1654" i="32"/>
  <c r="AD1653" i="32"/>
  <c r="AD1652" i="32"/>
  <c r="AD1651" i="32"/>
  <c r="AD1650" i="32"/>
  <c r="AD1649" i="32"/>
  <c r="AD1648" i="32"/>
  <c r="AD1647" i="32"/>
  <c r="AD1646" i="32"/>
  <c r="AD1645" i="32"/>
  <c r="AD1644" i="32"/>
  <c r="AD1643" i="32"/>
  <c r="AD1642" i="32"/>
  <c r="AD1641" i="32"/>
  <c r="AD1640" i="32"/>
  <c r="AD1639" i="32"/>
  <c r="AD1638" i="32"/>
  <c r="AD1637" i="32"/>
  <c r="AD1636" i="32"/>
  <c r="AD1635" i="32"/>
  <c r="AD1634" i="32"/>
  <c r="AD1633" i="32"/>
  <c r="AD1632" i="32"/>
  <c r="AD1631" i="32"/>
  <c r="AD1630" i="32"/>
  <c r="AD1629" i="32"/>
  <c r="AD1628" i="32"/>
  <c r="AD1627" i="32"/>
  <c r="AD1626" i="32"/>
  <c r="AD1625" i="32"/>
  <c r="AD1624" i="32"/>
  <c r="AD1623" i="32"/>
  <c r="AD1622" i="32"/>
  <c r="AD1621" i="32"/>
  <c r="AD1620" i="32"/>
  <c r="AD1619" i="32"/>
  <c r="AD1618" i="32"/>
  <c r="AD1617" i="32"/>
  <c r="AD1616" i="32"/>
  <c r="AD1615" i="32"/>
  <c r="AD1614" i="32"/>
  <c r="AD1613" i="32"/>
  <c r="AD1612" i="32"/>
  <c r="AD1611" i="32"/>
  <c r="AD1610" i="32"/>
  <c r="AD1609" i="32"/>
  <c r="AD1608" i="32"/>
  <c r="AD1607" i="32"/>
  <c r="AD1606" i="32"/>
  <c r="AD1605" i="32"/>
  <c r="AD1604" i="32"/>
  <c r="AD1603" i="32"/>
  <c r="AD1602" i="32"/>
  <c r="AD1601" i="32"/>
  <c r="AD1600" i="32"/>
  <c r="AD1599" i="32"/>
  <c r="AD1598" i="32"/>
  <c r="AD1597" i="32"/>
  <c r="AD1596" i="32"/>
  <c r="AD1595" i="32"/>
  <c r="AD1594" i="32"/>
  <c r="AD1593" i="32"/>
  <c r="AD1592" i="32"/>
  <c r="AD1591" i="32"/>
  <c r="AD1590" i="32"/>
  <c r="AD1589" i="32"/>
  <c r="AD1588" i="32"/>
  <c r="AD1587" i="32"/>
  <c r="AD1586" i="32"/>
  <c r="AD1585" i="32"/>
  <c r="AD1584" i="32"/>
  <c r="AD1583" i="32"/>
  <c r="AD1582" i="32"/>
  <c r="AD1581" i="32"/>
  <c r="AD1580" i="32"/>
  <c r="AD1579" i="32"/>
  <c r="AD1578" i="32"/>
  <c r="AD1577" i="32"/>
  <c r="AD1576" i="32"/>
  <c r="AD1575" i="32"/>
  <c r="AD1574" i="32"/>
  <c r="AD1573" i="32"/>
  <c r="AD1572" i="32"/>
  <c r="AD1571" i="32"/>
  <c r="AD1570" i="32"/>
  <c r="AD1569" i="32"/>
  <c r="AD1568" i="32"/>
  <c r="AD1567" i="32"/>
  <c r="AD1566" i="32"/>
  <c r="AD1565" i="32"/>
  <c r="AD1564" i="32"/>
  <c r="AD1563" i="32"/>
  <c r="AD1562" i="32"/>
  <c r="AD1561" i="32"/>
  <c r="AD1560" i="32"/>
  <c r="AD1559" i="32"/>
  <c r="AD1558" i="32"/>
  <c r="AD1557" i="32"/>
  <c r="AD1556" i="32"/>
  <c r="AD1555" i="32"/>
  <c r="AD1554" i="32"/>
  <c r="AD1553" i="32"/>
  <c r="AD1552" i="32"/>
  <c r="AD1551" i="32"/>
  <c r="AD1550" i="32"/>
  <c r="AD1549" i="32"/>
  <c r="AD1548" i="32"/>
  <c r="AD1547" i="32"/>
  <c r="AD1546" i="32"/>
  <c r="AD1545" i="32"/>
  <c r="AD1544" i="32"/>
  <c r="AD1543" i="32"/>
  <c r="AD1542" i="32"/>
  <c r="AD1541" i="32"/>
  <c r="AD1540" i="32"/>
  <c r="AD1539" i="32"/>
  <c r="AD1538" i="32"/>
  <c r="AD1537" i="32"/>
  <c r="AD1536" i="32"/>
  <c r="AD1535" i="32"/>
  <c r="AD1534" i="32"/>
  <c r="AD1533" i="32"/>
  <c r="AD1532" i="32"/>
  <c r="AD1531" i="32"/>
  <c r="AD1530" i="32"/>
  <c r="AD1529" i="32"/>
  <c r="AD1528" i="32"/>
  <c r="AD1527" i="32"/>
  <c r="AD1526" i="32"/>
  <c r="AD1525" i="32"/>
  <c r="AD1524" i="32"/>
  <c r="AD1523" i="32"/>
  <c r="AD1522" i="32"/>
  <c r="AD1521" i="32"/>
  <c r="AD1520" i="32"/>
  <c r="AD1519" i="32"/>
  <c r="AD1518" i="32"/>
  <c r="AD1517" i="32"/>
  <c r="AD1516" i="32"/>
  <c r="AD1515" i="32"/>
  <c r="AD1514" i="32"/>
  <c r="AD1513" i="32"/>
  <c r="AD1512" i="32"/>
  <c r="AD1511" i="32"/>
  <c r="AD1510" i="32"/>
  <c r="AD1509" i="32"/>
  <c r="AD1508" i="32"/>
  <c r="AD1507" i="32"/>
  <c r="AD1506" i="32"/>
  <c r="AD1505" i="32"/>
  <c r="AD1504" i="32"/>
  <c r="AD1503" i="32"/>
  <c r="AD1502" i="32"/>
  <c r="AD1501" i="32"/>
  <c r="AD1500" i="32"/>
  <c r="AD1499" i="32"/>
  <c r="AD1498" i="32"/>
  <c r="AD1497" i="32"/>
  <c r="AD1496" i="32"/>
  <c r="AD1495" i="32"/>
  <c r="AD1494" i="32"/>
  <c r="AD1493" i="32"/>
  <c r="AD1492" i="32"/>
  <c r="AD1491" i="32"/>
  <c r="AD1490" i="32"/>
  <c r="AD1489" i="32"/>
  <c r="AD1488" i="32"/>
  <c r="AD1487" i="32"/>
  <c r="AD1486" i="32"/>
  <c r="AD1485" i="32"/>
  <c r="AD1484" i="32"/>
  <c r="AD1483" i="32"/>
  <c r="AD1482" i="32"/>
  <c r="AD1481" i="32"/>
  <c r="AD1480" i="32"/>
  <c r="AD1479" i="32"/>
  <c r="AD1478" i="32"/>
  <c r="AD1477" i="32"/>
  <c r="AD1476" i="32"/>
  <c r="AD1475" i="32"/>
  <c r="AD1474" i="32"/>
  <c r="AD1473" i="32"/>
  <c r="AD1472" i="32"/>
  <c r="AD1471" i="32"/>
  <c r="AD1470" i="32"/>
  <c r="AD1469" i="32"/>
  <c r="AD1468" i="32"/>
  <c r="AD1467" i="32"/>
  <c r="AD1466" i="32"/>
  <c r="AD1465" i="32"/>
  <c r="AD1464" i="32"/>
  <c r="AD1463" i="32"/>
  <c r="AD1462" i="32"/>
  <c r="AD1461" i="32"/>
  <c r="AD1460" i="32"/>
  <c r="AD1459" i="32"/>
  <c r="AD1458" i="32"/>
  <c r="AD1457" i="32"/>
  <c r="AD1456" i="32"/>
  <c r="AD1455" i="32"/>
  <c r="AD1454" i="32"/>
  <c r="AD1453" i="32"/>
  <c r="AD1452" i="32"/>
  <c r="AD1451" i="32"/>
  <c r="AD1450" i="32"/>
  <c r="AD1449" i="32"/>
  <c r="AD1448" i="32"/>
  <c r="AD1447" i="32"/>
  <c r="AD1446" i="32"/>
  <c r="AD1445" i="32"/>
  <c r="AD1444" i="32"/>
  <c r="AD1443" i="32"/>
  <c r="AD1442" i="32"/>
  <c r="AD1441" i="32"/>
  <c r="AD1440" i="32"/>
  <c r="AD1439" i="32"/>
  <c r="AD1438" i="32"/>
  <c r="AD1437" i="32"/>
  <c r="AD1436" i="32"/>
  <c r="AD1435" i="32"/>
  <c r="AD1434" i="32"/>
  <c r="AD1433" i="32"/>
  <c r="AD1432" i="32"/>
  <c r="AD1431" i="32"/>
  <c r="AD1430" i="32"/>
  <c r="AD1429" i="32"/>
  <c r="AD1428" i="32"/>
  <c r="AD1427" i="32"/>
  <c r="AD1426" i="32"/>
  <c r="AD1425" i="32"/>
  <c r="AD1424" i="32"/>
  <c r="AD1423" i="32"/>
  <c r="AD1422" i="32"/>
  <c r="AD1421" i="32"/>
  <c r="AD1420" i="32"/>
  <c r="AD1419" i="32"/>
  <c r="AD1418" i="32"/>
  <c r="AD1417" i="32"/>
  <c r="AD1416" i="32"/>
  <c r="AD1415" i="32"/>
  <c r="AD1414" i="32"/>
  <c r="AD1413" i="32"/>
  <c r="AD1412" i="32"/>
  <c r="AD1411" i="32"/>
  <c r="AD1410" i="32"/>
  <c r="AD1409" i="32"/>
  <c r="AD1408" i="32"/>
  <c r="AD1407" i="32"/>
  <c r="AD1406" i="32"/>
  <c r="AD1405" i="32"/>
  <c r="AD1404" i="32"/>
  <c r="AD1403" i="32"/>
  <c r="AD1402" i="32"/>
  <c r="AD1401" i="32"/>
  <c r="AD1400" i="32"/>
  <c r="AD1399" i="32"/>
  <c r="AD1398" i="32"/>
  <c r="AD1397" i="32"/>
  <c r="AD1396" i="32"/>
  <c r="AD1395" i="32"/>
  <c r="AD1394" i="32"/>
  <c r="AD1393" i="32"/>
  <c r="AD1392" i="32"/>
  <c r="AD1391" i="32"/>
  <c r="AD1390" i="32"/>
  <c r="AD1389" i="32"/>
  <c r="AD1388" i="32"/>
  <c r="AD1387" i="32"/>
  <c r="AD1386" i="32"/>
  <c r="AD1385" i="32"/>
  <c r="AD1384" i="32"/>
  <c r="AD1383" i="32"/>
  <c r="AD1382" i="32"/>
  <c r="AD1381" i="32"/>
  <c r="AD1380" i="32"/>
  <c r="AD1379" i="32"/>
  <c r="AD1378" i="32"/>
  <c r="AD1377" i="32"/>
  <c r="AD1376" i="32"/>
  <c r="AD1375" i="32"/>
  <c r="AD1374" i="32"/>
  <c r="AD1373" i="32"/>
  <c r="AD1372" i="32"/>
  <c r="AD1371" i="32"/>
  <c r="AD1370" i="32"/>
  <c r="AD1369" i="32"/>
  <c r="AD1368" i="32"/>
  <c r="AD1367" i="32"/>
  <c r="AD1366" i="32"/>
  <c r="AD1365" i="32"/>
  <c r="AD1364" i="32"/>
  <c r="AD1363" i="32"/>
  <c r="AD1362" i="32"/>
  <c r="AD1361" i="32"/>
  <c r="AD1360" i="32"/>
  <c r="AD1359" i="32"/>
  <c r="AD1358" i="32"/>
  <c r="AD1357" i="32"/>
  <c r="AD1356" i="32"/>
  <c r="AD1355" i="32"/>
  <c r="AD1354" i="32"/>
  <c r="AD1353" i="32"/>
  <c r="AD1352" i="32"/>
  <c r="AD1351" i="32"/>
  <c r="AD1350" i="32"/>
  <c r="AD1349" i="32"/>
  <c r="AD1348" i="32"/>
  <c r="AD1347" i="32"/>
  <c r="AD1346" i="32"/>
  <c r="AD1345" i="32"/>
  <c r="AD1344" i="32"/>
  <c r="AD1343" i="32"/>
  <c r="AD1342" i="32"/>
  <c r="AD1341" i="32"/>
  <c r="AD1340" i="32"/>
  <c r="AD1339" i="32"/>
  <c r="AD1338" i="32"/>
  <c r="AD1337" i="32"/>
  <c r="AD1336" i="32"/>
  <c r="AD1335" i="32"/>
  <c r="AD1334" i="32"/>
  <c r="AD1333" i="32"/>
  <c r="AD1332" i="32"/>
  <c r="AD1331" i="32"/>
  <c r="AD1330" i="32"/>
  <c r="AD1329" i="32"/>
  <c r="AD1328" i="32"/>
  <c r="AD1327" i="32"/>
  <c r="AD1326" i="32"/>
  <c r="AD1325" i="32"/>
  <c r="AD1324" i="32"/>
  <c r="AD1323" i="32"/>
  <c r="AD1322" i="32"/>
  <c r="AD1321" i="32"/>
  <c r="AD1320" i="32"/>
  <c r="AD1319" i="32"/>
  <c r="AD1318" i="32"/>
  <c r="AD1317" i="32"/>
  <c r="AD1316" i="32"/>
  <c r="AD1315" i="32"/>
  <c r="AD1314" i="32"/>
  <c r="AD1313" i="32"/>
  <c r="AD1312" i="32"/>
  <c r="AD1311" i="32"/>
  <c r="AD1310" i="32"/>
  <c r="AD1309" i="32"/>
  <c r="AD1308" i="32"/>
  <c r="AD1307" i="32"/>
  <c r="AD1306" i="32"/>
  <c r="AD1305" i="32"/>
  <c r="AD1304" i="32"/>
  <c r="AD1303" i="32"/>
  <c r="AD1302" i="32"/>
  <c r="AD1301" i="32"/>
  <c r="AD1300" i="32"/>
  <c r="AD1299" i="32"/>
  <c r="AD1298" i="32"/>
  <c r="AD1297" i="32"/>
  <c r="AD1296" i="32"/>
  <c r="AD1295" i="32"/>
  <c r="AD1294" i="32"/>
  <c r="AD1293" i="32"/>
  <c r="AD1292" i="32"/>
  <c r="AD1291" i="32"/>
  <c r="AD1290" i="32"/>
  <c r="AD1289" i="32"/>
  <c r="AD1288" i="32"/>
  <c r="AD1287" i="32"/>
  <c r="AD1286" i="32"/>
  <c r="AD1285" i="32"/>
  <c r="AD1284" i="32"/>
  <c r="AD1283" i="32"/>
  <c r="AD1282" i="32"/>
  <c r="AD1281" i="32"/>
  <c r="AD1280" i="32"/>
  <c r="AD1279" i="32"/>
  <c r="AD1278" i="32"/>
  <c r="AD1277" i="32"/>
  <c r="AD1276" i="32"/>
  <c r="AD1275" i="32"/>
  <c r="AD1274" i="32"/>
  <c r="AD1273" i="32"/>
  <c r="AD1272" i="32"/>
  <c r="AD1271" i="32"/>
  <c r="AD1270" i="32"/>
  <c r="AD1269" i="32"/>
  <c r="AD1268" i="32"/>
  <c r="AD1267" i="32"/>
  <c r="AD1266" i="32"/>
  <c r="AD1265" i="32"/>
  <c r="AD1264" i="32"/>
  <c r="AD1263" i="32"/>
  <c r="AD1262" i="32"/>
  <c r="AD1261" i="32"/>
  <c r="AD1260" i="32"/>
  <c r="AD1259" i="32"/>
  <c r="AD1258" i="32"/>
  <c r="AD1257" i="32"/>
  <c r="AD1256" i="32"/>
  <c r="AD1255" i="32"/>
  <c r="AD1254" i="32"/>
  <c r="AD1253" i="32"/>
  <c r="AD1252" i="32"/>
  <c r="AD1251" i="32"/>
  <c r="AD1250" i="32"/>
  <c r="AD1249" i="32"/>
  <c r="AD1248" i="32"/>
  <c r="AD1247" i="32"/>
  <c r="AD1246" i="32"/>
  <c r="AD1245" i="32"/>
  <c r="AD1244" i="32"/>
  <c r="AD1243" i="32"/>
  <c r="AD1242" i="32"/>
  <c r="AD1241" i="32"/>
  <c r="AD1240" i="32"/>
  <c r="AD1239" i="32"/>
  <c r="AD1238" i="32"/>
  <c r="AD1237" i="32"/>
  <c r="AD1236" i="32"/>
  <c r="AD1235" i="32"/>
  <c r="AD1234" i="32"/>
  <c r="AD1233" i="32"/>
  <c r="AD1232" i="32"/>
  <c r="AD1231" i="32"/>
  <c r="AD1230" i="32"/>
  <c r="AD1229" i="32"/>
  <c r="AD1228" i="32"/>
  <c r="AD1227" i="32"/>
  <c r="AD1226" i="32"/>
  <c r="AD1225" i="32"/>
  <c r="AD1224" i="32"/>
  <c r="AD1223" i="32"/>
  <c r="AD1222" i="32"/>
  <c r="AD1221" i="32"/>
  <c r="AD1220" i="32"/>
  <c r="AD1219" i="32"/>
  <c r="AD1218" i="32"/>
  <c r="AD1217" i="32"/>
  <c r="AD1216" i="32"/>
  <c r="AD1215" i="32"/>
  <c r="AD1214" i="32"/>
  <c r="AD1213" i="32"/>
  <c r="AD1212" i="32"/>
  <c r="AD1211" i="32"/>
  <c r="AD1210" i="32"/>
  <c r="AD1209" i="32"/>
  <c r="AD1208" i="32"/>
  <c r="AD1207" i="32"/>
  <c r="AD1206" i="32"/>
  <c r="AD1205" i="32"/>
  <c r="AD1204" i="32"/>
  <c r="AD1203" i="32"/>
  <c r="AD1202" i="32"/>
  <c r="AD1201" i="32"/>
  <c r="AD1200" i="32"/>
  <c r="AD1199" i="32"/>
  <c r="AD1198" i="32"/>
  <c r="AD1197" i="32"/>
  <c r="AD1196" i="32"/>
  <c r="AD1195" i="32"/>
  <c r="AD1194" i="32"/>
  <c r="AD1193" i="32"/>
  <c r="AD1192" i="32"/>
  <c r="AD1191" i="32"/>
  <c r="AD1190" i="32"/>
  <c r="AD1189" i="32"/>
  <c r="AD1188" i="32"/>
  <c r="AD1187" i="32"/>
  <c r="AD1186" i="32"/>
  <c r="AD1185" i="32"/>
  <c r="AD1184" i="32"/>
  <c r="AD1183" i="32"/>
  <c r="AD1182" i="32"/>
  <c r="AD1181" i="32"/>
  <c r="AD1180" i="32"/>
  <c r="AD1179" i="32"/>
  <c r="AD1178" i="32"/>
  <c r="AD1177" i="32"/>
  <c r="AD1176" i="32"/>
  <c r="AD1175" i="32"/>
  <c r="AD1174" i="32"/>
  <c r="AD1173" i="32"/>
  <c r="AD1172" i="32"/>
  <c r="AD1171" i="32"/>
  <c r="AD1170" i="32"/>
  <c r="AD1169" i="32"/>
  <c r="AD1168" i="32"/>
  <c r="AD1167" i="32"/>
  <c r="AD1166" i="32"/>
  <c r="AD1165" i="32"/>
  <c r="AD1164" i="32"/>
  <c r="AD1163" i="32"/>
  <c r="AD1162" i="32"/>
  <c r="AD1161" i="32"/>
  <c r="AD1160" i="32"/>
  <c r="AD1159" i="32"/>
  <c r="AD1158" i="32"/>
  <c r="AD1157" i="32"/>
  <c r="AD1156" i="32"/>
  <c r="AD1155" i="32"/>
  <c r="AD1154" i="32"/>
  <c r="AD1153" i="32"/>
  <c r="AD1152" i="32"/>
  <c r="AD1151" i="32"/>
  <c r="AD1150" i="32"/>
  <c r="AD1149" i="32"/>
  <c r="AD1148" i="32"/>
  <c r="AD1147" i="32"/>
  <c r="AD1146" i="32"/>
  <c r="AD1145" i="32"/>
  <c r="AD1144" i="32"/>
  <c r="AD1143" i="32"/>
  <c r="AD1142" i="32"/>
  <c r="AD1141" i="32"/>
  <c r="AD1140" i="32"/>
  <c r="AD1139" i="32"/>
  <c r="AD1138" i="32"/>
  <c r="AD1137" i="32"/>
  <c r="AD1136" i="32"/>
  <c r="AD1135" i="32"/>
  <c r="AD1134" i="32"/>
  <c r="AD1133" i="32"/>
  <c r="AD1132" i="32"/>
  <c r="AD1131" i="32"/>
  <c r="AD1130" i="32"/>
  <c r="AD1129" i="32"/>
  <c r="AD1128" i="32"/>
  <c r="AD1127" i="32"/>
  <c r="AD1126" i="32"/>
  <c r="AD1125" i="32"/>
  <c r="AD1124" i="32"/>
  <c r="AD1123" i="32"/>
  <c r="AD1122" i="32"/>
  <c r="AD1121" i="32"/>
  <c r="AD1120" i="32"/>
  <c r="AD1119" i="32"/>
  <c r="AD1118" i="32"/>
  <c r="AD1117" i="32"/>
  <c r="AD1116" i="32"/>
  <c r="AD1115" i="32"/>
  <c r="AD1114" i="32"/>
  <c r="AD1113" i="32"/>
  <c r="AD1112" i="32"/>
  <c r="AD1111" i="32"/>
  <c r="AD1110" i="32"/>
  <c r="AD1109" i="32"/>
  <c r="AD1108" i="32"/>
  <c r="AD1107" i="32"/>
  <c r="AD1106" i="32"/>
  <c r="AD1105" i="32"/>
  <c r="AD1104" i="32"/>
  <c r="AD1103" i="32"/>
  <c r="AD1102" i="32"/>
  <c r="AD1101" i="32"/>
  <c r="AD1100" i="32"/>
  <c r="AD1099" i="32"/>
  <c r="AD1098" i="32"/>
  <c r="AD1097" i="32"/>
  <c r="AD1096" i="32"/>
  <c r="AD1095" i="32"/>
  <c r="AD1094" i="32"/>
  <c r="AD1093" i="32"/>
  <c r="AD1092" i="32"/>
  <c r="AD1091" i="32"/>
  <c r="AD1090" i="32"/>
  <c r="AD1089" i="32"/>
  <c r="AD1088" i="32"/>
  <c r="AD1087" i="32"/>
  <c r="AD1086" i="32"/>
  <c r="AD1085" i="32"/>
  <c r="AD1084" i="32"/>
  <c r="AD1083" i="32"/>
  <c r="AD1082" i="32"/>
  <c r="AD1081" i="32"/>
  <c r="AD1080" i="32"/>
  <c r="AD1079" i="32"/>
  <c r="AD1078" i="32"/>
  <c r="AD1077" i="32"/>
  <c r="AD1076" i="32"/>
  <c r="AD1075" i="32"/>
  <c r="AD1074" i="32"/>
  <c r="AD1073" i="32"/>
  <c r="AD1072" i="32"/>
  <c r="AD1071" i="32"/>
  <c r="AD1070" i="32"/>
  <c r="AD1069" i="32"/>
  <c r="AD1068" i="32"/>
  <c r="AD1067" i="32"/>
  <c r="AD1066" i="32"/>
  <c r="AD1065" i="32"/>
  <c r="AD1064" i="32"/>
  <c r="AD1063" i="32"/>
  <c r="AD1062" i="32"/>
  <c r="AD1061" i="32"/>
  <c r="AD1060" i="32"/>
  <c r="AD1059" i="32"/>
  <c r="AD1058" i="32"/>
  <c r="AD1057" i="32"/>
  <c r="AD1056" i="32"/>
  <c r="AD1055" i="32"/>
  <c r="AD1054" i="32"/>
  <c r="AD1053" i="32"/>
  <c r="AD1052" i="32"/>
  <c r="AD1051" i="32"/>
  <c r="AD1050" i="32"/>
  <c r="AD1049" i="32"/>
  <c r="AD1048" i="32"/>
  <c r="AD1047" i="32"/>
  <c r="AD1046" i="32"/>
  <c r="AD1045" i="32"/>
  <c r="AD1044" i="32"/>
  <c r="AD1043" i="32"/>
  <c r="AD1042" i="32"/>
  <c r="AD1041" i="32"/>
  <c r="AD1040" i="32"/>
  <c r="AD1039" i="32"/>
  <c r="AD1038" i="32"/>
  <c r="AD1037" i="32"/>
  <c r="AD1036" i="32"/>
  <c r="AD1035" i="32"/>
  <c r="AD1034" i="32"/>
  <c r="AD1033" i="32"/>
  <c r="AD1032" i="32"/>
  <c r="AD1031" i="32"/>
  <c r="AD1030" i="32"/>
  <c r="AD1029" i="32"/>
  <c r="AD1028" i="32"/>
  <c r="AD1027" i="32"/>
  <c r="AD1026" i="32"/>
  <c r="AD1025" i="32"/>
  <c r="AD1024" i="32"/>
  <c r="AD1023" i="32"/>
  <c r="AD1022" i="32"/>
  <c r="AD1021" i="32"/>
  <c r="AD1020" i="32"/>
  <c r="AD1019" i="32"/>
  <c r="AD1018" i="32"/>
  <c r="AD1017" i="32"/>
  <c r="AD1016" i="32"/>
  <c r="AD1015" i="32"/>
  <c r="AD1014" i="32"/>
  <c r="AD1013" i="32"/>
  <c r="AD1012" i="32"/>
  <c r="AD1011" i="32"/>
  <c r="AD1010" i="32"/>
  <c r="AD1009" i="32"/>
  <c r="AD1008" i="32"/>
  <c r="AD1007" i="32"/>
  <c r="AD1006" i="32"/>
  <c r="AD1005" i="32"/>
  <c r="AD1004" i="32"/>
  <c r="AD1003" i="32"/>
  <c r="AD1002" i="32"/>
  <c r="AD1001" i="32"/>
  <c r="AD1000" i="32"/>
  <c r="AD999" i="32"/>
  <c r="AD998" i="32"/>
  <c r="AD997" i="32"/>
  <c r="AD996" i="32"/>
  <c r="AD995" i="32"/>
  <c r="AD994" i="32"/>
  <c r="AD993" i="32"/>
  <c r="AD992" i="32"/>
  <c r="AD991" i="32"/>
  <c r="AD990" i="32"/>
  <c r="AD989" i="32"/>
  <c r="AD988" i="32"/>
  <c r="AD987" i="32"/>
  <c r="AD986" i="32"/>
  <c r="AD985" i="32"/>
  <c r="AD984" i="32"/>
  <c r="AD983" i="32"/>
  <c r="AD982" i="32"/>
  <c r="AD981" i="32"/>
  <c r="AD980" i="32"/>
  <c r="AD979" i="32"/>
  <c r="AD978" i="32"/>
  <c r="AD977" i="32"/>
  <c r="AD976" i="32"/>
  <c r="AD975" i="32"/>
  <c r="AD974" i="32"/>
  <c r="AD973" i="32"/>
  <c r="AD972" i="32"/>
  <c r="AD971" i="32"/>
  <c r="AD970" i="32"/>
  <c r="AD969" i="32"/>
  <c r="AD968" i="32"/>
  <c r="AD967" i="32"/>
  <c r="AD966" i="32"/>
  <c r="AD965" i="32"/>
  <c r="AD964" i="32"/>
  <c r="AD963" i="32"/>
  <c r="AD962" i="32"/>
  <c r="AD961" i="32"/>
  <c r="AD960" i="32"/>
  <c r="AD959" i="32"/>
  <c r="AD958" i="32"/>
  <c r="AD957" i="32"/>
  <c r="AD956" i="32"/>
  <c r="AD955" i="32"/>
  <c r="AD954" i="32"/>
  <c r="AD953" i="32"/>
  <c r="AD952" i="32"/>
  <c r="AD951" i="32"/>
  <c r="AD950" i="32"/>
  <c r="AD949" i="32"/>
  <c r="AD948" i="32"/>
  <c r="AD947" i="32"/>
  <c r="AD946" i="32"/>
  <c r="AD945" i="32"/>
  <c r="AD944" i="32"/>
  <c r="AD943" i="32"/>
  <c r="AD942" i="32"/>
  <c r="AD941" i="32"/>
  <c r="AD940" i="32"/>
  <c r="AD939" i="32"/>
  <c r="AD938" i="32"/>
  <c r="AD937" i="32"/>
  <c r="AD936" i="32"/>
  <c r="AD935" i="32"/>
  <c r="AD934" i="32"/>
  <c r="AD933" i="32"/>
  <c r="AD932" i="32"/>
  <c r="AD931" i="32"/>
  <c r="AD930" i="32"/>
  <c r="AD929" i="32"/>
  <c r="AD928" i="32"/>
  <c r="AD927" i="32"/>
  <c r="AD926" i="32"/>
  <c r="AD925" i="32"/>
  <c r="AD924" i="32"/>
  <c r="AD923" i="32"/>
  <c r="AD922" i="32"/>
  <c r="AD921" i="32"/>
  <c r="AD920" i="32"/>
  <c r="AD919" i="32"/>
  <c r="AD918" i="32"/>
  <c r="AD917" i="32"/>
  <c r="AD916" i="32"/>
  <c r="AD915" i="32"/>
  <c r="AD914" i="32"/>
  <c r="AD913" i="32"/>
  <c r="AD912" i="32"/>
  <c r="AD911" i="32"/>
  <c r="AD910" i="32"/>
  <c r="AD909" i="32"/>
  <c r="AD908" i="32"/>
  <c r="AD907" i="32"/>
  <c r="AD906" i="32"/>
  <c r="AD905" i="32"/>
  <c r="AD904" i="32"/>
  <c r="AD903" i="32"/>
  <c r="AD902" i="32"/>
  <c r="AD901" i="32"/>
  <c r="AD900" i="32"/>
  <c r="AD899" i="32"/>
  <c r="AD898" i="32"/>
  <c r="AD897" i="32"/>
  <c r="AD896" i="32"/>
  <c r="AD895" i="32"/>
  <c r="AD894" i="32"/>
  <c r="AD893" i="32"/>
  <c r="AD892" i="32"/>
  <c r="AD891" i="32"/>
  <c r="AD890" i="32"/>
  <c r="AD889" i="32"/>
  <c r="AD888" i="32"/>
  <c r="AD887" i="32"/>
  <c r="AD886" i="32"/>
  <c r="AD885" i="32"/>
  <c r="AD884" i="32"/>
  <c r="AD883" i="32"/>
  <c r="AD882" i="32"/>
  <c r="AD881" i="32"/>
  <c r="AD880" i="32"/>
  <c r="AD879" i="32"/>
  <c r="AD878" i="32"/>
  <c r="AD877" i="32"/>
  <c r="AD876" i="32"/>
  <c r="AD875" i="32"/>
  <c r="AD874" i="32"/>
  <c r="AD873" i="32"/>
  <c r="AD872" i="32"/>
  <c r="AD871" i="32"/>
  <c r="AD870" i="32"/>
  <c r="AD869" i="32"/>
  <c r="AD868" i="32"/>
  <c r="AD867" i="32"/>
  <c r="AD866" i="32"/>
  <c r="AD865" i="32"/>
  <c r="AD864" i="32"/>
  <c r="AD863" i="32"/>
  <c r="AD862" i="32"/>
  <c r="AD861" i="32"/>
  <c r="AD860" i="32"/>
  <c r="AD859" i="32"/>
  <c r="AD858" i="32"/>
  <c r="AD857" i="32"/>
  <c r="AD856" i="32"/>
  <c r="AD855" i="32"/>
  <c r="AD854" i="32"/>
  <c r="AD853" i="32"/>
  <c r="AD852" i="32"/>
  <c r="AD851" i="32"/>
  <c r="AD850" i="32"/>
  <c r="AD849" i="32"/>
  <c r="AD848" i="32"/>
  <c r="AD847" i="32"/>
  <c r="AD846" i="32"/>
  <c r="AD845" i="32"/>
  <c r="AD844" i="32"/>
  <c r="AD843" i="32"/>
  <c r="AD842" i="32"/>
  <c r="AD841" i="32"/>
  <c r="AD840" i="32"/>
  <c r="AD839" i="32"/>
  <c r="AD838" i="32"/>
  <c r="AD837" i="32"/>
  <c r="AD836" i="32"/>
  <c r="AD835" i="32"/>
  <c r="AD834" i="32"/>
  <c r="AD833" i="32"/>
  <c r="AD832" i="32"/>
  <c r="AD831" i="32"/>
  <c r="AD830" i="32"/>
  <c r="AD829" i="32"/>
  <c r="AD828" i="32"/>
  <c r="AD827" i="32"/>
  <c r="AD826" i="32"/>
  <c r="AD825" i="32"/>
  <c r="AD824" i="32"/>
  <c r="AD823" i="32"/>
  <c r="AD822" i="32"/>
  <c r="AD821" i="32"/>
  <c r="AD820" i="32"/>
  <c r="AD819" i="32"/>
  <c r="AD818" i="32"/>
  <c r="AD817" i="32"/>
  <c r="AD816" i="32"/>
  <c r="AD815" i="32"/>
  <c r="AD814" i="32"/>
  <c r="AD813" i="32"/>
  <c r="AD812" i="32"/>
  <c r="AD811" i="32"/>
  <c r="AD810" i="32"/>
  <c r="AD809" i="32"/>
  <c r="AD808" i="32"/>
  <c r="AD807" i="32"/>
  <c r="AD806" i="32"/>
  <c r="AD805" i="32"/>
  <c r="AD804" i="32"/>
  <c r="AD803" i="32"/>
  <c r="AD802" i="32"/>
  <c r="AD801" i="32"/>
  <c r="AD800" i="32"/>
  <c r="AD799" i="32"/>
  <c r="AD798" i="32"/>
  <c r="AD797" i="32"/>
  <c r="AD796" i="32"/>
  <c r="AD795" i="32"/>
  <c r="AD794" i="32"/>
  <c r="AD793" i="32"/>
  <c r="AD792" i="32"/>
  <c r="AD791" i="32"/>
  <c r="AD790" i="32"/>
  <c r="AD789" i="32"/>
  <c r="AD788" i="32"/>
  <c r="AD787" i="32"/>
  <c r="AD786" i="32"/>
  <c r="AD785" i="32"/>
  <c r="AD784" i="32"/>
  <c r="AD783" i="32"/>
  <c r="AD782" i="32"/>
  <c r="AD781" i="32"/>
  <c r="AD780" i="32"/>
  <c r="AD779" i="32"/>
  <c r="AD778" i="32"/>
  <c r="AD777" i="32"/>
  <c r="AD776" i="32"/>
  <c r="AD775" i="32"/>
  <c r="AD774" i="32"/>
  <c r="AD773" i="32"/>
  <c r="AD772" i="32"/>
  <c r="AD771" i="32"/>
  <c r="AD770" i="32"/>
  <c r="AD769" i="32"/>
  <c r="AD768" i="32"/>
  <c r="AD767" i="32"/>
  <c r="AD766" i="32"/>
  <c r="AD765" i="32"/>
  <c r="AD764" i="32"/>
  <c r="AD763" i="32"/>
  <c r="AD762" i="32"/>
  <c r="AD761" i="32"/>
  <c r="AD760" i="32"/>
  <c r="AD759" i="32"/>
  <c r="AD758" i="32"/>
  <c r="AD757" i="32"/>
  <c r="AD756" i="32"/>
  <c r="AD755" i="32"/>
  <c r="AD754" i="32"/>
  <c r="AD753" i="32"/>
  <c r="AD752" i="32"/>
  <c r="AD751" i="32"/>
  <c r="AD750" i="32"/>
  <c r="AD749" i="32"/>
  <c r="AD748" i="32"/>
  <c r="AD747" i="32"/>
  <c r="AD746" i="32"/>
  <c r="AD745" i="32"/>
  <c r="AD744" i="32"/>
  <c r="AD743" i="32"/>
  <c r="AD742" i="32"/>
  <c r="AD741" i="32"/>
  <c r="AD740" i="32"/>
  <c r="AD739" i="32"/>
  <c r="AD738" i="32"/>
  <c r="AD737" i="32"/>
  <c r="AD736" i="32"/>
  <c r="AD735" i="32"/>
  <c r="AD734" i="32"/>
  <c r="AD733" i="32"/>
  <c r="AD732" i="32"/>
  <c r="AD731" i="32"/>
  <c r="AD730" i="32"/>
  <c r="AD729" i="32"/>
  <c r="AD728" i="32"/>
  <c r="AD727" i="32"/>
  <c r="AD726" i="32"/>
  <c r="AD725" i="32"/>
  <c r="AD724" i="32"/>
  <c r="AD723" i="32"/>
  <c r="AD722" i="32"/>
  <c r="AD721" i="32"/>
  <c r="AD720" i="32"/>
  <c r="AD719" i="32"/>
  <c r="AD718" i="32"/>
  <c r="AD717" i="32"/>
  <c r="AD716" i="32"/>
  <c r="AD715" i="32"/>
  <c r="AD714" i="32"/>
  <c r="AD713" i="32"/>
  <c r="AD712" i="32"/>
  <c r="AD711" i="32"/>
  <c r="AD710" i="32"/>
  <c r="AD709" i="32"/>
  <c r="AD708" i="32"/>
  <c r="AD707" i="32"/>
  <c r="AD706" i="32"/>
  <c r="AD705" i="32"/>
  <c r="AD704" i="32"/>
  <c r="AD703" i="32"/>
  <c r="AD702" i="32"/>
  <c r="AD701" i="32"/>
  <c r="AD700" i="32"/>
  <c r="AD699" i="32"/>
  <c r="AD698" i="32"/>
  <c r="AD697" i="32"/>
  <c r="AD696" i="32"/>
  <c r="AD695" i="32"/>
  <c r="AD694" i="32"/>
  <c r="AD693" i="32"/>
  <c r="AD692" i="32"/>
  <c r="AD691" i="32"/>
  <c r="AD690" i="32"/>
  <c r="AD689" i="32"/>
  <c r="AD688" i="32"/>
  <c r="AD687" i="32"/>
  <c r="AD686" i="32"/>
  <c r="AD685" i="32"/>
  <c r="AD684" i="32"/>
  <c r="AD683" i="32"/>
  <c r="AD682" i="32"/>
  <c r="AD681" i="32"/>
  <c r="AD680" i="32"/>
  <c r="AD679" i="32"/>
  <c r="AD678" i="32"/>
  <c r="AD677" i="32"/>
  <c r="AD676" i="32"/>
  <c r="AD675" i="32"/>
  <c r="AD674" i="32"/>
  <c r="AD673" i="32"/>
  <c r="AD672" i="32"/>
  <c r="AD671" i="32"/>
  <c r="AD670" i="32"/>
  <c r="AD669" i="32"/>
  <c r="AD668" i="32"/>
  <c r="AD667" i="32"/>
  <c r="AD666" i="32"/>
  <c r="AD665" i="32"/>
  <c r="AD664" i="32"/>
  <c r="AD663" i="32"/>
  <c r="AD662" i="32"/>
  <c r="AD661" i="32"/>
  <c r="AD660" i="32"/>
  <c r="AD659" i="32"/>
  <c r="AD658" i="32"/>
  <c r="AD657" i="32"/>
  <c r="AD656" i="32"/>
  <c r="AD655" i="32"/>
  <c r="AD654" i="32"/>
  <c r="AD653" i="32"/>
  <c r="AD652" i="32"/>
  <c r="AD651" i="32"/>
  <c r="AD650" i="32"/>
  <c r="AD649" i="32"/>
  <c r="AD648" i="32"/>
  <c r="AD647" i="32"/>
  <c r="AD646" i="32"/>
  <c r="AD645" i="32"/>
  <c r="AD644" i="32"/>
  <c r="AD643" i="32"/>
  <c r="AD642" i="32"/>
  <c r="AD641" i="32"/>
  <c r="AD640" i="32"/>
  <c r="AD639" i="32"/>
  <c r="AD638" i="32"/>
  <c r="AD637" i="32"/>
  <c r="AD636" i="32"/>
  <c r="AD635" i="32"/>
  <c r="AD634" i="32"/>
  <c r="AD633" i="32"/>
  <c r="AD632" i="32"/>
  <c r="AD631" i="32"/>
  <c r="AD630" i="32"/>
  <c r="AD629" i="32"/>
  <c r="AD628" i="32"/>
  <c r="AD627" i="32"/>
  <c r="AD626" i="32"/>
  <c r="AD625" i="32"/>
  <c r="AD624" i="32"/>
  <c r="AD623" i="32"/>
  <c r="AD622" i="32"/>
  <c r="AD621" i="32"/>
  <c r="AD620" i="32"/>
  <c r="AD619" i="32"/>
  <c r="AD618" i="32"/>
  <c r="AD617" i="32"/>
  <c r="AD616" i="32"/>
  <c r="AD615" i="32"/>
  <c r="AD614" i="32"/>
  <c r="AD613" i="32"/>
  <c r="AD612" i="32"/>
  <c r="AD611" i="32"/>
  <c r="AD610" i="32"/>
  <c r="AD609" i="32"/>
  <c r="AD608" i="32"/>
  <c r="AD607" i="32"/>
  <c r="AD606" i="32"/>
  <c r="AD605" i="32"/>
  <c r="AD604" i="32"/>
  <c r="AD603" i="32"/>
  <c r="AD602" i="32"/>
  <c r="AD601" i="32"/>
  <c r="AD600" i="32"/>
  <c r="AD599" i="32"/>
  <c r="AD598" i="32"/>
  <c r="AD597" i="32"/>
  <c r="AD596" i="32"/>
  <c r="AD595" i="32"/>
  <c r="AD594" i="32"/>
  <c r="AD593" i="32"/>
  <c r="AD592" i="32"/>
  <c r="AD591" i="32"/>
  <c r="AD590" i="32"/>
  <c r="AD589" i="32"/>
  <c r="AD588" i="32"/>
  <c r="AD587" i="32"/>
  <c r="AD586" i="32"/>
  <c r="AD585" i="32"/>
  <c r="AD584" i="32"/>
  <c r="AD583" i="32"/>
  <c r="AD582" i="32"/>
  <c r="AD581" i="32"/>
  <c r="AD580" i="32"/>
  <c r="AD579" i="32"/>
  <c r="AD578" i="32"/>
  <c r="AD577" i="32"/>
  <c r="AD576" i="32"/>
  <c r="AD575" i="32"/>
  <c r="AD574" i="32"/>
  <c r="AD573" i="32"/>
  <c r="AD572" i="32"/>
  <c r="AD571" i="32"/>
  <c r="AD570" i="32"/>
  <c r="AD569" i="32"/>
  <c r="AD568" i="32"/>
  <c r="AD567" i="32"/>
  <c r="AD566" i="32"/>
  <c r="AD565" i="32"/>
  <c r="AD564" i="32"/>
  <c r="AD563" i="32"/>
  <c r="AD562" i="32"/>
  <c r="AD561" i="32"/>
  <c r="AD560" i="32"/>
  <c r="AD559" i="32"/>
  <c r="AD558" i="32"/>
  <c r="AD557" i="32"/>
  <c r="AD556" i="32"/>
  <c r="AD555" i="32"/>
  <c r="AD554" i="32"/>
  <c r="AD553" i="32"/>
  <c r="AD552" i="32"/>
  <c r="AD551" i="32"/>
  <c r="AD550" i="32"/>
  <c r="AD549" i="32"/>
  <c r="AD548" i="32"/>
  <c r="AD547" i="32"/>
  <c r="AD546" i="32"/>
  <c r="AD545" i="32"/>
  <c r="AD544" i="32"/>
  <c r="AD543" i="32"/>
  <c r="AD542" i="32"/>
  <c r="AD541" i="32"/>
  <c r="AD540" i="32"/>
  <c r="AD539" i="32"/>
  <c r="AD538" i="32"/>
  <c r="AD537" i="32"/>
  <c r="AD536" i="32"/>
  <c r="AD535" i="32"/>
  <c r="AD534" i="32"/>
  <c r="AD533" i="32"/>
  <c r="AD532" i="32"/>
  <c r="AD531" i="32"/>
  <c r="AD530" i="32"/>
  <c r="AD529" i="32"/>
  <c r="AD528" i="32"/>
  <c r="AD527" i="32"/>
  <c r="AD526" i="32"/>
  <c r="AD525" i="32"/>
  <c r="AD524" i="32"/>
  <c r="AD523" i="32"/>
  <c r="AD522" i="32"/>
  <c r="AD521" i="32"/>
  <c r="AD520" i="32"/>
  <c r="AD519" i="32"/>
  <c r="AD518" i="32"/>
  <c r="AD517" i="32"/>
  <c r="AD516" i="32"/>
  <c r="AD515" i="32"/>
  <c r="AD514" i="32"/>
  <c r="AD513" i="32"/>
  <c r="AD512" i="32"/>
  <c r="AD511" i="32"/>
  <c r="AD510" i="32"/>
  <c r="AD509" i="32"/>
  <c r="AD508" i="32"/>
  <c r="AD507" i="32"/>
  <c r="AD506" i="32"/>
  <c r="AD505" i="32"/>
  <c r="AD504" i="32"/>
  <c r="AD503" i="32"/>
  <c r="AD502" i="32"/>
  <c r="AD501" i="32"/>
  <c r="AD500" i="32"/>
  <c r="AD499" i="32"/>
  <c r="AD498" i="32"/>
  <c r="AD497" i="32"/>
  <c r="AD496" i="32"/>
  <c r="AD495" i="32"/>
  <c r="AD494" i="32"/>
  <c r="AD493" i="32"/>
  <c r="AD492" i="32"/>
  <c r="AD491" i="32"/>
  <c r="AD490" i="32"/>
  <c r="AD489" i="32"/>
  <c r="AD488" i="32"/>
  <c r="AD487" i="32"/>
  <c r="AD486" i="32"/>
  <c r="AD485" i="32"/>
  <c r="AD484" i="32"/>
  <c r="AD483" i="32"/>
  <c r="AD482" i="32"/>
  <c r="AD481" i="32"/>
  <c r="AD480" i="32"/>
  <c r="AD479" i="32"/>
  <c r="AD478" i="32"/>
  <c r="AD477" i="32"/>
  <c r="AD476" i="32"/>
  <c r="AD475" i="32"/>
  <c r="AD474" i="32"/>
  <c r="AD473" i="32"/>
  <c r="AD472" i="32"/>
  <c r="AD471" i="32"/>
  <c r="AD470" i="32"/>
  <c r="AD469" i="32"/>
  <c r="AD468" i="32"/>
  <c r="AD467" i="32"/>
  <c r="AD466" i="32"/>
  <c r="AD465" i="32"/>
  <c r="AD464" i="32"/>
  <c r="AD463" i="32"/>
  <c r="AD462" i="32"/>
  <c r="AD461" i="32"/>
  <c r="AD460" i="32"/>
  <c r="AD459" i="32"/>
  <c r="AD458" i="32"/>
  <c r="AD457" i="32"/>
  <c r="AD456" i="32"/>
  <c r="AD455" i="32"/>
  <c r="AD454" i="32"/>
  <c r="AD453" i="32"/>
  <c r="AD452" i="32"/>
  <c r="AD451" i="32"/>
  <c r="AD450" i="32"/>
  <c r="AD449" i="32"/>
  <c r="AD448" i="32"/>
  <c r="AD447" i="32"/>
  <c r="AD446" i="32"/>
  <c r="AD445" i="32"/>
  <c r="AD444" i="32"/>
  <c r="AD443" i="32"/>
  <c r="AD442" i="32"/>
  <c r="AD441" i="32"/>
  <c r="AD440" i="32"/>
  <c r="AD439" i="32"/>
  <c r="AD438" i="32"/>
  <c r="AD437" i="32"/>
  <c r="AD436" i="32"/>
  <c r="AD435" i="32"/>
  <c r="AD434" i="32"/>
  <c r="AD433" i="32"/>
  <c r="AD432" i="32"/>
  <c r="AD431" i="32"/>
  <c r="AD430" i="32"/>
  <c r="AD429" i="32"/>
  <c r="AD428" i="32"/>
  <c r="AD427" i="32"/>
  <c r="AD426" i="32"/>
  <c r="AD425" i="32"/>
  <c r="AD424" i="32"/>
  <c r="AD423" i="32"/>
  <c r="AD422" i="32"/>
  <c r="AD421" i="32"/>
  <c r="AD420" i="32"/>
  <c r="AD419" i="32"/>
  <c r="AD418" i="32"/>
  <c r="AD417" i="32"/>
  <c r="AD416" i="32"/>
  <c r="AD415" i="32"/>
  <c r="AD414" i="32"/>
  <c r="AD413" i="32"/>
  <c r="AD412" i="32"/>
  <c r="AD411" i="32"/>
  <c r="AD410" i="32"/>
  <c r="AD409" i="32"/>
  <c r="AD408" i="32"/>
  <c r="AD407" i="32"/>
  <c r="AD406" i="32"/>
  <c r="AD405" i="32"/>
  <c r="AD404" i="32"/>
  <c r="AD403" i="32"/>
  <c r="AD402" i="32"/>
  <c r="AD401" i="32"/>
  <c r="AD400" i="32"/>
  <c r="AD399" i="32"/>
  <c r="AD398" i="32"/>
  <c r="AD397" i="32"/>
  <c r="AD396" i="32"/>
  <c r="AD395" i="32"/>
  <c r="AD394" i="32"/>
  <c r="AD393" i="32"/>
  <c r="AD392" i="32"/>
  <c r="AD391" i="32"/>
  <c r="AD390" i="32"/>
  <c r="AD389" i="32"/>
  <c r="AD388" i="32"/>
  <c r="AD387" i="32"/>
  <c r="AD386" i="32"/>
  <c r="AD385" i="32"/>
  <c r="AD384" i="32"/>
  <c r="AD383" i="32"/>
  <c r="AD382" i="32"/>
  <c r="AD381" i="32"/>
  <c r="AD380" i="32"/>
  <c r="AD379" i="32"/>
  <c r="AD378" i="32"/>
  <c r="AD377" i="32"/>
  <c r="AD376" i="32"/>
  <c r="AD375" i="32"/>
  <c r="AD374" i="32"/>
  <c r="AD373" i="32"/>
  <c r="AD372" i="32"/>
  <c r="AD371" i="32"/>
  <c r="AD370" i="32"/>
  <c r="AD369" i="32"/>
  <c r="AD368" i="32"/>
  <c r="AD367" i="32"/>
  <c r="AD366" i="32"/>
  <c r="AD365" i="32"/>
  <c r="AD364" i="32"/>
  <c r="AD363" i="32"/>
  <c r="AD362" i="32"/>
  <c r="AD361" i="32"/>
  <c r="AD360" i="32"/>
  <c r="AD359" i="32"/>
  <c r="AD358" i="32"/>
  <c r="AD357" i="32"/>
  <c r="AD356" i="32"/>
  <c r="AD355" i="32"/>
  <c r="AD354" i="32"/>
  <c r="AD353" i="32"/>
  <c r="AD352" i="32"/>
  <c r="AD351" i="32"/>
  <c r="AD350" i="32"/>
  <c r="AD349" i="32"/>
  <c r="AD348" i="32"/>
  <c r="AD347" i="32"/>
  <c r="AD346" i="32"/>
  <c r="AD345" i="32"/>
  <c r="AD344" i="32"/>
  <c r="AD343" i="32"/>
  <c r="AD342" i="32"/>
  <c r="AD341" i="32"/>
  <c r="AD340" i="32"/>
  <c r="AD339" i="32"/>
  <c r="AD338" i="32"/>
  <c r="AD337" i="32"/>
  <c r="AD336" i="32"/>
  <c r="AD335" i="32"/>
  <c r="AD334" i="32"/>
  <c r="AD333" i="32"/>
  <c r="AD332" i="32"/>
  <c r="AD331" i="32"/>
  <c r="AD330" i="32"/>
  <c r="AD329" i="32"/>
  <c r="AD328" i="32"/>
  <c r="AD327" i="32"/>
  <c r="AD326" i="32"/>
  <c r="AD325" i="32"/>
  <c r="AD324" i="32"/>
  <c r="AD323" i="32"/>
  <c r="AD322" i="32"/>
  <c r="AD321" i="32"/>
  <c r="AD320" i="32"/>
  <c r="AD319" i="32"/>
  <c r="AD318" i="32"/>
  <c r="AD317" i="32"/>
  <c r="AD316" i="32"/>
  <c r="AD315" i="32"/>
  <c r="AD314" i="32"/>
  <c r="AD313" i="32"/>
  <c r="AD312" i="32"/>
  <c r="AD311" i="32"/>
  <c r="AD310" i="32"/>
  <c r="AD309" i="32"/>
  <c r="AD308" i="32"/>
  <c r="AD307" i="32"/>
  <c r="AD306" i="32"/>
  <c r="AD305" i="32"/>
  <c r="AD304" i="32"/>
  <c r="AD303" i="32"/>
  <c r="AD302" i="32"/>
  <c r="AD301" i="32"/>
  <c r="AD300" i="32"/>
  <c r="AD299" i="32"/>
  <c r="AD298" i="32"/>
  <c r="AD297" i="32"/>
  <c r="AD296" i="32"/>
  <c r="AD295" i="32"/>
  <c r="AD294" i="32"/>
  <c r="AD293" i="32"/>
  <c r="AD292" i="32"/>
  <c r="AD291" i="32"/>
  <c r="AD290" i="32"/>
  <c r="AD289" i="32"/>
  <c r="AD288" i="32"/>
  <c r="AD287" i="32"/>
  <c r="AD286" i="32"/>
  <c r="AD285" i="32"/>
  <c r="AD284" i="32"/>
  <c r="AD283" i="32"/>
  <c r="AD282" i="32"/>
  <c r="AD281" i="32"/>
  <c r="AD280" i="32"/>
  <c r="AD279" i="32"/>
  <c r="AD278" i="32"/>
  <c r="AD277" i="32"/>
  <c r="AD276" i="32"/>
  <c r="AD275" i="32"/>
  <c r="AD274" i="32"/>
  <c r="AD273" i="32"/>
  <c r="AD272" i="32"/>
  <c r="AD271" i="32"/>
  <c r="AD270" i="32"/>
  <c r="AD269" i="32"/>
  <c r="AD268" i="32"/>
  <c r="AD267" i="32"/>
  <c r="AD266" i="32"/>
  <c r="AD265" i="32"/>
  <c r="AD264" i="32"/>
  <c r="AD263" i="32"/>
  <c r="AD262" i="32"/>
  <c r="AD261" i="32"/>
  <c r="AD260" i="32"/>
  <c r="AD259" i="32"/>
  <c r="AD258" i="32"/>
  <c r="AD257" i="32"/>
  <c r="AD256" i="32"/>
  <c r="AD255" i="32"/>
  <c r="AD254" i="32"/>
  <c r="AD253" i="32"/>
  <c r="AD252" i="32"/>
  <c r="AD251" i="32"/>
  <c r="AD250" i="32"/>
  <c r="AD249" i="32"/>
  <c r="AD248" i="32"/>
  <c r="AD247" i="32"/>
  <c r="AD246" i="32"/>
  <c r="AD245" i="32"/>
  <c r="AD244" i="32"/>
  <c r="AD243" i="32"/>
  <c r="AD242" i="32"/>
  <c r="AD241" i="32"/>
  <c r="AD240" i="32"/>
  <c r="AD239" i="32"/>
  <c r="AD238" i="32"/>
  <c r="AD237" i="32"/>
  <c r="AD236" i="32"/>
  <c r="AD235" i="32"/>
  <c r="AD234" i="32"/>
  <c r="AD233" i="32"/>
  <c r="AD232" i="32"/>
  <c r="AD231" i="32"/>
  <c r="AD230" i="32"/>
  <c r="AD229" i="32"/>
  <c r="AD228" i="32"/>
  <c r="AD227" i="32"/>
  <c r="AD226" i="32"/>
  <c r="AD225" i="32"/>
  <c r="AD224" i="32"/>
  <c r="AD223" i="32"/>
  <c r="AD222" i="32"/>
  <c r="AD221" i="32"/>
  <c r="AD220" i="32"/>
  <c r="AD219" i="32"/>
  <c r="AD218" i="32"/>
  <c r="AD217" i="32"/>
  <c r="AD216" i="32"/>
  <c r="AD215" i="32"/>
  <c r="AD214" i="32"/>
  <c r="AD213" i="32"/>
  <c r="AD212" i="32"/>
  <c r="AD211" i="32"/>
  <c r="AD210" i="32"/>
  <c r="AD209" i="32"/>
  <c r="AD208" i="32"/>
  <c r="AD207" i="32"/>
  <c r="AD206" i="32"/>
  <c r="AD205" i="32"/>
  <c r="AD204" i="32"/>
  <c r="AD203" i="32"/>
  <c r="AD202" i="32"/>
  <c r="AD201" i="32"/>
  <c r="AD200" i="32"/>
  <c r="AD199" i="32"/>
  <c r="AD198" i="32"/>
  <c r="AD197" i="32"/>
  <c r="AD196" i="32"/>
  <c r="AD195" i="32"/>
  <c r="AD194" i="32"/>
  <c r="AD193" i="32"/>
  <c r="AD192" i="32"/>
  <c r="AD191" i="32"/>
  <c r="AD190" i="32"/>
  <c r="AD189" i="32"/>
  <c r="AD188" i="32"/>
  <c r="AD187" i="32"/>
  <c r="AD186" i="32"/>
  <c r="AD185" i="32"/>
  <c r="AD184" i="32"/>
  <c r="AD183" i="32"/>
  <c r="AD182" i="32"/>
  <c r="AD181" i="32"/>
  <c r="AD180" i="32"/>
  <c r="AD179" i="32"/>
  <c r="AD178" i="32"/>
  <c r="AD177" i="32"/>
  <c r="AD176" i="32"/>
  <c r="AD175" i="32"/>
  <c r="AD174" i="32"/>
  <c r="AD173" i="32"/>
  <c r="AD172" i="32"/>
  <c r="AD171" i="32"/>
  <c r="AD170" i="32"/>
  <c r="AD169" i="32"/>
  <c r="AD168" i="32"/>
  <c r="AD167" i="32"/>
  <c r="AD166" i="32"/>
  <c r="AD165" i="32"/>
  <c r="AD164" i="32"/>
  <c r="AD163" i="32"/>
  <c r="AD162" i="32"/>
  <c r="AD161" i="32"/>
  <c r="AD160" i="32"/>
  <c r="AD159" i="32"/>
  <c r="AD158" i="32"/>
  <c r="AD157" i="32"/>
  <c r="AD156" i="32"/>
  <c r="AD155" i="32"/>
  <c r="AD154" i="32"/>
  <c r="AD153" i="32"/>
  <c r="AD152" i="32"/>
  <c r="AD151" i="32"/>
  <c r="AD150" i="32"/>
  <c r="AD149" i="32"/>
  <c r="AD148" i="32"/>
  <c r="AD147" i="32"/>
  <c r="AD146" i="32"/>
  <c r="AD145" i="32"/>
  <c r="AD144" i="32"/>
  <c r="AD143" i="32"/>
  <c r="AD142" i="32"/>
  <c r="AD141" i="32"/>
  <c r="AD140" i="32"/>
  <c r="AD139" i="32"/>
  <c r="AD138" i="32"/>
  <c r="AD137" i="32"/>
  <c r="AD136" i="32"/>
  <c r="AD135" i="32"/>
  <c r="AD134" i="32"/>
  <c r="AD133" i="32"/>
  <c r="AD132" i="32"/>
  <c r="AD131" i="32"/>
  <c r="AD130" i="32"/>
  <c r="AD129" i="32"/>
  <c r="AD128" i="32"/>
  <c r="AD127" i="32"/>
  <c r="AD126" i="32"/>
  <c r="AD125" i="32"/>
  <c r="AD124" i="32"/>
  <c r="AD123" i="32"/>
  <c r="AD122" i="32"/>
  <c r="AD121" i="32"/>
  <c r="AD120" i="32"/>
  <c r="AD119" i="32"/>
  <c r="AD118" i="32"/>
  <c r="AD117" i="32"/>
  <c r="AD116" i="32"/>
  <c r="AD115" i="32"/>
  <c r="AD114" i="32"/>
  <c r="AD113" i="32"/>
  <c r="AD112" i="32"/>
  <c r="AD111" i="32"/>
  <c r="AD110" i="32"/>
  <c r="AD109" i="32"/>
  <c r="AD108" i="32"/>
  <c r="AD107" i="32"/>
  <c r="AD106" i="32"/>
  <c r="AD105" i="32"/>
  <c r="AD104" i="32"/>
  <c r="AD103" i="32"/>
  <c r="AD102" i="32"/>
  <c r="AD101" i="32"/>
  <c r="AD100" i="32"/>
  <c r="AD99" i="32"/>
  <c r="AD98" i="32"/>
  <c r="AD97" i="32"/>
  <c r="AD96" i="32"/>
  <c r="AD95" i="32"/>
  <c r="AD94" i="32"/>
  <c r="AD93" i="32"/>
  <c r="AD92" i="32"/>
  <c r="AD91" i="32"/>
  <c r="AD90" i="32"/>
  <c r="AD89" i="32"/>
  <c r="AD88" i="32"/>
  <c r="AD87" i="32"/>
  <c r="AD86" i="32"/>
  <c r="AD85" i="32"/>
  <c r="AD84" i="32"/>
  <c r="AD83" i="32"/>
  <c r="AD82" i="32"/>
  <c r="AD81" i="32"/>
  <c r="AD80" i="32"/>
  <c r="AD79" i="32"/>
  <c r="AD78" i="32"/>
  <c r="AD77" i="32"/>
  <c r="AD76" i="32"/>
  <c r="AD75" i="32"/>
  <c r="AD74" i="32"/>
  <c r="AD73" i="32"/>
  <c r="AD72" i="32"/>
  <c r="AD71" i="32"/>
  <c r="AD70" i="32"/>
  <c r="AD69" i="32"/>
  <c r="AD68" i="32"/>
  <c r="AD67" i="32"/>
  <c r="AD66" i="32"/>
  <c r="AD65" i="32"/>
  <c r="AD64" i="32"/>
  <c r="AD63" i="32"/>
  <c r="AD62" i="32"/>
  <c r="AD61" i="32"/>
  <c r="AD60" i="32"/>
  <c r="AD59" i="32"/>
  <c r="AD58" i="32"/>
  <c r="AD57" i="32"/>
  <c r="AD56" i="32"/>
  <c r="AD55" i="32"/>
  <c r="AD54" i="32"/>
  <c r="AD53" i="32"/>
  <c r="AD52" i="32"/>
  <c r="AD51" i="32"/>
  <c r="AD50" i="32"/>
  <c r="AD49" i="32"/>
  <c r="AD48" i="32"/>
  <c r="AD47" i="32"/>
  <c r="AD46" i="32"/>
  <c r="AD45" i="32"/>
  <c r="AD44" i="32"/>
  <c r="AD43" i="32"/>
  <c r="AD42" i="32"/>
  <c r="AD41" i="32"/>
  <c r="AD40" i="32"/>
  <c r="AD39" i="32"/>
  <c r="AD38" i="32"/>
  <c r="AD37" i="32"/>
  <c r="AD36" i="32"/>
  <c r="AD35" i="32"/>
  <c r="AD34" i="32"/>
  <c r="AD33" i="32"/>
  <c r="AD32" i="32"/>
  <c r="AD31" i="32"/>
  <c r="AD30" i="32"/>
  <c r="AD29" i="32"/>
  <c r="AD28" i="32"/>
  <c r="AD27" i="32"/>
  <c r="AD26" i="32"/>
  <c r="AD25" i="32"/>
  <c r="AD24" i="32"/>
  <c r="AD23" i="32"/>
  <c r="AD22" i="32"/>
  <c r="AD21" i="32"/>
  <c r="AD20" i="32"/>
  <c r="AD19" i="32"/>
  <c r="AD18" i="32"/>
  <c r="AD17" i="32"/>
  <c r="AD16" i="32"/>
  <c r="AD15" i="32"/>
  <c r="AD14" i="32"/>
  <c r="AD13" i="32"/>
  <c r="AD12" i="32"/>
  <c r="AD11" i="32"/>
  <c r="AD10" i="32"/>
  <c r="AD9" i="32"/>
  <c r="AD8" i="32"/>
  <c r="AD7" i="32"/>
  <c r="AD6" i="32"/>
  <c r="H245" i="21" l="1"/>
  <c r="H225" i="21"/>
  <c r="H205" i="21"/>
  <c r="H95" i="21"/>
  <c r="H75" i="21"/>
  <c r="H55" i="21"/>
  <c r="H35" i="21"/>
  <c r="G165" i="21"/>
  <c r="G125" i="21"/>
  <c r="G235" i="21"/>
  <c r="I125" i="21"/>
  <c r="I245" i="21"/>
  <c r="I225" i="21"/>
  <c r="I205" i="21"/>
  <c r="I95" i="21"/>
  <c r="I75" i="21"/>
  <c r="I55" i="21"/>
  <c r="I35" i="21"/>
  <c r="G245" i="21"/>
  <c r="G205" i="21"/>
  <c r="G195" i="21"/>
  <c r="H175" i="21"/>
  <c r="H155" i="21"/>
  <c r="H135" i="21"/>
  <c r="H115" i="21"/>
  <c r="H25" i="21"/>
  <c r="G155" i="21"/>
  <c r="G115" i="21"/>
  <c r="I25" i="21"/>
  <c r="G105" i="21"/>
  <c r="I145" i="21"/>
  <c r="G215" i="21"/>
  <c r="I175" i="21"/>
  <c r="I155" i="21"/>
  <c r="I135" i="21"/>
  <c r="I115" i="21"/>
  <c r="I185" i="21"/>
  <c r="H235" i="21"/>
  <c r="H215" i="21"/>
  <c r="H195" i="21"/>
  <c r="H105" i="21"/>
  <c r="H85" i="21"/>
  <c r="H65" i="21"/>
  <c r="H45" i="21"/>
  <c r="G185" i="21"/>
  <c r="G145" i="21"/>
  <c r="G75" i="21"/>
  <c r="I235" i="21"/>
  <c r="I215" i="21"/>
  <c r="I195" i="21"/>
  <c r="I105" i="21"/>
  <c r="I85" i="21"/>
  <c r="I65" i="21"/>
  <c r="I45" i="21"/>
  <c r="G225" i="21"/>
  <c r="G95" i="21"/>
  <c r="G85" i="21"/>
  <c r="H185" i="21"/>
  <c r="H165" i="21"/>
  <c r="H145" i="21"/>
  <c r="H125" i="21"/>
  <c r="H15" i="21"/>
  <c r="G175" i="21"/>
  <c r="G135" i="21"/>
  <c r="I165" i="21"/>
  <c r="I15" i="21"/>
  <c r="G45" i="21"/>
  <c r="G25" i="21"/>
  <c r="G35" i="21"/>
  <c r="G65" i="21"/>
  <c r="G15" i="21"/>
  <c r="G55" i="21"/>
  <c r="B89" i="31"/>
  <c r="B88" i="31"/>
  <c r="B87" i="31"/>
  <c r="B86" i="31"/>
  <c r="B85" i="31"/>
  <c r="B84" i="31"/>
  <c r="B83" i="31"/>
  <c r="B82" i="31"/>
  <c r="B81" i="31"/>
  <c r="B80" i="31"/>
  <c r="H247" i="21" l="1"/>
  <c r="H227" i="21"/>
  <c r="H207" i="21"/>
  <c r="H187" i="21"/>
  <c r="H167" i="21"/>
  <c r="H147" i="21"/>
  <c r="H127" i="21"/>
  <c r="H107" i="21"/>
  <c r="G167" i="21"/>
  <c r="I247" i="21"/>
  <c r="I227" i="21"/>
  <c r="I207" i="21"/>
  <c r="I187" i="21"/>
  <c r="I167" i="21"/>
  <c r="I147" i="21"/>
  <c r="I127" i="21"/>
  <c r="I107" i="21"/>
  <c r="G247" i="21"/>
  <c r="G207" i="21"/>
  <c r="G237" i="21"/>
  <c r="G197" i="21"/>
  <c r="G157" i="21"/>
  <c r="G117" i="21"/>
  <c r="G67" i="21"/>
  <c r="H237" i="21"/>
  <c r="H217" i="21"/>
  <c r="H197" i="21"/>
  <c r="H177" i="21"/>
  <c r="H157" i="21"/>
  <c r="H137" i="21"/>
  <c r="H117" i="21"/>
  <c r="H97" i="21"/>
  <c r="G147" i="21"/>
  <c r="G107" i="21"/>
  <c r="I237" i="21"/>
  <c r="I217" i="21"/>
  <c r="I197" i="21"/>
  <c r="I177" i="21"/>
  <c r="I157" i="21"/>
  <c r="I137" i="21"/>
  <c r="I117" i="21"/>
  <c r="I97" i="21"/>
  <c r="G227" i="21"/>
  <c r="G187" i="21"/>
  <c r="H87" i="21"/>
  <c r="G77" i="21"/>
  <c r="I87" i="21"/>
  <c r="G217" i="21"/>
  <c r="G177" i="21"/>
  <c r="G137" i="21"/>
  <c r="G97" i="21"/>
  <c r="G87" i="21"/>
  <c r="G127" i="21"/>
  <c r="G83" i="21"/>
  <c r="G73" i="21"/>
  <c r="G23" i="21"/>
  <c r="G243" i="21"/>
  <c r="G203" i="21"/>
  <c r="G163" i="21"/>
  <c r="G123" i="21"/>
  <c r="G63" i="21"/>
  <c r="I53" i="21"/>
  <c r="G13" i="21"/>
  <c r="H63" i="21"/>
  <c r="H13" i="21"/>
  <c r="H233" i="21"/>
  <c r="H213" i="21"/>
  <c r="H193" i="21"/>
  <c r="H173" i="21"/>
  <c r="H153" i="21"/>
  <c r="H133" i="21"/>
  <c r="H113" i="21"/>
  <c r="H93" i="21"/>
  <c r="G33" i="21"/>
  <c r="I233" i="21"/>
  <c r="I213" i="21"/>
  <c r="I193" i="21"/>
  <c r="I173" i="21"/>
  <c r="I153" i="21"/>
  <c r="I133" i="21"/>
  <c r="I113" i="21"/>
  <c r="I93" i="21"/>
  <c r="G233" i="21"/>
  <c r="G193" i="21"/>
  <c r="G153" i="21"/>
  <c r="G113" i="21"/>
  <c r="I63" i="21"/>
  <c r="I13" i="21"/>
  <c r="H73" i="21"/>
  <c r="H33" i="21"/>
  <c r="I73" i="21"/>
  <c r="G43" i="21"/>
  <c r="I33" i="21"/>
  <c r="G223" i="21"/>
  <c r="G183" i="21"/>
  <c r="G143" i="21"/>
  <c r="G103" i="21"/>
  <c r="H243" i="21"/>
  <c r="H223" i="21"/>
  <c r="H203" i="21"/>
  <c r="H183" i="21"/>
  <c r="H163" i="21"/>
  <c r="H143" i="21"/>
  <c r="H123" i="21"/>
  <c r="H103" i="21"/>
  <c r="H83" i="21"/>
  <c r="H43" i="21"/>
  <c r="I243" i="21"/>
  <c r="I223" i="21"/>
  <c r="I203" i="21"/>
  <c r="I183" i="21"/>
  <c r="I163" i="21"/>
  <c r="I143" i="21"/>
  <c r="I123" i="21"/>
  <c r="I103" i="21"/>
  <c r="I83" i="21"/>
  <c r="G213" i="21"/>
  <c r="G173" i="21"/>
  <c r="G133" i="21"/>
  <c r="G93" i="21"/>
  <c r="G53" i="21"/>
  <c r="I43" i="21"/>
  <c r="H23" i="21"/>
  <c r="H53" i="21"/>
  <c r="I23" i="21"/>
  <c r="H47" i="21"/>
  <c r="I17" i="21"/>
  <c r="G57" i="21"/>
  <c r="I47" i="21"/>
  <c r="I57" i="21"/>
  <c r="G27" i="21"/>
  <c r="H67" i="21"/>
  <c r="H27" i="21"/>
  <c r="I67" i="21"/>
  <c r="G37" i="21"/>
  <c r="I27" i="21"/>
  <c r="H77" i="21"/>
  <c r="H37" i="21"/>
  <c r="G17" i="21"/>
  <c r="I77" i="21"/>
  <c r="G47" i="21"/>
  <c r="I37" i="21"/>
  <c r="H17" i="21"/>
  <c r="H57" i="21"/>
  <c r="N80" i="29" l="1"/>
  <c r="S80" i="29" s="1"/>
  <c r="H164" i="31"/>
  <c r="G173" i="31" s="1"/>
  <c r="J173" i="31" s="1"/>
  <c r="Q173" i="31" s="1"/>
  <c r="I136" i="21" s="1"/>
  <c r="H174" i="31"/>
  <c r="O174" i="31" s="1"/>
  <c r="G126" i="21" s="1"/>
  <c r="G128" i="31"/>
  <c r="F172" i="31" s="1"/>
  <c r="I172" i="31" s="1"/>
  <c r="P172" i="31" s="1"/>
  <c r="H116" i="21" s="1"/>
  <c r="L128" i="31"/>
  <c r="F177" i="31" s="1"/>
  <c r="I177" i="31" s="1"/>
  <c r="P177" i="31" s="1"/>
  <c r="H166" i="21" s="1"/>
  <c r="G164" i="31"/>
  <c r="G172" i="31" s="1"/>
  <c r="J172" i="31" s="1"/>
  <c r="Q172" i="31" s="1"/>
  <c r="I116" i="21" s="1"/>
  <c r="M78" i="29"/>
  <c r="R78" i="29" s="1"/>
  <c r="H75" i="31"/>
  <c r="G84" i="31" s="1"/>
  <c r="J84" i="31" s="1"/>
  <c r="Q84" i="31" s="1"/>
  <c r="I216" i="21" s="1"/>
  <c r="J164" i="31"/>
  <c r="G175" i="31" s="1"/>
  <c r="J175" i="31" s="1"/>
  <c r="Q175" i="31" s="1"/>
  <c r="I146" i="21" s="1"/>
  <c r="G75" i="31"/>
  <c r="G83" i="31" s="1"/>
  <c r="I75" i="31"/>
  <c r="I164" i="31"/>
  <c r="G174" i="31" s="1"/>
  <c r="J174" i="31" s="1"/>
  <c r="Q174" i="31" s="1"/>
  <c r="I126" i="21" s="1"/>
  <c r="M237" i="31"/>
  <c r="M230" i="31"/>
  <c r="H83" i="31"/>
  <c r="O83" i="31" s="1"/>
  <c r="G196" i="21" s="1"/>
  <c r="H128" i="31"/>
  <c r="F173" i="31" s="1"/>
  <c r="I173" i="31" s="1"/>
  <c r="P173" i="31" s="1"/>
  <c r="H136" i="21" s="1"/>
  <c r="M137" i="31"/>
  <c r="M222" i="31"/>
  <c r="H253" i="31"/>
  <c r="M223" i="31"/>
  <c r="M225" i="31"/>
  <c r="M231" i="31"/>
  <c r="S487" i="35" s="1"/>
  <c r="T487" i="35" s="1"/>
  <c r="M233" i="31"/>
  <c r="I253" i="31"/>
  <c r="G263" i="31" s="1"/>
  <c r="J263" i="31" s="1"/>
  <c r="Q263" i="31" s="1"/>
  <c r="I46" i="21" s="1"/>
  <c r="M224" i="31"/>
  <c r="M232" i="31"/>
  <c r="S488" i="35" s="1"/>
  <c r="T488" i="35" s="1"/>
  <c r="J253" i="31"/>
  <c r="G264" i="31" s="1"/>
  <c r="J264" i="31" s="1"/>
  <c r="Q264" i="31" s="1"/>
  <c r="I66" i="21" s="1"/>
  <c r="G253" i="31"/>
  <c r="G261" i="31" s="1"/>
  <c r="J261" i="31" s="1"/>
  <c r="Q261" i="31" s="1"/>
  <c r="I36" i="21" s="1"/>
  <c r="K253" i="31"/>
  <c r="G265" i="31" s="1"/>
  <c r="J265" i="31" s="1"/>
  <c r="Q265" i="31" s="1"/>
  <c r="I76" i="21" s="1"/>
  <c r="M226" i="31"/>
  <c r="L253" i="31"/>
  <c r="G266" i="31" s="1"/>
  <c r="J266" i="31" s="1"/>
  <c r="Q266" i="31" s="1"/>
  <c r="I86" i="21" s="1"/>
  <c r="M227" i="31"/>
  <c r="S483" i="35" s="1"/>
  <c r="T483" i="35" s="1"/>
  <c r="M229" i="31"/>
  <c r="M234" i="31"/>
  <c r="S490" i="35" s="1"/>
  <c r="T490" i="35" s="1"/>
  <c r="M236" i="31"/>
  <c r="M228" i="31"/>
  <c r="M235" i="31"/>
  <c r="S491" i="35" s="1"/>
  <c r="T491" i="35" s="1"/>
  <c r="J75" i="31"/>
  <c r="M221" i="31"/>
  <c r="G39" i="31"/>
  <c r="F83" i="31" s="1"/>
  <c r="I83" i="31" s="1"/>
  <c r="P83" i="31" s="1"/>
  <c r="H196" i="21" s="1"/>
  <c r="F253" i="31"/>
  <c r="G258" i="31" s="1"/>
  <c r="H172" i="31"/>
  <c r="J128" i="31"/>
  <c r="F175" i="31" s="1"/>
  <c r="I175" i="31" s="1"/>
  <c r="P175" i="31" s="1"/>
  <c r="H146" i="21" s="1"/>
  <c r="H264" i="31"/>
  <c r="O264" i="31" s="1"/>
  <c r="G66" i="21" s="1"/>
  <c r="H217" i="31"/>
  <c r="F262" i="31" s="1"/>
  <c r="I262" i="31" s="1"/>
  <c r="P262" i="31" s="1"/>
  <c r="H56" i="21" s="1"/>
  <c r="M187" i="31"/>
  <c r="M195" i="31"/>
  <c r="H177" i="31"/>
  <c r="O177" i="31" s="1"/>
  <c r="G166" i="21" s="1"/>
  <c r="J217" i="31"/>
  <c r="F264" i="31" s="1"/>
  <c r="I128" i="31"/>
  <c r="F174" i="31" s="1"/>
  <c r="I174" i="31" s="1"/>
  <c r="P174" i="31" s="1"/>
  <c r="H126" i="21" s="1"/>
  <c r="L164" i="31"/>
  <c r="G177" i="31" s="1"/>
  <c r="J177" i="31" s="1"/>
  <c r="Q177" i="31" s="1"/>
  <c r="I166" i="21" s="1"/>
  <c r="H266" i="31"/>
  <c r="O266" i="31" s="1"/>
  <c r="G86" i="21" s="1"/>
  <c r="I217" i="31"/>
  <c r="M188" i="31"/>
  <c r="M196" i="31"/>
  <c r="M197" i="31"/>
  <c r="K217" i="31"/>
  <c r="F265" i="31" s="1"/>
  <c r="I265" i="31" s="1"/>
  <c r="P265" i="31" s="1"/>
  <c r="H76" i="21" s="1"/>
  <c r="M190" i="31"/>
  <c r="H261" i="31"/>
  <c r="O261" i="31" s="1"/>
  <c r="G36" i="21" s="1"/>
  <c r="L217" i="31"/>
  <c r="F266" i="31" s="1"/>
  <c r="M191" i="31"/>
  <c r="M198" i="31"/>
  <c r="H175" i="31"/>
  <c r="O175" i="31" s="1"/>
  <c r="G146" i="21" s="1"/>
  <c r="H262" i="31"/>
  <c r="M192" i="31"/>
  <c r="M199" i="31"/>
  <c r="H263" i="31"/>
  <c r="M193" i="31"/>
  <c r="M200" i="31"/>
  <c r="H173" i="31"/>
  <c r="G217" i="31"/>
  <c r="F261" i="31" s="1"/>
  <c r="I261" i="31" s="1"/>
  <c r="P261" i="31" s="1"/>
  <c r="H36" i="21" s="1"/>
  <c r="M186" i="31"/>
  <c r="M194" i="31"/>
  <c r="M201" i="31"/>
  <c r="H85" i="31"/>
  <c r="O85" i="31" s="1"/>
  <c r="G206" i="21" s="1"/>
  <c r="F217" i="31"/>
  <c r="M147" i="31"/>
  <c r="M146" i="31"/>
  <c r="S293" i="35" s="1"/>
  <c r="T293" i="35" s="1"/>
  <c r="M145" i="31"/>
  <c r="S292" i="35" s="1"/>
  <c r="T292" i="35" s="1"/>
  <c r="M144" i="31"/>
  <c r="M143" i="31"/>
  <c r="S290" i="35" s="1"/>
  <c r="T290" i="35" s="1"/>
  <c r="M142" i="31"/>
  <c r="S289" i="35" s="1"/>
  <c r="T289" i="35" s="1"/>
  <c r="M141" i="31"/>
  <c r="M140" i="31"/>
  <c r="M139" i="31"/>
  <c r="M138" i="31"/>
  <c r="S285" i="35" s="1"/>
  <c r="T285" i="35" s="1"/>
  <c r="M136" i="31"/>
  <c r="M135" i="31"/>
  <c r="M134" i="31"/>
  <c r="M133" i="31"/>
  <c r="K164" i="31"/>
  <c r="G176" i="31" s="1"/>
  <c r="M14" i="31"/>
  <c r="M54" i="31"/>
  <c r="S92" i="35" s="1"/>
  <c r="T92" i="35" s="1"/>
  <c r="M46" i="31"/>
  <c r="M112" i="31"/>
  <c r="M111" i="31"/>
  <c r="M101" i="31"/>
  <c r="M100" i="31"/>
  <c r="M99" i="31"/>
  <c r="M96" i="31"/>
  <c r="K128" i="31"/>
  <c r="F176" i="31" s="1"/>
  <c r="I176" i="31" s="1"/>
  <c r="P176" i="31" s="1"/>
  <c r="H156" i="21" s="1"/>
  <c r="H176" i="31"/>
  <c r="O176" i="31" s="1"/>
  <c r="G156" i="21" s="1"/>
  <c r="F164" i="31"/>
  <c r="H87" i="31"/>
  <c r="O87" i="31" s="1"/>
  <c r="G236" i="21" s="1"/>
  <c r="M132" i="31"/>
  <c r="I39" i="31"/>
  <c r="F85" i="31" s="1"/>
  <c r="I85" i="31" s="1"/>
  <c r="P85" i="31" s="1"/>
  <c r="H206" i="21" s="1"/>
  <c r="F128" i="31"/>
  <c r="F169" i="31" s="1"/>
  <c r="L75" i="31"/>
  <c r="G88" i="31" s="1"/>
  <c r="H84" i="31"/>
  <c r="O84" i="31" s="1"/>
  <c r="G216" i="21" s="1"/>
  <c r="M23" i="31"/>
  <c r="J39" i="31"/>
  <c r="F86" i="31" s="1"/>
  <c r="I86" i="31" s="1"/>
  <c r="P86" i="31" s="1"/>
  <c r="H226" i="21" s="1"/>
  <c r="M59" i="31"/>
  <c r="M58" i="31"/>
  <c r="M57" i="31"/>
  <c r="S95" i="35" s="1"/>
  <c r="T95" i="35" s="1"/>
  <c r="M56" i="31"/>
  <c r="S94" i="35" s="1"/>
  <c r="T94" i="35" s="1"/>
  <c r="M55" i="31"/>
  <c r="M53" i="31"/>
  <c r="S91" i="35" s="1"/>
  <c r="T91" i="35" s="1"/>
  <c r="M52" i="31"/>
  <c r="M51" i="31"/>
  <c r="M50" i="31"/>
  <c r="M49" i="31"/>
  <c r="S87" i="35" s="1"/>
  <c r="T87" i="35" s="1"/>
  <c r="M48" i="31"/>
  <c r="M47" i="31"/>
  <c r="M45" i="31"/>
  <c r="K75" i="31"/>
  <c r="M28" i="31"/>
  <c r="M27" i="31"/>
  <c r="M26" i="31"/>
  <c r="M24" i="31"/>
  <c r="M21" i="31"/>
  <c r="M20" i="31"/>
  <c r="M19" i="31"/>
  <c r="M11" i="31"/>
  <c r="M10" i="31"/>
  <c r="M7" i="31"/>
  <c r="H88" i="31"/>
  <c r="O88" i="31" s="1"/>
  <c r="G246" i="21" s="1"/>
  <c r="M22" i="31"/>
  <c r="M13" i="31"/>
  <c r="L39" i="31"/>
  <c r="F88" i="31" s="1"/>
  <c r="I88" i="31" s="1"/>
  <c r="P88" i="31" s="1"/>
  <c r="H246" i="21" s="1"/>
  <c r="H86" i="31"/>
  <c r="O86" i="31" s="1"/>
  <c r="G226" i="21" s="1"/>
  <c r="M25" i="31"/>
  <c r="M43" i="31"/>
  <c r="F84" i="31"/>
  <c r="I84" i="31" s="1"/>
  <c r="P84" i="31" s="1"/>
  <c r="H216" i="21" s="1"/>
  <c r="K39" i="31"/>
  <c r="F87" i="31" s="1"/>
  <c r="I87" i="31" s="1"/>
  <c r="P87" i="31" s="1"/>
  <c r="H236" i="21" s="1"/>
  <c r="M12" i="31"/>
  <c r="F75" i="31"/>
  <c r="F39" i="31"/>
  <c r="F80" i="31" s="1"/>
  <c r="M77" i="29"/>
  <c r="R77" i="29" s="1"/>
  <c r="N79" i="29"/>
  <c r="S79" i="29" s="1"/>
  <c r="N82" i="29"/>
  <c r="S82" i="29" s="1"/>
  <c r="S86" i="35" l="1"/>
  <c r="T86" i="35" s="1"/>
  <c r="S485" i="35"/>
  <c r="T485" i="35" s="1"/>
  <c r="S89" i="35"/>
  <c r="T89" i="35" s="1"/>
  <c r="S482" i="35"/>
  <c r="T482" i="35" s="1"/>
  <c r="S291" i="35"/>
  <c r="T291" i="35" s="1"/>
  <c r="S88" i="35"/>
  <c r="T88" i="35" s="1"/>
  <c r="S288" i="35"/>
  <c r="T288" i="35" s="1"/>
  <c r="S93" i="35"/>
  <c r="T93" i="35" s="1"/>
  <c r="S489" i="35"/>
  <c r="T489" i="35" s="1"/>
  <c r="S286" i="35"/>
  <c r="T286" i="35" s="1"/>
  <c r="S284" i="35"/>
  <c r="T284" i="35" s="1"/>
  <c r="S287" i="35"/>
  <c r="T287" i="35" s="1"/>
  <c r="S484" i="35"/>
  <c r="T484" i="35" s="1"/>
  <c r="S90" i="35"/>
  <c r="T90" i="35" s="1"/>
  <c r="S486" i="35"/>
  <c r="T486" i="35" s="1"/>
  <c r="M217" i="31"/>
  <c r="F258" i="31"/>
  <c r="I258" i="31" s="1"/>
  <c r="I264" i="31"/>
  <c r="P264" i="31" s="1"/>
  <c r="H66" i="21" s="1"/>
  <c r="I266" i="31"/>
  <c r="P266" i="31" s="1"/>
  <c r="H86" i="21" s="1"/>
  <c r="F263" i="31"/>
  <c r="I263" i="31" s="1"/>
  <c r="S90" i="29"/>
  <c r="M80" i="29"/>
  <c r="R80" i="29" s="1"/>
  <c r="I80" i="31"/>
  <c r="G169" i="31"/>
  <c r="G178" i="31" s="1"/>
  <c r="G274" i="31" s="1"/>
  <c r="M164" i="31"/>
  <c r="H80" i="31"/>
  <c r="O80" i="31" s="1"/>
  <c r="G186" i="21" s="1"/>
  <c r="E178" i="31"/>
  <c r="E274" i="31" s="1"/>
  <c r="J176" i="31"/>
  <c r="Q176" i="31" s="1"/>
  <c r="I156" i="21" s="1"/>
  <c r="H265" i="31"/>
  <c r="G262" i="31"/>
  <c r="G267" i="31" s="1"/>
  <c r="G275" i="31" s="1"/>
  <c r="M79" i="29"/>
  <c r="R79" i="29" s="1"/>
  <c r="N77" i="29"/>
  <c r="S77" i="29" s="1"/>
  <c r="N78" i="29"/>
  <c r="S78" i="29" s="1"/>
  <c r="K173" i="31"/>
  <c r="O173" i="31"/>
  <c r="G136" i="21" s="1"/>
  <c r="O263" i="31"/>
  <c r="G46" i="21" s="1"/>
  <c r="O262" i="31"/>
  <c r="G56" i="21" s="1"/>
  <c r="K174" i="31"/>
  <c r="K172" i="31"/>
  <c r="O172" i="31"/>
  <c r="G116" i="21" s="1"/>
  <c r="K261" i="31"/>
  <c r="H258" i="31"/>
  <c r="O258" i="31" s="1"/>
  <c r="G26" i="21" s="1"/>
  <c r="J258" i="31"/>
  <c r="I267" i="31"/>
  <c r="I275" i="31" s="1"/>
  <c r="K177" i="31"/>
  <c r="K84" i="31"/>
  <c r="G85" i="31"/>
  <c r="J85" i="31" s="1"/>
  <c r="G86" i="31"/>
  <c r="J86" i="31" s="1"/>
  <c r="E89" i="31"/>
  <c r="E273" i="31" s="1"/>
  <c r="J88" i="31"/>
  <c r="G87" i="31"/>
  <c r="J87" i="31" s="1"/>
  <c r="F89" i="31"/>
  <c r="F273" i="31" s="1"/>
  <c r="J83" i="31"/>
  <c r="G80" i="31"/>
  <c r="I169" i="31"/>
  <c r="F178" i="31"/>
  <c r="F274" i="31" s="1"/>
  <c r="H169" i="31"/>
  <c r="O169" i="31" s="1"/>
  <c r="G106" i="21" s="1"/>
  <c r="K175" i="31"/>
  <c r="M253" i="31"/>
  <c r="M75" i="31"/>
  <c r="M128" i="31"/>
  <c r="M39" i="31"/>
  <c r="M82" i="29"/>
  <c r="R82" i="29" s="1"/>
  <c r="F267" i="31" l="1"/>
  <c r="F268" i="31" s="1"/>
  <c r="K264" i="31"/>
  <c r="K266" i="31"/>
  <c r="P263" i="31"/>
  <c r="H46" i="21" s="1"/>
  <c r="K263" i="31"/>
  <c r="P80" i="31"/>
  <c r="H186" i="21" s="1"/>
  <c r="F90" i="31"/>
  <c r="N81" i="29"/>
  <c r="S93" i="29"/>
  <c r="I52" i="21" s="1"/>
  <c r="M81" i="29"/>
  <c r="S92" i="29"/>
  <c r="I32" i="21" s="1"/>
  <c r="H89" i="31"/>
  <c r="H273" i="31" s="1"/>
  <c r="K176" i="31"/>
  <c r="J169" i="31"/>
  <c r="J178" i="31" s="1"/>
  <c r="J274" i="31" s="1"/>
  <c r="G179" i="31"/>
  <c r="G268" i="31"/>
  <c r="J262" i="31"/>
  <c r="Q262" i="31" s="1"/>
  <c r="I56" i="21" s="1"/>
  <c r="E267" i="31"/>
  <c r="E275" i="31" s="1"/>
  <c r="I89" i="31"/>
  <c r="I273" i="31" s="1"/>
  <c r="F179" i="31"/>
  <c r="J80" i="31"/>
  <c r="Q80" i="31" s="1"/>
  <c r="I186" i="21" s="1"/>
  <c r="O265" i="31"/>
  <c r="G76" i="21" s="1"/>
  <c r="K265" i="31"/>
  <c r="I178" i="31"/>
  <c r="I274" i="31" s="1"/>
  <c r="P169" i="31"/>
  <c r="H106" i="21" s="1"/>
  <c r="K83" i="31"/>
  <c r="Q83" i="31"/>
  <c r="I196" i="21" s="1"/>
  <c r="K87" i="31"/>
  <c r="Q87" i="31"/>
  <c r="I236" i="21" s="1"/>
  <c r="K88" i="31"/>
  <c r="Q88" i="31"/>
  <c r="I246" i="21" s="1"/>
  <c r="K86" i="31"/>
  <c r="Q86" i="31"/>
  <c r="I226" i="21" s="1"/>
  <c r="K85" i="31"/>
  <c r="Q85" i="31"/>
  <c r="I206" i="21" s="1"/>
  <c r="P258" i="31"/>
  <c r="H26" i="21" s="1"/>
  <c r="Q258" i="31"/>
  <c r="I26" i="21" s="1"/>
  <c r="H267" i="31"/>
  <c r="H275" i="31" s="1"/>
  <c r="K258" i="31"/>
  <c r="H178" i="31"/>
  <c r="H274" i="31" s="1"/>
  <c r="G89" i="31"/>
  <c r="F275" i="31" l="1"/>
  <c r="G90" i="31"/>
  <c r="G273" i="31"/>
  <c r="K169" i="31"/>
  <c r="R81" i="29"/>
  <c r="S95" i="29"/>
  <c r="I62" i="21" s="1"/>
  <c r="S81" i="29"/>
  <c r="S96" i="29"/>
  <c r="S89" i="29"/>
  <c r="Q169" i="31"/>
  <c r="I106" i="21" s="1"/>
  <c r="K262" i="31"/>
  <c r="J267" i="31"/>
  <c r="K80" i="31"/>
  <c r="J89" i="31"/>
  <c r="K178" i="31"/>
  <c r="T294" i="35" s="1"/>
  <c r="N13" i="21"/>
  <c r="N15" i="21"/>
  <c r="N17" i="21"/>
  <c r="N23" i="21"/>
  <c r="N25" i="21"/>
  <c r="N27" i="21"/>
  <c r="N33" i="21"/>
  <c r="N35" i="21"/>
  <c r="N37" i="21"/>
  <c r="N43" i="21"/>
  <c r="N45" i="21"/>
  <c r="N47" i="21"/>
  <c r="N53" i="21"/>
  <c r="N55" i="21"/>
  <c r="N57" i="21"/>
  <c r="N63" i="21"/>
  <c r="N65" i="21"/>
  <c r="N67" i="21"/>
  <c r="N73" i="21"/>
  <c r="N75" i="21"/>
  <c r="N77" i="21"/>
  <c r="N83" i="21"/>
  <c r="N85" i="21"/>
  <c r="N87" i="21"/>
  <c r="N93" i="21"/>
  <c r="N95" i="21"/>
  <c r="N97" i="21"/>
  <c r="N103" i="21"/>
  <c r="N105" i="21"/>
  <c r="N107" i="21"/>
  <c r="N113" i="21"/>
  <c r="N115" i="21"/>
  <c r="N117" i="21"/>
  <c r="N123" i="21"/>
  <c r="N125" i="21"/>
  <c r="N127" i="21"/>
  <c r="N133" i="21"/>
  <c r="N135" i="21"/>
  <c r="N137" i="21"/>
  <c r="N143" i="21"/>
  <c r="N145" i="21"/>
  <c r="N147" i="21"/>
  <c r="N153" i="21"/>
  <c r="N155" i="21"/>
  <c r="N157" i="21"/>
  <c r="N163" i="21"/>
  <c r="N165" i="21"/>
  <c r="N167" i="21"/>
  <c r="N173" i="21"/>
  <c r="N175" i="21"/>
  <c r="N177" i="21"/>
  <c r="N183" i="21"/>
  <c r="N185" i="21"/>
  <c r="N187" i="21"/>
  <c r="N193" i="21"/>
  <c r="N195" i="21"/>
  <c r="N197" i="21"/>
  <c r="N203" i="21"/>
  <c r="N205" i="21"/>
  <c r="N207" i="21"/>
  <c r="N213" i="21"/>
  <c r="N215" i="21"/>
  <c r="N217" i="21"/>
  <c r="N223" i="21"/>
  <c r="N225" i="21"/>
  <c r="N227" i="21"/>
  <c r="N233" i="21"/>
  <c r="N235" i="21"/>
  <c r="N237" i="21"/>
  <c r="N243" i="21"/>
  <c r="N245" i="21"/>
  <c r="N247" i="21"/>
  <c r="K89" i="31" l="1"/>
  <c r="T96" i="35" s="1"/>
  <c r="J273" i="31"/>
  <c r="K267" i="31"/>
  <c r="T492" i="35" s="1"/>
  <c r="J275" i="31"/>
  <c r="C114" i="35"/>
  <c r="D114" i="35" s="1"/>
  <c r="C297" i="35"/>
  <c r="P63" i="35"/>
  <c r="D57" i="31" s="1"/>
  <c r="C312" i="35"/>
  <c r="D312" i="35" s="1"/>
  <c r="I72" i="21"/>
  <c r="P261" i="35" l="1"/>
  <c r="D146" i="31" s="1"/>
  <c r="C342" i="35"/>
  <c r="C144" i="35"/>
  <c r="D99" i="35"/>
  <c r="Q63" i="35" s="1"/>
  <c r="E57" i="31" s="1"/>
  <c r="D297" i="35"/>
  <c r="Q261" i="35" l="1"/>
  <c r="E146" i="31" s="1"/>
  <c r="D342" i="35"/>
  <c r="D144" i="35"/>
  <c r="D231" i="31"/>
  <c r="E231" i="31" l="1"/>
  <c r="H162" i="21" l="1"/>
  <c r="H232" i="21" l="1"/>
  <c r="H202" i="21"/>
  <c r="H212" i="21"/>
  <c r="I192" i="21"/>
  <c r="H192" i="21"/>
  <c r="I162" i="21"/>
  <c r="H152" i="21"/>
  <c r="I112" i="21"/>
  <c r="I142" i="21"/>
  <c r="H112" i="21"/>
  <c r="H132" i="21"/>
  <c r="H142" i="21"/>
  <c r="I122" i="21"/>
  <c r="I152" i="21"/>
  <c r="H122" i="21"/>
  <c r="H222" i="21"/>
  <c r="I132" i="21"/>
  <c r="I222" i="21"/>
  <c r="H242" i="21"/>
  <c r="I242" i="21"/>
  <c r="I232" i="21"/>
  <c r="I202" i="21"/>
  <c r="I212" i="21"/>
  <c r="B4" i="5" l="1"/>
  <c r="F13" i="29" l="1"/>
  <c r="I13" i="29" s="1"/>
  <c r="L13" i="29" s="1"/>
  <c r="F43" i="29"/>
  <c r="F11" i="29"/>
  <c r="F10" i="29"/>
  <c r="F48" i="29"/>
  <c r="I48" i="29" s="1"/>
  <c r="L48" i="29" s="1"/>
  <c r="F75" i="29"/>
  <c r="F15" i="29"/>
  <c r="I15" i="29" s="1"/>
  <c r="L15" i="29" s="1"/>
  <c r="F45" i="29"/>
  <c r="I45" i="29" s="1"/>
  <c r="L45" i="29" s="1"/>
  <c r="F78" i="29"/>
  <c r="I78" i="29" s="1"/>
  <c r="F17" i="29"/>
  <c r="I17" i="29" s="1"/>
  <c r="L17" i="29" s="1"/>
  <c r="F9" i="29"/>
  <c r="F47" i="29"/>
  <c r="I47" i="29" s="1"/>
  <c r="L47" i="29" s="1"/>
  <c r="F41" i="29"/>
  <c r="F12" i="29"/>
  <c r="I12" i="29" s="1"/>
  <c r="L12" i="29" s="1"/>
  <c r="F42" i="29"/>
  <c r="F81" i="29"/>
  <c r="I81" i="29" s="1"/>
  <c r="F76" i="29"/>
  <c r="I76" i="29" s="1"/>
  <c r="F49" i="29"/>
  <c r="I49" i="29" s="1"/>
  <c r="L49" i="29" s="1"/>
  <c r="F14" i="29"/>
  <c r="I14" i="29" s="1"/>
  <c r="L14" i="29" s="1"/>
  <c r="F44" i="29"/>
  <c r="I44" i="29" s="1"/>
  <c r="L44" i="29" s="1"/>
  <c r="F79" i="29"/>
  <c r="I79" i="29" s="1"/>
  <c r="F82" i="29"/>
  <c r="I82" i="29" s="1"/>
  <c r="F16" i="29"/>
  <c r="I16" i="29" s="1"/>
  <c r="L16" i="29" s="1"/>
  <c r="F46" i="29"/>
  <c r="I46" i="29" s="1"/>
  <c r="L46" i="29" s="1"/>
  <c r="F77" i="29"/>
  <c r="I77" i="29" s="1"/>
  <c r="F80" i="29"/>
  <c r="I80" i="29" s="1"/>
  <c r="F74" i="29"/>
  <c r="N236" i="21"/>
  <c r="N246" i="21"/>
  <c r="N216" i="21"/>
  <c r="N186" i="21"/>
  <c r="N226" i="21"/>
  <c r="N196" i="21"/>
  <c r="N206" i="21"/>
  <c r="O46" i="29" l="1"/>
  <c r="Q46" i="29"/>
  <c r="O45" i="29"/>
  <c r="Q45" i="29"/>
  <c r="Q12" i="29"/>
  <c r="O12" i="29"/>
  <c r="Q48" i="29"/>
  <c r="O48" i="29"/>
  <c r="Q15" i="29"/>
  <c r="O15" i="29"/>
  <c r="Q44" i="29"/>
  <c r="O44" i="29"/>
  <c r="Q47" i="29"/>
  <c r="O47" i="29"/>
  <c r="Q14" i="29"/>
  <c r="O14" i="29"/>
  <c r="Q16" i="29"/>
  <c r="O16" i="29"/>
  <c r="Q17" i="29"/>
  <c r="O17" i="29"/>
  <c r="Q49" i="29"/>
  <c r="O49" i="29"/>
  <c r="Q13" i="29"/>
  <c r="O13" i="29"/>
  <c r="H10" i="9"/>
  <c r="J10" i="9"/>
  <c r="G10" i="9"/>
  <c r="I10" i="9"/>
  <c r="F10" i="9"/>
  <c r="E10" i="9"/>
  <c r="D10" i="9"/>
  <c r="K10" i="9" l="1"/>
  <c r="G191" i="21" l="1"/>
  <c r="G221" i="21"/>
  <c r="G231" i="21"/>
  <c r="D62" i="10"/>
  <c r="F74" i="28" l="1"/>
  <c r="G241" i="21"/>
  <c r="G171" i="21"/>
  <c r="G211" i="21"/>
  <c r="G201" i="21"/>
  <c r="E20" i="16"/>
  <c r="D20" i="16"/>
  <c r="F75" i="28" l="1"/>
  <c r="C355" i="35"/>
  <c r="P268" i="35" s="1"/>
  <c r="D153" i="31" s="1"/>
  <c r="C379" i="35"/>
  <c r="C288" i="35"/>
  <c r="P252" i="35" s="1"/>
  <c r="D137" i="31" s="1"/>
  <c r="C181" i="35"/>
  <c r="D181" i="35" s="1"/>
  <c r="C90" i="35"/>
  <c r="P54" i="35" s="1"/>
  <c r="D48" i="31" s="1"/>
  <c r="C303" i="35"/>
  <c r="D303" i="35" s="1"/>
  <c r="C105" i="35"/>
  <c r="D105" i="35" s="1"/>
  <c r="C354" i="35"/>
  <c r="C156" i="35"/>
  <c r="G181" i="21"/>
  <c r="D21" i="16"/>
  <c r="F8" i="16" s="1"/>
  <c r="C228" i="35" l="1"/>
  <c r="P69" i="35"/>
  <c r="D63" i="31" s="1"/>
  <c r="C426" i="35"/>
  <c r="P267" i="35"/>
  <c r="D152" i="31" s="1"/>
  <c r="C427" i="35"/>
  <c r="D379" i="35"/>
  <c r="H8" i="16"/>
  <c r="I8" i="16" s="1"/>
  <c r="F7" i="16"/>
  <c r="C376" i="35" s="1"/>
  <c r="C310" i="35"/>
  <c r="D310" i="35" s="1"/>
  <c r="H6" i="16"/>
  <c r="I6" i="16" s="1"/>
  <c r="I5" i="16"/>
  <c r="F6" i="16"/>
  <c r="H7" i="16"/>
  <c r="I7" i="16" s="1"/>
  <c r="F5" i="16"/>
  <c r="D354" i="35"/>
  <c r="Q267" i="35" s="1"/>
  <c r="E152" i="31" s="1"/>
  <c r="D288" i="35"/>
  <c r="C333" i="35"/>
  <c r="D45" i="34"/>
  <c r="C97" i="35"/>
  <c r="P61" i="35" s="1"/>
  <c r="D55" i="31" s="1"/>
  <c r="D76" i="34"/>
  <c r="D71" i="34" s="1"/>
  <c r="E8" i="34" s="1"/>
  <c r="E43" i="29" s="1"/>
  <c r="C71" i="34"/>
  <c r="E7" i="34" s="1"/>
  <c r="D355" i="35"/>
  <c r="Q268" i="35" s="1"/>
  <c r="E153" i="31" s="1"/>
  <c r="C353" i="35"/>
  <c r="P266" i="35" s="1"/>
  <c r="D151" i="31" s="1"/>
  <c r="C155" i="35"/>
  <c r="C377" i="35"/>
  <c r="C179" i="35"/>
  <c r="D179" i="35" s="1"/>
  <c r="D75" i="34"/>
  <c r="D70" i="34" s="1"/>
  <c r="F8" i="34" s="1"/>
  <c r="E58" i="29" s="1"/>
  <c r="C70" i="34"/>
  <c r="F7" i="34" s="1"/>
  <c r="H7" i="34"/>
  <c r="H8" i="34"/>
  <c r="E26" i="29" s="1"/>
  <c r="D156" i="35"/>
  <c r="D90" i="35"/>
  <c r="C135" i="35"/>
  <c r="AD338" i="15"/>
  <c r="D28" i="36" s="1"/>
  <c r="E28" i="36" s="1"/>
  <c r="F44" i="28" s="1"/>
  <c r="G44" i="28" s="1"/>
  <c r="AD339" i="15"/>
  <c r="AD340" i="15"/>
  <c r="AD341" i="15"/>
  <c r="AD6" i="15"/>
  <c r="AD7" i="15"/>
  <c r="AD8" i="15"/>
  <c r="AD9" i="15"/>
  <c r="AD10" i="15"/>
  <c r="AD11" i="15"/>
  <c r="AD12" i="15"/>
  <c r="AD13" i="15"/>
  <c r="AD14" i="15"/>
  <c r="AD15" i="15"/>
  <c r="AD16" i="15"/>
  <c r="AD17" i="15"/>
  <c r="AD18" i="15"/>
  <c r="AD19" i="15"/>
  <c r="AD20" i="15"/>
  <c r="AD21" i="15"/>
  <c r="AD22" i="15"/>
  <c r="AD23" i="15"/>
  <c r="AD24" i="15"/>
  <c r="AD25" i="15"/>
  <c r="AD26" i="15"/>
  <c r="AD27" i="15"/>
  <c r="AD28" i="15"/>
  <c r="AD29" i="15"/>
  <c r="AD30" i="15"/>
  <c r="AD31" i="15"/>
  <c r="AD32" i="15"/>
  <c r="AD33" i="15"/>
  <c r="AD34" i="15"/>
  <c r="AD35" i="15"/>
  <c r="AD36" i="15"/>
  <c r="AD37" i="15"/>
  <c r="AD38" i="15"/>
  <c r="AD39" i="15"/>
  <c r="AD40" i="15"/>
  <c r="AD41" i="15"/>
  <c r="AD42" i="15"/>
  <c r="AD43" i="15"/>
  <c r="AD44" i="15"/>
  <c r="AD45" i="15"/>
  <c r="AD46" i="15"/>
  <c r="AD47" i="15"/>
  <c r="AD48" i="15"/>
  <c r="AD49" i="15"/>
  <c r="AD50" i="15"/>
  <c r="AD51" i="15"/>
  <c r="AD52" i="15"/>
  <c r="AD53" i="15"/>
  <c r="AD54" i="15"/>
  <c r="AD55" i="15"/>
  <c r="AD56" i="15"/>
  <c r="AD57" i="15"/>
  <c r="AD58" i="15"/>
  <c r="AD59" i="15"/>
  <c r="AD60" i="15"/>
  <c r="AD61" i="15"/>
  <c r="AD62" i="15"/>
  <c r="AD63" i="15"/>
  <c r="AD64" i="15"/>
  <c r="AD65" i="15"/>
  <c r="AD66" i="15"/>
  <c r="AD67" i="15"/>
  <c r="AD68" i="15"/>
  <c r="AD69" i="15"/>
  <c r="AD70" i="15"/>
  <c r="AD71" i="15"/>
  <c r="AD72" i="15"/>
  <c r="AD73" i="15"/>
  <c r="AD74" i="15"/>
  <c r="AD75" i="15"/>
  <c r="AD76" i="15"/>
  <c r="AD77" i="15"/>
  <c r="AD78" i="15"/>
  <c r="AD79" i="15"/>
  <c r="AD80" i="15"/>
  <c r="AD81" i="15"/>
  <c r="AD82" i="15"/>
  <c r="AD83" i="15"/>
  <c r="AD84" i="15"/>
  <c r="AD85" i="15"/>
  <c r="AD86" i="15"/>
  <c r="AD87" i="15"/>
  <c r="AD88" i="15"/>
  <c r="AD89" i="15"/>
  <c r="AD90" i="15"/>
  <c r="AD91" i="15"/>
  <c r="AD92" i="15"/>
  <c r="AD93" i="15"/>
  <c r="AD94" i="15"/>
  <c r="AD95" i="15"/>
  <c r="AD96" i="15"/>
  <c r="AD97" i="15"/>
  <c r="AD98" i="15"/>
  <c r="AD99" i="15"/>
  <c r="AD100" i="15"/>
  <c r="AD101" i="15"/>
  <c r="AD102" i="15"/>
  <c r="AD103" i="15"/>
  <c r="AD104" i="15"/>
  <c r="AD105" i="15"/>
  <c r="AD106" i="15"/>
  <c r="AD107" i="15"/>
  <c r="AD108" i="15"/>
  <c r="AD109" i="15"/>
  <c r="AD110" i="15"/>
  <c r="AD111" i="15"/>
  <c r="AD112" i="15"/>
  <c r="AD113" i="15"/>
  <c r="AD114" i="15"/>
  <c r="AD115" i="15"/>
  <c r="AD116" i="15"/>
  <c r="AD117" i="15"/>
  <c r="AD118" i="15"/>
  <c r="AD119" i="15"/>
  <c r="AD120" i="15"/>
  <c r="AD121" i="15"/>
  <c r="AD122" i="15"/>
  <c r="AD123" i="15"/>
  <c r="AD124" i="15"/>
  <c r="AD125" i="15"/>
  <c r="AD126" i="15"/>
  <c r="AD127" i="15"/>
  <c r="AD128" i="15"/>
  <c r="AD129" i="15"/>
  <c r="AD130" i="15"/>
  <c r="AD131" i="15"/>
  <c r="AD132" i="15"/>
  <c r="AD133" i="15"/>
  <c r="AD134" i="15"/>
  <c r="AD135" i="15"/>
  <c r="AD136" i="15"/>
  <c r="AD137" i="15"/>
  <c r="AD138" i="15"/>
  <c r="AD139" i="15"/>
  <c r="AD140" i="15"/>
  <c r="AD141" i="15"/>
  <c r="AD142" i="15"/>
  <c r="AD143" i="15"/>
  <c r="AD144" i="15"/>
  <c r="AD145" i="15"/>
  <c r="AD146" i="15"/>
  <c r="AD147" i="15"/>
  <c r="AD148" i="15"/>
  <c r="AD149" i="15"/>
  <c r="AD150" i="15"/>
  <c r="AD151" i="15"/>
  <c r="AD152" i="15"/>
  <c r="AD153" i="15"/>
  <c r="AD154" i="15"/>
  <c r="AD155" i="15"/>
  <c r="AD156" i="15"/>
  <c r="AD157" i="15"/>
  <c r="AD158" i="15"/>
  <c r="AD159" i="15"/>
  <c r="AD160" i="15"/>
  <c r="AD161" i="15"/>
  <c r="AD162" i="15"/>
  <c r="AD163" i="15"/>
  <c r="AD164" i="15"/>
  <c r="AD165" i="15"/>
  <c r="AD166" i="15"/>
  <c r="AD167" i="15"/>
  <c r="AD168" i="15"/>
  <c r="AD169" i="15"/>
  <c r="AD170" i="15"/>
  <c r="AD171" i="15"/>
  <c r="AD172" i="15"/>
  <c r="AD173" i="15"/>
  <c r="AD174" i="15"/>
  <c r="AD175" i="15"/>
  <c r="AD176" i="15"/>
  <c r="AD177" i="15"/>
  <c r="AD178" i="15"/>
  <c r="AD179" i="15"/>
  <c r="AD180" i="15"/>
  <c r="AD181" i="15"/>
  <c r="AD182" i="15"/>
  <c r="AD183" i="15"/>
  <c r="AD184" i="15"/>
  <c r="AD185" i="15"/>
  <c r="AD186" i="15"/>
  <c r="AD187" i="15"/>
  <c r="AD188" i="15"/>
  <c r="AD189" i="15"/>
  <c r="AD190" i="15"/>
  <c r="AD191" i="15"/>
  <c r="AD192" i="15"/>
  <c r="AD193" i="15"/>
  <c r="AD194" i="15"/>
  <c r="AD195" i="15"/>
  <c r="AD196" i="15"/>
  <c r="AD197" i="15"/>
  <c r="AD198" i="15"/>
  <c r="AD199" i="15"/>
  <c r="AD200" i="15"/>
  <c r="AD201" i="15"/>
  <c r="AD202" i="15"/>
  <c r="AD203" i="15"/>
  <c r="AD204" i="15"/>
  <c r="AD205" i="15"/>
  <c r="AD206" i="15"/>
  <c r="AD207" i="15"/>
  <c r="AD208" i="15"/>
  <c r="AD209" i="15"/>
  <c r="AD210" i="15"/>
  <c r="AD211" i="15"/>
  <c r="AD212" i="15"/>
  <c r="AD213" i="15"/>
  <c r="AD214" i="15"/>
  <c r="AD215" i="15"/>
  <c r="AD216" i="15"/>
  <c r="AD217" i="15"/>
  <c r="AD218" i="15"/>
  <c r="AD219" i="15"/>
  <c r="AD220" i="15"/>
  <c r="AD221" i="15"/>
  <c r="AD222" i="15"/>
  <c r="AD223" i="15"/>
  <c r="AD224" i="15"/>
  <c r="AD225" i="15"/>
  <c r="AD226" i="15"/>
  <c r="AD227" i="15"/>
  <c r="AD228" i="15"/>
  <c r="AD229" i="15"/>
  <c r="AD230" i="15"/>
  <c r="AD231" i="15"/>
  <c r="AD232" i="15"/>
  <c r="AD233" i="15"/>
  <c r="AD234" i="15"/>
  <c r="AD235" i="15"/>
  <c r="AD236" i="15"/>
  <c r="AD237" i="15"/>
  <c r="AD238" i="15"/>
  <c r="AD239" i="15"/>
  <c r="AD240" i="15"/>
  <c r="AD241" i="15"/>
  <c r="AD242" i="15"/>
  <c r="AD243" i="15"/>
  <c r="AD244" i="15"/>
  <c r="AD245" i="15"/>
  <c r="AD246" i="15"/>
  <c r="AD247" i="15"/>
  <c r="AD248" i="15"/>
  <c r="AD249" i="15"/>
  <c r="AD250" i="15"/>
  <c r="AD251" i="15"/>
  <c r="AD252" i="15"/>
  <c r="AD253" i="15"/>
  <c r="AD254" i="15"/>
  <c r="AD255" i="15"/>
  <c r="AD256" i="15"/>
  <c r="AD257" i="15"/>
  <c r="AD258" i="15"/>
  <c r="AD259" i="15"/>
  <c r="AD260" i="15"/>
  <c r="AD261" i="15"/>
  <c r="AD262" i="15"/>
  <c r="AD263" i="15"/>
  <c r="AD264" i="15"/>
  <c r="AD265" i="15"/>
  <c r="AD266" i="15"/>
  <c r="AD267" i="15"/>
  <c r="AD268" i="15"/>
  <c r="AD269" i="15"/>
  <c r="AD270" i="15"/>
  <c r="AD271" i="15"/>
  <c r="AD272" i="15"/>
  <c r="AD273" i="15"/>
  <c r="AD274" i="15"/>
  <c r="AD275" i="15"/>
  <c r="AD276" i="15"/>
  <c r="AD277" i="15"/>
  <c r="AD278" i="15"/>
  <c r="AD279" i="15"/>
  <c r="AD280" i="15"/>
  <c r="AD281" i="15"/>
  <c r="AD282" i="15"/>
  <c r="AD283" i="15"/>
  <c r="AD284" i="15"/>
  <c r="AD285" i="15"/>
  <c r="AD286" i="15"/>
  <c r="AD287" i="15"/>
  <c r="AD288" i="15"/>
  <c r="AD289" i="15"/>
  <c r="AD290" i="15"/>
  <c r="AD291" i="15"/>
  <c r="AD292" i="15"/>
  <c r="AD293" i="15"/>
  <c r="AD294" i="15"/>
  <c r="AD295" i="15"/>
  <c r="AD296" i="15"/>
  <c r="AD297" i="15"/>
  <c r="AD298" i="15"/>
  <c r="AD299" i="15"/>
  <c r="AD300" i="15"/>
  <c r="AD301" i="15"/>
  <c r="AD302" i="15"/>
  <c r="AD303" i="15"/>
  <c r="AD304" i="15"/>
  <c r="AD305" i="15"/>
  <c r="AD306" i="15"/>
  <c r="AD307" i="15"/>
  <c r="AD308" i="15"/>
  <c r="AD309" i="15"/>
  <c r="AD310" i="15"/>
  <c r="AD311" i="15"/>
  <c r="AD312" i="15"/>
  <c r="AD313" i="15"/>
  <c r="AD314" i="15"/>
  <c r="AD315" i="15"/>
  <c r="AD316" i="15"/>
  <c r="AD317" i="15"/>
  <c r="AD318" i="15"/>
  <c r="AD319" i="15"/>
  <c r="AD320" i="15"/>
  <c r="AD321" i="15"/>
  <c r="AD322" i="15"/>
  <c r="AD323" i="15"/>
  <c r="AD324" i="15"/>
  <c r="AD325" i="15"/>
  <c r="AD326" i="15"/>
  <c r="AD327" i="15"/>
  <c r="AD328" i="15"/>
  <c r="AD329" i="15"/>
  <c r="AD330" i="15"/>
  <c r="AD331" i="15"/>
  <c r="AD332" i="15"/>
  <c r="AD333" i="15"/>
  <c r="AD334" i="15"/>
  <c r="AD335" i="15"/>
  <c r="AD336" i="15"/>
  <c r="AD337" i="15"/>
  <c r="AD342" i="15"/>
  <c r="AD343" i="15"/>
  <c r="AD344" i="15"/>
  <c r="AD345" i="15"/>
  <c r="AD346" i="15"/>
  <c r="AD347" i="15"/>
  <c r="AD348" i="15"/>
  <c r="AD349" i="15"/>
  <c r="AD350" i="15"/>
  <c r="AD351" i="15"/>
  <c r="AD352" i="15"/>
  <c r="AD353" i="15"/>
  <c r="AD354" i="15"/>
  <c r="AD355" i="15"/>
  <c r="AD356" i="15"/>
  <c r="AD357" i="15"/>
  <c r="AD358" i="15"/>
  <c r="AD359" i="15"/>
  <c r="AD360" i="15"/>
  <c r="AD361" i="15"/>
  <c r="AD362" i="15"/>
  <c r="AD363" i="15"/>
  <c r="AD364" i="15"/>
  <c r="AD365" i="15"/>
  <c r="AD366" i="15"/>
  <c r="AD367" i="15"/>
  <c r="AD368" i="15"/>
  <c r="AD369" i="15"/>
  <c r="AD370" i="15"/>
  <c r="AD371" i="15"/>
  <c r="AD372" i="15"/>
  <c r="AD373" i="15"/>
  <c r="AD374" i="15"/>
  <c r="AD375" i="15"/>
  <c r="AD376" i="15"/>
  <c r="AD377" i="15"/>
  <c r="AD378" i="15"/>
  <c r="AD379" i="15"/>
  <c r="AD380" i="15"/>
  <c r="AD381" i="15"/>
  <c r="AD382" i="15"/>
  <c r="AD383" i="15"/>
  <c r="AD384" i="15"/>
  <c r="AD385" i="15"/>
  <c r="AD386" i="15"/>
  <c r="AD387" i="15"/>
  <c r="AD388" i="15"/>
  <c r="AD389" i="15"/>
  <c r="AD390" i="15"/>
  <c r="AD391" i="15"/>
  <c r="AD392" i="15"/>
  <c r="AD393" i="15"/>
  <c r="AD394" i="15"/>
  <c r="AD395" i="15"/>
  <c r="D30" i="36" s="1"/>
  <c r="E30" i="36" s="1"/>
  <c r="F46" i="28" s="1"/>
  <c r="G46" i="28" s="1"/>
  <c r="AD396" i="15"/>
  <c r="AD397" i="15"/>
  <c r="AD398" i="15"/>
  <c r="AD399" i="15"/>
  <c r="AD400" i="15"/>
  <c r="AD401" i="15"/>
  <c r="AD402" i="15"/>
  <c r="AD403" i="15"/>
  <c r="AD404" i="15"/>
  <c r="AD405" i="15"/>
  <c r="AD406" i="15"/>
  <c r="AD407" i="15"/>
  <c r="AD408" i="15"/>
  <c r="AD409" i="15"/>
  <c r="AD410" i="15"/>
  <c r="AD411" i="15"/>
  <c r="AD412" i="15"/>
  <c r="AD413" i="15"/>
  <c r="AD414" i="15"/>
  <c r="AD415" i="15"/>
  <c r="AD416" i="15"/>
  <c r="AD417" i="15"/>
  <c r="AD418" i="15"/>
  <c r="AD419" i="15"/>
  <c r="AD420" i="15"/>
  <c r="AD421" i="15"/>
  <c r="AD422" i="15"/>
  <c r="AD423" i="15"/>
  <c r="AD424" i="15"/>
  <c r="AD425" i="15"/>
  <c r="AD426" i="15"/>
  <c r="AD427" i="15"/>
  <c r="AD428" i="15"/>
  <c r="AD429" i="15"/>
  <c r="AD430" i="15"/>
  <c r="AD431" i="15"/>
  <c r="D32" i="36" s="1"/>
  <c r="E32" i="36" s="1"/>
  <c r="F48" i="28" s="1"/>
  <c r="G48" i="28" s="1"/>
  <c r="AD432" i="15"/>
  <c r="AD433" i="15"/>
  <c r="AD434" i="15"/>
  <c r="AD435" i="15"/>
  <c r="AD436" i="15"/>
  <c r="AD437" i="15"/>
  <c r="AD438" i="15"/>
  <c r="AD439" i="15"/>
  <c r="AD440" i="15"/>
  <c r="AD441" i="15"/>
  <c r="AD442" i="15"/>
  <c r="AD443" i="15"/>
  <c r="AD444" i="15"/>
  <c r="AD445" i="15"/>
  <c r="AD446" i="15"/>
  <c r="AD447" i="15"/>
  <c r="AD448" i="15"/>
  <c r="AD449" i="15"/>
  <c r="AD450" i="15"/>
  <c r="AD451" i="15"/>
  <c r="AD452" i="15"/>
  <c r="AD453" i="15"/>
  <c r="AD454" i="15"/>
  <c r="AD455" i="15"/>
  <c r="AD456" i="15"/>
  <c r="AD457" i="15"/>
  <c r="AD458" i="15"/>
  <c r="AD459" i="15"/>
  <c r="AD460" i="15"/>
  <c r="AD461" i="15"/>
  <c r="AD462" i="15"/>
  <c r="AD463" i="15"/>
  <c r="AD464" i="15"/>
  <c r="AD465" i="15"/>
  <c r="AD466" i="15"/>
  <c r="AD467" i="15"/>
  <c r="AD468" i="15"/>
  <c r="AD469" i="15"/>
  <c r="AD470" i="15"/>
  <c r="AD471" i="15"/>
  <c r="AD472" i="15"/>
  <c r="AD473" i="15"/>
  <c r="AD474" i="15"/>
  <c r="AD475" i="15"/>
  <c r="AD476" i="15"/>
  <c r="AD477" i="15"/>
  <c r="AD478" i="15"/>
  <c r="AD479" i="15"/>
  <c r="AD480" i="15"/>
  <c r="AD481" i="15"/>
  <c r="AD482" i="15"/>
  <c r="AD483" i="15"/>
  <c r="AD484" i="15"/>
  <c r="AD485" i="15"/>
  <c r="AD486" i="15"/>
  <c r="AD487" i="15"/>
  <c r="AD488" i="15"/>
  <c r="AD489" i="15"/>
  <c r="AD490" i="15"/>
  <c r="AD491" i="15"/>
  <c r="AD492" i="15"/>
  <c r="AD493" i="15"/>
  <c r="AD494" i="15"/>
  <c r="AD495" i="15"/>
  <c r="AD496" i="15"/>
  <c r="AD497" i="15"/>
  <c r="AD498" i="15"/>
  <c r="AD499" i="15"/>
  <c r="AD500" i="15"/>
  <c r="AD501" i="15"/>
  <c r="AD502" i="15"/>
  <c r="AD503" i="15"/>
  <c r="AD504" i="15"/>
  <c r="AD505" i="15"/>
  <c r="AD506" i="15"/>
  <c r="AD507" i="15"/>
  <c r="AD508" i="15"/>
  <c r="AD509" i="15"/>
  <c r="AD510" i="15"/>
  <c r="AD511" i="15"/>
  <c r="AD512" i="15"/>
  <c r="AD513" i="15"/>
  <c r="AD514" i="15"/>
  <c r="AD515" i="15"/>
  <c r="AD516" i="15"/>
  <c r="AD517" i="15"/>
  <c r="AD518" i="15"/>
  <c r="AD519" i="15"/>
  <c r="AD520" i="15"/>
  <c r="AD521" i="15"/>
  <c r="AD522" i="15"/>
  <c r="AD523" i="15"/>
  <c r="AD524" i="15"/>
  <c r="AD525" i="15"/>
  <c r="AD526" i="15"/>
  <c r="AD527" i="15"/>
  <c r="AD528" i="15"/>
  <c r="AD529" i="15"/>
  <c r="AD530" i="15"/>
  <c r="AD531" i="15"/>
  <c r="AD532" i="15"/>
  <c r="AD533" i="15"/>
  <c r="AD534" i="15"/>
  <c r="AD535" i="15"/>
  <c r="AD536" i="15"/>
  <c r="AD537" i="15"/>
  <c r="AD538" i="15"/>
  <c r="AD539" i="15"/>
  <c r="AD540" i="15"/>
  <c r="AD541" i="15"/>
  <c r="AD542" i="15"/>
  <c r="AD543" i="15"/>
  <c r="AD544" i="15"/>
  <c r="AD545" i="15"/>
  <c r="AD546" i="15"/>
  <c r="AD547" i="15"/>
  <c r="AD548" i="15"/>
  <c r="AD549" i="15"/>
  <c r="AD550" i="15"/>
  <c r="AD551" i="15"/>
  <c r="AD552" i="15"/>
  <c r="AD553" i="15"/>
  <c r="AD554" i="15"/>
  <c r="AD555" i="15"/>
  <c r="AD556" i="15"/>
  <c r="AD557" i="15"/>
  <c r="AD558" i="15"/>
  <c r="AD559" i="15"/>
  <c r="AD560" i="15"/>
  <c r="AD561" i="15"/>
  <c r="AD562" i="15"/>
  <c r="AD563" i="15"/>
  <c r="AD564" i="15"/>
  <c r="AD565" i="15"/>
  <c r="AD566" i="15"/>
  <c r="AD567" i="15"/>
  <c r="AD568" i="15"/>
  <c r="AD569" i="15"/>
  <c r="AD570" i="15"/>
  <c r="AD571" i="15"/>
  <c r="AD572" i="15"/>
  <c r="AD573" i="15"/>
  <c r="AD574" i="15"/>
  <c r="AD575" i="15"/>
  <c r="AD576" i="15"/>
  <c r="AD577" i="15"/>
  <c r="AD578" i="15"/>
  <c r="AD579" i="15"/>
  <c r="AD580" i="15"/>
  <c r="AD581" i="15"/>
  <c r="AD582" i="15"/>
  <c r="AD583" i="15"/>
  <c r="AD584" i="15"/>
  <c r="AD585" i="15"/>
  <c r="AD586" i="15"/>
  <c r="AD587" i="15"/>
  <c r="AD588" i="15"/>
  <c r="AD589" i="15"/>
  <c r="AD590" i="15"/>
  <c r="AD591" i="15"/>
  <c r="AD592" i="15"/>
  <c r="AD593" i="15"/>
  <c r="AD594" i="15"/>
  <c r="AD595" i="15"/>
  <c r="AD596" i="15"/>
  <c r="AD597" i="15"/>
  <c r="AD598" i="15"/>
  <c r="AD599" i="15"/>
  <c r="AD600" i="15"/>
  <c r="AD601" i="15"/>
  <c r="AD602" i="15"/>
  <c r="AD603" i="15"/>
  <c r="AD604" i="15"/>
  <c r="AD605" i="15"/>
  <c r="AD606" i="15"/>
  <c r="AD607" i="15"/>
  <c r="AD608" i="15"/>
  <c r="AD609" i="15"/>
  <c r="AD610" i="15"/>
  <c r="AD611" i="15"/>
  <c r="AD612" i="15"/>
  <c r="AD613" i="15"/>
  <c r="AD614" i="15"/>
  <c r="AD615" i="15"/>
  <c r="AD616" i="15"/>
  <c r="AD617" i="15"/>
  <c r="AD618" i="15"/>
  <c r="AD619" i="15"/>
  <c r="AD620" i="15"/>
  <c r="AD621" i="15"/>
  <c r="AD622" i="15"/>
  <c r="AD623" i="15"/>
  <c r="AD624" i="15"/>
  <c r="AD625" i="15"/>
  <c r="AD626" i="15"/>
  <c r="AD627" i="15"/>
  <c r="AD628" i="15"/>
  <c r="AD629" i="15"/>
  <c r="AD630" i="15"/>
  <c r="AD631" i="15"/>
  <c r="AD632" i="15"/>
  <c r="AD633" i="15"/>
  <c r="AD634" i="15"/>
  <c r="AD635" i="15"/>
  <c r="AD636" i="15"/>
  <c r="AD637" i="15"/>
  <c r="AD638" i="15"/>
  <c r="AD639" i="15"/>
  <c r="AD640" i="15"/>
  <c r="AD641" i="15"/>
  <c r="AD642" i="15"/>
  <c r="AD643" i="15"/>
  <c r="AD644" i="15"/>
  <c r="AD645" i="15"/>
  <c r="AD646" i="15"/>
  <c r="AD647" i="15"/>
  <c r="AD648" i="15"/>
  <c r="AD649" i="15"/>
  <c r="AD650" i="15"/>
  <c r="AD651" i="15"/>
  <c r="AD652" i="15"/>
  <c r="AD653" i="15"/>
  <c r="AD654" i="15"/>
  <c r="AD655" i="15"/>
  <c r="AD656" i="15"/>
  <c r="AD657" i="15"/>
  <c r="AD658" i="15"/>
  <c r="AD659" i="15"/>
  <c r="AD660" i="15"/>
  <c r="AD661" i="15"/>
  <c r="AD662" i="15"/>
  <c r="AD663" i="15"/>
  <c r="AD664" i="15"/>
  <c r="AD665" i="15"/>
  <c r="AD666" i="15"/>
  <c r="AD667" i="15"/>
  <c r="AD668" i="15"/>
  <c r="AD669" i="15"/>
  <c r="AD670" i="15"/>
  <c r="AD671" i="15"/>
  <c r="AD672" i="15"/>
  <c r="AD673" i="15"/>
  <c r="AD674" i="15"/>
  <c r="AD675" i="15"/>
  <c r="AD676" i="15"/>
  <c r="AD677" i="15"/>
  <c r="AD678" i="15"/>
  <c r="AD679" i="15"/>
  <c r="AD680" i="15"/>
  <c r="AD681" i="15"/>
  <c r="AD682" i="15"/>
  <c r="AD683" i="15"/>
  <c r="AD684" i="15"/>
  <c r="AD685" i="15"/>
  <c r="AD686" i="15"/>
  <c r="AD687" i="15"/>
  <c r="AD688" i="15"/>
  <c r="AD689" i="15"/>
  <c r="AD690" i="15"/>
  <c r="AD691" i="15"/>
  <c r="AD692" i="15"/>
  <c r="AD693" i="15"/>
  <c r="AD694" i="15"/>
  <c r="AD695" i="15"/>
  <c r="AD696" i="15"/>
  <c r="AD697" i="15"/>
  <c r="AD698" i="15"/>
  <c r="AD699" i="15"/>
  <c r="AD700" i="15"/>
  <c r="AD701" i="15"/>
  <c r="AD702" i="15"/>
  <c r="AD703" i="15"/>
  <c r="AD704" i="15"/>
  <c r="AD705" i="15"/>
  <c r="AD706" i="15"/>
  <c r="AD707" i="15"/>
  <c r="AD708" i="15"/>
  <c r="AD709" i="15"/>
  <c r="AD710" i="15"/>
  <c r="AD711" i="15"/>
  <c r="AD712" i="15"/>
  <c r="AD713" i="15"/>
  <c r="AD714" i="15"/>
  <c r="AD715" i="15"/>
  <c r="AD716" i="15"/>
  <c r="AD717" i="15"/>
  <c r="AD718" i="15"/>
  <c r="AD719" i="15"/>
  <c r="AD720" i="15"/>
  <c r="AD721" i="15"/>
  <c r="AD722" i="15"/>
  <c r="AD723" i="15"/>
  <c r="AD724" i="15"/>
  <c r="AD725" i="15"/>
  <c r="AD726" i="15"/>
  <c r="AD727" i="15"/>
  <c r="AD728" i="15"/>
  <c r="AD729" i="15"/>
  <c r="AD730" i="15"/>
  <c r="AD731" i="15"/>
  <c r="AD732" i="15"/>
  <c r="AD733" i="15"/>
  <c r="AD734" i="15"/>
  <c r="AD735" i="15"/>
  <c r="AD736" i="15"/>
  <c r="AD737" i="15"/>
  <c r="AD738" i="15"/>
  <c r="AD739" i="15"/>
  <c r="AD740" i="15"/>
  <c r="AD741" i="15"/>
  <c r="AD742" i="15"/>
  <c r="AD743" i="15"/>
  <c r="AD744" i="15"/>
  <c r="AD745" i="15"/>
  <c r="AD746" i="15"/>
  <c r="AD747" i="15"/>
  <c r="AD748" i="15"/>
  <c r="AD749" i="15"/>
  <c r="AD750" i="15"/>
  <c r="AD751" i="15"/>
  <c r="AD752" i="15"/>
  <c r="AD753" i="15"/>
  <c r="AD754" i="15"/>
  <c r="AD755" i="15"/>
  <c r="AD756" i="15"/>
  <c r="AD757" i="15"/>
  <c r="AD758" i="15"/>
  <c r="AD759" i="15"/>
  <c r="AD760" i="15"/>
  <c r="AD761" i="15"/>
  <c r="AD762" i="15"/>
  <c r="AD763" i="15"/>
  <c r="AD764" i="15"/>
  <c r="AD765" i="15"/>
  <c r="AD766" i="15"/>
  <c r="AD767" i="15"/>
  <c r="AD768" i="15"/>
  <c r="AD769" i="15"/>
  <c r="AD770" i="15"/>
  <c r="AD771" i="15"/>
  <c r="AD772" i="15"/>
  <c r="AD773" i="15"/>
  <c r="AD774" i="15"/>
  <c r="AD775" i="15"/>
  <c r="AD776" i="15"/>
  <c r="AD777" i="15"/>
  <c r="AD778" i="15"/>
  <c r="AD779" i="15"/>
  <c r="AD780" i="15"/>
  <c r="AD781" i="15"/>
  <c r="AD782" i="15"/>
  <c r="AD783" i="15"/>
  <c r="AD784" i="15"/>
  <c r="AD785" i="15"/>
  <c r="AD786" i="15"/>
  <c r="AD787" i="15"/>
  <c r="AD788" i="15"/>
  <c r="AD789" i="15"/>
  <c r="AD790" i="15"/>
  <c r="AD791" i="15"/>
  <c r="AD792" i="15"/>
  <c r="AD793" i="15"/>
  <c r="AD794" i="15"/>
  <c r="AD795" i="15"/>
  <c r="AD796" i="15"/>
  <c r="AD797" i="15"/>
  <c r="AD798" i="15"/>
  <c r="AD799" i="15"/>
  <c r="AD800" i="15"/>
  <c r="AD801" i="15"/>
  <c r="AD802" i="15"/>
  <c r="AD803" i="15"/>
  <c r="AD804" i="15"/>
  <c r="AD805" i="15"/>
  <c r="AD806" i="15"/>
  <c r="AD807" i="15"/>
  <c r="AD808" i="15"/>
  <c r="AD809" i="15"/>
  <c r="AD810" i="15"/>
  <c r="AD811" i="15"/>
  <c r="AD812" i="15"/>
  <c r="AD813" i="15"/>
  <c r="AD814" i="15"/>
  <c r="AD815" i="15"/>
  <c r="AD816" i="15"/>
  <c r="AD817" i="15"/>
  <c r="AD818" i="15"/>
  <c r="AD819" i="15"/>
  <c r="AD820" i="15"/>
  <c r="AD821" i="15"/>
  <c r="AD822" i="15"/>
  <c r="AD823" i="15"/>
  <c r="AD824" i="15"/>
  <c r="AD825" i="15"/>
  <c r="AD826" i="15"/>
  <c r="AD827" i="15"/>
  <c r="AD828" i="15"/>
  <c r="AD829" i="15"/>
  <c r="AD830" i="15"/>
  <c r="AD831" i="15"/>
  <c r="AD832" i="15"/>
  <c r="AD833" i="15"/>
  <c r="AD834" i="15"/>
  <c r="AD835" i="15"/>
  <c r="AD836" i="15"/>
  <c r="AD837" i="15"/>
  <c r="AD838" i="15"/>
  <c r="AD839" i="15"/>
  <c r="AD840" i="15"/>
  <c r="AD841" i="15"/>
  <c r="AD842" i="15"/>
  <c r="AD843" i="15"/>
  <c r="AD844" i="15"/>
  <c r="AD845" i="15"/>
  <c r="AD846" i="15"/>
  <c r="AD847" i="15"/>
  <c r="AD848" i="15"/>
  <c r="AD849" i="15"/>
  <c r="AD850" i="15"/>
  <c r="AD851" i="15"/>
  <c r="AD852" i="15"/>
  <c r="AD853" i="15"/>
  <c r="AD854" i="15"/>
  <c r="AD855" i="15"/>
  <c r="AD856" i="15"/>
  <c r="AD857" i="15"/>
  <c r="AD858" i="15"/>
  <c r="AD859" i="15"/>
  <c r="AD860" i="15"/>
  <c r="AD861" i="15"/>
  <c r="AD862" i="15"/>
  <c r="AD863" i="15"/>
  <c r="AD864" i="15"/>
  <c r="AD865" i="15"/>
  <c r="AD866" i="15"/>
  <c r="AD867" i="15"/>
  <c r="AD868" i="15"/>
  <c r="AD869" i="15"/>
  <c r="AD870" i="15"/>
  <c r="AD871" i="15"/>
  <c r="AD872" i="15"/>
  <c r="AD873" i="15"/>
  <c r="AD874" i="15"/>
  <c r="AD875" i="15"/>
  <c r="AD876" i="15"/>
  <c r="AD877" i="15"/>
  <c r="AD878" i="15"/>
  <c r="AD879" i="15"/>
  <c r="AD880" i="15"/>
  <c r="AD881" i="15"/>
  <c r="AD882" i="15"/>
  <c r="AD883" i="15"/>
  <c r="AD884" i="15"/>
  <c r="AD885" i="15"/>
  <c r="AD886" i="15"/>
  <c r="AD887" i="15"/>
  <c r="AD888" i="15"/>
  <c r="AD889" i="15"/>
  <c r="AD890" i="15"/>
  <c r="AD891" i="15"/>
  <c r="AD892" i="15"/>
  <c r="AD893" i="15"/>
  <c r="AD894" i="15"/>
  <c r="AD895" i="15"/>
  <c r="AD896" i="15"/>
  <c r="AD897" i="15"/>
  <c r="AD898" i="15"/>
  <c r="AD899" i="15"/>
  <c r="AD900" i="15"/>
  <c r="AD901" i="15"/>
  <c r="AD902" i="15"/>
  <c r="AD903" i="15"/>
  <c r="AD904" i="15"/>
  <c r="AD905" i="15"/>
  <c r="AD906" i="15"/>
  <c r="AD907" i="15"/>
  <c r="AD908" i="15"/>
  <c r="AD909" i="15"/>
  <c r="AD910" i="15"/>
  <c r="AD911" i="15"/>
  <c r="AD912" i="15"/>
  <c r="AD913" i="15"/>
  <c r="AD914" i="15"/>
  <c r="AD915" i="15"/>
  <c r="AD916" i="15"/>
  <c r="AD917" i="15"/>
  <c r="AD918" i="15"/>
  <c r="AD919" i="15"/>
  <c r="AD920" i="15"/>
  <c r="AD921" i="15"/>
  <c r="AD922" i="15"/>
  <c r="AD923" i="15"/>
  <c r="AD924" i="15"/>
  <c r="AD925" i="15"/>
  <c r="AD926" i="15"/>
  <c r="AD927" i="15"/>
  <c r="AD928" i="15"/>
  <c r="AD929" i="15"/>
  <c r="AD930" i="15"/>
  <c r="AD931" i="15"/>
  <c r="AD932" i="15"/>
  <c r="AD933" i="15"/>
  <c r="AD934" i="15"/>
  <c r="AD935" i="15"/>
  <c r="AD936" i="15"/>
  <c r="AD937" i="15"/>
  <c r="AD938" i="15"/>
  <c r="AD939" i="15"/>
  <c r="AD940" i="15"/>
  <c r="AD941" i="15"/>
  <c r="AD942" i="15"/>
  <c r="AD943" i="15"/>
  <c r="AD944" i="15"/>
  <c r="AD945" i="15"/>
  <c r="AD946" i="15"/>
  <c r="AD947" i="15"/>
  <c r="AD948" i="15"/>
  <c r="AD949" i="15"/>
  <c r="AD950" i="15"/>
  <c r="AD951" i="15"/>
  <c r="AD952" i="15"/>
  <c r="AD953" i="15"/>
  <c r="AD954" i="15"/>
  <c r="AD955" i="15"/>
  <c r="AD956" i="15"/>
  <c r="AD957" i="15"/>
  <c r="AD958" i="15"/>
  <c r="AD959" i="15"/>
  <c r="AD960" i="15"/>
  <c r="AD961" i="15"/>
  <c r="AD962" i="15"/>
  <c r="AD963" i="15"/>
  <c r="AD964" i="15"/>
  <c r="AD965" i="15"/>
  <c r="AD966" i="15"/>
  <c r="AD967" i="15"/>
  <c r="AD968" i="15"/>
  <c r="AD969" i="15"/>
  <c r="AD970" i="15"/>
  <c r="AD971" i="15"/>
  <c r="AD972" i="15"/>
  <c r="AD973" i="15"/>
  <c r="AD974" i="15"/>
  <c r="AD975" i="15"/>
  <c r="AD976" i="15"/>
  <c r="AD977" i="15"/>
  <c r="AD978" i="15"/>
  <c r="AD979" i="15"/>
  <c r="AD980" i="15"/>
  <c r="AD981" i="15"/>
  <c r="AD982" i="15"/>
  <c r="AD983" i="15"/>
  <c r="AD984" i="15"/>
  <c r="AD985" i="15"/>
  <c r="AD986" i="15"/>
  <c r="AD987" i="15"/>
  <c r="AD988" i="15"/>
  <c r="AD989" i="15"/>
  <c r="AD990" i="15"/>
  <c r="AD991" i="15"/>
  <c r="AD992" i="15"/>
  <c r="AD993" i="15"/>
  <c r="AD994" i="15"/>
  <c r="AD995" i="15"/>
  <c r="AD996" i="15"/>
  <c r="AD997" i="15"/>
  <c r="AD998" i="15"/>
  <c r="AD999" i="15"/>
  <c r="AD1000" i="15"/>
  <c r="AD1001" i="15"/>
  <c r="AD1002" i="15"/>
  <c r="AD1003" i="15"/>
  <c r="AD1004" i="15"/>
  <c r="AD1005" i="15"/>
  <c r="AD1006" i="15"/>
  <c r="AD1007" i="15"/>
  <c r="AD1008" i="15"/>
  <c r="AD1009" i="15"/>
  <c r="AD1010" i="15"/>
  <c r="AD1011" i="15"/>
  <c r="AD1012" i="15"/>
  <c r="AD1013" i="15"/>
  <c r="AD1014" i="15"/>
  <c r="AD1015" i="15"/>
  <c r="AD1016" i="15"/>
  <c r="AD1017" i="15"/>
  <c r="AD1018" i="15"/>
  <c r="AD1019" i="15"/>
  <c r="AD1020" i="15"/>
  <c r="AD1021" i="15"/>
  <c r="AD1022" i="15"/>
  <c r="AD1023" i="15"/>
  <c r="AD1024" i="15"/>
  <c r="AD1025" i="15"/>
  <c r="AD1026" i="15"/>
  <c r="AD1027" i="15"/>
  <c r="AD1028" i="15"/>
  <c r="AD1029" i="15"/>
  <c r="AD1030" i="15"/>
  <c r="AD1031" i="15"/>
  <c r="AD1032" i="15"/>
  <c r="AD1033" i="15"/>
  <c r="AD1034" i="15"/>
  <c r="AD1035" i="15"/>
  <c r="AD1036" i="15"/>
  <c r="AD1037" i="15"/>
  <c r="AD1038" i="15"/>
  <c r="AD1039" i="15"/>
  <c r="AD1040" i="15"/>
  <c r="AD1041" i="15"/>
  <c r="AD1042" i="15"/>
  <c r="AD1043" i="15"/>
  <c r="AD1044" i="15"/>
  <c r="AD1045" i="15"/>
  <c r="AD1046" i="15"/>
  <c r="AD1047" i="15"/>
  <c r="AD1048" i="15"/>
  <c r="AD1049" i="15"/>
  <c r="AD1050" i="15"/>
  <c r="AD1051" i="15"/>
  <c r="AD1052" i="15"/>
  <c r="AD1053" i="15"/>
  <c r="AD1054" i="15"/>
  <c r="AD1055" i="15"/>
  <c r="AD1056" i="15"/>
  <c r="AD1057" i="15"/>
  <c r="AD1058" i="15"/>
  <c r="AD1059" i="15"/>
  <c r="AD1060" i="15"/>
  <c r="AD1061" i="15"/>
  <c r="AD1062" i="15"/>
  <c r="AD1063" i="15"/>
  <c r="AD1064" i="15"/>
  <c r="AD1065" i="15"/>
  <c r="AD1066" i="15"/>
  <c r="AD1067" i="15"/>
  <c r="AD1068" i="15"/>
  <c r="AD1069" i="15"/>
  <c r="AD1070" i="15"/>
  <c r="AD1071" i="15"/>
  <c r="AD1072" i="15"/>
  <c r="AD1073" i="15"/>
  <c r="AD1074" i="15"/>
  <c r="AD1075" i="15"/>
  <c r="AD1076" i="15"/>
  <c r="AD1077" i="15"/>
  <c r="AD1078" i="15"/>
  <c r="AD1079" i="15"/>
  <c r="AD1080" i="15"/>
  <c r="AD1081" i="15"/>
  <c r="AD1082" i="15"/>
  <c r="AD1083" i="15"/>
  <c r="AD1084" i="15"/>
  <c r="AD1085" i="15"/>
  <c r="AD1086" i="15"/>
  <c r="AD1087" i="15"/>
  <c r="AD1088" i="15"/>
  <c r="AD1089" i="15"/>
  <c r="AD1090" i="15"/>
  <c r="AD1091" i="15"/>
  <c r="AD1092" i="15"/>
  <c r="AD1093" i="15"/>
  <c r="AD1094" i="15"/>
  <c r="AD1095" i="15"/>
  <c r="AD1096" i="15"/>
  <c r="AD1097" i="15"/>
  <c r="AD1098" i="15"/>
  <c r="AD1099" i="15"/>
  <c r="AD1100" i="15"/>
  <c r="AD1101" i="15"/>
  <c r="AD1102" i="15"/>
  <c r="AD1103" i="15"/>
  <c r="AD1104" i="15"/>
  <c r="AD1105" i="15"/>
  <c r="AD1106" i="15"/>
  <c r="AD1107" i="15"/>
  <c r="AD1108" i="15"/>
  <c r="AD1109" i="15"/>
  <c r="AD1110" i="15"/>
  <c r="AD1111" i="15"/>
  <c r="AD1112" i="15"/>
  <c r="AD1113" i="15"/>
  <c r="AD1114" i="15"/>
  <c r="AD1115" i="15"/>
  <c r="AD1116" i="15"/>
  <c r="AD1117" i="15"/>
  <c r="AD1118" i="15"/>
  <c r="AD1119" i="15"/>
  <c r="AD1120" i="15"/>
  <c r="AD1121" i="15"/>
  <c r="AD1122" i="15"/>
  <c r="AD1123" i="15"/>
  <c r="AD1124" i="15"/>
  <c r="AD1125" i="15"/>
  <c r="AD1126" i="15"/>
  <c r="AD1127" i="15"/>
  <c r="AD1128" i="15"/>
  <c r="AD1129" i="15"/>
  <c r="AD1130" i="15"/>
  <c r="AD1131" i="15"/>
  <c r="AD1132" i="15"/>
  <c r="AD1133" i="15"/>
  <c r="AD1134" i="15"/>
  <c r="AD1135" i="15"/>
  <c r="AD1136" i="15"/>
  <c r="AD1137" i="15"/>
  <c r="AD1138" i="15"/>
  <c r="AD1139" i="15"/>
  <c r="AD1140" i="15"/>
  <c r="AD1141" i="15"/>
  <c r="AD1142" i="15"/>
  <c r="AD1143" i="15"/>
  <c r="AD1144" i="15"/>
  <c r="AD1145" i="15"/>
  <c r="AD1146" i="15"/>
  <c r="AD1147" i="15"/>
  <c r="AD1148" i="15"/>
  <c r="AD1149" i="15"/>
  <c r="AD1150" i="15"/>
  <c r="AD1151" i="15"/>
  <c r="AD1152" i="15"/>
  <c r="AD1153" i="15"/>
  <c r="AD1154" i="15"/>
  <c r="AD1155" i="15"/>
  <c r="AD1156" i="15"/>
  <c r="AD1157" i="15"/>
  <c r="AD1158" i="15"/>
  <c r="AD1159" i="15"/>
  <c r="AD1160" i="15"/>
  <c r="AD1161" i="15"/>
  <c r="AD1162" i="15"/>
  <c r="AD1163" i="15"/>
  <c r="AD1164" i="15"/>
  <c r="AD1165" i="15"/>
  <c r="AD1166" i="15"/>
  <c r="AD1167" i="15"/>
  <c r="AD1168" i="15"/>
  <c r="AD1169" i="15"/>
  <c r="AD1170" i="15"/>
  <c r="AD1171" i="15"/>
  <c r="AD1172" i="15"/>
  <c r="AD1173" i="15"/>
  <c r="AD1174" i="15"/>
  <c r="AD1175" i="15"/>
  <c r="AD1176" i="15"/>
  <c r="AD1177" i="15"/>
  <c r="AD1178" i="15"/>
  <c r="AD1179" i="15"/>
  <c r="AD1180" i="15"/>
  <c r="AD1181" i="15"/>
  <c r="AD1182" i="15"/>
  <c r="AD1183" i="15"/>
  <c r="AD1184" i="15"/>
  <c r="AD1185" i="15"/>
  <c r="AD1186" i="15"/>
  <c r="AD1187" i="15"/>
  <c r="AD1188" i="15"/>
  <c r="AD1189" i="15"/>
  <c r="AD1190" i="15"/>
  <c r="AD1191" i="15"/>
  <c r="AD1192" i="15"/>
  <c r="AD1193" i="15"/>
  <c r="AD1194" i="15"/>
  <c r="AD1195" i="15"/>
  <c r="AD1196" i="15"/>
  <c r="AD1197" i="15"/>
  <c r="AD1198" i="15"/>
  <c r="AD1199" i="15"/>
  <c r="AD1200" i="15"/>
  <c r="AD1201" i="15"/>
  <c r="AD1202" i="15"/>
  <c r="AD1203" i="15"/>
  <c r="AD1204" i="15"/>
  <c r="AD1205" i="15"/>
  <c r="AD1206" i="15"/>
  <c r="AD1207" i="15"/>
  <c r="AD1208" i="15"/>
  <c r="AD1209" i="15"/>
  <c r="AD1210" i="15"/>
  <c r="AD1211" i="15"/>
  <c r="AD1212" i="15"/>
  <c r="AD1213" i="15"/>
  <c r="AD1214" i="15"/>
  <c r="AD1215" i="15"/>
  <c r="AD1216" i="15"/>
  <c r="AD1217" i="15"/>
  <c r="AD1218" i="15"/>
  <c r="AD1219" i="15"/>
  <c r="AD1220" i="15"/>
  <c r="AD1221" i="15"/>
  <c r="AD1222" i="15"/>
  <c r="AD1223" i="15"/>
  <c r="AD1224" i="15"/>
  <c r="AD1225" i="15"/>
  <c r="AD1226" i="15"/>
  <c r="AD1227" i="15"/>
  <c r="AD1228" i="15"/>
  <c r="AD1229" i="15"/>
  <c r="AD1230" i="15"/>
  <c r="AD1231" i="15"/>
  <c r="AD1232" i="15"/>
  <c r="AD1233" i="15"/>
  <c r="AD1234" i="15"/>
  <c r="AD1235" i="15"/>
  <c r="AD1236" i="15"/>
  <c r="AD1237" i="15"/>
  <c r="AD1238" i="15"/>
  <c r="AD1239" i="15"/>
  <c r="AD1240" i="15"/>
  <c r="AD1241" i="15"/>
  <c r="AD1242" i="15"/>
  <c r="AD1243" i="15"/>
  <c r="AD1244" i="15"/>
  <c r="AD1245" i="15"/>
  <c r="AD1246" i="15"/>
  <c r="AD1247" i="15"/>
  <c r="AD1248" i="15"/>
  <c r="AD1249" i="15"/>
  <c r="AD1250" i="15"/>
  <c r="AD1251" i="15"/>
  <c r="AD1252" i="15"/>
  <c r="AD1253" i="15"/>
  <c r="AD1254" i="15"/>
  <c r="AD1255" i="15"/>
  <c r="AD1256" i="15"/>
  <c r="AD1257" i="15"/>
  <c r="AD1258" i="15"/>
  <c r="AD1259" i="15"/>
  <c r="AD1260" i="15"/>
  <c r="AD1261" i="15"/>
  <c r="AD1262" i="15"/>
  <c r="AD1263" i="15"/>
  <c r="AD1264" i="15"/>
  <c r="AD1265" i="15"/>
  <c r="AD1266" i="15"/>
  <c r="AD1267" i="15"/>
  <c r="AD1268" i="15"/>
  <c r="AD1269" i="15"/>
  <c r="AD1270" i="15"/>
  <c r="AD1271" i="15"/>
  <c r="AD1272" i="15"/>
  <c r="AD1273" i="15"/>
  <c r="AD1274" i="15"/>
  <c r="AD1275" i="15"/>
  <c r="AD1276" i="15"/>
  <c r="AD1277" i="15"/>
  <c r="AD1278" i="15"/>
  <c r="AD1279" i="15"/>
  <c r="AD1280" i="15"/>
  <c r="AD1281" i="15"/>
  <c r="AD1282" i="15"/>
  <c r="AD1283" i="15"/>
  <c r="AD1284" i="15"/>
  <c r="AD1285" i="15"/>
  <c r="AD1286" i="15"/>
  <c r="AD1287" i="15"/>
  <c r="AD1288" i="15"/>
  <c r="AD1289" i="15"/>
  <c r="AD1290" i="15"/>
  <c r="AD1291" i="15"/>
  <c r="AD1292" i="15"/>
  <c r="AD1293" i="15"/>
  <c r="AD1294" i="15"/>
  <c r="AD1295" i="15"/>
  <c r="AD1296" i="15"/>
  <c r="AD1297" i="15"/>
  <c r="AD1298" i="15"/>
  <c r="AD1299" i="15"/>
  <c r="AD1300" i="15"/>
  <c r="AD1301" i="15"/>
  <c r="AD1302" i="15"/>
  <c r="AD1303" i="15"/>
  <c r="AD1304" i="15"/>
  <c r="AD1305" i="15"/>
  <c r="AD1306" i="15"/>
  <c r="AD1307" i="15"/>
  <c r="AD1308" i="15"/>
  <c r="AD1309" i="15"/>
  <c r="AD1310" i="15"/>
  <c r="AD1311" i="15"/>
  <c r="AD1312" i="15"/>
  <c r="AD1313" i="15"/>
  <c r="AD1314" i="15"/>
  <c r="AD1315" i="15"/>
  <c r="AD1316" i="15"/>
  <c r="AD1317" i="15"/>
  <c r="AD1318" i="15"/>
  <c r="AD1319" i="15"/>
  <c r="AD1320" i="15"/>
  <c r="AD1321" i="15"/>
  <c r="AD1322" i="15"/>
  <c r="AD1323" i="15"/>
  <c r="AD1324" i="15"/>
  <c r="AD1325" i="15"/>
  <c r="AD1326" i="15"/>
  <c r="AD1327" i="15"/>
  <c r="AD1328" i="15"/>
  <c r="AD1329" i="15"/>
  <c r="AD1330" i="15"/>
  <c r="AD1331" i="15"/>
  <c r="AD1332" i="15"/>
  <c r="AD1333" i="15"/>
  <c r="AD1334" i="15"/>
  <c r="AD1335" i="15"/>
  <c r="AD1336" i="15"/>
  <c r="AD1337" i="15"/>
  <c r="AD1338" i="15"/>
  <c r="AD1339" i="15"/>
  <c r="AD1340" i="15"/>
  <c r="AD1341" i="15"/>
  <c r="AD1342" i="15"/>
  <c r="AD1343" i="15"/>
  <c r="AD1344" i="15"/>
  <c r="AD1345" i="15"/>
  <c r="AD1346" i="15"/>
  <c r="AD1347" i="15"/>
  <c r="AD1348" i="15"/>
  <c r="AD1349" i="15"/>
  <c r="AD1350" i="15"/>
  <c r="AD1351" i="15"/>
  <c r="AD1352" i="15"/>
  <c r="AD1353" i="15"/>
  <c r="AD1354" i="15"/>
  <c r="AD1355" i="15"/>
  <c r="AD1356" i="15"/>
  <c r="AD1357" i="15"/>
  <c r="AD1358" i="15"/>
  <c r="AD1359" i="15"/>
  <c r="AD1360" i="15"/>
  <c r="AD1361" i="15"/>
  <c r="AD1362" i="15"/>
  <c r="AD1363" i="15"/>
  <c r="AD1364" i="15"/>
  <c r="AD1365" i="15"/>
  <c r="AD1366" i="15"/>
  <c r="AD1367" i="15"/>
  <c r="AD1368" i="15"/>
  <c r="AD1369" i="15"/>
  <c r="AD1370" i="15"/>
  <c r="AD1371" i="15"/>
  <c r="AD1372" i="15"/>
  <c r="AD1373" i="15"/>
  <c r="AD1374" i="15"/>
  <c r="AD1375" i="15"/>
  <c r="AD1376" i="15"/>
  <c r="AD1377" i="15"/>
  <c r="AD1378" i="15"/>
  <c r="AD1379" i="15"/>
  <c r="AD1380" i="15"/>
  <c r="AD1381" i="15"/>
  <c r="AD1382" i="15"/>
  <c r="AD1383" i="15"/>
  <c r="AD1384" i="15"/>
  <c r="AD1385" i="15"/>
  <c r="AD1386" i="15"/>
  <c r="AD1387" i="15"/>
  <c r="AD1388" i="15"/>
  <c r="AD1389" i="15"/>
  <c r="AD1390" i="15"/>
  <c r="AD1391" i="15"/>
  <c r="AD1392" i="15"/>
  <c r="AD1393" i="15"/>
  <c r="AD1394" i="15"/>
  <c r="AD1395" i="15"/>
  <c r="AD1396" i="15"/>
  <c r="AD1397" i="15"/>
  <c r="AD1398" i="15"/>
  <c r="AD1399" i="15"/>
  <c r="AD1400" i="15"/>
  <c r="AD1401" i="15"/>
  <c r="AD1402" i="15"/>
  <c r="AD1403" i="15"/>
  <c r="AD1404" i="15"/>
  <c r="AD1405" i="15"/>
  <c r="AD1406" i="15"/>
  <c r="AD1407" i="15"/>
  <c r="AD1408" i="15"/>
  <c r="AD1409" i="15"/>
  <c r="AD1410" i="15"/>
  <c r="AD1411" i="15"/>
  <c r="AD1412" i="15"/>
  <c r="AD1413" i="15"/>
  <c r="AD1414" i="15"/>
  <c r="AD1415" i="15"/>
  <c r="AD1416" i="15"/>
  <c r="AD1417" i="15"/>
  <c r="AD1418" i="15"/>
  <c r="AD1419" i="15"/>
  <c r="AD1420" i="15"/>
  <c r="AD1421" i="15"/>
  <c r="AD1422" i="15"/>
  <c r="AD1423" i="15"/>
  <c r="AD1424" i="15"/>
  <c r="AD1425" i="15"/>
  <c r="AD1426" i="15"/>
  <c r="AD1427" i="15"/>
  <c r="AD1428" i="15"/>
  <c r="AD1429" i="15"/>
  <c r="AD1430" i="15"/>
  <c r="AD1431" i="15"/>
  <c r="AD1432" i="15"/>
  <c r="AD1433" i="15"/>
  <c r="AD1434" i="15"/>
  <c r="AD1435" i="15"/>
  <c r="AD1436" i="15"/>
  <c r="AD1437" i="15"/>
  <c r="AD1438" i="15"/>
  <c r="AD1439" i="15"/>
  <c r="AD1440" i="15"/>
  <c r="AD1441" i="15"/>
  <c r="AD1442" i="15"/>
  <c r="AD1443" i="15"/>
  <c r="AD1444" i="15"/>
  <c r="AD1445" i="15"/>
  <c r="AD1446" i="15"/>
  <c r="AD1447" i="15"/>
  <c r="AD1448" i="15"/>
  <c r="AD1449" i="15"/>
  <c r="AD1450" i="15"/>
  <c r="AD1451" i="15"/>
  <c r="AD1452" i="15"/>
  <c r="AD1453" i="15"/>
  <c r="AD1454" i="15"/>
  <c r="AD1455" i="15"/>
  <c r="AD1456" i="15"/>
  <c r="AD1457" i="15"/>
  <c r="AD1458" i="15"/>
  <c r="AD1459" i="15"/>
  <c r="AD1460" i="15"/>
  <c r="AD1461" i="15"/>
  <c r="AD1462" i="15"/>
  <c r="AD1463" i="15"/>
  <c r="AD1464" i="15"/>
  <c r="AD1465" i="15"/>
  <c r="AD1466" i="15"/>
  <c r="AD1467" i="15"/>
  <c r="AD1468" i="15"/>
  <c r="AD1469" i="15"/>
  <c r="AD1470" i="15"/>
  <c r="AD1471" i="15"/>
  <c r="AD1472" i="15"/>
  <c r="AD1473" i="15"/>
  <c r="AD1474" i="15"/>
  <c r="AD1475" i="15"/>
  <c r="AD1476" i="15"/>
  <c r="AD1477" i="15"/>
  <c r="AD1478" i="15"/>
  <c r="AD1479" i="15"/>
  <c r="AD1480" i="15"/>
  <c r="AD1481" i="15"/>
  <c r="AD1482" i="15"/>
  <c r="AD1483" i="15"/>
  <c r="AD1484" i="15"/>
  <c r="AD1485" i="15"/>
  <c r="AD1486" i="15"/>
  <c r="AD1487" i="15"/>
  <c r="AD1488" i="15"/>
  <c r="AD1489" i="15"/>
  <c r="AD1490" i="15"/>
  <c r="AD1491" i="15"/>
  <c r="AD1492" i="15"/>
  <c r="AD1493" i="15"/>
  <c r="AD1494" i="15"/>
  <c r="AD1495" i="15"/>
  <c r="AD1496" i="15"/>
  <c r="AD1497" i="15"/>
  <c r="AD1498" i="15"/>
  <c r="AD1499" i="15"/>
  <c r="AD1500" i="15"/>
  <c r="AD1501" i="15"/>
  <c r="AD1502" i="15"/>
  <c r="AD1503" i="15"/>
  <c r="AD1504" i="15"/>
  <c r="AD1505" i="15"/>
  <c r="AD1506" i="15"/>
  <c r="AD1507" i="15"/>
  <c r="AD1508" i="15"/>
  <c r="AD1509" i="15"/>
  <c r="AD1510" i="15"/>
  <c r="AD1511" i="15"/>
  <c r="AD1512" i="15"/>
  <c r="AD1513" i="15"/>
  <c r="AD1514" i="15"/>
  <c r="AD1515" i="15"/>
  <c r="AD1516" i="15"/>
  <c r="AD1517" i="15"/>
  <c r="AD1518" i="15"/>
  <c r="AD1519" i="15"/>
  <c r="AD1520" i="15"/>
  <c r="AD1521" i="15"/>
  <c r="AD1522" i="15"/>
  <c r="AD1523" i="15"/>
  <c r="AD1524" i="15"/>
  <c r="AD1525" i="15"/>
  <c r="AD1526" i="15"/>
  <c r="AD1527" i="15"/>
  <c r="AD1528" i="15"/>
  <c r="AD1529" i="15"/>
  <c r="AD1530" i="15"/>
  <c r="AD1531" i="15"/>
  <c r="AD1532" i="15"/>
  <c r="AD1533" i="15"/>
  <c r="AD1534" i="15"/>
  <c r="AD1535" i="15"/>
  <c r="AD1536" i="15"/>
  <c r="AD1537" i="15"/>
  <c r="AD1538" i="15"/>
  <c r="AD1539" i="15"/>
  <c r="AD1540" i="15"/>
  <c r="AD1541" i="15"/>
  <c r="AD1542" i="15"/>
  <c r="AD1543" i="15"/>
  <c r="AD1544" i="15"/>
  <c r="AD1545" i="15"/>
  <c r="AD1546" i="15"/>
  <c r="AD1547" i="15"/>
  <c r="AD1548" i="15"/>
  <c r="AD1549" i="15"/>
  <c r="AD1550" i="15"/>
  <c r="AD1551" i="15"/>
  <c r="AD1552" i="15"/>
  <c r="AD1553" i="15"/>
  <c r="AD1554" i="15"/>
  <c r="AD1555" i="15"/>
  <c r="AD1556" i="15"/>
  <c r="AD1557" i="15"/>
  <c r="AD1558" i="15"/>
  <c r="AD1559" i="15"/>
  <c r="AD1560" i="15"/>
  <c r="AD1561" i="15"/>
  <c r="AD1562" i="15"/>
  <c r="AD1563" i="15"/>
  <c r="AD1564" i="15"/>
  <c r="AD1565" i="15"/>
  <c r="AD1566" i="15"/>
  <c r="AD1567" i="15"/>
  <c r="AD1568" i="15"/>
  <c r="AD1569" i="15"/>
  <c r="AD1570" i="15"/>
  <c r="AD1571" i="15"/>
  <c r="AD1572" i="15"/>
  <c r="AD1573" i="15"/>
  <c r="AD1574" i="15"/>
  <c r="AD1575" i="15"/>
  <c r="AD1576" i="15"/>
  <c r="AD1577" i="15"/>
  <c r="AD1578" i="15"/>
  <c r="AD1579" i="15"/>
  <c r="AD1580" i="15"/>
  <c r="AD1581" i="15"/>
  <c r="AD1582" i="15"/>
  <c r="AD1583" i="15"/>
  <c r="AD1584" i="15"/>
  <c r="AD1585" i="15"/>
  <c r="AD1586" i="15"/>
  <c r="AD1587" i="15"/>
  <c r="AD1588" i="15"/>
  <c r="AD1589" i="15"/>
  <c r="AD1590" i="15"/>
  <c r="AD1591" i="15"/>
  <c r="AD1592" i="15"/>
  <c r="AD1593" i="15"/>
  <c r="AD1594" i="15"/>
  <c r="AD1595" i="15"/>
  <c r="AD1596" i="15"/>
  <c r="AD1597" i="15"/>
  <c r="AD1598" i="15"/>
  <c r="AD1599" i="15"/>
  <c r="AD1600" i="15"/>
  <c r="AD1601" i="15"/>
  <c r="AD1602" i="15"/>
  <c r="AD1603" i="15"/>
  <c r="AD1604" i="15"/>
  <c r="AD1605" i="15"/>
  <c r="AD1606" i="15"/>
  <c r="AD1607" i="15"/>
  <c r="AD1608" i="15"/>
  <c r="AD1609" i="15"/>
  <c r="AD1610" i="15"/>
  <c r="AD1611" i="15"/>
  <c r="AD1612" i="15"/>
  <c r="AD1613" i="15"/>
  <c r="AD1614" i="15"/>
  <c r="AD1615" i="15"/>
  <c r="AD1616" i="15"/>
  <c r="AD1617" i="15"/>
  <c r="AD1618" i="15"/>
  <c r="AD1619" i="15"/>
  <c r="AD1620" i="15"/>
  <c r="AD1621" i="15"/>
  <c r="AD1622" i="15"/>
  <c r="AD1623" i="15"/>
  <c r="AD1624" i="15"/>
  <c r="AD1625" i="15"/>
  <c r="AD1626" i="15"/>
  <c r="AD1627" i="15"/>
  <c r="AD1628" i="15"/>
  <c r="AD1629" i="15"/>
  <c r="AD1630" i="15"/>
  <c r="AD1631" i="15"/>
  <c r="AD1632" i="15"/>
  <c r="AD1633" i="15"/>
  <c r="AD1634" i="15"/>
  <c r="AD1635" i="15"/>
  <c r="AD1636" i="15"/>
  <c r="AD1637" i="15"/>
  <c r="AD1638" i="15"/>
  <c r="AD1639" i="15"/>
  <c r="AD1640" i="15"/>
  <c r="AD1641" i="15"/>
  <c r="AD1642" i="15"/>
  <c r="AD1643" i="15"/>
  <c r="AD1644" i="15"/>
  <c r="AD1645" i="15"/>
  <c r="AD1646" i="15"/>
  <c r="AD1647" i="15"/>
  <c r="AD1648" i="15"/>
  <c r="AD1649" i="15"/>
  <c r="AD1650" i="15"/>
  <c r="AD1651" i="15"/>
  <c r="AD1652" i="15"/>
  <c r="AD1653" i="15"/>
  <c r="AD1654" i="15"/>
  <c r="AD1655" i="15"/>
  <c r="AD1656" i="15"/>
  <c r="AD1657" i="15"/>
  <c r="AD1658" i="15"/>
  <c r="AD1659" i="15"/>
  <c r="AD1660" i="15"/>
  <c r="AD1661" i="15"/>
  <c r="AD1662" i="15"/>
  <c r="AD1663" i="15"/>
  <c r="AD1664" i="15"/>
  <c r="AD1665" i="15"/>
  <c r="AD1666" i="15"/>
  <c r="AD1667" i="15"/>
  <c r="AD1668" i="15"/>
  <c r="AD1669" i="15"/>
  <c r="AD1670" i="15"/>
  <c r="B5" i="5"/>
  <c r="D129" i="5"/>
  <c r="L120" i="5" s="1"/>
  <c r="D109" i="5"/>
  <c r="L121" i="5" s="1"/>
  <c r="L133" i="5" s="1"/>
  <c r="B46" i="5" s="1"/>
  <c r="D114" i="5"/>
  <c r="D124" i="5"/>
  <c r="L124" i="5" s="1"/>
  <c r="D119" i="5"/>
  <c r="L127" i="5" s="1"/>
  <c r="L139" i="5" s="1"/>
  <c r="B53" i="5" s="1"/>
  <c r="D130" i="5"/>
  <c r="M120" i="5" s="1"/>
  <c r="M132" i="5" s="1"/>
  <c r="C45" i="5" s="1"/>
  <c r="D110" i="5"/>
  <c r="M121" i="5" s="1"/>
  <c r="M133" i="5" s="1"/>
  <c r="C46" i="5" s="1"/>
  <c r="D115" i="5"/>
  <c r="M123" i="5" s="1"/>
  <c r="M135" i="5" s="1"/>
  <c r="C48" i="5" s="1"/>
  <c r="D125" i="5"/>
  <c r="M124" i="5" s="1"/>
  <c r="M136" i="5" s="1"/>
  <c r="C49" i="5" s="1"/>
  <c r="D120" i="5"/>
  <c r="M125" i="5" s="1"/>
  <c r="M137" i="5" s="1"/>
  <c r="C50" i="5" s="1"/>
  <c r="D131" i="5"/>
  <c r="N120" i="5" s="1"/>
  <c r="N132" i="5" s="1"/>
  <c r="D45" i="5" s="1"/>
  <c r="D111" i="5"/>
  <c r="N121" i="5" s="1"/>
  <c r="N133" i="5" s="1"/>
  <c r="D46" i="5" s="1"/>
  <c r="D116" i="5"/>
  <c r="D126" i="5"/>
  <c r="N124" i="5" s="1"/>
  <c r="N136" i="5" s="1"/>
  <c r="D49" i="5" s="1"/>
  <c r="D121" i="5"/>
  <c r="N126" i="5" s="1"/>
  <c r="N138" i="5" s="1"/>
  <c r="D52" i="5" s="1"/>
  <c r="E129" i="5"/>
  <c r="I120" i="5" s="1"/>
  <c r="I132" i="5" s="1"/>
  <c r="B33" i="5" s="1"/>
  <c r="E109" i="5"/>
  <c r="I121" i="5" s="1"/>
  <c r="E114" i="5"/>
  <c r="E124" i="5"/>
  <c r="I124" i="5" s="1"/>
  <c r="E119" i="5"/>
  <c r="E130" i="5"/>
  <c r="J120" i="5" s="1"/>
  <c r="J132" i="5" s="1"/>
  <c r="E110" i="5"/>
  <c r="J121" i="5" s="1"/>
  <c r="J133" i="5" s="1"/>
  <c r="C34" i="5" s="1"/>
  <c r="E115" i="5"/>
  <c r="E125" i="5"/>
  <c r="J124" i="5" s="1"/>
  <c r="E120" i="5"/>
  <c r="J125" i="5" s="1"/>
  <c r="E131" i="5"/>
  <c r="K120" i="5" s="1"/>
  <c r="K132" i="5" s="1"/>
  <c r="D33" i="5" s="1"/>
  <c r="E111" i="5"/>
  <c r="K121" i="5" s="1"/>
  <c r="K133" i="5" s="1"/>
  <c r="D34" i="5" s="1"/>
  <c r="E116" i="5"/>
  <c r="E126" i="5"/>
  <c r="K124" i="5" s="1"/>
  <c r="E121" i="5"/>
  <c r="K125" i="5" s="1"/>
  <c r="B6" i="5"/>
  <c r="B7" i="5"/>
  <c r="C7" i="5"/>
  <c r="D7" i="5"/>
  <c r="M44" i="28" l="1"/>
  <c r="P44" i="28" s="1"/>
  <c r="U44" i="28" s="1"/>
  <c r="L44" i="28"/>
  <c r="O44" i="28" s="1"/>
  <c r="T44" i="28" s="1"/>
  <c r="K44" i="28"/>
  <c r="N44" i="28" s="1"/>
  <c r="M46" i="28"/>
  <c r="P46" i="28" s="1"/>
  <c r="U46" i="28" s="1"/>
  <c r="L46" i="28"/>
  <c r="O46" i="28" s="1"/>
  <c r="T46" i="28" s="1"/>
  <c r="K46" i="28"/>
  <c r="N46" i="28" s="1"/>
  <c r="D29" i="36"/>
  <c r="E29" i="36" s="1"/>
  <c r="F45" i="28" s="1"/>
  <c r="G45" i="28" s="1"/>
  <c r="D33" i="36"/>
  <c r="E33" i="36" s="1"/>
  <c r="F49" i="28" s="1"/>
  <c r="G49" i="28" s="1"/>
  <c r="AD1674" i="15"/>
  <c r="D27" i="36"/>
  <c r="L48" i="28"/>
  <c r="O48" i="28" s="1"/>
  <c r="T48" i="28" s="1"/>
  <c r="M48" i="28"/>
  <c r="P48" i="28" s="1"/>
  <c r="U48" i="28" s="1"/>
  <c r="K48" i="28"/>
  <c r="N48" i="28" s="1"/>
  <c r="D31" i="36"/>
  <c r="E31" i="36" s="1"/>
  <c r="F47" i="28" s="1"/>
  <c r="G47" i="28" s="1"/>
  <c r="D40" i="34"/>
  <c r="G8" i="34" s="1"/>
  <c r="E11" i="29" s="1"/>
  <c r="C178" i="35"/>
  <c r="D178" i="35" s="1"/>
  <c r="C154" i="35"/>
  <c r="C226" i="35" s="1"/>
  <c r="C352" i="35"/>
  <c r="P265" i="35" s="1"/>
  <c r="D150" i="31" s="1"/>
  <c r="C292" i="35"/>
  <c r="P256" i="35" s="1"/>
  <c r="D141" i="31" s="1"/>
  <c r="C166" i="35"/>
  <c r="C272" i="35"/>
  <c r="C562" i="35"/>
  <c r="C586" i="35"/>
  <c r="D586" i="35" s="1"/>
  <c r="C190" i="35"/>
  <c r="D190" i="35" s="1"/>
  <c r="C508" i="35"/>
  <c r="D508" i="35" s="1"/>
  <c r="C493" i="35"/>
  <c r="C364" i="35"/>
  <c r="C460" i="35"/>
  <c r="D460" i="35" s="1"/>
  <c r="C523" i="35"/>
  <c r="C450" i="35"/>
  <c r="C127" i="35"/>
  <c r="C388" i="35"/>
  <c r="D388" i="35" s="1"/>
  <c r="C470" i="35"/>
  <c r="C412" i="35"/>
  <c r="C295" i="35"/>
  <c r="C610" i="35"/>
  <c r="C214" i="35"/>
  <c r="C325" i="35"/>
  <c r="C260" i="35"/>
  <c r="D260" i="35" s="1"/>
  <c r="C504" i="35"/>
  <c r="D504" i="35" s="1"/>
  <c r="C399" i="35"/>
  <c r="C597" i="35"/>
  <c r="C519" i="35"/>
  <c r="C549" i="35"/>
  <c r="C210" i="35"/>
  <c r="C321" i="35"/>
  <c r="C270" i="35"/>
  <c r="C489" i="35"/>
  <c r="C384" i="35"/>
  <c r="D384" i="35" s="1"/>
  <c r="C582" i="35"/>
  <c r="D582" i="35" s="1"/>
  <c r="C201" i="35"/>
  <c r="C250" i="35"/>
  <c r="C162" i="35"/>
  <c r="C360" i="35"/>
  <c r="C123" i="35"/>
  <c r="C468" i="35"/>
  <c r="C448" i="35"/>
  <c r="C458" i="35"/>
  <c r="D458" i="35" s="1"/>
  <c r="C558" i="35"/>
  <c r="C573" i="35"/>
  <c r="D573" i="35" s="1"/>
  <c r="C606" i="35"/>
  <c r="C408" i="35"/>
  <c r="C186" i="35"/>
  <c r="D186" i="35" s="1"/>
  <c r="C361" i="35"/>
  <c r="C559" i="35"/>
  <c r="C490" i="35"/>
  <c r="C550" i="35"/>
  <c r="C505" i="35"/>
  <c r="D505" i="35" s="1"/>
  <c r="C163" i="35"/>
  <c r="C409" i="35"/>
  <c r="C400" i="35"/>
  <c r="C187" i="35"/>
  <c r="D187" i="35" s="1"/>
  <c r="C271" i="35"/>
  <c r="C211" i="35"/>
  <c r="C322" i="35"/>
  <c r="C459" i="35"/>
  <c r="D459" i="35" s="1"/>
  <c r="C202" i="35"/>
  <c r="C449" i="35"/>
  <c r="C574" i="35"/>
  <c r="D574" i="35" s="1"/>
  <c r="C109" i="35"/>
  <c r="D109" i="35" s="1"/>
  <c r="C124" i="35"/>
  <c r="C520" i="35"/>
  <c r="C607" i="35"/>
  <c r="C307" i="35"/>
  <c r="D307" i="35" s="1"/>
  <c r="C469" i="35"/>
  <c r="C385" i="35"/>
  <c r="D385" i="35" s="1"/>
  <c r="C598" i="35"/>
  <c r="C583" i="35"/>
  <c r="D583" i="35" s="1"/>
  <c r="C261" i="35"/>
  <c r="D261" i="35" s="1"/>
  <c r="C251" i="35"/>
  <c r="C112" i="35"/>
  <c r="D112" i="35" s="1"/>
  <c r="C200" i="35"/>
  <c r="C269" i="35"/>
  <c r="C572" i="35"/>
  <c r="D572" i="35" s="1"/>
  <c r="C581" i="35"/>
  <c r="D581" i="35" s="1"/>
  <c r="C122" i="35"/>
  <c r="C605" i="35"/>
  <c r="C407" i="35"/>
  <c r="C383" i="35"/>
  <c r="D383" i="35" s="1"/>
  <c r="C209" i="35"/>
  <c r="C359" i="35"/>
  <c r="C398" i="35"/>
  <c r="C503" i="35"/>
  <c r="D503" i="35" s="1"/>
  <c r="C518" i="35"/>
  <c r="C447" i="35"/>
  <c r="C185" i="35"/>
  <c r="D185" i="35" s="1"/>
  <c r="C557" i="35"/>
  <c r="C249" i="35"/>
  <c r="C596" i="35"/>
  <c r="C457" i="35"/>
  <c r="C467" i="35"/>
  <c r="C488" i="35"/>
  <c r="C259" i="35"/>
  <c r="D259" i="35" s="1"/>
  <c r="C320" i="35"/>
  <c r="C548" i="35"/>
  <c r="C161" i="35"/>
  <c r="C107" i="35"/>
  <c r="D107" i="35" s="1"/>
  <c r="C305" i="35"/>
  <c r="D305" i="35" s="1"/>
  <c r="C152" i="35"/>
  <c r="C176" i="35"/>
  <c r="D176" i="35" s="1"/>
  <c r="C374" i="35"/>
  <c r="D374" i="35" s="1"/>
  <c r="C350" i="35"/>
  <c r="C422" i="35" s="1"/>
  <c r="C290" i="35"/>
  <c r="D228" i="35"/>
  <c r="Q69" i="35"/>
  <c r="E63" i="31" s="1"/>
  <c r="C227" i="35"/>
  <c r="P68" i="35"/>
  <c r="D62" i="31" s="1"/>
  <c r="Q252" i="35"/>
  <c r="E137" i="31" s="1"/>
  <c r="D333" i="35"/>
  <c r="C425" i="35"/>
  <c r="D427" i="35"/>
  <c r="D426" i="35"/>
  <c r="D377" i="35"/>
  <c r="D376" i="35"/>
  <c r="G5" i="16"/>
  <c r="C71" i="35"/>
  <c r="D8" i="31" s="1"/>
  <c r="C51" i="35"/>
  <c r="P50" i="35" s="1"/>
  <c r="D44" i="31" s="1"/>
  <c r="C61" i="35"/>
  <c r="D61" i="35" s="1"/>
  <c r="C92" i="35"/>
  <c r="P56" i="35" s="1"/>
  <c r="D50" i="31" s="1"/>
  <c r="G6" i="16"/>
  <c r="C72" i="35"/>
  <c r="C62" i="35"/>
  <c r="D62" i="35" s="1"/>
  <c r="C52" i="35"/>
  <c r="P51" i="35" s="1"/>
  <c r="D45" i="31" s="1"/>
  <c r="G8" i="16"/>
  <c r="C74" i="35"/>
  <c r="C94" i="35"/>
  <c r="P58" i="35" s="1"/>
  <c r="D52" i="31" s="1"/>
  <c r="C73" i="35"/>
  <c r="C63" i="35"/>
  <c r="D63" i="35" s="1"/>
  <c r="G7" i="16"/>
  <c r="C53" i="35"/>
  <c r="P52" i="35" s="1"/>
  <c r="D46" i="31" s="1"/>
  <c r="C113" i="22"/>
  <c r="J113" i="22"/>
  <c r="F113" i="22"/>
  <c r="K113" i="22"/>
  <c r="I113" i="22"/>
  <c r="H113" i="22"/>
  <c r="G113" i="22"/>
  <c r="D113" i="22"/>
  <c r="E113" i="22"/>
  <c r="C112" i="22"/>
  <c r="G112" i="22"/>
  <c r="D112" i="22"/>
  <c r="H112" i="22"/>
  <c r="K112" i="22"/>
  <c r="F112" i="22"/>
  <c r="J112" i="22"/>
  <c r="E112" i="22"/>
  <c r="I112" i="22"/>
  <c r="I100" i="22"/>
  <c r="G100" i="22"/>
  <c r="H100" i="22"/>
  <c r="K100" i="22"/>
  <c r="C100" i="22"/>
  <c r="F100" i="22"/>
  <c r="J100" i="22"/>
  <c r="D100" i="22"/>
  <c r="E100" i="22"/>
  <c r="H186" i="22"/>
  <c r="I186" i="22"/>
  <c r="G186" i="22"/>
  <c r="J186" i="22"/>
  <c r="C186" i="22"/>
  <c r="K186" i="22"/>
  <c r="D186" i="22"/>
  <c r="E186" i="22"/>
  <c r="F186" i="22"/>
  <c r="J169" i="22"/>
  <c r="C169" i="22"/>
  <c r="K169" i="22"/>
  <c r="D169" i="22"/>
  <c r="E169" i="22"/>
  <c r="F169" i="22"/>
  <c r="G169" i="22"/>
  <c r="H169" i="22"/>
  <c r="I169" i="22"/>
  <c r="K137" i="5"/>
  <c r="D38" i="5" s="1"/>
  <c r="K136" i="5"/>
  <c r="D37" i="5" s="1"/>
  <c r="C183" i="22"/>
  <c r="K183" i="22"/>
  <c r="D183" i="22"/>
  <c r="E183" i="22"/>
  <c r="J183" i="22"/>
  <c r="F183" i="22"/>
  <c r="G183" i="22"/>
  <c r="H183" i="22"/>
  <c r="I183" i="22"/>
  <c r="J164" i="22"/>
  <c r="C164" i="22"/>
  <c r="K164" i="22"/>
  <c r="D164" i="22"/>
  <c r="I164" i="22"/>
  <c r="E164" i="22"/>
  <c r="F164" i="22"/>
  <c r="G164" i="22"/>
  <c r="H164" i="22"/>
  <c r="D182" i="22"/>
  <c r="C182" i="22"/>
  <c r="E182" i="22"/>
  <c r="K182" i="22"/>
  <c r="F182" i="22"/>
  <c r="G182" i="22"/>
  <c r="H182" i="22"/>
  <c r="I182" i="22"/>
  <c r="J182" i="22"/>
  <c r="F173" i="22"/>
  <c r="E173" i="22"/>
  <c r="G173" i="22"/>
  <c r="H173" i="22"/>
  <c r="I173" i="22"/>
  <c r="J173" i="22"/>
  <c r="C173" i="22"/>
  <c r="K173" i="22"/>
  <c r="D173" i="22"/>
  <c r="E174" i="22"/>
  <c r="D174" i="22"/>
  <c r="F174" i="22"/>
  <c r="G174" i="22"/>
  <c r="H174" i="22"/>
  <c r="I174" i="22"/>
  <c r="J174" i="22"/>
  <c r="C174" i="22"/>
  <c r="K174" i="22"/>
  <c r="I157" i="22"/>
  <c r="J157" i="22"/>
  <c r="H157" i="22"/>
  <c r="C157" i="22"/>
  <c r="K157" i="22"/>
  <c r="D157" i="22"/>
  <c r="E157" i="22"/>
  <c r="F157" i="22"/>
  <c r="G157" i="22"/>
  <c r="J137" i="5"/>
  <c r="C38" i="5" s="1"/>
  <c r="G172" i="22"/>
  <c r="H172" i="22"/>
  <c r="F172" i="22"/>
  <c r="I172" i="22"/>
  <c r="J172" i="22"/>
  <c r="C172" i="22"/>
  <c r="K172" i="22"/>
  <c r="D172" i="22"/>
  <c r="E172" i="22"/>
  <c r="J136" i="5"/>
  <c r="E189" i="22"/>
  <c r="D189" i="22"/>
  <c r="F189" i="22"/>
  <c r="G189" i="22"/>
  <c r="H189" i="22"/>
  <c r="I189" i="22"/>
  <c r="J189" i="22"/>
  <c r="C189" i="22"/>
  <c r="K189" i="22"/>
  <c r="I170" i="22"/>
  <c r="H170" i="22"/>
  <c r="J170" i="22"/>
  <c r="C170" i="22"/>
  <c r="K170" i="22"/>
  <c r="D170" i="22"/>
  <c r="E170" i="22"/>
  <c r="F170" i="22"/>
  <c r="G170" i="22"/>
  <c r="C151" i="35"/>
  <c r="C289" i="35"/>
  <c r="P253" i="35" s="1"/>
  <c r="D138" i="31" s="1"/>
  <c r="C373" i="35"/>
  <c r="D373" i="35" s="1"/>
  <c r="C175" i="35"/>
  <c r="C258" i="35"/>
  <c r="C91" i="35"/>
  <c r="P55" i="35" s="1"/>
  <c r="D49" i="31" s="1"/>
  <c r="C60" i="35"/>
  <c r="C304" i="35"/>
  <c r="D304" i="35" s="1"/>
  <c r="C248" i="35"/>
  <c r="C106" i="35"/>
  <c r="D106" i="35" s="1"/>
  <c r="C50" i="35"/>
  <c r="P49" i="35" s="1"/>
  <c r="C349" i="35"/>
  <c r="P262" i="35" s="1"/>
  <c r="Q54" i="35"/>
  <c r="E48" i="31" s="1"/>
  <c r="D135" i="35"/>
  <c r="D155" i="35"/>
  <c r="C177" i="35"/>
  <c r="C291" i="35"/>
  <c r="C262" i="35"/>
  <c r="D262" i="35" s="1"/>
  <c r="C93" i="35"/>
  <c r="P57" i="35" s="1"/>
  <c r="D51" i="31" s="1"/>
  <c r="C64" i="35"/>
  <c r="D64" i="35" s="1"/>
  <c r="C306" i="35"/>
  <c r="D306" i="35" s="1"/>
  <c r="C252" i="35"/>
  <c r="C108" i="35"/>
  <c r="D108" i="35" s="1"/>
  <c r="C54" i="35"/>
  <c r="P53" i="35" s="1"/>
  <c r="D47" i="31" s="1"/>
  <c r="C375" i="35"/>
  <c r="C351" i="35"/>
  <c r="P264" i="35" s="1"/>
  <c r="D149" i="31" s="1"/>
  <c r="C153" i="35"/>
  <c r="D235" i="31"/>
  <c r="J26" i="29"/>
  <c r="M26" i="29" s="1"/>
  <c r="R26" i="29" s="1"/>
  <c r="K26" i="29"/>
  <c r="N26" i="29" s="1"/>
  <c r="S26" i="29" s="1"/>
  <c r="D353" i="35"/>
  <c r="Q266" i="35" s="1"/>
  <c r="E151" i="31" s="1"/>
  <c r="C142" i="35"/>
  <c r="D97" i="35"/>
  <c r="Q61" i="35" s="1"/>
  <c r="E55" i="31" s="1"/>
  <c r="E25" i="29"/>
  <c r="H6" i="34"/>
  <c r="E24" i="29" s="1"/>
  <c r="H15" i="34"/>
  <c r="E15" i="34"/>
  <c r="E42" i="29"/>
  <c r="E6" i="34"/>
  <c r="E41" i="29" s="1"/>
  <c r="F6" i="34"/>
  <c r="E56" i="29" s="1"/>
  <c r="E57" i="29"/>
  <c r="F15" i="34"/>
  <c r="D227" i="31"/>
  <c r="J43" i="29"/>
  <c r="M43" i="29" s="1"/>
  <c r="R43" i="29" s="1"/>
  <c r="K43" i="29"/>
  <c r="N43" i="29" s="1"/>
  <c r="S43" i="29" s="1"/>
  <c r="I43" i="29"/>
  <c r="L43" i="29" s="1"/>
  <c r="J58" i="29"/>
  <c r="M58" i="29" s="1"/>
  <c r="R58" i="29" s="1"/>
  <c r="K58" i="29"/>
  <c r="N58" i="29" s="1"/>
  <c r="S58" i="29" s="1"/>
  <c r="D232" i="31"/>
  <c r="N127" i="5"/>
  <c r="N139" i="5" s="1"/>
  <c r="D53" i="5" s="1"/>
  <c r="F27" i="29"/>
  <c r="I27" i="29" s="1"/>
  <c r="L27" i="29" s="1"/>
  <c r="F57" i="29"/>
  <c r="F97" i="29"/>
  <c r="I97" i="29" s="1"/>
  <c r="L97" i="29" s="1"/>
  <c r="F32" i="29"/>
  <c r="I32" i="29" s="1"/>
  <c r="L32" i="29" s="1"/>
  <c r="F24" i="29"/>
  <c r="F62" i="29"/>
  <c r="I62" i="29" s="1"/>
  <c r="L62" i="29" s="1"/>
  <c r="F90" i="29"/>
  <c r="I90" i="29" s="1"/>
  <c r="L90" i="29" s="1"/>
  <c r="O90" i="29" s="1"/>
  <c r="F29" i="29"/>
  <c r="I29" i="29" s="1"/>
  <c r="L29" i="29" s="1"/>
  <c r="F59" i="29"/>
  <c r="I59" i="29" s="1"/>
  <c r="L59" i="29" s="1"/>
  <c r="F93" i="29"/>
  <c r="I93" i="29" s="1"/>
  <c r="L93" i="29" s="1"/>
  <c r="F89" i="29"/>
  <c r="I89" i="29" s="1"/>
  <c r="F26" i="29"/>
  <c r="I26" i="29" s="1"/>
  <c r="L26" i="29" s="1"/>
  <c r="F64" i="29"/>
  <c r="I64" i="29" s="1"/>
  <c r="L64" i="29" s="1"/>
  <c r="F56" i="29"/>
  <c r="F96" i="29"/>
  <c r="I96" i="29" s="1"/>
  <c r="L96" i="29" s="1"/>
  <c r="F31" i="29"/>
  <c r="I31" i="29" s="1"/>
  <c r="L31" i="29" s="1"/>
  <c r="F61" i="29"/>
  <c r="I61" i="29" s="1"/>
  <c r="L61" i="29" s="1"/>
  <c r="F91" i="29"/>
  <c r="I91" i="29" s="1"/>
  <c r="L91" i="29" s="1"/>
  <c r="F25" i="29"/>
  <c r="F63" i="29"/>
  <c r="I63" i="29" s="1"/>
  <c r="L63" i="29" s="1"/>
  <c r="F28" i="29"/>
  <c r="I28" i="29" s="1"/>
  <c r="L28" i="29" s="1"/>
  <c r="F58" i="29"/>
  <c r="I58" i="29" s="1"/>
  <c r="L58" i="29" s="1"/>
  <c r="F94" i="29"/>
  <c r="I94" i="29" s="1"/>
  <c r="L94" i="29" s="1"/>
  <c r="F30" i="29"/>
  <c r="I30" i="29" s="1"/>
  <c r="L30" i="29" s="1"/>
  <c r="F60" i="29"/>
  <c r="I60" i="29" s="1"/>
  <c r="L60" i="29" s="1"/>
  <c r="F92" i="29"/>
  <c r="I92" i="29" s="1"/>
  <c r="L92" i="29" s="1"/>
  <c r="F95" i="29"/>
  <c r="I95" i="29" s="1"/>
  <c r="L95" i="29" s="1"/>
  <c r="E190" i="37"/>
  <c r="E196" i="37"/>
  <c r="H31" i="30"/>
  <c r="K31" i="30" s="1"/>
  <c r="P31" i="30" s="1"/>
  <c r="I224" i="21" s="1"/>
  <c r="H27" i="30"/>
  <c r="H67" i="30"/>
  <c r="K67" i="30" s="1"/>
  <c r="P67" i="30" s="1"/>
  <c r="I164" i="21" s="1"/>
  <c r="H63" i="30"/>
  <c r="K63" i="30" s="1"/>
  <c r="P63" i="30" s="1"/>
  <c r="I134" i="21" s="1"/>
  <c r="H59" i="30"/>
  <c r="H29" i="30"/>
  <c r="K29" i="30" s="1"/>
  <c r="P29" i="30" s="1"/>
  <c r="I214" i="21" s="1"/>
  <c r="H61" i="30"/>
  <c r="K61" i="30" s="1"/>
  <c r="P61" i="30" s="1"/>
  <c r="H28" i="30"/>
  <c r="K28" i="30" s="1"/>
  <c r="P28" i="30" s="1"/>
  <c r="I194" i="21" s="1"/>
  <c r="H64" i="30"/>
  <c r="K64" i="30" s="1"/>
  <c r="P64" i="30" s="1"/>
  <c r="I124" i="21" s="1"/>
  <c r="H33" i="30"/>
  <c r="K33" i="30" s="1"/>
  <c r="P33" i="30" s="1"/>
  <c r="I244" i="21" s="1"/>
  <c r="H30" i="30"/>
  <c r="K30" i="30" s="1"/>
  <c r="P30" i="30" s="1"/>
  <c r="I204" i="21" s="1"/>
  <c r="H26" i="30"/>
  <c r="K26" i="30" s="1"/>
  <c r="P26" i="30" s="1"/>
  <c r="I174" i="21" s="1"/>
  <c r="H66" i="30"/>
  <c r="K66" i="30" s="1"/>
  <c r="P66" i="30" s="1"/>
  <c r="I154" i="21" s="1"/>
  <c r="H62" i="30"/>
  <c r="K62" i="30" s="1"/>
  <c r="P62" i="30" s="1"/>
  <c r="I114" i="21" s="1"/>
  <c r="H25" i="30"/>
  <c r="H65" i="30"/>
  <c r="K65" i="30" s="1"/>
  <c r="P65" i="30" s="1"/>
  <c r="I144" i="21" s="1"/>
  <c r="H60" i="30"/>
  <c r="K60" i="30" s="1"/>
  <c r="P60" i="30" s="1"/>
  <c r="I94" i="21" s="1"/>
  <c r="H32" i="30"/>
  <c r="K32" i="30" s="1"/>
  <c r="P32" i="30" s="1"/>
  <c r="I234" i="21" s="1"/>
  <c r="G28" i="30"/>
  <c r="J28" i="30" s="1"/>
  <c r="O28" i="30" s="1"/>
  <c r="H194" i="21" s="1"/>
  <c r="G60" i="30"/>
  <c r="J60" i="30" s="1"/>
  <c r="O60" i="30" s="1"/>
  <c r="H94" i="21" s="1"/>
  <c r="G31" i="30"/>
  <c r="J31" i="30" s="1"/>
  <c r="O31" i="30" s="1"/>
  <c r="H224" i="21" s="1"/>
  <c r="G27" i="30"/>
  <c r="G67" i="30"/>
  <c r="J67" i="30" s="1"/>
  <c r="O67" i="30" s="1"/>
  <c r="H164" i="21" s="1"/>
  <c r="G63" i="30"/>
  <c r="J63" i="30" s="1"/>
  <c r="O63" i="30" s="1"/>
  <c r="H134" i="21" s="1"/>
  <c r="G59" i="30"/>
  <c r="G32" i="30"/>
  <c r="J32" i="30" s="1"/>
  <c r="O32" i="30" s="1"/>
  <c r="H234" i="21" s="1"/>
  <c r="G64" i="30"/>
  <c r="J64" i="30" s="1"/>
  <c r="O64" i="30" s="1"/>
  <c r="H124" i="21" s="1"/>
  <c r="G30" i="30"/>
  <c r="J30" i="30" s="1"/>
  <c r="O30" i="30" s="1"/>
  <c r="H204" i="21" s="1"/>
  <c r="G26" i="30"/>
  <c r="J26" i="30" s="1"/>
  <c r="O26" i="30" s="1"/>
  <c r="H174" i="21" s="1"/>
  <c r="G66" i="30"/>
  <c r="J66" i="30" s="1"/>
  <c r="O66" i="30" s="1"/>
  <c r="H154" i="21" s="1"/>
  <c r="G62" i="30"/>
  <c r="J62" i="30" s="1"/>
  <c r="O62" i="30" s="1"/>
  <c r="H114" i="21" s="1"/>
  <c r="G33" i="30"/>
  <c r="J33" i="30" s="1"/>
  <c r="O33" i="30" s="1"/>
  <c r="H244" i="21" s="1"/>
  <c r="G29" i="30"/>
  <c r="J29" i="30" s="1"/>
  <c r="O29" i="30" s="1"/>
  <c r="H214" i="21" s="1"/>
  <c r="G25" i="30"/>
  <c r="G65" i="30"/>
  <c r="J65" i="30" s="1"/>
  <c r="O65" i="30" s="1"/>
  <c r="H144" i="21" s="1"/>
  <c r="G61" i="30"/>
  <c r="J61" i="30" s="1"/>
  <c r="O61" i="30" s="1"/>
  <c r="F14" i="30"/>
  <c r="I14" i="30" s="1"/>
  <c r="F46" i="30"/>
  <c r="I46" i="30" s="1"/>
  <c r="F45" i="30"/>
  <c r="I45" i="30" s="1"/>
  <c r="F49" i="30"/>
  <c r="I49" i="30" s="1"/>
  <c r="F11" i="30"/>
  <c r="F51" i="30"/>
  <c r="I51" i="30" s="1"/>
  <c r="F43" i="30"/>
  <c r="F10" i="30"/>
  <c r="I10" i="30" s="1"/>
  <c r="F44" i="30"/>
  <c r="I44" i="30" s="1"/>
  <c r="F16" i="30"/>
  <c r="I16" i="30" s="1"/>
  <c r="F48" i="30"/>
  <c r="I48" i="30" s="1"/>
  <c r="F13" i="30"/>
  <c r="I13" i="30" s="1"/>
  <c r="F50" i="30"/>
  <c r="I50" i="30" s="1"/>
  <c r="F15" i="30"/>
  <c r="I15" i="30" s="1"/>
  <c r="F47" i="30"/>
  <c r="I47" i="30" s="1"/>
  <c r="F12" i="30"/>
  <c r="I12" i="30" s="1"/>
  <c r="F17" i="30"/>
  <c r="I17" i="30" s="1"/>
  <c r="F9" i="30"/>
  <c r="F29" i="30"/>
  <c r="I29" i="30" s="1"/>
  <c r="F61" i="30"/>
  <c r="I61" i="30" s="1"/>
  <c r="F65" i="30"/>
  <c r="I65" i="30" s="1"/>
  <c r="F26" i="30"/>
  <c r="I26" i="30" s="1"/>
  <c r="F66" i="30"/>
  <c r="I66" i="30" s="1"/>
  <c r="F33" i="30"/>
  <c r="I33" i="30" s="1"/>
  <c r="F25" i="30"/>
  <c r="F31" i="30"/>
  <c r="I31" i="30" s="1"/>
  <c r="F63" i="30"/>
  <c r="I63" i="30" s="1"/>
  <c r="F28" i="30"/>
  <c r="I28" i="30" s="1"/>
  <c r="F60" i="30"/>
  <c r="I60" i="30" s="1"/>
  <c r="F64" i="30"/>
  <c r="I64" i="30" s="1"/>
  <c r="F30" i="30"/>
  <c r="I30" i="30" s="1"/>
  <c r="F62" i="30"/>
  <c r="I62" i="30" s="1"/>
  <c r="F27" i="30"/>
  <c r="F67" i="30"/>
  <c r="I67" i="30" s="1"/>
  <c r="F59" i="30"/>
  <c r="F32" i="30"/>
  <c r="I32" i="30" s="1"/>
  <c r="K127" i="5"/>
  <c r="J127" i="5"/>
  <c r="M122" i="5"/>
  <c r="M134" i="5" s="1"/>
  <c r="C47" i="5" s="1"/>
  <c r="J126" i="5"/>
  <c r="K126" i="5"/>
  <c r="F79" i="30"/>
  <c r="F80" i="30"/>
  <c r="I80" i="30" s="1"/>
  <c r="F81" i="30"/>
  <c r="I81" i="30" s="1"/>
  <c r="F77" i="30"/>
  <c r="F82" i="30"/>
  <c r="I82" i="30" s="1"/>
  <c r="F85" i="30"/>
  <c r="I85" i="30" s="1"/>
  <c r="F83" i="30"/>
  <c r="I83" i="30" s="1"/>
  <c r="F78" i="30"/>
  <c r="I78" i="30" s="1"/>
  <c r="F84" i="30"/>
  <c r="I84" i="30" s="1"/>
  <c r="F99" i="30"/>
  <c r="I99" i="30" s="1"/>
  <c r="N99" i="30" s="1"/>
  <c r="F100" i="30"/>
  <c r="I100" i="30" s="1"/>
  <c r="N100" i="30" s="1"/>
  <c r="F94" i="30"/>
  <c r="I94" i="30" s="1"/>
  <c r="N94" i="30" s="1"/>
  <c r="F97" i="30"/>
  <c r="I97" i="30" s="1"/>
  <c r="N97" i="30" s="1"/>
  <c r="F93" i="30"/>
  <c r="F98" i="30"/>
  <c r="I98" i="30" s="1"/>
  <c r="N98" i="30" s="1"/>
  <c r="F96" i="30"/>
  <c r="I96" i="30" s="1"/>
  <c r="N96" i="30" s="1"/>
  <c r="F95" i="30"/>
  <c r="F101" i="30"/>
  <c r="I101" i="30" s="1"/>
  <c r="N101" i="30" s="1"/>
  <c r="H101" i="30"/>
  <c r="K101" i="30" s="1"/>
  <c r="P101" i="30" s="1"/>
  <c r="I84" i="21" s="1"/>
  <c r="H95" i="30"/>
  <c r="H96" i="30"/>
  <c r="K96" i="30" s="1"/>
  <c r="P96" i="30" s="1"/>
  <c r="I34" i="21" s="1"/>
  <c r="H93" i="30"/>
  <c r="H100" i="30"/>
  <c r="K100" i="30" s="1"/>
  <c r="P100" i="30" s="1"/>
  <c r="I74" i="21" s="1"/>
  <c r="H98" i="30"/>
  <c r="K98" i="30" s="1"/>
  <c r="P98" i="30" s="1"/>
  <c r="I44" i="21" s="1"/>
  <c r="H99" i="30"/>
  <c r="K99" i="30" s="1"/>
  <c r="P99" i="30" s="1"/>
  <c r="I64" i="21" s="1"/>
  <c r="H94" i="30"/>
  <c r="K94" i="30" s="1"/>
  <c r="P94" i="30" s="1"/>
  <c r="I14" i="21" s="1"/>
  <c r="H97" i="30"/>
  <c r="K97" i="30" s="1"/>
  <c r="P97" i="30" s="1"/>
  <c r="I54" i="21" s="1"/>
  <c r="G96" i="30"/>
  <c r="J96" i="30" s="1"/>
  <c r="O96" i="30" s="1"/>
  <c r="H34" i="21" s="1"/>
  <c r="G99" i="30"/>
  <c r="J99" i="30" s="1"/>
  <c r="O99" i="30" s="1"/>
  <c r="H64" i="21" s="1"/>
  <c r="G97" i="30"/>
  <c r="J97" i="30" s="1"/>
  <c r="O97" i="30" s="1"/>
  <c r="H54" i="21" s="1"/>
  <c r="G94" i="30"/>
  <c r="J94" i="30" s="1"/>
  <c r="O94" i="30" s="1"/>
  <c r="H14" i="21" s="1"/>
  <c r="G93" i="30"/>
  <c r="G95" i="30"/>
  <c r="G98" i="30"/>
  <c r="J98" i="30" s="1"/>
  <c r="O98" i="30" s="1"/>
  <c r="H44" i="21" s="1"/>
  <c r="G101" i="30"/>
  <c r="J101" i="30" s="1"/>
  <c r="O101" i="30" s="1"/>
  <c r="H84" i="21" s="1"/>
  <c r="G100" i="30"/>
  <c r="J100" i="30" s="1"/>
  <c r="O100" i="30" s="1"/>
  <c r="H74" i="21" s="1"/>
  <c r="L82" i="29"/>
  <c r="L77" i="29"/>
  <c r="L81" i="29"/>
  <c r="L79" i="29"/>
  <c r="L78" i="29"/>
  <c r="L80" i="29"/>
  <c r="C33" i="5"/>
  <c r="O120" i="5"/>
  <c r="P121" i="5"/>
  <c r="K122" i="5"/>
  <c r="K123" i="5"/>
  <c r="J123" i="5"/>
  <c r="J122" i="5"/>
  <c r="N125" i="5"/>
  <c r="N137" i="5" s="1"/>
  <c r="D50" i="5" s="1"/>
  <c r="P124" i="5"/>
  <c r="L136" i="5"/>
  <c r="B49" i="5" s="1"/>
  <c r="L125" i="5"/>
  <c r="L137" i="5" s="1"/>
  <c r="B50" i="5" s="1"/>
  <c r="L126" i="5"/>
  <c r="L138" i="5" s="1"/>
  <c r="B52" i="5" s="1"/>
  <c r="I125" i="5"/>
  <c r="I126" i="5"/>
  <c r="L132" i="5"/>
  <c r="B45" i="5" s="1"/>
  <c r="P120" i="5"/>
  <c r="I136" i="5"/>
  <c r="B37" i="5" s="1"/>
  <c r="O124" i="5"/>
  <c r="N122" i="5"/>
  <c r="N134" i="5" s="1"/>
  <c r="D47" i="5" s="1"/>
  <c r="N123" i="5"/>
  <c r="N135" i="5" s="1"/>
  <c r="D48" i="5" s="1"/>
  <c r="I133" i="5"/>
  <c r="B34" i="5" s="1"/>
  <c r="O121" i="5"/>
  <c r="M127" i="5"/>
  <c r="M126" i="5"/>
  <c r="L122" i="5"/>
  <c r="L123" i="5"/>
  <c r="I127" i="5"/>
  <c r="M49" i="28" l="1"/>
  <c r="P49" i="28" s="1"/>
  <c r="U49" i="28" s="1"/>
  <c r="L49" i="28"/>
  <c r="O49" i="28" s="1"/>
  <c r="T49" i="28" s="1"/>
  <c r="K49" i="28"/>
  <c r="N49" i="28" s="1"/>
  <c r="L47" i="28"/>
  <c r="O47" i="28" s="1"/>
  <c r="T47" i="28" s="1"/>
  <c r="M47" i="28"/>
  <c r="P47" i="28" s="1"/>
  <c r="U47" i="28" s="1"/>
  <c r="K47" i="28"/>
  <c r="N47" i="28" s="1"/>
  <c r="S46" i="28"/>
  <c r="Q46" i="28"/>
  <c r="Q48" i="28"/>
  <c r="S48" i="28"/>
  <c r="M45" i="28"/>
  <c r="P45" i="28" s="1"/>
  <c r="U45" i="28" s="1"/>
  <c r="L45" i="28"/>
  <c r="O45" i="28" s="1"/>
  <c r="T45" i="28" s="1"/>
  <c r="K45" i="28"/>
  <c r="N45" i="28" s="1"/>
  <c r="S44" i="28"/>
  <c r="Q44" i="28"/>
  <c r="D34" i="36"/>
  <c r="D35" i="36" s="1"/>
  <c r="E27" i="36"/>
  <c r="D292" i="35"/>
  <c r="Q256" i="35" s="1"/>
  <c r="E141" i="31" s="1"/>
  <c r="D154" i="35"/>
  <c r="D226" i="35" s="1"/>
  <c r="I11" i="29"/>
  <c r="L11" i="29" s="1"/>
  <c r="K11" i="29"/>
  <c r="N11" i="29" s="1"/>
  <c r="S11" i="29" s="1"/>
  <c r="J11" i="29"/>
  <c r="M11" i="29" s="1"/>
  <c r="R11" i="29" s="1"/>
  <c r="P67" i="35"/>
  <c r="D61" i="31" s="1"/>
  <c r="D352" i="35"/>
  <c r="Q265" i="35" s="1"/>
  <c r="E150" i="31" s="1"/>
  <c r="C337" i="35"/>
  <c r="C424" i="35"/>
  <c r="D407" i="35"/>
  <c r="E120" i="31" s="1"/>
  <c r="D120" i="31"/>
  <c r="P254" i="35"/>
  <c r="D139" i="31" s="1"/>
  <c r="D290" i="35"/>
  <c r="C335" i="35"/>
  <c r="D548" i="35"/>
  <c r="C620" i="35"/>
  <c r="P461" i="35"/>
  <c r="D237" i="31" s="1"/>
  <c r="P469" i="35"/>
  <c r="D245" i="31" s="1"/>
  <c r="C629" i="35"/>
  <c r="D557" i="35"/>
  <c r="D607" i="35"/>
  <c r="E211" i="31" s="1"/>
  <c r="D211" i="31"/>
  <c r="D322" i="35"/>
  <c r="E105" i="31" s="1"/>
  <c r="D105" i="31"/>
  <c r="C622" i="35"/>
  <c r="P463" i="35"/>
  <c r="D239" i="31" s="1"/>
  <c r="D550" i="35"/>
  <c r="D558" i="35"/>
  <c r="P470" i="35"/>
  <c r="D246" i="31" s="1"/>
  <c r="C630" i="35"/>
  <c r="D201" i="35"/>
  <c r="E24" i="31" s="1"/>
  <c r="D24" i="31"/>
  <c r="D519" i="35"/>
  <c r="E193" i="31" s="1"/>
  <c r="D193" i="31"/>
  <c r="D295" i="35"/>
  <c r="P259" i="35"/>
  <c r="D144" i="31" s="1"/>
  <c r="C340" i="35"/>
  <c r="D364" i="35"/>
  <c r="C436" i="35"/>
  <c r="P276" i="35"/>
  <c r="D161" i="31" s="1"/>
  <c r="C535" i="35"/>
  <c r="P454" i="35"/>
  <c r="D490" i="35"/>
  <c r="C477" i="35"/>
  <c r="C451" i="35"/>
  <c r="P446" i="35"/>
  <c r="D222" i="31" s="1"/>
  <c r="D447" i="35"/>
  <c r="D605" i="35"/>
  <c r="E209" i="31" s="1"/>
  <c r="D209" i="31"/>
  <c r="D124" i="35"/>
  <c r="E16" i="31" s="1"/>
  <c r="D16" i="31"/>
  <c r="C631" i="35"/>
  <c r="D559" i="35"/>
  <c r="P471" i="35"/>
  <c r="D247" i="31" s="1"/>
  <c r="D448" i="35"/>
  <c r="P447" i="35"/>
  <c r="D223" i="31" s="1"/>
  <c r="C478" i="35"/>
  <c r="D113" i="31"/>
  <c r="D399" i="35"/>
  <c r="E113" i="31" s="1"/>
  <c r="D470" i="35"/>
  <c r="E189" i="31" s="1"/>
  <c r="D189" i="31"/>
  <c r="C533" i="35"/>
  <c r="P452" i="35"/>
  <c r="D228" i="31" s="1"/>
  <c r="D488" i="35"/>
  <c r="D518" i="35"/>
  <c r="E192" i="31" s="1"/>
  <c r="D192" i="31"/>
  <c r="D122" i="35"/>
  <c r="E14" i="31" s="1"/>
  <c r="D14" i="31"/>
  <c r="C433" i="35"/>
  <c r="D361" i="35"/>
  <c r="P273" i="35"/>
  <c r="D158" i="31" s="1"/>
  <c r="D468" i="35"/>
  <c r="E187" i="31" s="1"/>
  <c r="D187" i="31"/>
  <c r="C534" i="35"/>
  <c r="P453" i="35"/>
  <c r="D229" i="31" s="1"/>
  <c r="D489" i="35"/>
  <c r="D520" i="35"/>
  <c r="E194" i="31" s="1"/>
  <c r="D194" i="31"/>
  <c r="D202" i="31"/>
  <c r="D597" i="35"/>
  <c r="E202" i="31" s="1"/>
  <c r="D99" i="31"/>
  <c r="D271" i="35"/>
  <c r="E99" i="31" s="1"/>
  <c r="C224" i="35"/>
  <c r="D152" i="35"/>
  <c r="P65" i="35"/>
  <c r="D59" i="31" s="1"/>
  <c r="D186" i="31"/>
  <c r="C471" i="35"/>
  <c r="D467" i="35"/>
  <c r="D203" i="31"/>
  <c r="D598" i="35"/>
  <c r="E203" i="31" s="1"/>
  <c r="D114" i="31"/>
  <c r="D400" i="35"/>
  <c r="E114" i="31" s="1"/>
  <c r="D15" i="31"/>
  <c r="D123" i="35"/>
  <c r="E15" i="31" s="1"/>
  <c r="D270" i="35"/>
  <c r="E98" i="31" s="1"/>
  <c r="D98" i="31"/>
  <c r="D19" i="31"/>
  <c r="D127" i="35"/>
  <c r="E19" i="31" s="1"/>
  <c r="P263" i="35"/>
  <c r="D148" i="31" s="1"/>
  <c r="D350" i="35"/>
  <c r="D211" i="35"/>
  <c r="E33" i="31" s="1"/>
  <c r="D33" i="31"/>
  <c r="D412" i="35"/>
  <c r="E125" i="31" s="1"/>
  <c r="D125" i="31"/>
  <c r="O122" i="5"/>
  <c r="D457" i="35"/>
  <c r="D461" i="35" s="1"/>
  <c r="C461" i="35"/>
  <c r="D112" i="31"/>
  <c r="D398" i="35"/>
  <c r="E112" i="31" s="1"/>
  <c r="P448" i="35"/>
  <c r="D224" i="31" s="1"/>
  <c r="C479" i="35"/>
  <c r="D449" i="35"/>
  <c r="D409" i="35"/>
  <c r="E122" i="31" s="1"/>
  <c r="D122" i="31"/>
  <c r="D408" i="35"/>
  <c r="E121" i="31" s="1"/>
  <c r="D121" i="31"/>
  <c r="D360" i="35"/>
  <c r="P272" i="35"/>
  <c r="D157" i="31" s="1"/>
  <c r="C432" i="35"/>
  <c r="D321" i="35"/>
  <c r="E104" i="31" s="1"/>
  <c r="D104" i="31"/>
  <c r="D325" i="35"/>
  <c r="E108" i="31" s="1"/>
  <c r="D108" i="31"/>
  <c r="D450" i="35"/>
  <c r="C480" i="35"/>
  <c r="P449" i="35"/>
  <c r="D225" i="31" s="1"/>
  <c r="D562" i="35"/>
  <c r="P474" i="35"/>
  <c r="D250" i="31" s="1"/>
  <c r="C634" i="35"/>
  <c r="D103" i="31"/>
  <c r="D320" i="35"/>
  <c r="E103" i="31" s="1"/>
  <c r="C281" i="35"/>
  <c r="D251" i="35"/>
  <c r="P250" i="35"/>
  <c r="D135" i="31" s="1"/>
  <c r="D493" i="35"/>
  <c r="P457" i="35"/>
  <c r="D233" i="31" s="1"/>
  <c r="C538" i="35"/>
  <c r="D596" i="35"/>
  <c r="E201" i="31" s="1"/>
  <c r="D201" i="31"/>
  <c r="C431" i="35"/>
  <c r="P271" i="35"/>
  <c r="D156" i="31" s="1"/>
  <c r="D359" i="35"/>
  <c r="C273" i="35"/>
  <c r="D269" i="35"/>
  <c r="D97" i="31"/>
  <c r="D188" i="31"/>
  <c r="D469" i="35"/>
  <c r="E188" i="31" s="1"/>
  <c r="D25" i="31"/>
  <c r="D202" i="35"/>
  <c r="E25" i="31" s="1"/>
  <c r="C235" i="35"/>
  <c r="P75" i="35"/>
  <c r="D69" i="31" s="1"/>
  <c r="D163" i="35"/>
  <c r="D606" i="35"/>
  <c r="E210" i="31" s="1"/>
  <c r="D210" i="31"/>
  <c r="P74" i="35"/>
  <c r="D68" i="31" s="1"/>
  <c r="D162" i="35"/>
  <c r="C234" i="35"/>
  <c r="D210" i="35"/>
  <c r="E32" i="31" s="1"/>
  <c r="D32" i="31"/>
  <c r="D214" i="35"/>
  <c r="E36" i="31" s="1"/>
  <c r="D36" i="31"/>
  <c r="D523" i="35"/>
  <c r="E197" i="31" s="1"/>
  <c r="D197" i="31"/>
  <c r="D272" i="35"/>
  <c r="E100" i="31" s="1"/>
  <c r="D100" i="31"/>
  <c r="D161" i="35"/>
  <c r="C233" i="35"/>
  <c r="P73" i="35"/>
  <c r="D67" i="31" s="1"/>
  <c r="C279" i="35"/>
  <c r="D249" i="35"/>
  <c r="P248" i="35"/>
  <c r="D133" i="31" s="1"/>
  <c r="D209" i="35"/>
  <c r="E31" i="31" s="1"/>
  <c r="D31" i="31"/>
  <c r="D23" i="31"/>
  <c r="D200" i="35"/>
  <c r="E23" i="31" s="1"/>
  <c r="P249" i="35"/>
  <c r="D134" i="31" s="1"/>
  <c r="C280" i="35"/>
  <c r="D250" i="35"/>
  <c r="P462" i="35"/>
  <c r="D238" i="31" s="1"/>
  <c r="D549" i="35"/>
  <c r="C621" i="35"/>
  <c r="D610" i="35"/>
  <c r="E214" i="31" s="1"/>
  <c r="D214" i="31"/>
  <c r="C238" i="35"/>
  <c r="P78" i="35"/>
  <c r="D72" i="31" s="1"/>
  <c r="D166" i="35"/>
  <c r="I56" i="29"/>
  <c r="L56" i="29" s="1"/>
  <c r="I57" i="29"/>
  <c r="L57" i="29" s="1"/>
  <c r="Q57" i="29" s="1"/>
  <c r="D227" i="35"/>
  <c r="Q68" i="35"/>
  <c r="E62" i="31" s="1"/>
  <c r="C223" i="35"/>
  <c r="P64" i="35"/>
  <c r="D58" i="31" s="1"/>
  <c r="C225" i="35"/>
  <c r="P66" i="35"/>
  <c r="D60" i="31" s="1"/>
  <c r="D175" i="35"/>
  <c r="D177" i="35"/>
  <c r="P251" i="35"/>
  <c r="D136" i="31" s="1"/>
  <c r="C282" i="35"/>
  <c r="D74" i="35"/>
  <c r="E11" i="31" s="1"/>
  <c r="D11" i="31"/>
  <c r="P247" i="35"/>
  <c r="C278" i="35"/>
  <c r="D72" i="35"/>
  <c r="E9" i="31" s="1"/>
  <c r="D9" i="31"/>
  <c r="P255" i="35"/>
  <c r="D140" i="31" s="1"/>
  <c r="C336" i="35"/>
  <c r="D73" i="35"/>
  <c r="E10" i="31" s="1"/>
  <c r="D10" i="31"/>
  <c r="D425" i="35"/>
  <c r="C423" i="35"/>
  <c r="D147" i="31"/>
  <c r="C421" i="35"/>
  <c r="C438" i="35"/>
  <c r="D375" i="35"/>
  <c r="D94" i="35"/>
  <c r="C139" i="35"/>
  <c r="D92" i="35"/>
  <c r="Q56" i="35" s="1"/>
  <c r="E50" i="31" s="1"/>
  <c r="C137" i="35"/>
  <c r="D51" i="35"/>
  <c r="C81" i="35"/>
  <c r="D71" i="35"/>
  <c r="C75" i="35"/>
  <c r="D52" i="35"/>
  <c r="C82" i="35"/>
  <c r="C84" i="35"/>
  <c r="C83" i="35"/>
  <c r="C80" i="35"/>
  <c r="C55" i="35"/>
  <c r="D53" i="35"/>
  <c r="Q52" i="35" s="1"/>
  <c r="E46" i="31" s="1"/>
  <c r="J86" i="22"/>
  <c r="D86" i="22"/>
  <c r="E86" i="22"/>
  <c r="C86" i="22"/>
  <c r="G86" i="22"/>
  <c r="H86" i="22"/>
  <c r="F86" i="22"/>
  <c r="K86" i="22"/>
  <c r="I86" i="22"/>
  <c r="J103" i="22"/>
  <c r="I103" i="22"/>
  <c r="F103" i="22"/>
  <c r="C103" i="22"/>
  <c r="G103" i="22"/>
  <c r="H103" i="22"/>
  <c r="D103" i="22"/>
  <c r="K103" i="22"/>
  <c r="E103" i="22"/>
  <c r="E99" i="22"/>
  <c r="G99" i="22"/>
  <c r="F99" i="22"/>
  <c r="C99" i="22"/>
  <c r="J99" i="22"/>
  <c r="K99" i="22"/>
  <c r="D99" i="22"/>
  <c r="H99" i="22"/>
  <c r="I99" i="22"/>
  <c r="J116" i="22"/>
  <c r="K116" i="22"/>
  <c r="D116" i="22"/>
  <c r="H116" i="22"/>
  <c r="C116" i="22"/>
  <c r="F116" i="22"/>
  <c r="I116" i="22"/>
  <c r="G116" i="22"/>
  <c r="E116" i="22"/>
  <c r="G104" i="22"/>
  <c r="K104" i="22"/>
  <c r="H104" i="22"/>
  <c r="F104" i="22"/>
  <c r="J104" i="22"/>
  <c r="C104" i="22"/>
  <c r="I104" i="22"/>
  <c r="D104" i="22"/>
  <c r="E104" i="22"/>
  <c r="J117" i="22"/>
  <c r="K117" i="22"/>
  <c r="H117" i="22"/>
  <c r="I117" i="22"/>
  <c r="F117" i="22"/>
  <c r="G117" i="22"/>
  <c r="C117" i="22"/>
  <c r="D117" i="22"/>
  <c r="E117" i="22"/>
  <c r="J90" i="22"/>
  <c r="H90" i="22"/>
  <c r="F90" i="22"/>
  <c r="C90" i="22"/>
  <c r="I90" i="22"/>
  <c r="K90" i="22"/>
  <c r="D90" i="22"/>
  <c r="G90" i="22"/>
  <c r="E90" i="22"/>
  <c r="F87" i="22"/>
  <c r="H87" i="22"/>
  <c r="K87" i="22"/>
  <c r="J87" i="22"/>
  <c r="I87" i="22"/>
  <c r="C87" i="22"/>
  <c r="G87" i="22"/>
  <c r="D87" i="22"/>
  <c r="E87" i="22"/>
  <c r="C163" i="22"/>
  <c r="K163" i="22"/>
  <c r="J163" i="22"/>
  <c r="D163" i="22"/>
  <c r="E163" i="22"/>
  <c r="F163" i="22"/>
  <c r="G163" i="22"/>
  <c r="H163" i="22"/>
  <c r="I163" i="22"/>
  <c r="J134" i="5"/>
  <c r="C35" i="5" s="1"/>
  <c r="G187" i="22"/>
  <c r="F187" i="22"/>
  <c r="H187" i="22"/>
  <c r="I187" i="22"/>
  <c r="J187" i="22"/>
  <c r="C187" i="22"/>
  <c r="K187" i="22"/>
  <c r="D187" i="22"/>
  <c r="E187" i="22"/>
  <c r="J156" i="22"/>
  <c r="K156" i="22"/>
  <c r="D156" i="22"/>
  <c r="E156" i="22"/>
  <c r="F156" i="22"/>
  <c r="I156" i="22"/>
  <c r="G156" i="22"/>
  <c r="H156" i="22"/>
  <c r="K135" i="5"/>
  <c r="D36" i="5" s="1"/>
  <c r="F160" i="22"/>
  <c r="E160" i="22"/>
  <c r="G160" i="22"/>
  <c r="H160" i="22"/>
  <c r="I160" i="22"/>
  <c r="J160" i="22"/>
  <c r="C160" i="22"/>
  <c r="K160" i="22"/>
  <c r="D160" i="22"/>
  <c r="K134" i="5"/>
  <c r="D35" i="5" s="1"/>
  <c r="H171" i="22"/>
  <c r="I171" i="22"/>
  <c r="G171" i="22"/>
  <c r="J171" i="22"/>
  <c r="C171" i="22"/>
  <c r="K171" i="22"/>
  <c r="D171" i="22"/>
  <c r="E171" i="22"/>
  <c r="F171" i="22"/>
  <c r="K139" i="5"/>
  <c r="D41" i="5" s="1"/>
  <c r="I185" i="22"/>
  <c r="H185" i="22"/>
  <c r="J185" i="22"/>
  <c r="C185" i="22"/>
  <c r="K185" i="22"/>
  <c r="D185" i="22"/>
  <c r="E185" i="22"/>
  <c r="F185" i="22"/>
  <c r="G185" i="22"/>
  <c r="J139" i="5"/>
  <c r="C41" i="5" s="1"/>
  <c r="J184" i="22"/>
  <c r="C184" i="22"/>
  <c r="K184" i="22"/>
  <c r="D184" i="22"/>
  <c r="E184" i="22"/>
  <c r="F184" i="22"/>
  <c r="G184" i="22"/>
  <c r="H184" i="22"/>
  <c r="I184" i="22"/>
  <c r="I134" i="5"/>
  <c r="B35" i="5" s="1"/>
  <c r="D190" i="22"/>
  <c r="C190" i="22"/>
  <c r="K190" i="22"/>
  <c r="E190" i="22"/>
  <c r="F190" i="22"/>
  <c r="G190" i="22"/>
  <c r="H190" i="22"/>
  <c r="I190" i="22"/>
  <c r="J190" i="22"/>
  <c r="E161" i="22"/>
  <c r="F161" i="22"/>
  <c r="D161" i="22"/>
  <c r="G161" i="22"/>
  <c r="H161" i="22"/>
  <c r="I161" i="22"/>
  <c r="J161" i="22"/>
  <c r="C161" i="22"/>
  <c r="K161" i="22"/>
  <c r="J135" i="5"/>
  <c r="C36" i="5" s="1"/>
  <c r="K138" i="5"/>
  <c r="D40" i="5" s="1"/>
  <c r="J138" i="5"/>
  <c r="C40" i="5" s="1"/>
  <c r="I24" i="29"/>
  <c r="L24" i="29" s="1"/>
  <c r="C156" i="22"/>
  <c r="Q43" i="29"/>
  <c r="O43" i="29"/>
  <c r="J24" i="29"/>
  <c r="E33" i="29"/>
  <c r="K24" i="29"/>
  <c r="D142" i="35"/>
  <c r="E235" i="31"/>
  <c r="C253" i="35"/>
  <c r="D248" i="35"/>
  <c r="Q247" i="35" s="1"/>
  <c r="E132" i="31" s="1"/>
  <c r="J25" i="29"/>
  <c r="M25" i="29" s="1"/>
  <c r="R25" i="29" s="1"/>
  <c r="K25" i="29"/>
  <c r="N25" i="29" s="1"/>
  <c r="S25" i="29" s="1"/>
  <c r="C334" i="35"/>
  <c r="D289" i="35"/>
  <c r="Q253" i="35" s="1"/>
  <c r="E138" i="31" s="1"/>
  <c r="E227" i="31"/>
  <c r="K57" i="29"/>
  <c r="N57" i="29" s="1"/>
  <c r="S57" i="29" s="1"/>
  <c r="J57" i="29"/>
  <c r="M57" i="29" s="1"/>
  <c r="R57" i="29" s="1"/>
  <c r="Q11" i="29"/>
  <c r="J41" i="29"/>
  <c r="E50" i="29"/>
  <c r="K41" i="29"/>
  <c r="I41" i="29"/>
  <c r="D60" i="35"/>
  <c r="D65" i="35" s="1"/>
  <c r="C65" i="35"/>
  <c r="D151" i="35"/>
  <c r="E65" i="29"/>
  <c r="K56" i="29"/>
  <c r="J56" i="29"/>
  <c r="K42" i="29"/>
  <c r="N42" i="29" s="1"/>
  <c r="S42" i="29" s="1"/>
  <c r="J42" i="29"/>
  <c r="M42" i="29" s="1"/>
  <c r="R42" i="29" s="1"/>
  <c r="I42" i="29"/>
  <c r="L42" i="29" s="1"/>
  <c r="C136" i="35"/>
  <c r="D91" i="35"/>
  <c r="Q55" i="35" s="1"/>
  <c r="E49" i="31" s="1"/>
  <c r="D54" i="35"/>
  <c r="Q53" i="35" s="1"/>
  <c r="E47" i="31" s="1"/>
  <c r="D291" i="35"/>
  <c r="I25" i="29"/>
  <c r="L25" i="29" s="1"/>
  <c r="Q25" i="29" s="1"/>
  <c r="D349" i="35"/>
  <c r="Q262" i="35" s="1"/>
  <c r="D258" i="35"/>
  <c r="D263" i="35" s="1"/>
  <c r="C263" i="35"/>
  <c r="E221" i="31"/>
  <c r="D351" i="35"/>
  <c r="Q264" i="35" s="1"/>
  <c r="E149" i="31" s="1"/>
  <c r="D252" i="35"/>
  <c r="D50" i="35"/>
  <c r="E232" i="31"/>
  <c r="C138" i="35"/>
  <c r="D93" i="35"/>
  <c r="Q57" i="35" s="1"/>
  <c r="E51" i="31" s="1"/>
  <c r="D153" i="35"/>
  <c r="Q30" i="29"/>
  <c r="G222" i="21" s="1"/>
  <c r="O30" i="29"/>
  <c r="Q31" i="29"/>
  <c r="G232" i="21" s="1"/>
  <c r="O31" i="29"/>
  <c r="Q29" i="29"/>
  <c r="G202" i="21" s="1"/>
  <c r="O29" i="29"/>
  <c r="Q94" i="29"/>
  <c r="O94" i="29"/>
  <c r="Q96" i="29"/>
  <c r="O96" i="29"/>
  <c r="Q58" i="29"/>
  <c r="O58" i="29"/>
  <c r="I65" i="29"/>
  <c r="Q62" i="29"/>
  <c r="G142" i="21" s="1"/>
  <c r="O62" i="29"/>
  <c r="Q28" i="29"/>
  <c r="G212" i="21" s="1"/>
  <c r="O28" i="29"/>
  <c r="Q64" i="29"/>
  <c r="G162" i="21" s="1"/>
  <c r="O64" i="29"/>
  <c r="O63" i="29"/>
  <c r="Q63" i="29"/>
  <c r="Q26" i="29"/>
  <c r="O26" i="29"/>
  <c r="Q32" i="29"/>
  <c r="G242" i="21" s="1"/>
  <c r="O32" i="29"/>
  <c r="Q95" i="29"/>
  <c r="O95" i="29"/>
  <c r="L89" i="29"/>
  <c r="I98" i="29"/>
  <c r="Q97" i="29"/>
  <c r="O97" i="29"/>
  <c r="Q92" i="29"/>
  <c r="O92" i="29"/>
  <c r="Q91" i="29"/>
  <c r="O91" i="29"/>
  <c r="Q93" i="29"/>
  <c r="O93" i="29"/>
  <c r="O60" i="29"/>
  <c r="Q60" i="29"/>
  <c r="G132" i="21" s="1"/>
  <c r="O61" i="29"/>
  <c r="Q61" i="29"/>
  <c r="G122" i="21" s="1"/>
  <c r="Q59" i="29"/>
  <c r="G112" i="21" s="1"/>
  <c r="O59" i="29"/>
  <c r="Q27" i="29"/>
  <c r="G192" i="21" s="1"/>
  <c r="O27" i="29"/>
  <c r="K196" i="37"/>
  <c r="K190" i="37"/>
  <c r="C197" i="37"/>
  <c r="C191" i="37"/>
  <c r="G197" i="37"/>
  <c r="G191" i="37"/>
  <c r="F191" i="37"/>
  <c r="F197" i="37"/>
  <c r="I197" i="37"/>
  <c r="I191" i="37"/>
  <c r="J196" i="37"/>
  <c r="J190" i="37"/>
  <c r="J189" i="37"/>
  <c r="J195" i="37"/>
  <c r="E197" i="37"/>
  <c r="E191" i="37"/>
  <c r="C190" i="37"/>
  <c r="C196" i="37"/>
  <c r="H196" i="37"/>
  <c r="H190" i="37"/>
  <c r="D189" i="37"/>
  <c r="D195" i="37"/>
  <c r="D196" i="37"/>
  <c r="D190" i="37"/>
  <c r="E195" i="37"/>
  <c r="E189" i="37"/>
  <c r="K191" i="37"/>
  <c r="K197" i="37"/>
  <c r="I190" i="37"/>
  <c r="I196" i="37"/>
  <c r="C195" i="37"/>
  <c r="C189" i="37"/>
  <c r="Q90" i="29"/>
  <c r="N62" i="30"/>
  <c r="L62" i="30"/>
  <c r="N33" i="30"/>
  <c r="L33" i="30"/>
  <c r="N12" i="30"/>
  <c r="L12" i="30"/>
  <c r="N10" i="30"/>
  <c r="L10" i="30"/>
  <c r="N30" i="30"/>
  <c r="L30" i="30"/>
  <c r="N66" i="30"/>
  <c r="L66" i="30"/>
  <c r="N47" i="30"/>
  <c r="L47" i="30"/>
  <c r="N64" i="30"/>
  <c r="L64" i="30"/>
  <c r="N26" i="30"/>
  <c r="L26" i="30"/>
  <c r="N15" i="30"/>
  <c r="L15" i="30"/>
  <c r="N51" i="30"/>
  <c r="L51" i="30"/>
  <c r="N60" i="30"/>
  <c r="L60" i="30"/>
  <c r="N65" i="30"/>
  <c r="L65" i="30"/>
  <c r="N50" i="30"/>
  <c r="G154" i="21" s="1"/>
  <c r="L50" i="30"/>
  <c r="N32" i="30"/>
  <c r="L32" i="30"/>
  <c r="N28" i="30"/>
  <c r="L28" i="30"/>
  <c r="N61" i="30"/>
  <c r="L61" i="30"/>
  <c r="N13" i="30"/>
  <c r="L13" i="30"/>
  <c r="N49" i="30"/>
  <c r="L49" i="30"/>
  <c r="N63" i="30"/>
  <c r="L63" i="30"/>
  <c r="N29" i="30"/>
  <c r="L29" i="30"/>
  <c r="N48" i="30"/>
  <c r="L48" i="30"/>
  <c r="N45" i="30"/>
  <c r="L45" i="30"/>
  <c r="N67" i="30"/>
  <c r="L67" i="30"/>
  <c r="N31" i="30"/>
  <c r="L31" i="30"/>
  <c r="N16" i="30"/>
  <c r="L16" i="30"/>
  <c r="N46" i="30"/>
  <c r="L46" i="30"/>
  <c r="N17" i="30"/>
  <c r="L17" i="30"/>
  <c r="N44" i="30"/>
  <c r="L44" i="30"/>
  <c r="N14" i="30"/>
  <c r="L14" i="30"/>
  <c r="L84" i="30"/>
  <c r="N84" i="30"/>
  <c r="G74" i="21" s="1"/>
  <c r="L78" i="30"/>
  <c r="N78" i="30"/>
  <c r="G14" i="21" s="1"/>
  <c r="L80" i="30"/>
  <c r="N80" i="30"/>
  <c r="G34" i="21" s="1"/>
  <c r="L83" i="30"/>
  <c r="N83" i="30"/>
  <c r="G64" i="21" s="1"/>
  <c r="L85" i="30"/>
  <c r="N85" i="30"/>
  <c r="G84" i="21" s="1"/>
  <c r="L82" i="30"/>
  <c r="N82" i="30"/>
  <c r="G44" i="21" s="1"/>
  <c r="L81" i="30"/>
  <c r="N81" i="30"/>
  <c r="G54" i="21" s="1"/>
  <c r="I201" i="21"/>
  <c r="H231" i="21"/>
  <c r="P125" i="5"/>
  <c r="I221" i="21"/>
  <c r="I211" i="21"/>
  <c r="L101" i="30"/>
  <c r="L99" i="30"/>
  <c r="I241" i="21"/>
  <c r="L96" i="30"/>
  <c r="I171" i="21"/>
  <c r="L98" i="30"/>
  <c r="O80" i="29"/>
  <c r="Q80" i="29"/>
  <c r="O77" i="29"/>
  <c r="Q77" i="29"/>
  <c r="I191" i="21"/>
  <c r="Q78" i="29"/>
  <c r="O78" i="29"/>
  <c r="O79" i="29"/>
  <c r="Q79" i="29"/>
  <c r="G152" i="21"/>
  <c r="L97" i="30"/>
  <c r="I231" i="21"/>
  <c r="L94" i="30"/>
  <c r="Q82" i="29"/>
  <c r="O82" i="29"/>
  <c r="Q81" i="29"/>
  <c r="O81" i="29"/>
  <c r="L100" i="30"/>
  <c r="N26" i="21"/>
  <c r="N106" i="21"/>
  <c r="O123" i="5"/>
  <c r="I135" i="5"/>
  <c r="B36" i="5" s="1"/>
  <c r="O126" i="5"/>
  <c r="I138" i="5"/>
  <c r="B40" i="5" s="1"/>
  <c r="M138" i="5"/>
  <c r="C52" i="5" s="1"/>
  <c r="P126" i="5"/>
  <c r="I139" i="5"/>
  <c r="B41" i="5" s="1"/>
  <c r="O127" i="5"/>
  <c r="M139" i="5"/>
  <c r="C53" i="5" s="1"/>
  <c r="P127" i="5"/>
  <c r="I137" i="5"/>
  <c r="B38" i="5" s="1"/>
  <c r="O125" i="5"/>
  <c r="L135" i="5"/>
  <c r="B48" i="5" s="1"/>
  <c r="P123" i="5"/>
  <c r="L134" i="5"/>
  <c r="B47" i="5" s="1"/>
  <c r="P122" i="5"/>
  <c r="H92" i="21" l="1"/>
  <c r="G32" i="21"/>
  <c r="G72" i="21"/>
  <c r="O11" i="29"/>
  <c r="S47" i="28"/>
  <c r="Q47" i="28"/>
  <c r="Q45" i="28"/>
  <c r="S45" i="28"/>
  <c r="S49" i="28"/>
  <c r="Q49" i="28"/>
  <c r="F41" i="28"/>
  <c r="E34" i="36"/>
  <c r="D337" i="35"/>
  <c r="Q67" i="35"/>
  <c r="E61" i="31" s="1"/>
  <c r="Q64" i="35"/>
  <c r="E58" i="31" s="1"/>
  <c r="D424" i="35"/>
  <c r="I33" i="29"/>
  <c r="D233" i="35"/>
  <c r="Q73" i="35"/>
  <c r="E67" i="31" s="1"/>
  <c r="D431" i="35"/>
  <c r="Q271" i="35"/>
  <c r="E156" i="31" s="1"/>
  <c r="Q462" i="35"/>
  <c r="E238" i="31" s="1"/>
  <c r="D621" i="35"/>
  <c r="D234" i="35"/>
  <c r="Q74" i="35"/>
  <c r="E68" i="31" s="1"/>
  <c r="D480" i="35"/>
  <c r="Q449" i="35"/>
  <c r="E225" i="31" s="1"/>
  <c r="Q276" i="35"/>
  <c r="E161" i="31" s="1"/>
  <c r="D436" i="35"/>
  <c r="D620" i="35"/>
  <c r="Q461" i="35"/>
  <c r="E237" i="31" s="1"/>
  <c r="D478" i="35"/>
  <c r="Q447" i="35"/>
  <c r="E223" i="31" s="1"/>
  <c r="Q263" i="35"/>
  <c r="E148" i="31" s="1"/>
  <c r="D422" i="35"/>
  <c r="D224" i="35"/>
  <c r="Q65" i="35"/>
  <c r="E59" i="31" s="1"/>
  <c r="Q453" i="35"/>
  <c r="E229" i="31" s="1"/>
  <c r="D534" i="35"/>
  <c r="Q471" i="35"/>
  <c r="E247" i="31" s="1"/>
  <c r="D631" i="35"/>
  <c r="D432" i="35"/>
  <c r="Q272" i="35"/>
  <c r="E157" i="31" s="1"/>
  <c r="Q273" i="35"/>
  <c r="E158" i="31" s="1"/>
  <c r="D433" i="35"/>
  <c r="D451" i="35"/>
  <c r="Q446" i="35"/>
  <c r="E222" i="31" s="1"/>
  <c r="D477" i="35"/>
  <c r="D238" i="35"/>
  <c r="Q78" i="35"/>
  <c r="E72" i="31" s="1"/>
  <c r="Q249" i="35"/>
  <c r="E134" i="31" s="1"/>
  <c r="D280" i="35"/>
  <c r="Q248" i="35"/>
  <c r="E133" i="31" s="1"/>
  <c r="D279" i="35"/>
  <c r="C481" i="35"/>
  <c r="C35" i="35" s="1"/>
  <c r="D630" i="35"/>
  <c r="Q470" i="35"/>
  <c r="E246" i="31" s="1"/>
  <c r="Q469" i="35"/>
  <c r="E245" i="31" s="1"/>
  <c r="D629" i="35"/>
  <c r="Q254" i="35"/>
  <c r="E139" i="31" s="1"/>
  <c r="D335" i="35"/>
  <c r="Q250" i="35"/>
  <c r="E135" i="31" s="1"/>
  <c r="D281" i="35"/>
  <c r="Q454" i="35"/>
  <c r="D535" i="35"/>
  <c r="Q259" i="35"/>
  <c r="E144" i="31" s="1"/>
  <c r="D340" i="35"/>
  <c r="D622" i="35"/>
  <c r="Q463" i="35"/>
  <c r="E239" i="31" s="1"/>
  <c r="Q75" i="35"/>
  <c r="E69" i="31" s="1"/>
  <c r="D235" i="35"/>
  <c r="E97" i="31"/>
  <c r="D273" i="35"/>
  <c r="D479" i="35"/>
  <c r="Q448" i="35"/>
  <c r="E224" i="31" s="1"/>
  <c r="D538" i="35"/>
  <c r="Q457" i="35"/>
  <c r="E233" i="31" s="1"/>
  <c r="D634" i="35"/>
  <c r="Q474" i="35"/>
  <c r="E250" i="31" s="1"/>
  <c r="E186" i="31"/>
  <c r="D471" i="35"/>
  <c r="D533" i="35"/>
  <c r="Q452" i="35"/>
  <c r="E228" i="31" s="1"/>
  <c r="D225" i="35"/>
  <c r="Q66" i="35"/>
  <c r="E60" i="31" s="1"/>
  <c r="G62" i="21"/>
  <c r="Q255" i="35"/>
  <c r="E140" i="31" s="1"/>
  <c r="D336" i="35"/>
  <c r="Q251" i="35"/>
  <c r="E136" i="31" s="1"/>
  <c r="D282" i="35"/>
  <c r="D75" i="35"/>
  <c r="E8" i="31"/>
  <c r="D423" i="35"/>
  <c r="D438" i="35"/>
  <c r="D421" i="35"/>
  <c r="E147" i="31"/>
  <c r="D223" i="35"/>
  <c r="D81" i="35"/>
  <c r="Q50" i="35"/>
  <c r="E44" i="31" s="1"/>
  <c r="D278" i="35"/>
  <c r="D82" i="35"/>
  <c r="Q51" i="35"/>
  <c r="E45" i="31" s="1"/>
  <c r="D139" i="35"/>
  <c r="Q58" i="35"/>
  <c r="E52" i="31" s="1"/>
  <c r="D137" i="35"/>
  <c r="D80" i="35"/>
  <c r="Q49" i="35"/>
  <c r="E43" i="31" s="1"/>
  <c r="D84" i="35"/>
  <c r="D83" i="35"/>
  <c r="G42" i="21"/>
  <c r="D89" i="22"/>
  <c r="K89" i="22"/>
  <c r="C89" i="22"/>
  <c r="H89" i="22"/>
  <c r="G89" i="22"/>
  <c r="I89" i="22"/>
  <c r="J89" i="22"/>
  <c r="F89" i="22"/>
  <c r="E89" i="22"/>
  <c r="C114" i="22"/>
  <c r="H114" i="22"/>
  <c r="K114" i="22"/>
  <c r="G114" i="22"/>
  <c r="I114" i="22"/>
  <c r="J114" i="22"/>
  <c r="D114" i="22"/>
  <c r="F114" i="22"/>
  <c r="E114" i="22"/>
  <c r="J91" i="22"/>
  <c r="I91" i="22"/>
  <c r="C91" i="22"/>
  <c r="F91" i="22"/>
  <c r="G91" i="22"/>
  <c r="K91" i="22"/>
  <c r="H91" i="22"/>
  <c r="E91" i="22"/>
  <c r="D91" i="22"/>
  <c r="H88" i="22"/>
  <c r="I88" i="22"/>
  <c r="G88" i="22"/>
  <c r="C88" i="22"/>
  <c r="K88" i="22"/>
  <c r="J88" i="22"/>
  <c r="D88" i="22"/>
  <c r="E88" i="22"/>
  <c r="F88" i="22"/>
  <c r="I115" i="22"/>
  <c r="D115" i="22"/>
  <c r="C115" i="22"/>
  <c r="K115" i="22"/>
  <c r="J115" i="22"/>
  <c r="G115" i="22"/>
  <c r="H115" i="22"/>
  <c r="F115" i="22"/>
  <c r="E115" i="22"/>
  <c r="C94" i="22"/>
  <c r="J94" i="22"/>
  <c r="I94" i="22"/>
  <c r="D94" i="22"/>
  <c r="H94" i="22"/>
  <c r="E94" i="22"/>
  <c r="G94" i="22"/>
  <c r="F94" i="22"/>
  <c r="K94" i="22"/>
  <c r="C107" i="22"/>
  <c r="H107" i="22"/>
  <c r="J107" i="22"/>
  <c r="K107" i="22"/>
  <c r="G107" i="22"/>
  <c r="I107" i="22"/>
  <c r="F107" i="22"/>
  <c r="D107" i="22"/>
  <c r="E107" i="22"/>
  <c r="C101" i="22"/>
  <c r="G101" i="22"/>
  <c r="J101" i="22"/>
  <c r="H101" i="22"/>
  <c r="K101" i="22"/>
  <c r="I101" i="22"/>
  <c r="D101" i="22"/>
  <c r="F101" i="22"/>
  <c r="E101" i="22"/>
  <c r="C106" i="22"/>
  <c r="D106" i="22"/>
  <c r="I106" i="22"/>
  <c r="F106" i="22"/>
  <c r="K106" i="22"/>
  <c r="H106" i="22"/>
  <c r="J106" i="22"/>
  <c r="G106" i="22"/>
  <c r="E106" i="22"/>
  <c r="J119" i="22"/>
  <c r="C119" i="22"/>
  <c r="D119" i="22"/>
  <c r="H119" i="22"/>
  <c r="I119" i="22"/>
  <c r="F119" i="22"/>
  <c r="G119" i="22"/>
  <c r="K119" i="22"/>
  <c r="E119" i="22"/>
  <c r="C120" i="22"/>
  <c r="D120" i="22"/>
  <c r="J120" i="22"/>
  <c r="H120" i="22"/>
  <c r="I120" i="22"/>
  <c r="F120" i="22"/>
  <c r="G120" i="22"/>
  <c r="K120" i="22"/>
  <c r="E120" i="22"/>
  <c r="G93" i="22"/>
  <c r="D93" i="22"/>
  <c r="K93" i="22"/>
  <c r="J93" i="22"/>
  <c r="C93" i="22"/>
  <c r="F93" i="22"/>
  <c r="I93" i="22"/>
  <c r="H93" i="22"/>
  <c r="E93" i="22"/>
  <c r="H102" i="22"/>
  <c r="G102" i="22"/>
  <c r="K102" i="22"/>
  <c r="C102" i="22"/>
  <c r="I102" i="22"/>
  <c r="J102" i="22"/>
  <c r="D102" i="22"/>
  <c r="F102" i="22"/>
  <c r="E102" i="22"/>
  <c r="G82" i="21"/>
  <c r="G159" i="22"/>
  <c r="H159" i="22"/>
  <c r="F159" i="22"/>
  <c r="I159" i="22"/>
  <c r="J159" i="22"/>
  <c r="C159" i="22"/>
  <c r="K159" i="22"/>
  <c r="D159" i="22"/>
  <c r="E159" i="22"/>
  <c r="H158" i="22"/>
  <c r="G158" i="22"/>
  <c r="I158" i="22"/>
  <c r="J158" i="22"/>
  <c r="C158" i="22"/>
  <c r="K158" i="22"/>
  <c r="D158" i="22"/>
  <c r="E158" i="22"/>
  <c r="F158" i="22"/>
  <c r="C176" i="22"/>
  <c r="K176" i="22"/>
  <c r="D176" i="22"/>
  <c r="J176" i="22"/>
  <c r="E176" i="22"/>
  <c r="F176" i="22"/>
  <c r="G176" i="22"/>
  <c r="H176" i="22"/>
  <c r="I176" i="22"/>
  <c r="J177" i="22"/>
  <c r="C177" i="22"/>
  <c r="K177" i="22"/>
  <c r="I177" i="22"/>
  <c r="D177" i="22"/>
  <c r="E177" i="22"/>
  <c r="F177" i="22"/>
  <c r="G177" i="22"/>
  <c r="H177" i="22"/>
  <c r="G52" i="21"/>
  <c r="O57" i="29"/>
  <c r="C85" i="35"/>
  <c r="O25" i="29"/>
  <c r="D55" i="35"/>
  <c r="D253" i="35"/>
  <c r="D43" i="31"/>
  <c r="D138" i="35"/>
  <c r="O42" i="29"/>
  <c r="Q42" i="29"/>
  <c r="G92" i="21" s="1"/>
  <c r="D334" i="35"/>
  <c r="M56" i="29"/>
  <c r="J65" i="29"/>
  <c r="D132" i="31"/>
  <c r="N56" i="29"/>
  <c r="K65" i="29"/>
  <c r="L41" i="29"/>
  <c r="I50" i="29"/>
  <c r="C283" i="35"/>
  <c r="N41" i="29"/>
  <c r="K50" i="29"/>
  <c r="N24" i="29"/>
  <c r="K33" i="29"/>
  <c r="D136" i="35"/>
  <c r="M41" i="29"/>
  <c r="J50" i="29"/>
  <c r="J33" i="29"/>
  <c r="M24" i="29"/>
  <c r="L33" i="29"/>
  <c r="Q24" i="29"/>
  <c r="Q56" i="29"/>
  <c r="L65" i="29"/>
  <c r="L98" i="29"/>
  <c r="O98" i="29" s="1"/>
  <c r="O89" i="29"/>
  <c r="E192" i="37"/>
  <c r="D9" i="37" s="1"/>
  <c r="E76" i="28" s="1"/>
  <c r="G76" i="28" s="1"/>
  <c r="E198" i="37"/>
  <c r="C198" i="37"/>
  <c r="C7" i="37" s="1"/>
  <c r="C192" i="37"/>
  <c r="D7" i="37" s="1"/>
  <c r="L175" i="37"/>
  <c r="L176" i="37"/>
  <c r="J191" i="37"/>
  <c r="J192" i="37" s="1"/>
  <c r="D14" i="37" s="1"/>
  <c r="E81" i="28" s="1"/>
  <c r="G81" i="28" s="1"/>
  <c r="J197" i="37"/>
  <c r="J198" i="37" s="1"/>
  <c r="C14" i="37" s="1"/>
  <c r="E96" i="28" s="1"/>
  <c r="F43" i="14" s="1"/>
  <c r="L177" i="37"/>
  <c r="G195" i="37"/>
  <c r="G189" i="37"/>
  <c r="H189" i="37"/>
  <c r="H195" i="37"/>
  <c r="I195" i="37"/>
  <c r="I198" i="37" s="1"/>
  <c r="C13" i="37" s="1"/>
  <c r="E95" i="28" s="1"/>
  <c r="F42" i="14" s="1"/>
  <c r="I189" i="37"/>
  <c r="I192" i="37" s="1"/>
  <c r="D13" i="37" s="1"/>
  <c r="E80" i="28" s="1"/>
  <c r="G80" i="28" s="1"/>
  <c r="F189" i="37"/>
  <c r="F195" i="37"/>
  <c r="G190" i="37"/>
  <c r="G196" i="37"/>
  <c r="H191" i="37"/>
  <c r="H197" i="37"/>
  <c r="F196" i="37"/>
  <c r="F190" i="37"/>
  <c r="K195" i="37"/>
  <c r="K198" i="37" s="1"/>
  <c r="K189" i="37"/>
  <c r="K192" i="37" s="1"/>
  <c r="D191" i="37"/>
  <c r="D192" i="37" s="1"/>
  <c r="D8" i="37" s="1"/>
  <c r="E75" i="28" s="1"/>
  <c r="G75" i="28" s="1"/>
  <c r="D197" i="37"/>
  <c r="D198" i="37" s="1"/>
  <c r="C8" i="37" s="1"/>
  <c r="E90" i="28" s="1"/>
  <c r="F37" i="14" s="1"/>
  <c r="G124" i="21"/>
  <c r="Q89" i="29"/>
  <c r="R97" i="29"/>
  <c r="H82" i="21" s="1"/>
  <c r="S94" i="29"/>
  <c r="I42" i="21" s="1"/>
  <c r="G244" i="21"/>
  <c r="G214" i="21"/>
  <c r="G204" i="21"/>
  <c r="G164" i="21"/>
  <c r="G234" i="21"/>
  <c r="D32" i="9"/>
  <c r="D21" i="9"/>
  <c r="G94" i="21"/>
  <c r="N202" i="21"/>
  <c r="N54" i="21"/>
  <c r="N232" i="21"/>
  <c r="N34" i="21"/>
  <c r="N192" i="21"/>
  <c r="N44" i="21"/>
  <c r="N154" i="21"/>
  <c r="N222" i="21"/>
  <c r="N242" i="21"/>
  <c r="N84" i="21"/>
  <c r="N74" i="21"/>
  <c r="N212" i="21"/>
  <c r="N64" i="21"/>
  <c r="G144" i="21"/>
  <c r="G174" i="21"/>
  <c r="G134" i="21"/>
  <c r="G194" i="21"/>
  <c r="G224" i="21"/>
  <c r="G114" i="21"/>
  <c r="N231" i="21"/>
  <c r="H171" i="21"/>
  <c r="H241" i="21"/>
  <c r="H191" i="21"/>
  <c r="H201" i="21"/>
  <c r="H211" i="21"/>
  <c r="H221" i="21"/>
  <c r="L76" i="29"/>
  <c r="R94" i="29" s="1"/>
  <c r="H42" i="21" s="1"/>
  <c r="I92" i="21"/>
  <c r="N112" i="21"/>
  <c r="N156" i="21"/>
  <c r="N146" i="21"/>
  <c r="N36" i="21"/>
  <c r="N142" i="21"/>
  <c r="N126" i="21"/>
  <c r="N166" i="21"/>
  <c r="N162" i="21"/>
  <c r="N116" i="21"/>
  <c r="N56" i="21"/>
  <c r="N152" i="21"/>
  <c r="N132" i="21"/>
  <c r="N122" i="21"/>
  <c r="N46" i="21"/>
  <c r="N136" i="21"/>
  <c r="N86" i="21"/>
  <c r="N66" i="21"/>
  <c r="F50" i="28" l="1"/>
  <c r="G50" i="28" s="1"/>
  <c r="G41" i="28"/>
  <c r="F42" i="28"/>
  <c r="G42" i="28" s="1"/>
  <c r="G22" i="14"/>
  <c r="F35" i="35"/>
  <c r="G8" i="14"/>
  <c r="I35" i="35"/>
  <c r="G36" i="14"/>
  <c r="I36" i="14" s="1"/>
  <c r="D481" i="35"/>
  <c r="C36" i="35" s="1"/>
  <c r="I108" i="22"/>
  <c r="F132" i="22" s="1"/>
  <c r="I132" i="22" s="1"/>
  <c r="O132" i="22" s="1"/>
  <c r="H138" i="21" s="1"/>
  <c r="C9" i="37"/>
  <c r="E91" i="28" s="1"/>
  <c r="N204" i="21"/>
  <c r="N214" i="21"/>
  <c r="N244" i="21"/>
  <c r="N234" i="21"/>
  <c r="N164" i="21"/>
  <c r="N124" i="21"/>
  <c r="M81" i="28"/>
  <c r="P81" i="28" s="1"/>
  <c r="U81" i="28" s="1"/>
  <c r="L81" i="28"/>
  <c r="O81" i="28" s="1"/>
  <c r="T81" i="28" s="1"/>
  <c r="K81" i="28"/>
  <c r="N81" i="28" s="1"/>
  <c r="J96" i="28"/>
  <c r="T96" i="28" s="1"/>
  <c r="K96" i="28"/>
  <c r="U96" i="28" s="1"/>
  <c r="I96" i="28"/>
  <c r="L80" i="28"/>
  <c r="O80" i="28" s="1"/>
  <c r="T80" i="28" s="1"/>
  <c r="M80" i="28"/>
  <c r="P80" i="28" s="1"/>
  <c r="U80" i="28" s="1"/>
  <c r="K80" i="28"/>
  <c r="N80" i="28" s="1"/>
  <c r="S80" i="28" s="1"/>
  <c r="E74" i="28"/>
  <c r="G74" i="28" s="1"/>
  <c r="J90" i="28"/>
  <c r="T90" i="28" s="1"/>
  <c r="K90" i="28"/>
  <c r="U90" i="28" s="1"/>
  <c r="I90" i="28"/>
  <c r="E89" i="28"/>
  <c r="F36" i="14" s="1"/>
  <c r="I95" i="28"/>
  <c r="K95" i="28"/>
  <c r="U95" i="28" s="1"/>
  <c r="J95" i="28"/>
  <c r="T95" i="28" s="1"/>
  <c r="L75" i="28"/>
  <c r="O75" i="28" s="1"/>
  <c r="T75" i="28" s="1"/>
  <c r="K75" i="28"/>
  <c r="N75" i="28" s="1"/>
  <c r="S75" i="28" s="1"/>
  <c r="M75" i="28"/>
  <c r="P75" i="28" s="1"/>
  <c r="U75" i="28" s="1"/>
  <c r="M76" i="28"/>
  <c r="P76" i="28" s="1"/>
  <c r="U76" i="28" s="1"/>
  <c r="L76" i="28"/>
  <c r="O76" i="28" s="1"/>
  <c r="T76" i="28" s="1"/>
  <c r="K76" i="28"/>
  <c r="N76" i="28" s="1"/>
  <c r="S76" i="28" s="1"/>
  <c r="I121" i="22"/>
  <c r="G132" i="22" s="1"/>
  <c r="J132" i="22" s="1"/>
  <c r="P132" i="22" s="1"/>
  <c r="I138" i="21" s="1"/>
  <c r="O56" i="29"/>
  <c r="D85" i="35"/>
  <c r="R56" i="29"/>
  <c r="M65" i="29"/>
  <c r="S24" i="29"/>
  <c r="N33" i="29"/>
  <c r="R24" i="29"/>
  <c r="M33" i="29"/>
  <c r="L50" i="29"/>
  <c r="O41" i="29"/>
  <c r="Q41" i="29"/>
  <c r="D283" i="35"/>
  <c r="O24" i="29"/>
  <c r="M50" i="29"/>
  <c r="R41" i="29"/>
  <c r="S41" i="29"/>
  <c r="N50" i="29"/>
  <c r="N65" i="29"/>
  <c r="S56" i="29"/>
  <c r="D6" i="37"/>
  <c r="E73" i="28" s="1"/>
  <c r="C6" i="37"/>
  <c r="E88" i="28" s="1"/>
  <c r="F35" i="14" s="1"/>
  <c r="F198" i="37"/>
  <c r="C10" i="37" s="1"/>
  <c r="E92" i="28" s="1"/>
  <c r="F39" i="14" s="1"/>
  <c r="H198" i="37"/>
  <c r="C12" i="37" s="1"/>
  <c r="E94" i="28" s="1"/>
  <c r="F41" i="14" s="1"/>
  <c r="G198" i="37"/>
  <c r="C11" i="37" s="1"/>
  <c r="E93" i="28" s="1"/>
  <c r="F40" i="14" s="1"/>
  <c r="F192" i="37"/>
  <c r="D10" i="37" s="1"/>
  <c r="E77" i="28" s="1"/>
  <c r="G77" i="28" s="1"/>
  <c r="H192" i="37"/>
  <c r="D12" i="37" s="1"/>
  <c r="E79" i="28" s="1"/>
  <c r="G79" i="28" s="1"/>
  <c r="G192" i="37"/>
  <c r="D11" i="37" s="1"/>
  <c r="E78" i="28" s="1"/>
  <c r="G78" i="28" s="1"/>
  <c r="N42" i="21"/>
  <c r="N76" i="29"/>
  <c r="R93" i="29"/>
  <c r="H52" i="21" s="1"/>
  <c r="M76" i="29"/>
  <c r="R92" i="29"/>
  <c r="H32" i="21" s="1"/>
  <c r="R90" i="29"/>
  <c r="J32" i="9"/>
  <c r="G21" i="9"/>
  <c r="N201" i="21"/>
  <c r="G32" i="9"/>
  <c r="I21" i="9"/>
  <c r="F32" i="9"/>
  <c r="F21" i="9"/>
  <c r="N241" i="21"/>
  <c r="E21" i="9"/>
  <c r="H32" i="9"/>
  <c r="J21" i="9"/>
  <c r="E32" i="9"/>
  <c r="H21" i="9"/>
  <c r="N211" i="21"/>
  <c r="N191" i="21"/>
  <c r="N171" i="21"/>
  <c r="N221" i="21"/>
  <c r="N94" i="21"/>
  <c r="N174" i="21"/>
  <c r="H31" i="9"/>
  <c r="N144" i="21"/>
  <c r="J8" i="9"/>
  <c r="I8" i="9"/>
  <c r="H19" i="9"/>
  <c r="G8" i="9"/>
  <c r="F31" i="9"/>
  <c r="N114" i="21"/>
  <c r="J9" i="9"/>
  <c r="H8" i="9"/>
  <c r="N224" i="21"/>
  <c r="F8" i="9"/>
  <c r="G19" i="9"/>
  <c r="F19" i="9"/>
  <c r="J19" i="9"/>
  <c r="I19" i="9"/>
  <c r="N194" i="21"/>
  <c r="J31" i="9"/>
  <c r="E8" i="9"/>
  <c r="N134" i="21"/>
  <c r="I20" i="9"/>
  <c r="E19" i="9"/>
  <c r="I31" i="9"/>
  <c r="E31" i="9"/>
  <c r="G31" i="9"/>
  <c r="G141" i="21"/>
  <c r="I181" i="21"/>
  <c r="H181" i="21"/>
  <c r="I95" i="22"/>
  <c r="E132" i="22" s="1"/>
  <c r="H132" i="22" s="1"/>
  <c r="C108" i="22"/>
  <c r="F127" i="22" s="1"/>
  <c r="I127" i="22" s="1"/>
  <c r="C121" i="22"/>
  <c r="G127" i="22" s="1"/>
  <c r="J127" i="22" s="1"/>
  <c r="P127" i="22" s="1"/>
  <c r="I88" i="21" s="1"/>
  <c r="I111" i="21"/>
  <c r="C95" i="22"/>
  <c r="E127" i="22" s="1"/>
  <c r="H127" i="22" s="1"/>
  <c r="N127" i="22" s="1"/>
  <c r="G88" i="21" s="1"/>
  <c r="H151" i="21"/>
  <c r="I151" i="21"/>
  <c r="I141" i="21"/>
  <c r="G111" i="21"/>
  <c r="Q76" i="29"/>
  <c r="G91" i="21"/>
  <c r="H91" i="21"/>
  <c r="I110" i="21"/>
  <c r="I140" i="21"/>
  <c r="I131" i="21"/>
  <c r="H131" i="21"/>
  <c r="I91" i="21"/>
  <c r="H141" i="21"/>
  <c r="I121" i="21"/>
  <c r="H111" i="21"/>
  <c r="H110" i="21"/>
  <c r="H121" i="21"/>
  <c r="H140" i="21"/>
  <c r="I161" i="21"/>
  <c r="H161" i="21"/>
  <c r="I130" i="21"/>
  <c r="H130" i="21"/>
  <c r="N9" i="21"/>
  <c r="N69" i="21"/>
  <c r="N129" i="21"/>
  <c r="N149" i="21"/>
  <c r="N29" i="21"/>
  <c r="N119" i="21"/>
  <c r="N59" i="21"/>
  <c r="N159" i="21"/>
  <c r="N109" i="21"/>
  <c r="N79" i="21"/>
  <c r="N139" i="21"/>
  <c r="N39" i="21"/>
  <c r="F121" i="22"/>
  <c r="G129" i="22" s="1"/>
  <c r="J129" i="22" s="1"/>
  <c r="P129" i="22" s="1"/>
  <c r="I108" i="21" s="1"/>
  <c r="F95" i="22"/>
  <c r="E129" i="22" s="1"/>
  <c r="H129" i="22" s="1"/>
  <c r="N129" i="22" s="1"/>
  <c r="G108" i="21" s="1"/>
  <c r="F108" i="22"/>
  <c r="F129" i="22" s="1"/>
  <c r="I129" i="22" s="1"/>
  <c r="O129" i="22" s="1"/>
  <c r="H108" i="21" s="1"/>
  <c r="E108" i="22"/>
  <c r="F126" i="22" s="1"/>
  <c r="I126" i="22" s="1"/>
  <c r="O126" i="22" s="1"/>
  <c r="H98" i="21" s="1"/>
  <c r="G191" i="22"/>
  <c r="G200" i="22" s="1"/>
  <c r="J200" i="22" s="1"/>
  <c r="P200" i="22" s="1"/>
  <c r="I48" i="21" s="1"/>
  <c r="D121" i="22"/>
  <c r="G128" i="22" s="1"/>
  <c r="J128" i="22" s="1"/>
  <c r="P128" i="22" s="1"/>
  <c r="D108" i="22"/>
  <c r="F128" i="22" s="1"/>
  <c r="I128" i="22" s="1"/>
  <c r="O128" i="22" s="1"/>
  <c r="D95" i="22"/>
  <c r="G165" i="22"/>
  <c r="E200" i="22" s="1"/>
  <c r="G178" i="22"/>
  <c r="F200" i="22" s="1"/>
  <c r="I200" i="22" s="1"/>
  <c r="E121" i="22"/>
  <c r="G126" i="22" s="1"/>
  <c r="H178" i="22"/>
  <c r="F201" i="22" s="1"/>
  <c r="I201" i="22" s="1"/>
  <c r="O201" i="22" s="1"/>
  <c r="H38" i="21" s="1"/>
  <c r="H165" i="22"/>
  <c r="E201" i="22" s="1"/>
  <c r="H191" i="22"/>
  <c r="G201" i="22" s="1"/>
  <c r="J201" i="22" s="1"/>
  <c r="P201" i="22" s="1"/>
  <c r="I38" i="21" s="1"/>
  <c r="J108" i="22"/>
  <c r="E191" i="22"/>
  <c r="D165" i="22"/>
  <c r="D191" i="22"/>
  <c r="G198" i="22" s="1"/>
  <c r="J198" i="22" s="1"/>
  <c r="P198" i="22" s="1"/>
  <c r="D178" i="22"/>
  <c r="F198" i="22" s="1"/>
  <c r="I198" i="22" s="1"/>
  <c r="O198" i="22" s="1"/>
  <c r="C191" i="22"/>
  <c r="G197" i="22" s="1"/>
  <c r="J197" i="22" s="1"/>
  <c r="P197" i="22" s="1"/>
  <c r="I8" i="21" s="1"/>
  <c r="C178" i="22"/>
  <c r="F197" i="22" s="1"/>
  <c r="I197" i="22" s="1"/>
  <c r="C165" i="22"/>
  <c r="E197" i="22" s="1"/>
  <c r="F191" i="22"/>
  <c r="G199" i="22" s="1"/>
  <c r="J199" i="22" s="1"/>
  <c r="P199" i="22" s="1"/>
  <c r="I28" i="21" s="1"/>
  <c r="F165" i="22"/>
  <c r="E199" i="22" s="1"/>
  <c r="F178" i="22"/>
  <c r="F199" i="22" s="1"/>
  <c r="H95" i="22"/>
  <c r="E131" i="22" s="1"/>
  <c r="H131" i="22" s="1"/>
  <c r="N131" i="22" s="1"/>
  <c r="G118" i="21" s="1"/>
  <c r="H121" i="22"/>
  <c r="G131" i="22" s="1"/>
  <c r="J131" i="22" s="1"/>
  <c r="P131" i="22" s="1"/>
  <c r="I118" i="21" s="1"/>
  <c r="H108" i="22"/>
  <c r="F131" i="22" s="1"/>
  <c r="I131" i="22" s="1"/>
  <c r="I191" i="22"/>
  <c r="G202" i="22" s="1"/>
  <c r="J202" i="22" s="1"/>
  <c r="P202" i="22" s="1"/>
  <c r="I58" i="21" s="1"/>
  <c r="I178" i="22"/>
  <c r="F202" i="22" s="1"/>
  <c r="I202" i="22" s="1"/>
  <c r="O202" i="22" s="1"/>
  <c r="H58" i="21" s="1"/>
  <c r="I165" i="22"/>
  <c r="E202" i="22" s="1"/>
  <c r="K165" i="22"/>
  <c r="E204" i="22" s="1"/>
  <c r="K191" i="22"/>
  <c r="K178" i="22"/>
  <c r="F204" i="22" s="1"/>
  <c r="I204" i="22" s="1"/>
  <c r="O204" i="22" s="1"/>
  <c r="H78" i="21" s="1"/>
  <c r="J165" i="22"/>
  <c r="E203" i="22" s="1"/>
  <c r="J121" i="22"/>
  <c r="G133" i="22" s="1"/>
  <c r="J133" i="22" s="1"/>
  <c r="P133" i="22" s="1"/>
  <c r="I148" i="21" s="1"/>
  <c r="E95" i="22"/>
  <c r="E126" i="22" s="1"/>
  <c r="E165" i="22"/>
  <c r="J178" i="22"/>
  <c r="F203" i="22" s="1"/>
  <c r="I203" i="22" s="1"/>
  <c r="O203" i="22" s="1"/>
  <c r="H68" i="21" s="1"/>
  <c r="E178" i="22"/>
  <c r="G108" i="22"/>
  <c r="F130" i="22" s="1"/>
  <c r="I130" i="22" s="1"/>
  <c r="O130" i="22" s="1"/>
  <c r="H128" i="21" s="1"/>
  <c r="G95" i="22"/>
  <c r="E130" i="22" s="1"/>
  <c r="H130" i="22" s="1"/>
  <c r="N130" i="22" s="1"/>
  <c r="G128" i="21" s="1"/>
  <c r="G121" i="22"/>
  <c r="K121" i="22"/>
  <c r="G134" i="22" s="1"/>
  <c r="J134" i="22" s="1"/>
  <c r="P134" i="22" s="1"/>
  <c r="I158" i="21" s="1"/>
  <c r="K108" i="22"/>
  <c r="F134" i="22" s="1"/>
  <c r="I134" i="22" s="1"/>
  <c r="O134" i="22" s="1"/>
  <c r="H158" i="21" s="1"/>
  <c r="K95" i="22"/>
  <c r="E134" i="22" s="1"/>
  <c r="H134" i="22" s="1"/>
  <c r="N134" i="22" s="1"/>
  <c r="G158" i="21" s="1"/>
  <c r="J191" i="22"/>
  <c r="G203" i="22" s="1"/>
  <c r="J203" i="22" s="1"/>
  <c r="P203" i="22" s="1"/>
  <c r="I68" i="21" s="1"/>
  <c r="J95" i="22"/>
  <c r="E133" i="22" s="1"/>
  <c r="H133" i="22" s="1"/>
  <c r="N133" i="22" s="1"/>
  <c r="G148" i="21" s="1"/>
  <c r="N92" i="21"/>
  <c r="K21" i="9" l="1"/>
  <c r="F196" i="22"/>
  <c r="G196" i="22"/>
  <c r="E196" i="22"/>
  <c r="F43" i="28"/>
  <c r="G43" i="28" s="1"/>
  <c r="M42" i="28"/>
  <c r="P42" i="28" s="1"/>
  <c r="U42" i="28" s="1"/>
  <c r="L42" i="28"/>
  <c r="O42" i="28" s="1"/>
  <c r="T42" i="28" s="1"/>
  <c r="K42" i="28"/>
  <c r="N42" i="28" s="1"/>
  <c r="L41" i="28"/>
  <c r="M41" i="28"/>
  <c r="K41" i="28"/>
  <c r="J20" i="9"/>
  <c r="I9" i="9"/>
  <c r="G9" i="9"/>
  <c r="F9" i="9"/>
  <c r="G23" i="14"/>
  <c r="F36" i="35"/>
  <c r="G9" i="14"/>
  <c r="I36" i="35"/>
  <c r="I43" i="35" s="1"/>
  <c r="Q75" i="28"/>
  <c r="O65" i="29"/>
  <c r="F38" i="14"/>
  <c r="I91" i="28"/>
  <c r="S91" i="28" s="1"/>
  <c r="J91" i="28"/>
  <c r="T91" i="28" s="1"/>
  <c r="K91" i="28"/>
  <c r="U91" i="28" s="1"/>
  <c r="C20" i="9"/>
  <c r="F30" i="9"/>
  <c r="F20" i="9"/>
  <c r="H201" i="22"/>
  <c r="N201" i="22" s="1"/>
  <c r="G38" i="21" s="1"/>
  <c r="H197" i="22"/>
  <c r="N197" i="22" s="1"/>
  <c r="G8" i="21" s="1"/>
  <c r="H204" i="22"/>
  <c r="N204" i="22" s="1"/>
  <c r="G78" i="21" s="1"/>
  <c r="H199" i="22"/>
  <c r="N199" i="22" s="1"/>
  <c r="G28" i="21" s="1"/>
  <c r="H202" i="22"/>
  <c r="N202" i="22" s="1"/>
  <c r="G58" i="21" s="1"/>
  <c r="H203" i="22"/>
  <c r="N203" i="22" s="1"/>
  <c r="G68" i="21" s="1"/>
  <c r="H200" i="22"/>
  <c r="N200" i="22" s="1"/>
  <c r="G48" i="21" s="1"/>
  <c r="Q76" i="28"/>
  <c r="Q80" i="28"/>
  <c r="J93" i="28"/>
  <c r="T93" i="28" s="1"/>
  <c r="I93" i="28"/>
  <c r="K93" i="28"/>
  <c r="U93" i="28" s="1"/>
  <c r="L77" i="28"/>
  <c r="O77" i="28" s="1"/>
  <c r="T77" i="28" s="1"/>
  <c r="M77" i="28"/>
  <c r="P77" i="28" s="1"/>
  <c r="U77" i="28" s="1"/>
  <c r="K77" i="28"/>
  <c r="N77" i="28" s="1"/>
  <c r="C15" i="37"/>
  <c r="K94" i="28"/>
  <c r="U94" i="28" s="1"/>
  <c r="I94" i="28"/>
  <c r="J94" i="28"/>
  <c r="T94" i="28" s="1"/>
  <c r="S90" i="28"/>
  <c r="L90" i="28"/>
  <c r="E26" i="16" s="1"/>
  <c r="S96" i="28"/>
  <c r="L96" i="28"/>
  <c r="J92" i="28"/>
  <c r="T92" i="28" s="1"/>
  <c r="K92" i="28"/>
  <c r="U92" i="28" s="1"/>
  <c r="I92" i="28"/>
  <c r="E97" i="28"/>
  <c r="J88" i="28"/>
  <c r="K88" i="28"/>
  <c r="I88" i="28"/>
  <c r="J89" i="28"/>
  <c r="T89" i="28" s="1"/>
  <c r="K89" i="28"/>
  <c r="U89" i="28" s="1"/>
  <c r="I89" i="28"/>
  <c r="E82" i="28"/>
  <c r="G82" i="28" s="1"/>
  <c r="G73" i="28"/>
  <c r="M74" i="28"/>
  <c r="P74" i="28" s="1"/>
  <c r="U74" i="28" s="1"/>
  <c r="K74" i="28"/>
  <c r="N74" i="28" s="1"/>
  <c r="L74" i="28"/>
  <c r="O74" i="28" s="1"/>
  <c r="T74" i="28" s="1"/>
  <c r="S81" i="28"/>
  <c r="Q81" i="28"/>
  <c r="M78" i="28"/>
  <c r="P78" i="28" s="1"/>
  <c r="U78" i="28" s="1"/>
  <c r="L78" i="28"/>
  <c r="O78" i="28" s="1"/>
  <c r="T78" i="28" s="1"/>
  <c r="K78" i="28"/>
  <c r="N78" i="28" s="1"/>
  <c r="D15" i="37"/>
  <c r="M79" i="28"/>
  <c r="P79" i="28" s="1"/>
  <c r="U79" i="28" s="1"/>
  <c r="L79" i="28"/>
  <c r="O79" i="28" s="1"/>
  <c r="T79" i="28" s="1"/>
  <c r="K79" i="28"/>
  <c r="N79" i="28" s="1"/>
  <c r="S95" i="28"/>
  <c r="L95" i="28"/>
  <c r="O33" i="29"/>
  <c r="O76" i="29"/>
  <c r="O50" i="29"/>
  <c r="D87" i="37"/>
  <c r="K8" i="37" s="1"/>
  <c r="N32" i="21"/>
  <c r="N52" i="21"/>
  <c r="R76" i="29"/>
  <c r="R95" i="29"/>
  <c r="H62" i="21" s="1"/>
  <c r="S76" i="29"/>
  <c r="R96" i="29"/>
  <c r="H72" i="21" s="1"/>
  <c r="R89" i="29"/>
  <c r="S97" i="29"/>
  <c r="I82" i="21" s="1"/>
  <c r="H20" i="9"/>
  <c r="E9" i="9"/>
  <c r="E20" i="9"/>
  <c r="C19" i="9"/>
  <c r="C9" i="9"/>
  <c r="G20" i="9"/>
  <c r="H9" i="9"/>
  <c r="N49" i="21"/>
  <c r="H160" i="21"/>
  <c r="G140" i="21"/>
  <c r="N181" i="21"/>
  <c r="I160" i="21"/>
  <c r="I150" i="21"/>
  <c r="N91" i="21"/>
  <c r="H150" i="21"/>
  <c r="G160" i="21"/>
  <c r="N111" i="21"/>
  <c r="G110" i="21"/>
  <c r="N141" i="21"/>
  <c r="G161" i="21"/>
  <c r="G102" i="21"/>
  <c r="H120" i="21"/>
  <c r="G151" i="21"/>
  <c r="G121" i="21"/>
  <c r="I120" i="21"/>
  <c r="G130" i="21"/>
  <c r="G131" i="21"/>
  <c r="N132" i="22"/>
  <c r="G138" i="21" s="1"/>
  <c r="K132" i="22"/>
  <c r="O127" i="22"/>
  <c r="H88" i="21" s="1"/>
  <c r="K127" i="22"/>
  <c r="F133" i="22"/>
  <c r="I133" i="22" s="1"/>
  <c r="G130" i="22"/>
  <c r="J130" i="22" s="1"/>
  <c r="O200" i="22"/>
  <c r="H48" i="21" s="1"/>
  <c r="I199" i="22"/>
  <c r="O199" i="22" s="1"/>
  <c r="H28" i="21" s="1"/>
  <c r="O131" i="22"/>
  <c r="H118" i="21" s="1"/>
  <c r="G204" i="22"/>
  <c r="G205" i="22" s="1"/>
  <c r="G206" i="22" s="1"/>
  <c r="O197" i="22"/>
  <c r="H8" i="21" s="1"/>
  <c r="E198" i="22"/>
  <c r="K129" i="22"/>
  <c r="E128" i="22"/>
  <c r="H128" i="22" s="1"/>
  <c r="K128" i="22" s="1"/>
  <c r="J196" i="22"/>
  <c r="K134" i="22"/>
  <c r="H196" i="22"/>
  <c r="N196" i="22" s="1"/>
  <c r="G18" i="21" s="1"/>
  <c r="E205" i="22"/>
  <c r="I196" i="22"/>
  <c r="F205" i="22"/>
  <c r="F206" i="22" s="1"/>
  <c r="H126" i="22"/>
  <c r="N126" i="22" s="1"/>
  <c r="G98" i="21" s="1"/>
  <c r="E135" i="22"/>
  <c r="E136" i="22" s="1"/>
  <c r="J126" i="22"/>
  <c r="K131" i="22"/>
  <c r="K200" i="22" l="1"/>
  <c r="P41" i="28"/>
  <c r="M50" i="28"/>
  <c r="N41" i="28"/>
  <c r="K50" i="28"/>
  <c r="L50" i="28"/>
  <c r="O41" i="28"/>
  <c r="S42" i="28"/>
  <c r="G90" i="21" s="1"/>
  <c r="Q42" i="28"/>
  <c r="F26" i="16" s="1"/>
  <c r="K43" i="28"/>
  <c r="N43" i="28" s="1"/>
  <c r="M43" i="28"/>
  <c r="P43" i="28" s="1"/>
  <c r="U43" i="28" s="1"/>
  <c r="L43" i="28"/>
  <c r="O43" i="28" s="1"/>
  <c r="T43" i="28" s="1"/>
  <c r="E30" i="9"/>
  <c r="L91" i="28"/>
  <c r="K197" i="22"/>
  <c r="K201" i="22"/>
  <c r="K202" i="22"/>
  <c r="E206" i="22"/>
  <c r="H198" i="22"/>
  <c r="K198" i="22" s="1"/>
  <c r="K203" i="22"/>
  <c r="S88" i="28"/>
  <c r="I97" i="28"/>
  <c r="L88" i="28"/>
  <c r="S77" i="28"/>
  <c r="Q77" i="28"/>
  <c r="S79" i="28"/>
  <c r="Q79" i="28"/>
  <c r="Q74" i="28"/>
  <c r="S74" i="28"/>
  <c r="U88" i="28"/>
  <c r="K97" i="28"/>
  <c r="T88" i="28"/>
  <c r="J97" i="28"/>
  <c r="S78" i="28"/>
  <c r="Q78" i="28"/>
  <c r="M73" i="28"/>
  <c r="L73" i="28"/>
  <c r="K73" i="28"/>
  <c r="S92" i="28"/>
  <c r="L92" i="28"/>
  <c r="S93" i="28"/>
  <c r="G41" i="21" s="1"/>
  <c r="L93" i="28"/>
  <c r="S89" i="28"/>
  <c r="G11" i="21" s="1"/>
  <c r="L89" i="28"/>
  <c r="S94" i="28"/>
  <c r="G61" i="21" s="1"/>
  <c r="L94" i="28"/>
  <c r="K6" i="37"/>
  <c r="E9" i="28" s="1"/>
  <c r="E11" i="28"/>
  <c r="K15" i="37"/>
  <c r="N72" i="21"/>
  <c r="N62" i="21"/>
  <c r="G30" i="9"/>
  <c r="N82" i="21"/>
  <c r="N130" i="21"/>
  <c r="N151" i="21"/>
  <c r="N110" i="21"/>
  <c r="N131" i="21"/>
  <c r="N161" i="21"/>
  <c r="N121" i="21"/>
  <c r="N140" i="21"/>
  <c r="G135" i="22"/>
  <c r="G136" i="22" s="1"/>
  <c r="I61" i="21"/>
  <c r="N160" i="21"/>
  <c r="H90" i="21"/>
  <c r="G71" i="21"/>
  <c r="F135" i="22"/>
  <c r="F136" i="22" s="1"/>
  <c r="K199" i="22"/>
  <c r="H41" i="21"/>
  <c r="I50" i="21"/>
  <c r="I80" i="21"/>
  <c r="H11" i="21"/>
  <c r="G81" i="21"/>
  <c r="H31" i="21"/>
  <c r="G70" i="21"/>
  <c r="G120" i="21"/>
  <c r="H60" i="21"/>
  <c r="I81" i="21"/>
  <c r="I70" i="21"/>
  <c r="I11" i="21"/>
  <c r="I71" i="21"/>
  <c r="H10" i="21"/>
  <c r="I31" i="21"/>
  <c r="I60" i="21"/>
  <c r="I10" i="21"/>
  <c r="I90" i="21"/>
  <c r="H50" i="21"/>
  <c r="H51" i="21"/>
  <c r="G150" i="21"/>
  <c r="H61" i="21"/>
  <c r="I41" i="21"/>
  <c r="H71" i="21"/>
  <c r="I102" i="21"/>
  <c r="I40" i="21"/>
  <c r="I51" i="21"/>
  <c r="I30" i="21"/>
  <c r="H102" i="21"/>
  <c r="H70" i="21"/>
  <c r="H30" i="21"/>
  <c r="H81" i="21"/>
  <c r="H40" i="21"/>
  <c r="H80" i="21"/>
  <c r="G101" i="21"/>
  <c r="P130" i="22"/>
  <c r="I128" i="21" s="1"/>
  <c r="K130" i="22"/>
  <c r="O133" i="22"/>
  <c r="H148" i="21" s="1"/>
  <c r="I135" i="22"/>
  <c r="K133" i="22"/>
  <c r="J204" i="22"/>
  <c r="J205" i="22" s="1"/>
  <c r="N99" i="21"/>
  <c r="N19" i="21"/>
  <c r="J135" i="22"/>
  <c r="P126" i="22"/>
  <c r="I98" i="21" s="1"/>
  <c r="I205" i="22"/>
  <c r="O196" i="22"/>
  <c r="H18" i="21" s="1"/>
  <c r="P196" i="22"/>
  <c r="I18" i="21" s="1"/>
  <c r="N128" i="22"/>
  <c r="H205" i="22"/>
  <c r="K196" i="22"/>
  <c r="H135" i="22"/>
  <c r="K126" i="22"/>
  <c r="N58" i="21"/>
  <c r="N108" i="21"/>
  <c r="N88" i="21"/>
  <c r="N8" i="21"/>
  <c r="N68" i="21"/>
  <c r="N158" i="21"/>
  <c r="N138" i="21"/>
  <c r="N48" i="21"/>
  <c r="N28" i="21"/>
  <c r="N38" i="21"/>
  <c r="N118" i="21"/>
  <c r="O50" i="28" l="1"/>
  <c r="T41" i="28"/>
  <c r="N50" i="28"/>
  <c r="S41" i="28"/>
  <c r="Q41" i="28"/>
  <c r="S43" i="28"/>
  <c r="Q43" i="28"/>
  <c r="G26" i="16" s="1"/>
  <c r="U41" i="28"/>
  <c r="I100" i="21" s="1"/>
  <c r="P50" i="28"/>
  <c r="N198" i="22"/>
  <c r="H18" i="9"/>
  <c r="P73" i="28"/>
  <c r="M82" i="28"/>
  <c r="D26" i="16"/>
  <c r="D27" i="16" s="1"/>
  <c r="N73" i="28"/>
  <c r="K82" i="28"/>
  <c r="L97" i="28"/>
  <c r="O73" i="28"/>
  <c r="L82" i="28"/>
  <c r="E18" i="28"/>
  <c r="G18" i="9"/>
  <c r="J30" i="9"/>
  <c r="H30" i="9"/>
  <c r="I30" i="9"/>
  <c r="J18" i="9"/>
  <c r="N150" i="21"/>
  <c r="E18" i="9"/>
  <c r="N120" i="21"/>
  <c r="N89" i="21"/>
  <c r="H17" i="9"/>
  <c r="J17" i="9"/>
  <c r="N98" i="21"/>
  <c r="I28" i="9"/>
  <c r="N148" i="21"/>
  <c r="N128" i="21"/>
  <c r="C28" i="9"/>
  <c r="F17" i="9"/>
  <c r="F28" i="9"/>
  <c r="E17" i="9"/>
  <c r="E28" i="9"/>
  <c r="H28" i="9"/>
  <c r="G28" i="9"/>
  <c r="H101" i="21"/>
  <c r="I101" i="21"/>
  <c r="N90" i="21"/>
  <c r="N102" i="21"/>
  <c r="G40" i="21"/>
  <c r="G30" i="21"/>
  <c r="G31" i="21"/>
  <c r="G60" i="21"/>
  <c r="G51" i="21"/>
  <c r="G10" i="21"/>
  <c r="G50" i="21"/>
  <c r="H100" i="21"/>
  <c r="G80" i="21"/>
  <c r="P204" i="22"/>
  <c r="I78" i="21" s="1"/>
  <c r="K204" i="22"/>
  <c r="N18" i="21"/>
  <c r="K135" i="22"/>
  <c r="K205" i="22"/>
  <c r="N61" i="21"/>
  <c r="N41" i="21"/>
  <c r="N71" i="21"/>
  <c r="N70" i="21"/>
  <c r="N81" i="21"/>
  <c r="Q50" i="28" l="1"/>
  <c r="D13" i="16"/>
  <c r="E13" i="16" s="1"/>
  <c r="H22" i="9"/>
  <c r="C17" i="9"/>
  <c r="T73" i="28"/>
  <c r="O82" i="28"/>
  <c r="N82" i="28"/>
  <c r="Q73" i="28"/>
  <c r="S73" i="28"/>
  <c r="P82" i="28"/>
  <c r="U73" i="28"/>
  <c r="D17" i="9"/>
  <c r="J22" i="9"/>
  <c r="E22" i="9"/>
  <c r="N31" i="21"/>
  <c r="N10" i="21"/>
  <c r="F18" i="9"/>
  <c r="F22" i="9" s="1"/>
  <c r="N60" i="21"/>
  <c r="N40" i="21"/>
  <c r="N80" i="21"/>
  <c r="N51" i="21"/>
  <c r="I18" i="9"/>
  <c r="N30" i="21"/>
  <c r="C18" i="9"/>
  <c r="N11" i="21"/>
  <c r="N50" i="21"/>
  <c r="D19" i="9"/>
  <c r="K19" i="9" s="1"/>
  <c r="G17" i="9"/>
  <c r="G22" i="9" s="1"/>
  <c r="I17" i="9"/>
  <c r="D28" i="9"/>
  <c r="N101" i="21"/>
  <c r="F27" i="16"/>
  <c r="G100" i="21"/>
  <c r="I29" i="9"/>
  <c r="F13" i="16" l="1"/>
  <c r="C389" i="35" s="1"/>
  <c r="D389" i="35" s="1"/>
  <c r="J29" i="9"/>
  <c r="Q82" i="28"/>
  <c r="C29" i="9"/>
  <c r="C180" i="35"/>
  <c r="C378" i="35"/>
  <c r="F29" i="9"/>
  <c r="F33" i="9" s="1"/>
  <c r="E29" i="9"/>
  <c r="E33" i="9" s="1"/>
  <c r="I22" i="9"/>
  <c r="H29" i="9"/>
  <c r="H33" i="9" s="1"/>
  <c r="G29" i="9"/>
  <c r="G33" i="9" s="1"/>
  <c r="N100" i="21"/>
  <c r="K17" i="9"/>
  <c r="N78" i="21"/>
  <c r="G20" i="21"/>
  <c r="I20" i="21"/>
  <c r="H21" i="21"/>
  <c r="H20" i="21"/>
  <c r="G21" i="21"/>
  <c r="I21" i="21"/>
  <c r="C296" i="35" l="1"/>
  <c r="P260" i="35" s="1"/>
  <c r="D145" i="31" s="1"/>
  <c r="C311" i="35"/>
  <c r="D311" i="35" s="1"/>
  <c r="D313" i="35" s="1"/>
  <c r="C98" i="35"/>
  <c r="C143" i="35" s="1"/>
  <c r="C145" i="35" s="1"/>
  <c r="J35" i="35" s="1"/>
  <c r="C113" i="35"/>
  <c r="D113" i="35" s="1"/>
  <c r="D115" i="35" s="1"/>
  <c r="C191" i="35"/>
  <c r="D191" i="35" s="1"/>
  <c r="C587" i="35"/>
  <c r="D587" i="35" s="1"/>
  <c r="C365" i="35"/>
  <c r="P277" i="35" s="1"/>
  <c r="D162" i="31" s="1"/>
  <c r="C167" i="35"/>
  <c r="C169" i="35" s="1"/>
  <c r="C563" i="35"/>
  <c r="C565" i="35" s="1"/>
  <c r="C611" i="35"/>
  <c r="C215" i="35"/>
  <c r="C413" i="35"/>
  <c r="C128" i="35"/>
  <c r="G13" i="16"/>
  <c r="C494" i="35"/>
  <c r="C509" i="35"/>
  <c r="C326" i="35"/>
  <c r="C524" i="35"/>
  <c r="D230" i="31"/>
  <c r="D180" i="35"/>
  <c r="D378" i="35"/>
  <c r="D18" i="9"/>
  <c r="K18" i="9" s="1"/>
  <c r="J28" i="9"/>
  <c r="K43" i="30"/>
  <c r="I43" i="30"/>
  <c r="J43" i="30"/>
  <c r="E52" i="30"/>
  <c r="N21" i="21"/>
  <c r="N20" i="21"/>
  <c r="C341" i="35" l="1"/>
  <c r="C343" i="35" s="1"/>
  <c r="G35" i="35" s="1"/>
  <c r="D296" i="35"/>
  <c r="D341" i="35" s="1"/>
  <c r="D343" i="35" s="1"/>
  <c r="G36" i="35" s="1"/>
  <c r="C298" i="35"/>
  <c r="D98" i="35"/>
  <c r="Q62" i="35" s="1"/>
  <c r="E56" i="31" s="1"/>
  <c r="C100" i="35"/>
  <c r="P62" i="35"/>
  <c r="D56" i="31" s="1"/>
  <c r="C313" i="35"/>
  <c r="C367" i="35"/>
  <c r="C115" i="35"/>
  <c r="P79" i="35"/>
  <c r="D73" i="31" s="1"/>
  <c r="D365" i="35"/>
  <c r="Q277" i="35" s="1"/>
  <c r="E162" i="31" s="1"/>
  <c r="C239" i="35"/>
  <c r="C241" i="35" s="1"/>
  <c r="K35" i="35" s="1"/>
  <c r="C635" i="35"/>
  <c r="C637" i="35" s="1"/>
  <c r="E35" i="35" s="1"/>
  <c r="P475" i="35"/>
  <c r="D251" i="31" s="1"/>
  <c r="D563" i="35"/>
  <c r="D635" i="35" s="1"/>
  <c r="D167" i="35"/>
  <c r="D169" i="35" s="1"/>
  <c r="D413" i="35"/>
  <c r="E126" i="31" s="1"/>
  <c r="D126" i="31"/>
  <c r="D215" i="35"/>
  <c r="E37" i="31" s="1"/>
  <c r="D37" i="31"/>
  <c r="D611" i="35"/>
  <c r="E215" i="31" s="1"/>
  <c r="D215" i="31"/>
  <c r="C391" i="35"/>
  <c r="D6" i="35" s="1"/>
  <c r="C193" i="35"/>
  <c r="D193" i="35"/>
  <c r="E7" i="35" s="1"/>
  <c r="E82" i="31" s="1"/>
  <c r="H82" i="31" s="1"/>
  <c r="O82" i="31" s="1"/>
  <c r="D494" i="35"/>
  <c r="C539" i="35"/>
  <c r="C541" i="35" s="1"/>
  <c r="D35" i="35" s="1"/>
  <c r="P458" i="35"/>
  <c r="D234" i="31" s="1"/>
  <c r="C496" i="35"/>
  <c r="D589" i="35"/>
  <c r="C589" i="35"/>
  <c r="C217" i="35"/>
  <c r="C613" i="35"/>
  <c r="Q260" i="35"/>
  <c r="E145" i="31" s="1"/>
  <c r="D524" i="35"/>
  <c r="D198" i="31"/>
  <c r="C526" i="35"/>
  <c r="D326" i="35"/>
  <c r="D109" i="31"/>
  <c r="C328" i="35"/>
  <c r="D128" i="35"/>
  <c r="D20" i="31"/>
  <c r="C130" i="35"/>
  <c r="D509" i="35"/>
  <c r="D511" i="35" s="1"/>
  <c r="C511" i="35"/>
  <c r="C437" i="35"/>
  <c r="C439" i="35" s="1"/>
  <c r="H35" i="35" s="1"/>
  <c r="D164" i="31"/>
  <c r="G170" i="31" s="1"/>
  <c r="J170" i="31" s="1"/>
  <c r="Q170" i="31" s="1"/>
  <c r="I96" i="21" s="1"/>
  <c r="C415" i="35"/>
  <c r="D391" i="35"/>
  <c r="E230" i="31"/>
  <c r="N43" i="30"/>
  <c r="I52" i="30"/>
  <c r="P43" i="30"/>
  <c r="K52" i="30"/>
  <c r="O43" i="30"/>
  <c r="J52" i="30"/>
  <c r="J33" i="9"/>
  <c r="K28" i="9"/>
  <c r="J59" i="30"/>
  <c r="K59" i="30"/>
  <c r="I59" i="30"/>
  <c r="L43" i="30"/>
  <c r="L52" i="30" s="1"/>
  <c r="D29" i="9"/>
  <c r="K29" i="9" s="1"/>
  <c r="D100" i="35" l="1"/>
  <c r="G43" i="35"/>
  <c r="D143" i="35"/>
  <c r="D145" i="35" s="1"/>
  <c r="J36" i="35" s="1"/>
  <c r="J43" i="35" s="1"/>
  <c r="D298" i="35"/>
  <c r="E6" i="35"/>
  <c r="E81" i="31" s="1"/>
  <c r="H81" i="31" s="1"/>
  <c r="O81" i="31" s="1"/>
  <c r="G176" i="21" s="1"/>
  <c r="C20" i="35"/>
  <c r="E20" i="35"/>
  <c r="Q475" i="35"/>
  <c r="E251" i="31" s="1"/>
  <c r="D7" i="35"/>
  <c r="E171" i="31" s="1"/>
  <c r="H171" i="31" s="1"/>
  <c r="O171" i="31" s="1"/>
  <c r="D20" i="35"/>
  <c r="C43" i="35"/>
  <c r="F43" i="35"/>
  <c r="Q79" i="35"/>
  <c r="E73" i="31" s="1"/>
  <c r="D239" i="35"/>
  <c r="D241" i="35" s="1"/>
  <c r="K36" i="35" s="1"/>
  <c r="D367" i="35"/>
  <c r="D217" i="31"/>
  <c r="C6" i="35"/>
  <c r="C7" i="35"/>
  <c r="E260" i="31" s="1"/>
  <c r="H260" i="31" s="1"/>
  <c r="O260" i="31" s="1"/>
  <c r="D128" i="31"/>
  <c r="F170" i="31" s="1"/>
  <c r="I170" i="31" s="1"/>
  <c r="P170" i="31" s="1"/>
  <c r="H96" i="21" s="1"/>
  <c r="D253" i="31"/>
  <c r="G259" i="31" s="1"/>
  <c r="J259" i="31" s="1"/>
  <c r="Q259" i="31" s="1"/>
  <c r="I16" i="21" s="1"/>
  <c r="D415" i="35"/>
  <c r="Q458" i="35"/>
  <c r="E234" i="31" s="1"/>
  <c r="D539" i="35"/>
  <c r="D541" i="35" s="1"/>
  <c r="D36" i="35" s="1"/>
  <c r="D43" i="35" s="1"/>
  <c r="D496" i="35"/>
  <c r="I37" i="14" s="1"/>
  <c r="E109" i="31"/>
  <c r="D328" i="35"/>
  <c r="D613" i="35"/>
  <c r="D637" i="35"/>
  <c r="E36" i="35" s="1"/>
  <c r="D565" i="35"/>
  <c r="E198" i="31"/>
  <c r="D526" i="35"/>
  <c r="D217" i="35"/>
  <c r="D437" i="35"/>
  <c r="D439" i="35" s="1"/>
  <c r="H36" i="35" s="1"/>
  <c r="H43" i="35" s="1"/>
  <c r="E164" i="31"/>
  <c r="G171" i="31" s="1"/>
  <c r="J171" i="31" s="1"/>
  <c r="Q171" i="31" s="1"/>
  <c r="E20" i="31"/>
  <c r="D130" i="35"/>
  <c r="D39" i="31"/>
  <c r="F81" i="31" s="1"/>
  <c r="I81" i="31" s="1"/>
  <c r="D75" i="31"/>
  <c r="G81" i="31" s="1"/>
  <c r="J81" i="31" s="1"/>
  <c r="Q81" i="31" s="1"/>
  <c r="I176" i="21" s="1"/>
  <c r="E170" i="31"/>
  <c r="H170" i="31" s="1"/>
  <c r="O170" i="31" s="1"/>
  <c r="G96" i="21" s="1"/>
  <c r="P59" i="30"/>
  <c r="I104" i="21" s="1"/>
  <c r="K68" i="30"/>
  <c r="N59" i="30"/>
  <c r="G104" i="21" s="1"/>
  <c r="I68" i="30"/>
  <c r="O59" i="30"/>
  <c r="H104" i="21" s="1"/>
  <c r="J68" i="30"/>
  <c r="L59" i="30"/>
  <c r="L68" i="30" s="1"/>
  <c r="N76" i="21"/>
  <c r="E21" i="35" l="1"/>
  <c r="E28" i="35" s="1"/>
  <c r="E14" i="35"/>
  <c r="D14" i="35"/>
  <c r="D21" i="35"/>
  <c r="D28" i="35" s="1"/>
  <c r="C21" i="35"/>
  <c r="C28" i="35" s="1"/>
  <c r="F259" i="31"/>
  <c r="I259" i="31" s="1"/>
  <c r="P259" i="31" s="1"/>
  <c r="H16" i="21" s="1"/>
  <c r="E43" i="35"/>
  <c r="K43" i="35"/>
  <c r="C14" i="35"/>
  <c r="E128" i="31"/>
  <c r="F171" i="31" s="1"/>
  <c r="F180" i="31" s="1"/>
  <c r="E217" i="31"/>
  <c r="F260" i="31" s="1"/>
  <c r="I260" i="31" s="1"/>
  <c r="P260" i="31" s="1"/>
  <c r="E259" i="31"/>
  <c r="E253" i="31"/>
  <c r="G260" i="31" s="1"/>
  <c r="J260" i="31" s="1"/>
  <c r="Q260" i="31" s="1"/>
  <c r="G180" i="31"/>
  <c r="E91" i="31"/>
  <c r="E39" i="31"/>
  <c r="F82" i="31" s="1"/>
  <c r="I82" i="31" s="1"/>
  <c r="P82" i="31" s="1"/>
  <c r="E75" i="31"/>
  <c r="G82" i="31" s="1"/>
  <c r="K170" i="31"/>
  <c r="E180" i="31"/>
  <c r="P81" i="31"/>
  <c r="H176" i="21" s="1"/>
  <c r="K81" i="31"/>
  <c r="N96" i="21"/>
  <c r="I32" i="9"/>
  <c r="K32" i="9" s="1"/>
  <c r="N104" i="21"/>
  <c r="I171" i="31" l="1"/>
  <c r="P171" i="31" s="1"/>
  <c r="F269" i="31"/>
  <c r="H259" i="31"/>
  <c r="E269" i="31"/>
  <c r="G269" i="31"/>
  <c r="K260" i="31"/>
  <c r="F91" i="31"/>
  <c r="C21" i="9"/>
  <c r="C22" i="9" s="1"/>
  <c r="J82" i="31"/>
  <c r="G91" i="31"/>
  <c r="N176" i="21"/>
  <c r="I33" i="9"/>
  <c r="D20" i="9"/>
  <c r="D22" i="9" s="1"/>
  <c r="K22" i="9" s="1"/>
  <c r="C10" i="9" l="1"/>
  <c r="K171" i="31"/>
  <c r="O259" i="31"/>
  <c r="G16" i="21" s="1"/>
  <c r="K259" i="31"/>
  <c r="Q82" i="31"/>
  <c r="K82" i="31"/>
  <c r="K20" i="9"/>
  <c r="N16" i="21" l="1"/>
  <c r="N14" i="21"/>
  <c r="C32" i="9" l="1"/>
  <c r="C31" i="9"/>
  <c r="C176" i="12" l="1"/>
  <c r="K7" i="12" s="1"/>
  <c r="E72" i="22" s="1"/>
  <c r="C149" i="12"/>
  <c r="J7" i="12" s="1"/>
  <c r="K72" i="22" l="1"/>
  <c r="P72" i="22" s="1"/>
  <c r="I169" i="21" s="1"/>
  <c r="D8" i="14"/>
  <c r="C8" i="14"/>
  <c r="J72" i="22"/>
  <c r="O72" i="22" s="1"/>
  <c r="H169" i="21" s="1"/>
  <c r="I72" i="22"/>
  <c r="O57" i="22"/>
  <c r="H168" i="21" s="1"/>
  <c r="D149" i="12"/>
  <c r="E149" i="12"/>
  <c r="J6" i="12" s="1"/>
  <c r="F149" i="12"/>
  <c r="J9" i="12" s="1"/>
  <c r="G149" i="12"/>
  <c r="J10" i="12" s="1"/>
  <c r="H149" i="12"/>
  <c r="J11" i="12" s="1"/>
  <c r="I149" i="12"/>
  <c r="J12" i="12" s="1"/>
  <c r="J149" i="12"/>
  <c r="J13" i="12" s="1"/>
  <c r="K149" i="12"/>
  <c r="J14" i="12" s="1"/>
  <c r="D174" i="12"/>
  <c r="E174" i="12"/>
  <c r="F174" i="12"/>
  <c r="G174" i="12"/>
  <c r="H174" i="12"/>
  <c r="I174" i="12"/>
  <c r="J174" i="12"/>
  <c r="K174" i="12"/>
  <c r="D175" i="12"/>
  <c r="E9" i="14" s="1"/>
  <c r="E175" i="12"/>
  <c r="F175" i="12"/>
  <c r="E10" i="14" s="1"/>
  <c r="G175" i="12"/>
  <c r="E11" i="14" s="1"/>
  <c r="H175" i="12"/>
  <c r="E12" i="14" s="1"/>
  <c r="I175" i="12"/>
  <c r="E13" i="14" s="1"/>
  <c r="J175" i="12"/>
  <c r="E14" i="14" s="1"/>
  <c r="K175" i="12"/>
  <c r="E15" i="14" s="1"/>
  <c r="J8" i="12" l="1"/>
  <c r="E7" i="14"/>
  <c r="L175" i="12"/>
  <c r="L174" i="12"/>
  <c r="D176" i="12"/>
  <c r="K8" i="12" s="1"/>
  <c r="E73" i="22" s="1"/>
  <c r="L149" i="12"/>
  <c r="J176" i="12"/>
  <c r="K13" i="12" s="1"/>
  <c r="E78" i="22" s="1"/>
  <c r="G176" i="12"/>
  <c r="K10" i="12" s="1"/>
  <c r="E75" i="22" s="1"/>
  <c r="E58" i="22"/>
  <c r="H58" i="22" s="1"/>
  <c r="H176" i="12"/>
  <c r="K11" i="12" s="1"/>
  <c r="E76" i="22" s="1"/>
  <c r="F176" i="12"/>
  <c r="K9" i="12" s="1"/>
  <c r="E74" i="22" s="1"/>
  <c r="E176" i="12"/>
  <c r="K6" i="12" s="1"/>
  <c r="E71" i="22" s="1"/>
  <c r="K176" i="12"/>
  <c r="K14" i="12" s="1"/>
  <c r="E79" i="22" s="1"/>
  <c r="I176" i="12"/>
  <c r="K12" i="12" s="1"/>
  <c r="E77" i="22" s="1"/>
  <c r="E61" i="22"/>
  <c r="H61" i="22" s="1"/>
  <c r="N61" i="22" s="1"/>
  <c r="G198" i="21" s="1"/>
  <c r="E62" i="22"/>
  <c r="H62" i="22" s="1"/>
  <c r="N62" i="22" s="1"/>
  <c r="G218" i="21" s="1"/>
  <c r="E59" i="22"/>
  <c r="H59" i="22" s="1"/>
  <c r="N59" i="22" s="1"/>
  <c r="G188" i="21" s="1"/>
  <c r="P57" i="22"/>
  <c r="I168" i="21" s="1"/>
  <c r="N72" i="22"/>
  <c r="G169" i="21" s="1"/>
  <c r="L72" i="22"/>
  <c r="T31" i="22" s="1"/>
  <c r="E60" i="22"/>
  <c r="H60" i="22" s="1"/>
  <c r="N60" i="22" s="1"/>
  <c r="G208" i="21" s="1"/>
  <c r="G58" i="22"/>
  <c r="J58" i="22" s="1"/>
  <c r="P58" i="22" s="1"/>
  <c r="H57" i="22"/>
  <c r="K57" i="22" s="1"/>
  <c r="E63" i="22"/>
  <c r="H63" i="22" s="1"/>
  <c r="E35" i="22" l="1"/>
  <c r="F56" i="22" s="1"/>
  <c r="I56" i="22" s="1"/>
  <c r="O56" i="22" s="1"/>
  <c r="H178" i="21" s="1"/>
  <c r="C7" i="14"/>
  <c r="D7" i="14"/>
  <c r="J15" i="12"/>
  <c r="J16" i="12" s="1"/>
  <c r="K77" i="22"/>
  <c r="P77" i="22" s="1"/>
  <c r="I219" i="21" s="1"/>
  <c r="J75" i="22"/>
  <c r="O75" i="22" s="1"/>
  <c r="H209" i="21" s="1"/>
  <c r="D15" i="14"/>
  <c r="C14" i="14"/>
  <c r="K71" i="22"/>
  <c r="P71" i="22" s="1"/>
  <c r="I179" i="21" s="1"/>
  <c r="J74" i="22"/>
  <c r="O74" i="22" s="1"/>
  <c r="H189" i="21" s="1"/>
  <c r="C12" i="14"/>
  <c r="L176" i="12"/>
  <c r="K15" i="12" s="1"/>
  <c r="H56" i="22"/>
  <c r="N56" i="22" s="1"/>
  <c r="G178" i="21" s="1"/>
  <c r="F35" i="22"/>
  <c r="F59" i="22" s="1"/>
  <c r="I59" i="22" s="1"/>
  <c r="O59" i="22" s="1"/>
  <c r="H188" i="21" s="1"/>
  <c r="D9" i="14"/>
  <c r="J73" i="22"/>
  <c r="O73" i="22" s="1"/>
  <c r="K73" i="22"/>
  <c r="P73" i="22" s="1"/>
  <c r="I78" i="22"/>
  <c r="N78" i="22" s="1"/>
  <c r="G229" i="21" s="1"/>
  <c r="N169" i="21"/>
  <c r="J71" i="22"/>
  <c r="O71" i="22" s="1"/>
  <c r="H179" i="21" s="1"/>
  <c r="K78" i="22"/>
  <c r="P78" i="22" s="1"/>
  <c r="I229" i="21" s="1"/>
  <c r="J76" i="22"/>
  <c r="O76" i="22" s="1"/>
  <c r="H199" i="21" s="1"/>
  <c r="I77" i="22"/>
  <c r="N77" i="22" s="1"/>
  <c r="G219" i="21" s="1"/>
  <c r="J77" i="22"/>
  <c r="O77" i="22" s="1"/>
  <c r="H219" i="21" s="1"/>
  <c r="C11" i="14"/>
  <c r="D14" i="14"/>
  <c r="I74" i="22"/>
  <c r="I71" i="22"/>
  <c r="N71" i="22" s="1"/>
  <c r="G179" i="21" s="1"/>
  <c r="E80" i="22"/>
  <c r="C13" i="14"/>
  <c r="D13" i="14"/>
  <c r="H35" i="22"/>
  <c r="F61" i="22" s="1"/>
  <c r="I61" i="22" s="1"/>
  <c r="O61" i="22" s="1"/>
  <c r="H198" i="21" s="1"/>
  <c r="J35" i="22"/>
  <c r="F63" i="22" s="1"/>
  <c r="I63" i="22" s="1"/>
  <c r="O63" i="22" s="1"/>
  <c r="H228" i="21" s="1"/>
  <c r="G59" i="22"/>
  <c r="J59" i="22" s="1"/>
  <c r="P59" i="22" s="1"/>
  <c r="I188" i="21" s="1"/>
  <c r="G60" i="22"/>
  <c r="J60" i="22" s="1"/>
  <c r="P60" i="22" s="1"/>
  <c r="I208" i="21" s="1"/>
  <c r="D35" i="22"/>
  <c r="F58" i="22" s="1"/>
  <c r="I58" i="22" s="1"/>
  <c r="O58" i="22" s="1"/>
  <c r="G56" i="22"/>
  <c r="J56" i="22" s="1"/>
  <c r="P56" i="22" s="1"/>
  <c r="I178" i="21" s="1"/>
  <c r="G64" i="22"/>
  <c r="J64" i="22" s="1"/>
  <c r="P64" i="22" s="1"/>
  <c r="I238" i="21" s="1"/>
  <c r="N58" i="22"/>
  <c r="G35" i="22"/>
  <c r="F60" i="22" s="1"/>
  <c r="I60" i="22" s="1"/>
  <c r="O60" i="22" s="1"/>
  <c r="H208" i="21" s="1"/>
  <c r="N57" i="22"/>
  <c r="G168" i="21" s="1"/>
  <c r="K35" i="22"/>
  <c r="F64" i="22" s="1"/>
  <c r="I64" i="22" s="1"/>
  <c r="O64" i="22" s="1"/>
  <c r="H238" i="21" s="1"/>
  <c r="G62" i="22"/>
  <c r="J62" i="22" s="1"/>
  <c r="P62" i="22" s="1"/>
  <c r="I218" i="21" s="1"/>
  <c r="E64" i="22"/>
  <c r="H64" i="22" s="1"/>
  <c r="H65" i="22" s="1"/>
  <c r="G63" i="22"/>
  <c r="J63" i="22" s="1"/>
  <c r="P63" i="22" s="1"/>
  <c r="I228" i="21" s="1"/>
  <c r="I35" i="22"/>
  <c r="F62" i="22" s="1"/>
  <c r="I62" i="22" s="1"/>
  <c r="O62" i="22" s="1"/>
  <c r="H218" i="21" s="1"/>
  <c r="G61" i="22"/>
  <c r="J61" i="22" s="1"/>
  <c r="P61" i="22" s="1"/>
  <c r="I198" i="21" s="1"/>
  <c r="N63" i="22"/>
  <c r="G228" i="21" s="1"/>
  <c r="K74" i="22" l="1"/>
  <c r="P74" i="22" s="1"/>
  <c r="I189" i="21" s="1"/>
  <c r="D10" i="14"/>
  <c r="I75" i="22"/>
  <c r="C10" i="14"/>
  <c r="K76" i="22"/>
  <c r="P76" i="22" s="1"/>
  <c r="I199" i="21" s="1"/>
  <c r="J79" i="22"/>
  <c r="O79" i="22" s="1"/>
  <c r="H239" i="21" s="1"/>
  <c r="I79" i="22"/>
  <c r="N79" i="22" s="1"/>
  <c r="G239" i="21" s="1"/>
  <c r="D12" i="14"/>
  <c r="C15" i="14"/>
  <c r="K75" i="22"/>
  <c r="P75" i="22" s="1"/>
  <c r="I209" i="21" s="1"/>
  <c r="C9" i="14"/>
  <c r="I73" i="22"/>
  <c r="N73" i="22" s="1"/>
  <c r="K79" i="22"/>
  <c r="P79" i="22" s="1"/>
  <c r="I239" i="21" s="1"/>
  <c r="D11" i="14"/>
  <c r="I76" i="22"/>
  <c r="N76" i="22" s="1"/>
  <c r="G199" i="21" s="1"/>
  <c r="J78" i="22"/>
  <c r="O78" i="22" s="1"/>
  <c r="K16" i="12"/>
  <c r="N168" i="21"/>
  <c r="N219" i="21"/>
  <c r="L77" i="22"/>
  <c r="Z31" i="22" s="1"/>
  <c r="K56" i="22"/>
  <c r="N64" i="22"/>
  <c r="G238" i="21" s="1"/>
  <c r="L71" i="22"/>
  <c r="V31" i="22" s="1"/>
  <c r="N74" i="22"/>
  <c r="G189" i="21" s="1"/>
  <c r="K64" i="22"/>
  <c r="K63" i="22"/>
  <c r="K60" i="22"/>
  <c r="K58" i="22"/>
  <c r="N198" i="21"/>
  <c r="N228" i="21"/>
  <c r="N188" i="21"/>
  <c r="K59" i="22"/>
  <c r="E65" i="22"/>
  <c r="E66" i="22" s="1"/>
  <c r="N208" i="21"/>
  <c r="N218" i="21"/>
  <c r="K61" i="22"/>
  <c r="F65" i="22"/>
  <c r="F66" i="22" s="1"/>
  <c r="G65" i="22"/>
  <c r="G66" i="22" s="1"/>
  <c r="K62" i="22"/>
  <c r="I65" i="22"/>
  <c r="J65" i="22"/>
  <c r="N178" i="21"/>
  <c r="N179" i="21"/>
  <c r="L73" i="22" l="1"/>
  <c r="U31" i="22" s="1"/>
  <c r="H229" i="21"/>
  <c r="N199" i="21"/>
  <c r="L74" i="22"/>
  <c r="W31" i="22" s="1"/>
  <c r="N239" i="21"/>
  <c r="K80" i="22"/>
  <c r="I80" i="22"/>
  <c r="L76" i="22"/>
  <c r="Y31" i="22" s="1"/>
  <c r="L79" i="22"/>
  <c r="AB31" i="22" s="1"/>
  <c r="J80" i="22"/>
  <c r="L78" i="22"/>
  <c r="AA31" i="22" s="1"/>
  <c r="N75" i="22"/>
  <c r="L75" i="22"/>
  <c r="X31" i="22" s="1"/>
  <c r="H6" i="9"/>
  <c r="N238" i="21"/>
  <c r="N189" i="21"/>
  <c r="C6" i="9"/>
  <c r="D6" i="9"/>
  <c r="K65" i="22"/>
  <c r="AC31" i="22" l="1"/>
  <c r="E6" i="9"/>
  <c r="F6" i="9"/>
  <c r="N229" i="21"/>
  <c r="G209" i="21"/>
  <c r="L80" i="22"/>
  <c r="V45" i="22" s="1"/>
  <c r="V46" i="22" s="1"/>
  <c r="V49" i="22" s="1"/>
  <c r="J6" i="9"/>
  <c r="N209" i="21" l="1"/>
  <c r="I6" i="9"/>
  <c r="G6" i="9" l="1"/>
  <c r="I14" i="16"/>
  <c r="K6" i="9" l="1"/>
  <c r="K188" i="12"/>
  <c r="K189" i="12" s="1"/>
  <c r="K190" i="12" s="1"/>
  <c r="K191" i="12" s="1"/>
  <c r="C189" i="12"/>
  <c r="C190" i="12" s="1"/>
  <c r="C191" i="12" s="1"/>
  <c r="J188" i="12"/>
  <c r="J189" i="12" s="1"/>
  <c r="J190" i="12" s="1"/>
  <c r="H14" i="14" s="1"/>
  <c r="I14" i="14" s="1"/>
  <c r="G188" i="12"/>
  <c r="G189" i="12" s="1"/>
  <c r="G190" i="12" s="1"/>
  <c r="H11" i="14" s="1"/>
  <c r="I11" i="14" s="1"/>
  <c r="D188" i="12"/>
  <c r="D189" i="12" s="1"/>
  <c r="D190" i="12" s="1"/>
  <c r="D191" i="12" s="1"/>
  <c r="I188" i="12"/>
  <c r="I189" i="12" s="1"/>
  <c r="I190" i="12" s="1"/>
  <c r="H13" i="14" s="1"/>
  <c r="I13" i="14" s="1"/>
  <c r="E188" i="12"/>
  <c r="E189" i="12" s="1"/>
  <c r="E190" i="12" s="1"/>
  <c r="E191" i="12" s="1"/>
  <c r="F188" i="12"/>
  <c r="F189" i="12" s="1"/>
  <c r="F190" i="12" s="1"/>
  <c r="H10" i="14" s="1"/>
  <c r="I10" i="14" s="1"/>
  <c r="H15" i="14" l="1"/>
  <c r="I15" i="14" s="1"/>
  <c r="G191" i="12"/>
  <c r="J191" i="12"/>
  <c r="H8" i="14"/>
  <c r="I8" i="14" s="1"/>
  <c r="I191" i="12"/>
  <c r="F191" i="12"/>
  <c r="H9" i="14"/>
  <c r="I9" i="14" s="1"/>
  <c r="H7" i="14"/>
  <c r="I7" i="14" l="1"/>
  <c r="D242" i="12"/>
  <c r="F302" i="12" l="1"/>
  <c r="F303" i="12" s="1"/>
  <c r="F304" i="12" s="1"/>
  <c r="D302" i="12"/>
  <c r="D303" i="12" s="1"/>
  <c r="D304" i="12" s="1"/>
  <c r="G302" i="12"/>
  <c r="G303" i="12" s="1"/>
  <c r="G304" i="12" s="1"/>
  <c r="E302" i="12"/>
  <c r="E303" i="12" s="1"/>
  <c r="E304" i="12" s="1"/>
  <c r="I302" i="12"/>
  <c r="I303" i="12" s="1"/>
  <c r="I304" i="12" s="1"/>
  <c r="C302" i="12"/>
  <c r="C303" i="12" s="1"/>
  <c r="C304" i="12" s="1"/>
  <c r="J302" i="12"/>
  <c r="J303" i="12" s="1"/>
  <c r="J304" i="12" s="1"/>
  <c r="K302" i="12"/>
  <c r="K303" i="12" s="1"/>
  <c r="K304" i="12" s="1"/>
  <c r="K305" i="12" l="1"/>
  <c r="H29" i="14"/>
  <c r="I29" i="14" s="1"/>
  <c r="H28" i="14"/>
  <c r="I28" i="14" s="1"/>
  <c r="J305" i="12"/>
  <c r="I305" i="12"/>
  <c r="H27" i="14"/>
  <c r="I27" i="14" s="1"/>
  <c r="E305" i="12"/>
  <c r="H21" i="14"/>
  <c r="I21" i="14" s="1"/>
  <c r="C305" i="12"/>
  <c r="H22" i="14"/>
  <c r="I22" i="14" s="1"/>
  <c r="G305" i="12"/>
  <c r="H25" i="14"/>
  <c r="I25" i="14" s="1"/>
  <c r="D305" i="12"/>
  <c r="H23" i="14"/>
  <c r="I23" i="14" s="1"/>
  <c r="H24" i="14"/>
  <c r="I24" i="14" s="1"/>
  <c r="F305" i="12"/>
  <c r="E11" i="36"/>
  <c r="E10" i="36"/>
  <c r="F15" i="28" s="1"/>
  <c r="G15" i="28" s="1"/>
  <c r="E9" i="36"/>
  <c r="F14" i="28" s="1"/>
  <c r="G14" i="28" s="1"/>
  <c r="E8" i="36"/>
  <c r="F13" i="28" s="1"/>
  <c r="G13" i="28" s="1"/>
  <c r="E12" i="36"/>
  <c r="F17" i="28" s="1"/>
  <c r="G17" i="28" s="1"/>
  <c r="F12" i="28"/>
  <c r="G12" i="28" s="1"/>
  <c r="F16" i="28" l="1"/>
  <c r="G16" i="28" s="1"/>
  <c r="L15" i="28"/>
  <c r="O15" i="28" s="1"/>
  <c r="T15" i="28" s="1"/>
  <c r="H220" i="21" s="1"/>
  <c r="K15" i="28"/>
  <c r="N15" i="28" s="1"/>
  <c r="M15" i="28"/>
  <c r="P15" i="28" s="1"/>
  <c r="U15" i="28" s="1"/>
  <c r="I220" i="21" s="1"/>
  <c r="D13" i="36"/>
  <c r="D14" i="36" s="1"/>
  <c r="E6" i="36"/>
  <c r="L13" i="28"/>
  <c r="O13" i="28" s="1"/>
  <c r="T13" i="28" s="1"/>
  <c r="H210" i="21" s="1"/>
  <c r="M13" i="28"/>
  <c r="P13" i="28" s="1"/>
  <c r="U13" i="28" s="1"/>
  <c r="I210" i="21" s="1"/>
  <c r="K13" i="28"/>
  <c r="N13" i="28" s="1"/>
  <c r="L14" i="28"/>
  <c r="O14" i="28" s="1"/>
  <c r="T14" i="28" s="1"/>
  <c r="H200" i="21" s="1"/>
  <c r="K14" i="28"/>
  <c r="N14" i="28" s="1"/>
  <c r="M14" i="28"/>
  <c r="P14" i="28" s="1"/>
  <c r="U14" i="28" s="1"/>
  <c r="I200" i="21" s="1"/>
  <c r="M12" i="28"/>
  <c r="P12" i="28" s="1"/>
  <c r="U12" i="28" s="1"/>
  <c r="I190" i="21" s="1"/>
  <c r="K12" i="28"/>
  <c r="N12" i="28" s="1"/>
  <c r="L12" i="28"/>
  <c r="O12" i="28" s="1"/>
  <c r="T12" i="28" s="1"/>
  <c r="H190" i="21" s="1"/>
  <c r="M17" i="28"/>
  <c r="P17" i="28" s="1"/>
  <c r="U17" i="28" s="1"/>
  <c r="I240" i="21" s="1"/>
  <c r="K17" i="28"/>
  <c r="N17" i="28" s="1"/>
  <c r="L17" i="28"/>
  <c r="O17" i="28" s="1"/>
  <c r="T17" i="28" s="1"/>
  <c r="H240" i="21" s="1"/>
  <c r="L16" i="28" l="1"/>
  <c r="O16" i="28" s="1"/>
  <c r="T16" i="28" s="1"/>
  <c r="H230" i="21" s="1"/>
  <c r="M16" i="28"/>
  <c r="P16" i="28" s="1"/>
  <c r="U16" i="28" s="1"/>
  <c r="I230" i="21" s="1"/>
  <c r="K16" i="28"/>
  <c r="N16" i="28" s="1"/>
  <c r="S12" i="28"/>
  <c r="G190" i="21" s="1"/>
  <c r="Q12" i="28"/>
  <c r="E13" i="36"/>
  <c r="F9" i="28"/>
  <c r="S17" i="28"/>
  <c r="G240" i="21" s="1"/>
  <c r="Q17" i="28"/>
  <c r="S16" i="28"/>
  <c r="G230" i="21" s="1"/>
  <c r="S14" i="28"/>
  <c r="G200" i="21" s="1"/>
  <c r="Q14" i="28"/>
  <c r="S13" i="28"/>
  <c r="G210" i="21" s="1"/>
  <c r="Q13" i="28"/>
  <c r="Q15" i="28"/>
  <c r="S15" i="28"/>
  <c r="G220" i="21" s="1"/>
  <c r="Q16" i="28" l="1"/>
  <c r="N230" i="21"/>
  <c r="N190" i="21"/>
  <c r="N200" i="21"/>
  <c r="N240" i="21"/>
  <c r="N220" i="21"/>
  <c r="N210" i="21"/>
  <c r="F18" i="28"/>
  <c r="G18" i="28" s="1"/>
  <c r="G9" i="28"/>
  <c r="F10" i="28"/>
  <c r="G10" i="28" s="1"/>
  <c r="J7" i="9" l="1"/>
  <c r="J11" i="9" s="1"/>
  <c r="F7" i="9"/>
  <c r="F11" i="9" s="1"/>
  <c r="G7" i="9"/>
  <c r="G11" i="9" s="1"/>
  <c r="E7" i="9"/>
  <c r="E11" i="9" s="1"/>
  <c r="H7" i="9"/>
  <c r="H11" i="9" s="1"/>
  <c r="I7" i="9"/>
  <c r="I11" i="9" s="1"/>
  <c r="M10" i="28"/>
  <c r="P10" i="28" s="1"/>
  <c r="U10" i="28" s="1"/>
  <c r="I170" i="21" s="1"/>
  <c r="L10" i="28"/>
  <c r="O10" i="28" s="1"/>
  <c r="T10" i="28" s="1"/>
  <c r="H170" i="21" s="1"/>
  <c r="K10" i="28"/>
  <c r="N10" i="28" s="1"/>
  <c r="L9" i="28"/>
  <c r="M9" i="28"/>
  <c r="K9" i="28"/>
  <c r="F11" i="28"/>
  <c r="G11" i="28" s="1"/>
  <c r="L11" i="28" l="1"/>
  <c r="O11" i="28" s="1"/>
  <c r="T11" i="28" s="1"/>
  <c r="K11" i="28"/>
  <c r="N11" i="28" s="1"/>
  <c r="M11" i="28"/>
  <c r="P11" i="28" s="1"/>
  <c r="U11" i="28" s="1"/>
  <c r="N9" i="28"/>
  <c r="K18" i="28"/>
  <c r="P9" i="28"/>
  <c r="M18" i="28"/>
  <c r="L18" i="28"/>
  <c r="O9" i="28"/>
  <c r="S10" i="28"/>
  <c r="G170" i="21" s="1"/>
  <c r="Q10" i="28"/>
  <c r="H26" i="16" s="1"/>
  <c r="N170" i="21" l="1"/>
  <c r="U9" i="28"/>
  <c r="I180" i="21" s="1"/>
  <c r="P18" i="28"/>
  <c r="S11" i="28"/>
  <c r="Q11" i="28"/>
  <c r="I26" i="16" s="1"/>
  <c r="H27" i="16" s="1"/>
  <c r="H13" i="16" s="1"/>
  <c r="I13" i="16" s="1"/>
  <c r="N18" i="28"/>
  <c r="S9" i="28"/>
  <c r="G180" i="21" s="1"/>
  <c r="Q9" i="28"/>
  <c r="T9" i="28"/>
  <c r="H180" i="21" s="1"/>
  <c r="O18" i="28"/>
  <c r="C7" i="9" l="1"/>
  <c r="N180" i="21"/>
  <c r="Q18" i="28"/>
  <c r="D7" i="9" l="1"/>
  <c r="K7" i="9" l="1"/>
  <c r="D61" i="10" l="1"/>
  <c r="D60" i="10"/>
  <c r="C56" i="33" l="1"/>
  <c r="C88" i="34"/>
  <c r="D56" i="33"/>
  <c r="C92" i="34"/>
  <c r="C86" i="34"/>
  <c r="C91" i="34"/>
  <c r="C84" i="34"/>
  <c r="C94" i="34"/>
  <c r="C85" i="34"/>
  <c r="C93" i="34"/>
  <c r="C90" i="34"/>
  <c r="C89" i="34"/>
  <c r="C87" i="34"/>
  <c r="C30" i="34"/>
  <c r="C24" i="34"/>
  <c r="C26" i="34"/>
  <c r="C23" i="34"/>
  <c r="C25" i="34"/>
  <c r="C22" i="33"/>
  <c r="C29" i="34"/>
  <c r="D22" i="33"/>
  <c r="C27" i="34"/>
  <c r="C95" i="34" l="1"/>
  <c r="C7" i="34" s="1"/>
  <c r="E75" i="29" s="1"/>
  <c r="H8" i="33"/>
  <c r="D25" i="33"/>
  <c r="G8" i="33"/>
  <c r="C25" i="33"/>
  <c r="D59" i="33"/>
  <c r="D8" i="33"/>
  <c r="C32" i="34"/>
  <c r="G7" i="34" s="1"/>
  <c r="C59" i="33"/>
  <c r="C8" i="33"/>
  <c r="C6" i="34" l="1"/>
  <c r="E74" i="29" s="1"/>
  <c r="I74" i="29" s="1"/>
  <c r="C15" i="34"/>
  <c r="E11" i="30"/>
  <c r="G15" i="33"/>
  <c r="G6" i="33"/>
  <c r="E9" i="30" s="1"/>
  <c r="E79" i="30"/>
  <c r="C15" i="33"/>
  <c r="C6" i="33"/>
  <c r="E77" i="30" s="1"/>
  <c r="H6" i="33"/>
  <c r="E25" i="30" s="1"/>
  <c r="E27" i="30"/>
  <c r="H15" i="33"/>
  <c r="G15" i="34"/>
  <c r="E10" i="29"/>
  <c r="G6" i="34"/>
  <c r="E9" i="29" s="1"/>
  <c r="D6" i="33"/>
  <c r="E93" i="30" s="1"/>
  <c r="E95" i="30"/>
  <c r="D15" i="33"/>
  <c r="I75" i="29"/>
  <c r="L75" i="29" s="1"/>
  <c r="K75" i="29"/>
  <c r="N75" i="29" s="1"/>
  <c r="S75" i="29" s="1"/>
  <c r="I12" i="21" s="1"/>
  <c r="J75" i="29"/>
  <c r="M75" i="29" s="1"/>
  <c r="R75" i="29" s="1"/>
  <c r="H12" i="21" s="1"/>
  <c r="J74" i="29" l="1"/>
  <c r="J83" i="29" s="1"/>
  <c r="K74" i="29"/>
  <c r="K83" i="29" s="1"/>
  <c r="E83" i="29"/>
  <c r="J9" i="29"/>
  <c r="K9" i="29"/>
  <c r="E18" i="29"/>
  <c r="I9" i="29"/>
  <c r="K27" i="30"/>
  <c r="P27" i="30" s="1"/>
  <c r="I27" i="30"/>
  <c r="J27" i="30"/>
  <c r="O27" i="30" s="1"/>
  <c r="J77" i="30"/>
  <c r="K77" i="30"/>
  <c r="I77" i="30"/>
  <c r="E86" i="30"/>
  <c r="I10" i="29"/>
  <c r="L10" i="29" s="1"/>
  <c r="J10" i="29"/>
  <c r="M10" i="29" s="1"/>
  <c r="R10" i="29" s="1"/>
  <c r="H172" i="21" s="1"/>
  <c r="K10" i="29"/>
  <c r="N10" i="29" s="1"/>
  <c r="S10" i="29" s="1"/>
  <c r="I172" i="21" s="1"/>
  <c r="K25" i="30"/>
  <c r="I25" i="30"/>
  <c r="J25" i="30"/>
  <c r="E34" i="30"/>
  <c r="O75" i="29"/>
  <c r="Q75" i="29"/>
  <c r="G12" i="21" s="1"/>
  <c r="K79" i="30"/>
  <c r="P79" i="30" s="1"/>
  <c r="I79" i="30"/>
  <c r="J79" i="30"/>
  <c r="O79" i="30" s="1"/>
  <c r="I83" i="29"/>
  <c r="L74" i="29"/>
  <c r="J9" i="30"/>
  <c r="I9" i="30"/>
  <c r="E18" i="30"/>
  <c r="K9" i="30"/>
  <c r="I95" i="30"/>
  <c r="J95" i="30"/>
  <c r="O95" i="30" s="1"/>
  <c r="K95" i="30"/>
  <c r="P95" i="30" s="1"/>
  <c r="K93" i="30"/>
  <c r="E102" i="30"/>
  <c r="I93" i="30"/>
  <c r="J93" i="30"/>
  <c r="I11" i="30"/>
  <c r="K11" i="30"/>
  <c r="P11" i="30" s="1"/>
  <c r="J11" i="30"/>
  <c r="O11" i="30" s="1"/>
  <c r="N74" i="29" l="1"/>
  <c r="S74" i="29" s="1"/>
  <c r="I22" i="21" s="1"/>
  <c r="M74" i="29"/>
  <c r="N12" i="21"/>
  <c r="J102" i="30"/>
  <c r="O93" i="30"/>
  <c r="N83" i="29"/>
  <c r="L25" i="30"/>
  <c r="L34" i="30" s="1"/>
  <c r="N25" i="30"/>
  <c r="I34" i="30"/>
  <c r="J86" i="30"/>
  <c r="O77" i="30"/>
  <c r="J18" i="30"/>
  <c r="O9" i="30"/>
  <c r="N27" i="30"/>
  <c r="L27" i="30"/>
  <c r="P93" i="30"/>
  <c r="K102" i="30"/>
  <c r="L83" i="29"/>
  <c r="Q74" i="29"/>
  <c r="G22" i="21" s="1"/>
  <c r="Q10" i="29"/>
  <c r="G172" i="21" s="1"/>
  <c r="O10" i="29"/>
  <c r="I18" i="29"/>
  <c r="L9" i="29"/>
  <c r="N93" i="30"/>
  <c r="I102" i="30"/>
  <c r="L93" i="30"/>
  <c r="L102" i="30" s="1"/>
  <c r="I18" i="30"/>
  <c r="N9" i="30"/>
  <c r="L9" i="30"/>
  <c r="L18" i="30" s="1"/>
  <c r="K34" i="30"/>
  <c r="P25" i="30"/>
  <c r="L95" i="30"/>
  <c r="N95" i="30"/>
  <c r="L79" i="30"/>
  <c r="N79" i="30"/>
  <c r="N77" i="30"/>
  <c r="I86" i="30"/>
  <c r="L77" i="30"/>
  <c r="L86" i="30" s="1"/>
  <c r="K18" i="29"/>
  <c r="N9" i="29"/>
  <c r="L11" i="30"/>
  <c r="N11" i="30"/>
  <c r="P9" i="30"/>
  <c r="K18" i="30"/>
  <c r="O25" i="30"/>
  <c r="J34" i="30"/>
  <c r="P77" i="30"/>
  <c r="K86" i="30"/>
  <c r="M9" i="29"/>
  <c r="J18" i="29"/>
  <c r="H24" i="21" l="1"/>
  <c r="O74" i="29"/>
  <c r="G24" i="21"/>
  <c r="M83" i="29"/>
  <c r="R74" i="29"/>
  <c r="H22" i="21" s="1"/>
  <c r="G184" i="21"/>
  <c r="N172" i="21"/>
  <c r="C30" i="9"/>
  <c r="C33" i="9" s="1"/>
  <c r="I184" i="21"/>
  <c r="I24" i="21"/>
  <c r="O9" i="29"/>
  <c r="L18" i="29"/>
  <c r="Q9" i="29"/>
  <c r="G182" i="21" s="1"/>
  <c r="O83" i="29"/>
  <c r="H184" i="21"/>
  <c r="R9" i="29"/>
  <c r="H182" i="21" s="1"/>
  <c r="M18" i="29"/>
  <c r="N18" i="29"/>
  <c r="S9" i="29"/>
  <c r="I182" i="21" s="1"/>
  <c r="N22" i="21" l="1"/>
  <c r="N24" i="21"/>
  <c r="C8" i="9"/>
  <c r="C11" i="9" s="1"/>
  <c r="N184" i="21"/>
  <c r="N182" i="21"/>
  <c r="O18" i="29"/>
  <c r="D30" i="9" l="1"/>
  <c r="K30" i="9" s="1"/>
  <c r="D31" i="9"/>
  <c r="D9" i="9"/>
  <c r="K9" i="9" s="1"/>
  <c r="D8" i="9"/>
  <c r="D11" i="9" l="1"/>
  <c r="K11" i="9" s="1"/>
  <c r="K8" i="9"/>
  <c r="D33" i="9"/>
  <c r="K33" i="9" s="1"/>
  <c r="K3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Golla, Emily</author>
    <author>Huttinger, Louise</author>
  </authors>
  <commentList>
    <comment ref="C110" authorId="0" shapeId="0" xr:uid="{8BCAE4E2-5F4E-4525-993D-9720AD91A2E5}">
      <text>
        <r>
          <rPr>
            <b/>
            <sz val="9"/>
            <color indexed="81"/>
            <rFont val="Tahoma"/>
            <family val="2"/>
          </rPr>
          <t>Golla, Emily:</t>
        </r>
        <r>
          <rPr>
            <sz val="9"/>
            <color indexed="81"/>
            <rFont val="Tahoma"/>
            <family val="2"/>
          </rPr>
          <t xml:space="preserve">
The NTD lists 16,427 but does not explicitly identify the unit.  Based on other years of NTD data, the quantity is assumed to be 16,427,000 gallons.</t>
        </r>
      </text>
    </comment>
    <comment ref="C165" authorId="1" shapeId="0" xr:uid="{EF1559AF-B0EE-42C6-ADA3-E26104492004}">
      <text>
        <r>
          <rPr>
            <b/>
            <sz val="9"/>
            <color indexed="81"/>
            <rFont val="Tahoma"/>
            <family val="2"/>
          </rPr>
          <t>Huttinger, Louise:</t>
        </r>
        <r>
          <rPr>
            <sz val="9"/>
            <color indexed="81"/>
            <rFont val="Tahoma"/>
            <family val="2"/>
          </rPr>
          <t xml:space="preserve">
Source: AECOM 2015 Chicago Inventory Appendix.</t>
        </r>
      </text>
    </comment>
    <comment ref="C238" authorId="1" shapeId="0" xr:uid="{50CCA200-C414-4C51-861A-9DD05F97A38D}">
      <text>
        <r>
          <rPr>
            <b/>
            <sz val="9"/>
            <color indexed="81"/>
            <rFont val="Tahoma"/>
            <family val="2"/>
          </rPr>
          <t>Huttinger, Louise:</t>
        </r>
        <r>
          <rPr>
            <sz val="9"/>
            <color indexed="81"/>
            <rFont val="Tahoma"/>
            <family val="2"/>
          </rPr>
          <t xml:space="preserve">
Source: AECOM 2015 Chicago Inventory Appendix.</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<sst xmlns="http://schemas.openxmlformats.org/spreadsheetml/2006/main" count="57576" uniqueCount="915">
  <si>
    <t>Overview</t>
  </si>
  <si>
    <t xml:space="preserve">Prepared for: </t>
  </si>
  <si>
    <t xml:space="preserve">Prepared by: </t>
  </si>
  <si>
    <t>Purpose:</t>
  </si>
  <si>
    <t>Summarizes 2010, 2015 and 2019 emissions from the Transportation sector for the CMAP Region</t>
  </si>
  <si>
    <t>Developed by:</t>
  </si>
  <si>
    <t>Emily Golla, Ajo Rabemiarisoa and Rahul Dagli, ICF</t>
  </si>
  <si>
    <t>Date:</t>
  </si>
  <si>
    <t>Notes:</t>
  </si>
  <si>
    <t>Green tabs contain summary information, blue tabs contain emissions calculations, orange tabs contain raw data, grey tabs contain emission factors, constants and other assumptions</t>
  </si>
  <si>
    <t>Table Of Contents</t>
  </si>
  <si>
    <t>Worksheet Name</t>
  </si>
  <si>
    <t>Contents</t>
  </si>
  <si>
    <t>Summary</t>
  </si>
  <si>
    <t>Summary of Transportation sector emissions by sub-sector, year, and geography</t>
  </si>
  <si>
    <t>Emissions Data</t>
  </si>
  <si>
    <t>Compilation of the emissions data from all covered years and transportation subsectors</t>
  </si>
  <si>
    <t>On-road</t>
  </si>
  <si>
    <r>
      <t>Calculation steps for all GHG emissions (CO</t>
    </r>
    <r>
      <rPr>
        <vertAlign val="subscript"/>
        <sz val="10"/>
        <rFont val="Arial"/>
        <family val="2"/>
      </rPr>
      <t>2</t>
    </r>
    <r>
      <rPr>
        <sz val="10"/>
        <rFont val="Arial"/>
        <family val="2"/>
      </rPr>
      <t>, CH</t>
    </r>
    <r>
      <rPr>
        <vertAlign val="subscript"/>
        <sz val="10"/>
        <rFont val="Arial"/>
        <family val="2"/>
      </rPr>
      <t>4</t>
    </r>
    <r>
      <rPr>
        <sz val="10"/>
        <rFont val="Arial"/>
        <family val="2"/>
      </rPr>
      <t>, and N</t>
    </r>
    <r>
      <rPr>
        <vertAlign val="subscript"/>
        <sz val="10"/>
        <rFont val="Arial"/>
        <family val="2"/>
      </rPr>
      <t>2</t>
    </r>
    <r>
      <rPr>
        <sz val="10"/>
        <rFont val="Arial"/>
        <family val="2"/>
      </rPr>
      <t>O) in the on-road subsector for the years 2010, 2015, and 2019</t>
    </r>
  </si>
  <si>
    <t>Rail</t>
  </si>
  <si>
    <r>
      <t>Calculation steps for all GHG emissions (CO</t>
    </r>
    <r>
      <rPr>
        <vertAlign val="subscript"/>
        <sz val="10"/>
        <rFont val="Arial"/>
        <family val="2"/>
      </rPr>
      <t>2</t>
    </r>
    <r>
      <rPr>
        <sz val="10"/>
        <rFont val="Arial"/>
        <family val="2"/>
      </rPr>
      <t>, CH</t>
    </r>
    <r>
      <rPr>
        <vertAlign val="subscript"/>
        <sz val="10"/>
        <rFont val="Arial"/>
        <family val="2"/>
      </rPr>
      <t>4</t>
    </r>
    <r>
      <rPr>
        <sz val="10"/>
        <rFont val="Arial"/>
        <family val="2"/>
      </rPr>
      <t>, and N</t>
    </r>
    <r>
      <rPr>
        <vertAlign val="subscript"/>
        <sz val="10"/>
        <rFont val="Arial"/>
        <family val="2"/>
      </rPr>
      <t>2</t>
    </r>
    <r>
      <rPr>
        <sz val="10"/>
        <rFont val="Arial"/>
        <family val="2"/>
      </rPr>
      <t>O) in the rail subsector, for the years 2010, 2015, and 2019</t>
    </r>
  </si>
  <si>
    <t>Waterborne</t>
  </si>
  <si>
    <r>
      <t>Calculation steps for all GHG emissions (CO</t>
    </r>
    <r>
      <rPr>
        <vertAlign val="subscript"/>
        <sz val="10"/>
        <rFont val="Arial"/>
        <family val="2"/>
      </rPr>
      <t>2</t>
    </r>
    <r>
      <rPr>
        <sz val="10"/>
        <rFont val="Arial"/>
        <family val="2"/>
      </rPr>
      <t>, CH</t>
    </r>
    <r>
      <rPr>
        <vertAlign val="subscript"/>
        <sz val="10"/>
        <rFont val="Arial"/>
        <family val="2"/>
      </rPr>
      <t>4</t>
    </r>
    <r>
      <rPr>
        <sz val="10"/>
        <rFont val="Arial"/>
        <family val="2"/>
      </rPr>
      <t>, and N</t>
    </r>
    <r>
      <rPr>
        <vertAlign val="subscript"/>
        <sz val="10"/>
        <rFont val="Arial"/>
        <family val="2"/>
      </rPr>
      <t>2</t>
    </r>
    <r>
      <rPr>
        <sz val="10"/>
        <rFont val="Arial"/>
        <family val="2"/>
      </rPr>
      <t>O) in the waterborne activities subsector for the years 2010, 2015, and 2019</t>
    </r>
  </si>
  <si>
    <t>Aviation</t>
  </si>
  <si>
    <r>
      <t>Calculation steps for all GHG emissions (CO</t>
    </r>
    <r>
      <rPr>
        <vertAlign val="subscript"/>
        <sz val="10"/>
        <rFont val="Arial"/>
        <family val="2"/>
      </rPr>
      <t>2</t>
    </r>
    <r>
      <rPr>
        <sz val="10"/>
        <rFont val="Arial"/>
        <family val="2"/>
      </rPr>
      <t>, CH</t>
    </r>
    <r>
      <rPr>
        <vertAlign val="subscript"/>
        <sz val="10"/>
        <rFont val="Arial"/>
        <family val="2"/>
      </rPr>
      <t>4</t>
    </r>
    <r>
      <rPr>
        <sz val="10"/>
        <rFont val="Arial"/>
        <family val="2"/>
      </rPr>
      <t>, and N</t>
    </r>
    <r>
      <rPr>
        <vertAlign val="subscript"/>
        <sz val="10"/>
        <rFont val="Arial"/>
        <family val="2"/>
      </rPr>
      <t>2</t>
    </r>
    <r>
      <rPr>
        <sz val="10"/>
        <rFont val="Arial"/>
        <family val="2"/>
      </rPr>
      <t>O) in the aviation subsector for the years 2010, 2015, and 2019</t>
    </r>
  </si>
  <si>
    <t>Off-road</t>
  </si>
  <si>
    <r>
      <t>Calculation steps for all GHG emissions (CO</t>
    </r>
    <r>
      <rPr>
        <vertAlign val="subscript"/>
        <sz val="10"/>
        <rFont val="Arial"/>
        <family val="2"/>
      </rPr>
      <t>2</t>
    </r>
    <r>
      <rPr>
        <sz val="10"/>
        <rFont val="Arial"/>
        <family val="2"/>
      </rPr>
      <t>, CH</t>
    </r>
    <r>
      <rPr>
        <vertAlign val="subscript"/>
        <sz val="10"/>
        <rFont val="Arial"/>
        <family val="2"/>
      </rPr>
      <t>4</t>
    </r>
    <r>
      <rPr>
        <sz val="10"/>
        <rFont val="Arial"/>
        <family val="2"/>
      </rPr>
      <t>, and N</t>
    </r>
    <r>
      <rPr>
        <vertAlign val="subscript"/>
        <sz val="10"/>
        <rFont val="Arial"/>
        <family val="2"/>
      </rPr>
      <t>2</t>
    </r>
    <r>
      <rPr>
        <sz val="10"/>
        <rFont val="Arial"/>
        <family val="2"/>
      </rPr>
      <t>O) in the off-road subsector for the years 2010, 2015, and 2019</t>
    </r>
  </si>
  <si>
    <t>Onroad Data</t>
  </si>
  <si>
    <t>Compilation of raw data used for calculation of emissions from the onroad transportation sub-sector</t>
  </si>
  <si>
    <t>Passenger Rail</t>
  </si>
  <si>
    <t>Compilation of raw data used for calculation of emissions from the passenger rail transportation sub-sector</t>
  </si>
  <si>
    <t>Freight Summary</t>
  </si>
  <si>
    <t>Compilation of raw data used for calculation of emissions from the freight rail transportation sub-sector</t>
  </si>
  <si>
    <t>Waterborne Data</t>
  </si>
  <si>
    <t>Compilation of raw data used for calculation of emissions from the waterborne activities transportation sub-sector</t>
  </si>
  <si>
    <t>Aviation Data</t>
  </si>
  <si>
    <t>Compilation of raw data used for calculation of emissions from the aviation transportation sub-sector</t>
  </si>
  <si>
    <t>Offroad Data</t>
  </si>
  <si>
    <t>Compilation of raw data used for calculation of emissions from the off-road transportation sub-sector</t>
  </si>
  <si>
    <t>Offroad Allocation</t>
  </si>
  <si>
    <t>Summary of assumptions used to allocate off-road emissions to the City of Chicago</t>
  </si>
  <si>
    <t xml:space="preserve">Freight Data 2019 </t>
  </si>
  <si>
    <t>Detailed data provided by Oak Ridge National Laboratory to calculate ton-mile data for freight rail transportation sub-sector, in 2019</t>
  </si>
  <si>
    <t>Freight Data 2015</t>
  </si>
  <si>
    <t>Detailed data provided by Oak Ridge National Laboratory to calculate ton-mile data for freight rail transportation sub-sector, in 2015</t>
  </si>
  <si>
    <t>Freight Data 2010</t>
  </si>
  <si>
    <t xml:space="preserve">Detailed data provided by Oak Ridge National Laboratory to calculate ton-mile data for freight rail transportation sub-sector, in 2010 </t>
  </si>
  <si>
    <t>Outputs for Energy</t>
  </si>
  <si>
    <t>Energy quantities associated with the transportation sector that would overlap with the stationary energy sector</t>
  </si>
  <si>
    <t>Emission Factors</t>
  </si>
  <si>
    <t>Summary of emission factors used in this analysis</t>
  </si>
  <si>
    <t>Constants &amp; Conversions</t>
  </si>
  <si>
    <t>Summary of constants and conversions, including GWP values</t>
  </si>
  <si>
    <t>Key</t>
  </si>
  <si>
    <t>Totals are bold</t>
  </si>
  <si>
    <t>Summary Emissions (MMTCO2eq.)</t>
  </si>
  <si>
    <t>Year:</t>
  </si>
  <si>
    <t>Sub-Sector</t>
  </si>
  <si>
    <t>City of Chicago</t>
  </si>
  <si>
    <t>Cook County</t>
  </si>
  <si>
    <t>DuPage County</t>
  </si>
  <si>
    <t>Kendall County</t>
  </si>
  <si>
    <t>Kane County</t>
  </si>
  <si>
    <t>Lake County</t>
  </si>
  <si>
    <t>McHenry County</t>
  </si>
  <si>
    <t>Will County</t>
  </si>
  <si>
    <t>Regional Total</t>
  </si>
  <si>
    <t>On-Road</t>
  </si>
  <si>
    <t>Railways</t>
  </si>
  <si>
    <t>Waterborne Navigation</t>
  </si>
  <si>
    <t>Off-Road</t>
  </si>
  <si>
    <t>Transportation Total</t>
  </si>
  <si>
    <t>Detailed Emissions Data (MMTCO2eq.)</t>
  </si>
  <si>
    <r>
      <rPr>
        <b/>
        <sz val="11"/>
        <color theme="1"/>
        <rFont val="Arial"/>
        <family val="2"/>
        <scheme val="minor"/>
      </rPr>
      <t xml:space="preserve">Overview: </t>
    </r>
    <r>
      <rPr>
        <sz val="11"/>
        <color theme="1"/>
        <rFont val="Arial"/>
        <family val="2"/>
        <scheme val="minor"/>
      </rPr>
      <t xml:space="preserve">This tab summarizes transportation sector emissions by year, region, subsector, scope, and gas. </t>
    </r>
  </si>
  <si>
    <r>
      <rPr>
        <b/>
        <sz val="11"/>
        <color theme="1"/>
        <rFont val="Arial"/>
        <family val="2"/>
        <scheme val="minor"/>
      </rPr>
      <t>Data Source</t>
    </r>
    <r>
      <rPr>
        <sz val="11"/>
        <color theme="1"/>
        <rFont val="Arial"/>
        <family val="2"/>
        <scheme val="minor"/>
      </rPr>
      <t>: Data is pulled into this tab from the blue calculation tabs.</t>
    </r>
  </si>
  <si>
    <r>
      <rPr>
        <b/>
        <sz val="11"/>
        <color theme="1"/>
        <rFont val="Arial"/>
        <family val="2"/>
        <scheme val="minor"/>
      </rPr>
      <t xml:space="preserve">Data Dependencies: </t>
    </r>
    <r>
      <rPr>
        <sz val="11"/>
        <color theme="1"/>
        <rFont val="Arial"/>
        <family val="2"/>
        <scheme val="minor"/>
      </rPr>
      <t>Data from this tab is used to populate the Summary tab within this workbook as well as the Emissions Data tab in the CMAP Inventory Summary workbook.</t>
    </r>
  </si>
  <si>
    <t>Year</t>
  </si>
  <si>
    <t>County</t>
  </si>
  <si>
    <t>Sector</t>
  </si>
  <si>
    <t>Subsector</t>
  </si>
  <si>
    <t>Scope</t>
  </si>
  <si>
    <r>
      <t>CO</t>
    </r>
    <r>
      <rPr>
        <b/>
        <vertAlign val="subscript"/>
        <sz val="11"/>
        <color theme="0"/>
        <rFont val="Arial"/>
        <family val="2"/>
        <scheme val="minor"/>
      </rPr>
      <t>2</t>
    </r>
  </si>
  <si>
    <r>
      <t>CH</t>
    </r>
    <r>
      <rPr>
        <b/>
        <vertAlign val="subscript"/>
        <sz val="11"/>
        <color theme="0"/>
        <rFont val="Arial"/>
        <family val="2"/>
        <scheme val="minor"/>
      </rPr>
      <t>4</t>
    </r>
  </si>
  <si>
    <r>
      <t>N</t>
    </r>
    <r>
      <rPr>
        <b/>
        <vertAlign val="subscript"/>
        <sz val="11"/>
        <color theme="0"/>
        <rFont val="Arial"/>
        <family val="2"/>
        <scheme val="minor"/>
      </rPr>
      <t>2</t>
    </r>
    <r>
      <rPr>
        <b/>
        <sz val="11"/>
        <color theme="0"/>
        <rFont val="Arial"/>
        <family val="2"/>
        <scheme val="minor"/>
      </rPr>
      <t>O</t>
    </r>
  </si>
  <si>
    <t>HFCs</t>
  </si>
  <si>
    <t>PFCs</t>
  </si>
  <si>
    <r>
      <t>SF</t>
    </r>
    <r>
      <rPr>
        <b/>
        <vertAlign val="subscript"/>
        <sz val="11"/>
        <color theme="0"/>
        <rFont val="Arial"/>
        <family val="2"/>
        <scheme val="minor"/>
      </rPr>
      <t>6</t>
    </r>
  </si>
  <si>
    <r>
      <t>NF</t>
    </r>
    <r>
      <rPr>
        <b/>
        <vertAlign val="subscript"/>
        <sz val="11"/>
        <color theme="0"/>
        <rFont val="Arial"/>
        <family val="2"/>
        <scheme val="minor"/>
      </rPr>
      <t>3</t>
    </r>
  </si>
  <si>
    <t>Total</t>
  </si>
  <si>
    <r>
      <t>CO</t>
    </r>
    <r>
      <rPr>
        <b/>
        <vertAlign val="subscript"/>
        <sz val="11"/>
        <color theme="0"/>
        <rFont val="Arial"/>
        <family val="2"/>
        <scheme val="minor"/>
      </rPr>
      <t>2</t>
    </r>
    <r>
      <rPr>
        <b/>
        <sz val="11"/>
        <color theme="0"/>
        <rFont val="Arial"/>
        <family val="2"/>
        <scheme val="minor"/>
      </rPr>
      <t>(b)</t>
    </r>
  </si>
  <si>
    <t>Transportation</t>
  </si>
  <si>
    <t>Waterborne navigation</t>
  </si>
  <si>
    <t>On Road</t>
  </si>
  <si>
    <t>For 'Emissions Data' Tab (MMTCO2eq.)</t>
  </si>
  <si>
    <t>CO2</t>
  </si>
  <si>
    <t>CH4</t>
  </si>
  <si>
    <t>N2O</t>
  </si>
  <si>
    <t>Combustion Engine - CO2 Emissions (MT CO2)</t>
  </si>
  <si>
    <t>For Emissions Summaries</t>
  </si>
  <si>
    <t>Vehicle Type</t>
  </si>
  <si>
    <t>Cook balance</t>
  </si>
  <si>
    <t>Motorcycle</t>
  </si>
  <si>
    <t>Passenger</t>
  </si>
  <si>
    <t>Passenger Car</t>
  </si>
  <si>
    <t>Commercial</t>
  </si>
  <si>
    <t>Passenger Truck</t>
  </si>
  <si>
    <t>Transit</t>
  </si>
  <si>
    <t>Light Truck</t>
  </si>
  <si>
    <t>Transit Bus</t>
  </si>
  <si>
    <t>School Bus</t>
  </si>
  <si>
    <t>Refuse Truck</t>
  </si>
  <si>
    <t>Single Unit SH</t>
  </si>
  <si>
    <t>Single Unit LH</t>
  </si>
  <si>
    <t>Motor Home</t>
  </si>
  <si>
    <t>Combination SH</t>
  </si>
  <si>
    <t>Combination LH</t>
  </si>
  <si>
    <t>Combustion Engine - CH4 Emissions (MT CH4)</t>
  </si>
  <si>
    <t>Total Comb</t>
  </si>
  <si>
    <t>Comb + EV</t>
  </si>
  <si>
    <t>Combustion Engine - N2O Emissions  (MT N2O)</t>
  </si>
  <si>
    <t>For trends analysis</t>
  </si>
  <si>
    <t>CO2 passenger emissions</t>
  </si>
  <si>
    <t>CH4 passenger emissions</t>
  </si>
  <si>
    <t>N20 passenger emissions</t>
  </si>
  <si>
    <t>EV emissions</t>
  </si>
  <si>
    <t>VMT</t>
  </si>
  <si>
    <t>MTCO2/1000 miles</t>
  </si>
  <si>
    <t>Combustion Engine Emissions</t>
  </si>
  <si>
    <t>Total Emissions (MT)</t>
  </si>
  <si>
    <t>Total Emissions (MTCO2e)</t>
  </si>
  <si>
    <t>TOTAL</t>
  </si>
  <si>
    <t>Cook (Balance)</t>
  </si>
  <si>
    <t>Electricity</t>
  </si>
  <si>
    <t>Electricity Consumption  (kWh)</t>
  </si>
  <si>
    <t>lbs. CO2/MWh</t>
  </si>
  <si>
    <t>lbs. CH4/MWh</t>
  </si>
  <si>
    <t>lbs. N2O/MWh</t>
  </si>
  <si>
    <t>CO2 Emissions (MT CO2)</t>
  </si>
  <si>
    <t>CH4 Emissions (MT CH4)</t>
  </si>
  <si>
    <t>N2O Emissions  (MT N2O)</t>
  </si>
  <si>
    <t xml:space="preserve">Diesel </t>
  </si>
  <si>
    <t>Fuel Consumption (gallons)</t>
  </si>
  <si>
    <t>Freight</t>
  </si>
  <si>
    <t>g CO2/gallon</t>
  </si>
  <si>
    <t>g CH4/gallon</t>
  </si>
  <si>
    <t>g N2O/gallon</t>
  </si>
  <si>
    <t>Diesel</t>
  </si>
  <si>
    <t>Gasoline</t>
  </si>
  <si>
    <t>Intra-Regional Aviation</t>
  </si>
  <si>
    <t>Aviation Gasoline</t>
  </si>
  <si>
    <t>* All intra-regional aviation activities were allocated to Cook County</t>
  </si>
  <si>
    <t>Jet Fuel</t>
  </si>
  <si>
    <t>Fuel Type</t>
  </si>
  <si>
    <t>Vehicle/Source</t>
  </si>
  <si>
    <t>CNG</t>
  </si>
  <si>
    <t>Agriculture</t>
  </si>
  <si>
    <t>Construction</t>
  </si>
  <si>
    <t>Industrial</t>
  </si>
  <si>
    <t>Oil Field</t>
  </si>
  <si>
    <t>Airport Support</t>
  </si>
  <si>
    <t>Lawn/Garden</t>
  </si>
  <si>
    <t>Logging</t>
  </si>
  <si>
    <t>Railroad</t>
  </si>
  <si>
    <t>Recreational</t>
  </si>
  <si>
    <t>Gas 2-Str</t>
  </si>
  <si>
    <t>Gas 4-Str</t>
  </si>
  <si>
    <t>N2O Emissions (MT N2O)</t>
  </si>
  <si>
    <t>Off-road Emissions</t>
  </si>
  <si>
    <t>On-Road Transportation Data</t>
  </si>
  <si>
    <t xml:space="preserve">On-Road Summary </t>
  </si>
  <si>
    <t>Total VMT</t>
  </si>
  <si>
    <t>AFV VMT</t>
  </si>
  <si>
    <t xml:space="preserve"> Electricity (kWh)</t>
  </si>
  <si>
    <t>Light Commercial Truck</t>
  </si>
  <si>
    <t>Source: MOVES3 runs completed Dec2021 - April2022 by Russell Pietrowiak (CMAP). Spreadsheet provided to ICF from Sarah Buchhorn on 4/4/2022.</t>
  </si>
  <si>
    <t>Note: Assumes 0% EVs.</t>
  </si>
  <si>
    <t xml:space="preserve">2019 Annual VMT </t>
  </si>
  <si>
    <t>Chicago</t>
  </si>
  <si>
    <t>Cook total</t>
  </si>
  <si>
    <t>DuPage</t>
  </si>
  <si>
    <t>Kane</t>
  </si>
  <si>
    <t>Kendall</t>
  </si>
  <si>
    <t>Lake</t>
  </si>
  <si>
    <t>McHenry</t>
  </si>
  <si>
    <t>Will</t>
  </si>
  <si>
    <t>Note from CMAP: Significant shifts in the source type contributions to total emissions, due to differences VMT split amongst the source types between 2019 and previous inventory years.  Previous years VMT by source type was sourced from the travel model, but for 2019, CMAP provided VMT information to MOVES from the travel model in a more aggregate form (HPMS class), and then MOVES allocated it to source types using vehicle populations, age distributions, and relative mileage accumulation rates.  Cook County default values used for non-emme files for Chicago run.</t>
  </si>
  <si>
    <t>Adjusted Combustion Engine - CO2 Emissions (MT CO2) - Adjusted to remove AFV</t>
  </si>
  <si>
    <t>Adjusted Combustion Engine - CH4 Emissions (MT CH4) - Adjusted to remove AFV</t>
  </si>
  <si>
    <t>Adjusted Combustion Engine - N2O Emissions  (MT N2O) - Adjusted to remove AFV</t>
  </si>
  <si>
    <t>National VMT Data</t>
  </si>
  <si>
    <t>Total U.S. Alternative Fuel VMT (million miles)</t>
  </si>
  <si>
    <t>Vehicle Type/Year</t>
  </si>
  <si>
    <t>% of EVs</t>
  </si>
  <si>
    <t>Light-Duty Cars</t>
  </si>
  <si>
    <t xml:space="preserve">   Electric Vehicle</t>
  </si>
  <si>
    <t>Light-Duty Trucks</t>
  </si>
  <si>
    <t xml:space="preserve">   SI PHEV - Electricity</t>
  </si>
  <si>
    <t>Note: Excludes hybrids and electric buses</t>
  </si>
  <si>
    <t>Buses</t>
  </si>
  <si>
    <t xml:space="preserve">   Electric</t>
  </si>
  <si>
    <t>Source: EPA National GHG Inventory Table A-85: Detailed Vehicle Miles Traveled for Alternative Fuel On-Road Vehicles, available here: https://www.epa.gov/sites/default/files/2021-04/documents/us-ghg-inventory-2021-annexes.pdf</t>
  </si>
  <si>
    <t>Scaling Factors</t>
  </si>
  <si>
    <t>Counts for All Vehicles</t>
  </si>
  <si>
    <t>Counts of Passenger Vehicles</t>
  </si>
  <si>
    <r>
      <t xml:space="preserve">Counts of Light-Duty Trucks </t>
    </r>
    <r>
      <rPr>
        <vertAlign val="superscript"/>
        <sz val="11"/>
        <color theme="1"/>
        <rFont val="Arial"/>
        <family val="2"/>
        <scheme val="minor"/>
      </rPr>
      <t>1</t>
    </r>
  </si>
  <si>
    <r>
      <t xml:space="preserve">Counts of Heavy-Duty Vehicles </t>
    </r>
    <r>
      <rPr>
        <vertAlign val="superscript"/>
        <sz val="11"/>
        <color theme="1"/>
        <rFont val="Arial"/>
        <family val="2"/>
        <scheme val="minor"/>
      </rPr>
      <t>2</t>
    </r>
  </si>
  <si>
    <r>
      <t xml:space="preserve">Counts of Buses (Municipal + School buses) </t>
    </r>
    <r>
      <rPr>
        <vertAlign val="superscript"/>
        <sz val="11"/>
        <color theme="1"/>
        <rFont val="Arial"/>
        <family val="2"/>
        <scheme val="minor"/>
      </rPr>
      <t>3</t>
    </r>
  </si>
  <si>
    <t>Vehicle Counts Electric Vehicles</t>
  </si>
  <si>
    <t>Vehicle Counts Hybrid Vehicles</t>
  </si>
  <si>
    <t xml:space="preserve">Source: Illinois State Vehicle Registration Data 2019: https://www.ilsos.gov/departments/vehicles/statistics/home.html </t>
  </si>
  <si>
    <r>
      <rPr>
        <vertAlign val="superscript"/>
        <sz val="11"/>
        <color theme="4"/>
        <rFont val="Arial"/>
        <family val="2"/>
        <scheme val="minor"/>
      </rPr>
      <t>1</t>
    </r>
    <r>
      <rPr>
        <sz val="11"/>
        <color theme="4"/>
        <rFont val="Arial"/>
        <family val="2"/>
        <scheme val="minor"/>
      </rPr>
      <t xml:space="preserve"> Light-Duty Trucks are assumed total B Trucks, as compiled in Illinois State Registration Data</t>
    </r>
  </si>
  <si>
    <r>
      <rPr>
        <vertAlign val="superscript"/>
        <sz val="11"/>
        <color theme="4"/>
        <rFont val="Arial"/>
        <family val="2"/>
        <scheme val="minor"/>
      </rPr>
      <t>2</t>
    </r>
    <r>
      <rPr>
        <sz val="11"/>
        <color theme="4"/>
        <rFont val="Arial"/>
        <family val="2"/>
        <scheme val="minor"/>
      </rPr>
      <t xml:space="preserve"> Heavy-Duty Trucks are assumed total C Trucks, as compiled in Illinois State Registration Data</t>
    </r>
  </si>
  <si>
    <r>
      <rPr>
        <vertAlign val="superscript"/>
        <sz val="11"/>
        <color theme="4"/>
        <rFont val="Arial"/>
        <family val="2"/>
        <scheme val="minor"/>
      </rPr>
      <t>3</t>
    </r>
    <r>
      <rPr>
        <sz val="11"/>
        <color theme="4"/>
        <rFont val="Arial"/>
        <family val="2"/>
        <scheme val="minor"/>
      </rPr>
      <t xml:space="preserve"> Illinois State Vehicle Registration Data did not compile counts for transit buses</t>
    </r>
  </si>
  <si>
    <t>Passenger Vehicles EV %</t>
  </si>
  <si>
    <t>Trucks EV%</t>
  </si>
  <si>
    <t xml:space="preserve">Hybrid % </t>
  </si>
  <si>
    <r>
      <t xml:space="preserve">Assumption for Light-Duty PHEV % </t>
    </r>
    <r>
      <rPr>
        <vertAlign val="superscript"/>
        <sz val="11"/>
        <color theme="1"/>
        <rFont val="Arial"/>
        <family val="2"/>
        <scheme val="minor"/>
      </rPr>
      <t>1</t>
    </r>
  </si>
  <si>
    <t>EV Buses %</t>
  </si>
  <si>
    <r>
      <rPr>
        <vertAlign val="superscript"/>
        <sz val="11"/>
        <color theme="4"/>
        <rFont val="Arial"/>
        <family val="2"/>
        <scheme val="minor"/>
      </rPr>
      <t>1</t>
    </r>
    <r>
      <rPr>
        <sz val="11"/>
        <color theme="4"/>
        <rFont val="Arial"/>
        <family val="2"/>
        <scheme val="minor"/>
      </rPr>
      <t xml:space="preserve"> Based on Alliance for Automotive Innovation Sales numbers of PHEV and HEV in the State of Illinois from December 2018 to December 2019, available here: https://www.autosinnovate.org/resources/electric-vehicle-sales-dashboard</t>
    </r>
  </si>
  <si>
    <t>Note: Zero EV Buses are assumed based on NTD.</t>
  </si>
  <si>
    <t>Plug-in Electric Vehicle Engine Efficiency</t>
  </si>
  <si>
    <t>Btu/Mi</t>
  </si>
  <si>
    <t>kWh/mi</t>
  </si>
  <si>
    <t>LDC</t>
  </si>
  <si>
    <t>BEV</t>
  </si>
  <si>
    <t>Calculations using GREET Car_TS values and Gasoline LHV of 112,194 Btu/gal</t>
  </si>
  <si>
    <t>PHEV</t>
  </si>
  <si>
    <t>Assumed same as 2015 value, as 2020 GREET has high uncertainty in GREET_2021 Car_TS Tab Grid Connected Si PHEV in CD Mode</t>
  </si>
  <si>
    <t>LDT all</t>
  </si>
  <si>
    <t>LDT1</t>
  </si>
  <si>
    <t>Calculations using GREET LDT1_TS values and Gasoline LHV of 112,194 Btu/gal</t>
  </si>
  <si>
    <t>GREET_2021 LDT1_TS Tab Grid Connected Si PHEV in CD Mode</t>
  </si>
  <si>
    <t>LDT2</t>
  </si>
  <si>
    <t>Calculations using GREET LDT2_TS values and Gasoline LHV of 112,194 Btu/gal</t>
  </si>
  <si>
    <t>Assumed same as 2015, as GREET did not include a 2020 value in GREET_2021 LDT2_TS Tab Grid Connected Si PHEV in CD Mode</t>
  </si>
  <si>
    <t>Bus</t>
  </si>
  <si>
    <t>GREET_2021 HDV_TS Tab Transit Bus Total Fuel Use</t>
  </si>
  <si>
    <t>Source: GREET 2021, assuming Model Year 2019 with no lagging year, and calculated as a linearly interpolated value based on 2015 and 2020 values, if available</t>
  </si>
  <si>
    <t>For Light Duty Trucks</t>
  </si>
  <si>
    <t>Note: Assumed same as 2015 LDT1/LDT2 breakdown</t>
  </si>
  <si>
    <t>AFV Electricity Consumption (kWh)</t>
  </si>
  <si>
    <t xml:space="preserve">  Light-Duty Cars: Electric Vehicle</t>
  </si>
  <si>
    <t xml:space="preserve">  Light-Duty Cars: SI PHEV - Electricity</t>
  </si>
  <si>
    <t xml:space="preserve">  Light-Duty Trucks: Electric Vehicle</t>
  </si>
  <si>
    <t xml:space="preserve">  Buses: Electric</t>
  </si>
  <si>
    <t>Total kWh</t>
  </si>
  <si>
    <t>CNG Bus Calculations</t>
  </si>
  <si>
    <t>National Transit Database CNG Bus Data</t>
  </si>
  <si>
    <t>Pace Suburban Bus</t>
  </si>
  <si>
    <t>Fuel Consumption (gal)</t>
  </si>
  <si>
    <t>Source: NTD Data tables for CNG consumption for Pace Suburban Buses (Service area: Cook, Lake, Will, Kane, McHenry, and DuPage Counties): https://nam11.safelinks.protection.outlook.com/?url=https%3A%2F%2Fwww.transit.dot.gov%2Fntd%2Fdata-product%2F2019-data-tables&amp;data=03%7C01%7C%7Ce4b84000da4348899b086d8a379c874d%7Ccf90b97bbe464a00970081ce4ff1b7f6%7C0%7C0%7C637700928587419846%7CGood%7CV0FDfHsiViI6IjAuMC4wMDAwIiwiUCI6IiIsIkFOIjoiIiwiV1QiOjR9&amp;sdata=YzfFfWi5JVcoC4bLIaujX2dMAZW7Vcc5ik7P894%2BKcw%3D&amp;reserved=0</t>
  </si>
  <si>
    <t>On-Road CNG Consumption by County</t>
  </si>
  <si>
    <t>Population</t>
  </si>
  <si>
    <t>% of Total Population Served</t>
  </si>
  <si>
    <t>CNG Fuel Consumption (gallons)</t>
  </si>
  <si>
    <t>CNG Fuel Consumption (therms)</t>
  </si>
  <si>
    <t>CNG Fuel Consumption (MJ)</t>
  </si>
  <si>
    <t>Note: CNG calculations are used to prevent double counting with stationary energy CNG consumption (by subtracting from Stationary Energy Sector). On-Road CNG consumption is reflected in the MOVES output.</t>
  </si>
  <si>
    <t>2015 Annual VMT</t>
  </si>
  <si>
    <t>Note: Reflects the following fuel types: gasoline (fueltype 1), diesel (fueltype 2), E-85 (fueltype 5), and CNG (fueltype 3). Electricity use is defaulted to 0 and LPG is not included in the modeling as it is not imported into the region.</t>
  </si>
  <si>
    <t>Source: Craig Heither (CMAP)</t>
  </si>
  <si>
    <t>2015 Annual VMT - Adjusted to remove AFV VMT</t>
  </si>
  <si>
    <t>2019-2015 %▲</t>
  </si>
  <si>
    <t>Electric Vehicle</t>
  </si>
  <si>
    <t>SI PHEV - Electricity</t>
  </si>
  <si>
    <t>Total US</t>
  </si>
  <si>
    <t>% of population</t>
  </si>
  <si>
    <t xml:space="preserve">Sources: </t>
  </si>
  <si>
    <t>National Population:  Annual Estimates of the Resident Population for the United States, Regions, States, and Puerto Rico: April 1, 2010 to July 1, 2017 (NST-EST2017-01.  https://www.census.gov/data/datasets/2017/demo/popest/nation-total.html</t>
  </si>
  <si>
    <t>County Population: CMAP Socioeconomic Data</t>
  </si>
  <si>
    <t>Pulled from GREET_2021 Car_TS Tab Grid Connected Si PHEV in CD Mode</t>
  </si>
  <si>
    <t>Pulled from GREET_2021 LDT1_TS Tab Grid Connected Si PHEV in CD Mode</t>
  </si>
  <si>
    <t>Pulled from GREET_2021 LDT2_TS Tab Grid Connected Si PHEV in CD Mode</t>
  </si>
  <si>
    <t>Pulled from GREET_2021 HDV_TS Tab Transit Bus Total Fuel Use</t>
  </si>
  <si>
    <t>Source: GREET 2021, assuming Model Year 2015 with no lagging year</t>
  </si>
  <si>
    <t>Notes: PHEV values only consider charge depleting mode. Bus is transit bus.</t>
  </si>
  <si>
    <t>Source: MOVES</t>
  </si>
  <si>
    <t>Source: NTD Data tables for CNG consumption for Pace Suburban Buses: 40,000 miles * an assumption of 3 Miles per gallon (Service area: Cook, Lake, Will, Kane, McHenry, and DuPage Counties):https://www.transit.dot.gov/ntd/data-product/2015-fuel-and-energy</t>
  </si>
  <si>
    <t>On-Road CNG quantification</t>
  </si>
  <si>
    <t>2010 Annual VMT</t>
  </si>
  <si>
    <t>2010 Annual VMT - Adjusted to remove AFV VMT</t>
  </si>
  <si>
    <t>2019-2010 %▲</t>
  </si>
  <si>
    <t>Source: Lou Browning, ICF, using GREET 2016. Not using GREET 2021 values, as 2010 values were not all available in the updated model</t>
  </si>
  <si>
    <t>Source: NTD Data tables for CNG consumption for Pace Suburban Buses (Service area: Cook, Lake, Will, Kane, McHenry, and DuPage Counties): https://www.transit.dot.gov/ntd/data-product/2010-table-17-energy-consumption</t>
  </si>
  <si>
    <t>Note: No CNG reported in NTD for 2010.</t>
  </si>
  <si>
    <t xml:space="preserve">Fuel Consumption Summary </t>
  </si>
  <si>
    <t>Transit Electricity  (kWh)</t>
  </si>
  <si>
    <t>Transit Diesel  (gallons)</t>
  </si>
  <si>
    <t>Amtrak Diesel  (gallons)</t>
  </si>
  <si>
    <t>Rail Shares</t>
  </si>
  <si>
    <t>Rail VMT share</t>
  </si>
  <si>
    <t>Outside area</t>
  </si>
  <si>
    <t>CTA</t>
  </si>
  <si>
    <t>Metra</t>
  </si>
  <si>
    <t>NICTD</t>
  </si>
  <si>
    <t>Source: Sarah Buchhorn (CMAP), based on 2019 GTFS data (represents service on 10/30/2019)</t>
  </si>
  <si>
    <t>Transit Rail Fuel Consumption</t>
  </si>
  <si>
    <t>2019 Diesel Fuel (gallons)</t>
  </si>
  <si>
    <t>2019 Electric Propulsion (kwh)</t>
  </si>
  <si>
    <t>Chicago Transit Authority</t>
  </si>
  <si>
    <t>Metra Rail</t>
  </si>
  <si>
    <t>Source: Federal Transit Administration. 2019 Fuel and Energy Data. Available at: https://www.transit.dot.gov/ntd/data-product/2019-fuel-and-energy</t>
  </si>
  <si>
    <t>Diesel Fuel Consumption (gallons)</t>
  </si>
  <si>
    <t>Rail Electricity Consumption (kwh)</t>
  </si>
  <si>
    <t>Amtrak Data</t>
  </si>
  <si>
    <t>Track length in each county (miles):</t>
  </si>
  <si>
    <t>Amtrak routes:</t>
  </si>
  <si>
    <t>Corridor</t>
  </si>
  <si>
    <t>Cook</t>
  </si>
  <si>
    <t>Trains/wk.</t>
  </si>
  <si>
    <t>Blue Water</t>
  </si>
  <si>
    <t>A</t>
  </si>
  <si>
    <t>California Zephyr</t>
  </si>
  <si>
    <t>E</t>
  </si>
  <si>
    <t>Capitol Limited</t>
  </si>
  <si>
    <t>Cardinal</t>
  </si>
  <si>
    <t>B</t>
  </si>
  <si>
    <t>Carl Sandburg</t>
  </si>
  <si>
    <t>City of New Orleans</t>
  </si>
  <si>
    <t>C</t>
  </si>
  <si>
    <t>Empire Builder</t>
  </si>
  <si>
    <t>F</t>
  </si>
  <si>
    <t>Hiawatha</t>
  </si>
  <si>
    <t>Hoosier</t>
  </si>
  <si>
    <t>Illini</t>
  </si>
  <si>
    <t>Illinois Zephyr</t>
  </si>
  <si>
    <t>Lake Shore Limited</t>
  </si>
  <si>
    <t>Lincoln Service</t>
  </si>
  <si>
    <t>D</t>
  </si>
  <si>
    <t>Pere Marquette</t>
  </si>
  <si>
    <t>Saluki</t>
  </si>
  <si>
    <t>Southwest Chief</t>
  </si>
  <si>
    <t>Texas Eagle</t>
  </si>
  <si>
    <t>Wolverine</t>
  </si>
  <si>
    <t>Length of each route calculated using USDOT's Amtrak shapefile</t>
  </si>
  <si>
    <t>Trains per week from 2019 system timetables</t>
  </si>
  <si>
    <t>Amtrak Fuel Economy</t>
  </si>
  <si>
    <t>Train miles</t>
  </si>
  <si>
    <t>Amtrak diesel consumption (gallons)</t>
  </si>
  <si>
    <t>Amtrak electricity consumption (kwh)</t>
  </si>
  <si>
    <t>Total MJs of fuel consumed (diesel + elec)</t>
  </si>
  <si>
    <t>Energy consumption in DGE</t>
  </si>
  <si>
    <t>Fuel Economy (gallons DGE per train mile)</t>
  </si>
  <si>
    <t xml:space="preserve">Source: BTS, Table 4-18: Amtrak Fuel Consumption and Travel, </t>
  </si>
  <si>
    <t>https://www.bts.gov/content/amtrak-fuel-consumption-and-travel-1</t>
  </si>
  <si>
    <t>Annual Amtrak activity in each county</t>
  </si>
  <si>
    <t>Gallons diesel</t>
  </si>
  <si>
    <t>Average weekday rail VMT</t>
  </si>
  <si>
    <t>2015 Diesel Fuel (gallons)</t>
  </si>
  <si>
    <t>2015 Electric Propulsion (kwh)</t>
  </si>
  <si>
    <t>Source: National Transit Database, 2015 Annual Database Energy Consumption, https://www.transit.dot.gov/ntd/data-product/2015-annual-database-energy-consumption</t>
  </si>
  <si>
    <t>Trains/wk</t>
  </si>
  <si>
    <t>Trains per week from system timetable - 
https://www.amtrak.com/content/dam/projects/dotcom/english/public/documents/timetables/Amtrak-System-Timetable-1117.pdf</t>
  </si>
  <si>
    <t>Source for Chicago train miles: AECOME 2015 Chicago Inventory Appendix.</t>
  </si>
  <si>
    <t>Transit Rail Calculations</t>
  </si>
  <si>
    <t>Source: Craig Heither (CMAP), based on 2015 VMT data</t>
  </si>
  <si>
    <t>2010 Diesel Fuel (gallons)</t>
  </si>
  <si>
    <t>2010 Electric Propulsion (kwh)</t>
  </si>
  <si>
    <t>Source: National Transit Database, 2010 Annual Database Energy Consumption, https://www.transit.dot.gov/ntd/data-product/2010-annual-database-energy-consumption</t>
  </si>
  <si>
    <t>Trains per week from system timetable - 
http://www.amtrak.com/servlet/BlobServer?blobcol=urldata&amp;blobtable=MungoBlobs&amp;blobkey=id&amp;blobwhere=1249226006603&amp;blobheader=application%2Fpdf&amp;blobheadername1=Content-disposition&amp;blobheadervalue1=attachment;filename=Amtrak_Spring-Summer_050411.pdf</t>
  </si>
  <si>
    <t>https://www.rita.dot.gov/bts/sites/rita.dot.gov.bts/files/publications/national_transportation_statistics/html/table_04_18.html</t>
  </si>
  <si>
    <t>Freight Data</t>
  </si>
  <si>
    <t>FIPS</t>
  </si>
  <si>
    <t>million GTM</t>
  </si>
  <si>
    <t xml:space="preserve"> gals diesel</t>
  </si>
  <si>
    <t>031</t>
  </si>
  <si>
    <t>COOK</t>
  </si>
  <si>
    <t>043</t>
  </si>
  <si>
    <t>DUPAGE</t>
  </si>
  <si>
    <t>089</t>
  </si>
  <si>
    <t>KANE</t>
  </si>
  <si>
    <t>093</t>
  </si>
  <si>
    <t>KENDALL</t>
  </si>
  <si>
    <t>097</t>
  </si>
  <si>
    <t>LAKE</t>
  </si>
  <si>
    <t>111</t>
  </si>
  <si>
    <t>MCHENRY</t>
  </si>
  <si>
    <t>197</t>
  </si>
  <si>
    <t>WILL</t>
  </si>
  <si>
    <t>GTM/Gal</t>
  </si>
  <si>
    <t>Revenue ton miles (millions)</t>
  </si>
  <si>
    <t>BNSF</t>
  </si>
  <si>
    <t>UP</t>
  </si>
  <si>
    <t>Weighted Avg</t>
  </si>
  <si>
    <t>BNSF GTM value collected from https://www.bnsf.com/bnsf-resources/pdf/in-the-community/environment/sustainability-report-2018-2019.pdf#page=22 (p. 25)</t>
  </si>
  <si>
    <t>BNSF Revenue ton mile is from p. 80 of annual financial report https://www.bnsf.com/about-bnsf/financial-information/pdf/19R1.pdf</t>
  </si>
  <si>
    <t>Union Pacific GTM/Gallon and RTM value were obtained from 2020 Investor Factsheet: https://www.up.com/cs/groups/public/@uprr/@corprel/documents/up_pdf_nativedocs/pdf_up_2020_build_america_rep.pdf</t>
  </si>
  <si>
    <t xml:space="preserve">BNSF 2015 Corporate Responsibility and Sustainability Report. http://www.bnsf.com/in-the-community/pdf/corporate-responsibility-report-2015.pdf. </t>
  </si>
  <si>
    <t>BNSF 2015 Class I Railroad Annual Report to the STB. http://m.bnsf.com/about-bnsf/financial-information/pdf/15R1.pdfsee schedule 775, line 110</t>
  </si>
  <si>
    <t>UP, 2015 Investor Fact Book. https://www.up.com/cs/groups/public/@uprr/@investor/documents/investordocuments/pdf_up_invest_2015_factbook.pdf . Note: GTM/gal was calculated by dividing the reported gross ton miles by fuel consumed</t>
  </si>
  <si>
    <t>gals diesel</t>
  </si>
  <si>
    <t>BNSF 2010 Class I Railroad Annual Report to the STB. https://www.stb.gov/econdata.nsf/f039526076cc0f8e8525660b006870c9/f0bdc7fecba4bcef85257870003f6260/$FILE/ATT4OR7R.pdf/BNSF%202010%20Restated%20R-1.pdf. see schedule 775, line 110</t>
  </si>
  <si>
    <t>UP, 2012 Investor Fact Book. (reports 2010 data as well).https://www.up.com/cs/groups/public/@uprr/@investor/documents/investordocuments/pdf_up_invest_2015_factbook.pdf . Note: GTM/gal was calculated by dividing the reported 2010 gross ton miles by 2010 fuel consumed</t>
  </si>
  <si>
    <t>Waterborne Navigation Data</t>
  </si>
  <si>
    <t>Fuel Consumption Summary (gallons)</t>
  </si>
  <si>
    <t>Commercial Marine</t>
  </si>
  <si>
    <t xml:space="preserve">Diesel Fuel Consumption </t>
  </si>
  <si>
    <t>Company</t>
  </si>
  <si>
    <t>Gallons</t>
  </si>
  <si>
    <t>Source</t>
  </si>
  <si>
    <t>Chicago Water Taxi and Wendella</t>
  </si>
  <si>
    <t>Email received from Andrew Sargis, Chicago Water Tax/Wendella on 9/1/2021</t>
  </si>
  <si>
    <t>gasoline</t>
  </si>
  <si>
    <t>Westrec Marina Management - Chicago Harbors</t>
  </si>
  <si>
    <t>Proxied using GDP</t>
  </si>
  <si>
    <t>Recreational Marine</t>
  </si>
  <si>
    <t>Chicago Line Cruises</t>
  </si>
  <si>
    <t>Seadog Cruises (Entertainment Cruises subsidiary)</t>
  </si>
  <si>
    <t>Spirit of Chicago (Entertainment Cruises subsidiary)</t>
  </si>
  <si>
    <t>Odyssey Cruises (Entertainment Cruises subsidiary)</t>
  </si>
  <si>
    <t>diesel</t>
  </si>
  <si>
    <t>Anita Dee Yacht Charter</t>
  </si>
  <si>
    <t xml:space="preserve">Email received from Anthony Desiglio, Anita Dee Yacht Charter on 9/2/2021 September </t>
  </si>
  <si>
    <t>Mystic Blue Cruises (Entertainment Cruises subsidiary)</t>
  </si>
  <si>
    <t>Elite Private Yachts (Entertainment Cruises subsidiary)</t>
  </si>
  <si>
    <t>Shoreline Sightseeing *</t>
  </si>
  <si>
    <t>Email received from Chad Rice, Shoreline Sightseeing on 9/14, 2021</t>
  </si>
  <si>
    <t>Note: All consumption is assumed to take place within the City of Chicago</t>
  </si>
  <si>
    <t>* Chad Rice specified that Shoreline Sightseeing uses Ultra Low Sulphur Diesel</t>
  </si>
  <si>
    <t>Fuel consumption (gallons)</t>
  </si>
  <si>
    <t>Fuel consumption (kg)</t>
  </si>
  <si>
    <t>Source: EPA MOVES3, NONROAD pleasure crafts component (data provided by Seth Hartley, ICF)</t>
  </si>
  <si>
    <t>Chicago Water Taxi</t>
  </si>
  <si>
    <t>Voicemail from Andrew Sargis, Chicago Water Tax, to Cory Matsui, ICF, on November 22, 2017.</t>
  </si>
  <si>
    <t>City of Chicago 2015 Inventory Appendix A, page A-9</t>
  </si>
  <si>
    <t>Wendella Boats</t>
  </si>
  <si>
    <t>Email sent by Terry Johnson, Chicago Line Cruises, to Cory Matsui, ICF, on December 5, 2017.</t>
  </si>
  <si>
    <t>Email sent by Amber Staley-Walters, Entertainment Cruises, to Cory Matsui, ICF, on December 9, 2017.</t>
  </si>
  <si>
    <t>Phone call between Anthony Desiglio, Anita Dee Yacht Charter, and Cory Matsui, ICF, on December 11, 2017.</t>
  </si>
  <si>
    <t>Shoreline Sightseeing</t>
  </si>
  <si>
    <t>Commerical Marine</t>
  </si>
  <si>
    <t>Source: Back-casted using 2015 data based on GDP</t>
  </si>
  <si>
    <t>Intra-Regional Aviation Data</t>
  </si>
  <si>
    <t xml:space="preserve">Aviation Gasoline </t>
  </si>
  <si>
    <t>All consumption is assumed to take place within Cook County, where the Chicago Executive Airport is located.</t>
  </si>
  <si>
    <t>Hawthorne</t>
  </si>
  <si>
    <t xml:space="preserve">O'Hare </t>
  </si>
  <si>
    <t>Midway</t>
  </si>
  <si>
    <t>Source: Hawthorne estimated using 2015 data based on GDP; O-Hare and Midway derived based on EIS (2015)</t>
  </si>
  <si>
    <t>O'Hare and Chicago Midway Airports Total Operations Data</t>
  </si>
  <si>
    <t xml:space="preserve"> 2019 LTO</t>
  </si>
  <si>
    <t>O'Hare</t>
  </si>
  <si>
    <t>Source: Federal Aviation Administration Air Traffic Activity System (ATADS): https://aspm.faa.gov/opsnet/sys/airport.asp</t>
  </si>
  <si>
    <t xml:space="preserve">Hawthorne Source: Email sent by David Annin, Hawthorne Global Aviation Services - Chicago Executive Airport, to Cory Matsui, ICF, on November 27, 2017. </t>
  </si>
  <si>
    <t>O'Hare Source:  Appendix F - Final Reevaluation of 2015 O'Hare Modernization EIS. Assumes all fuel is Jet A Fuel, as this is not specified in the EIS.</t>
  </si>
  <si>
    <t>2015 LTO</t>
  </si>
  <si>
    <t>Company/Airport</t>
  </si>
  <si>
    <t>Source: Hawthorne estimated back-casted using 2015 data based on GDP; O-Hare and Midway derived based on EIS (2015)</t>
  </si>
  <si>
    <t>2010 LTO</t>
  </si>
  <si>
    <t>Off-road Trucks &amp; Equipment</t>
  </si>
  <si>
    <t>CO2 Emissions Summary (kg)</t>
  </si>
  <si>
    <t>* Excludes LPG, which is not used in the CMAP Region.</t>
  </si>
  <si>
    <t>CH4 Emissions Summary (kg)</t>
  </si>
  <si>
    <t>Consumption Summary (kg)</t>
  </si>
  <si>
    <t>CNG (therms)</t>
  </si>
  <si>
    <t>Diesel (gal)</t>
  </si>
  <si>
    <t>Gasoline (gal)</t>
  </si>
  <si>
    <t>2019 Consumption (kg)</t>
  </si>
  <si>
    <t>Consumption (kg)</t>
  </si>
  <si>
    <t>Equipment Type</t>
  </si>
  <si>
    <t>Source: EPA MOVES3, NONROAD component (data provided by Seth Hartley, ICF)</t>
  </si>
  <si>
    <t>CO2 emissions (kg)</t>
  </si>
  <si>
    <t>Gasoline 2 strokes</t>
  </si>
  <si>
    <t>CH4 emissions (kg)</t>
  </si>
  <si>
    <t>Gasoline 4 strokes</t>
  </si>
  <si>
    <t>Consumption (therms)</t>
  </si>
  <si>
    <t>CO2 (MT)</t>
  </si>
  <si>
    <t>CH4 (kg)</t>
  </si>
  <si>
    <t>CH4 (MTCO2e)</t>
  </si>
  <si>
    <t>N2O (MTCO2e)</t>
  </si>
  <si>
    <t>Total (MTCO2e)</t>
  </si>
  <si>
    <t>Consumption (gallons)</t>
  </si>
  <si>
    <t>2-Strokes</t>
  </si>
  <si>
    <t>4-Strokes</t>
  </si>
  <si>
    <t>CH4emissions (kg)</t>
  </si>
  <si>
    <t>2015 Consumption (kg)</t>
  </si>
  <si>
    <t>2 strokes</t>
  </si>
  <si>
    <t>4 strokes</t>
  </si>
  <si>
    <t>2010 Consumption (kg)</t>
  </si>
  <si>
    <t>MOVES 3 Off-Road Categories</t>
  </si>
  <si>
    <t>2010 Inventory</t>
  </si>
  <si>
    <t>2015 Inventory</t>
  </si>
  <si>
    <t>2019 Inventory</t>
  </si>
  <si>
    <t>Based on:</t>
  </si>
  <si>
    <t>Assume all ag outside of city limits</t>
  </si>
  <si>
    <t>Census data on retail+wholesale sales, city (2002) vs county (2007)</t>
  </si>
  <si>
    <t>Census data retail+wholesale sales, city (2002) vs county (2007)</t>
  </si>
  <si>
    <t>Assume 100% to the City since O'Hare is in Chicago</t>
  </si>
  <si>
    <t>Ratio of City/County land area, Wikipedia</t>
  </si>
  <si>
    <t>Assumes all logging is outside the City</t>
  </si>
  <si>
    <t>Pleasure Craft</t>
  </si>
  <si>
    <t>Ratio of City/County water area, Wikipedia</t>
  </si>
  <si>
    <t>% breakout based on total rail emissions (passenger + freight)</t>
  </si>
  <si>
    <t>Based on population</t>
  </si>
  <si>
    <t>New MOVES3 Categories Currently using previous categories as proxy</t>
  </si>
  <si>
    <t>Census data on sales</t>
  </si>
  <si>
    <t>Total merchant wholesaler sales, 2012 ($1,000)</t>
  </si>
  <si>
    <t xml:space="preserve"> Total retail sales, 2012 ($1,000)</t>
  </si>
  <si>
    <t>% Chicago</t>
  </si>
  <si>
    <t>Source: US Census Quick Facts https://www.census.gov/quickfacts/fact/table/chicagocityillinois,cookcountyillinois,US/RTN130212#viewtop</t>
  </si>
  <si>
    <t>Rail Emissions for allocation</t>
  </si>
  <si>
    <t>2019 Freight Data</t>
  </si>
  <si>
    <t xml:space="preserve">Source: </t>
  </si>
  <si>
    <t xml:space="preserve">Data provided by Steven Peterson of Oak Ridge National Laboratory (ORNL). The data includes the length, distance, and 2019 carloads and tonnage for each rail segment by County.  The geographic component (segment length, distance) was sourced from the Transportation Routing Analysis Geographic Information System (TRAGIS) model.  Dr. Peterson mapped each segmentID from TRAGIS to the 2019 Confidential Carload Waybill data supplied by the Surface Transportation Board to determine the carloads and tonnage per segment. </t>
  </si>
  <si>
    <t>linkid</t>
  </si>
  <si>
    <t>fromnode</t>
  </si>
  <si>
    <t>tonode</t>
  </si>
  <si>
    <t>state</t>
  </si>
  <si>
    <t>stfips</t>
  </si>
  <si>
    <t>ctfips</t>
  </si>
  <si>
    <t>rrowner1</t>
  </si>
  <si>
    <t>rrowner2</t>
  </si>
  <si>
    <t>tr1</t>
  </si>
  <si>
    <t>tr2</t>
  </si>
  <si>
    <t>tr3</t>
  </si>
  <si>
    <t>tr4</t>
  </si>
  <si>
    <t>tr5</t>
  </si>
  <si>
    <t>tr6</t>
  </si>
  <si>
    <t>tr7</t>
  </si>
  <si>
    <t>tr8</t>
  </si>
  <si>
    <t>tr9</t>
  </si>
  <si>
    <t>subdvsn</t>
  </si>
  <si>
    <t>yname</t>
  </si>
  <si>
    <t>status</t>
  </si>
  <si>
    <t>tracks</t>
  </si>
  <si>
    <t>signal</t>
  </si>
  <si>
    <t>density</t>
  </si>
  <si>
    <t>trkclass</t>
  </si>
  <si>
    <t>miles</t>
  </si>
  <si>
    <t>km</t>
  </si>
  <si>
    <t>2019 CARLOADS</t>
  </si>
  <si>
    <t>2019 TONS</t>
  </si>
  <si>
    <t>2019 Gross Ton-Miles</t>
  </si>
  <si>
    <t>IL</t>
  </si>
  <si>
    <t>17</t>
  </si>
  <si>
    <t>CN</t>
  </si>
  <si>
    <t>GRW</t>
  </si>
  <si>
    <t>MATTESON</t>
  </si>
  <si>
    <t>M</t>
  </si>
  <si>
    <t>YL</t>
  </si>
  <si>
    <t>3</t>
  </si>
  <si>
    <t>1</t>
  </si>
  <si>
    <t>AMTK</t>
  </si>
  <si>
    <t>NS</t>
  </si>
  <si>
    <t>CHICAGO (CN)</t>
  </si>
  <si>
    <t>CTC</t>
  </si>
  <si>
    <t>5</t>
  </si>
  <si>
    <t>NIRC</t>
  </si>
  <si>
    <t>WAUKESHA</t>
  </si>
  <si>
    <t>4</t>
  </si>
  <si>
    <t>LEITHTON</t>
  </si>
  <si>
    <t>CSXT</t>
  </si>
  <si>
    <t>CPRS</t>
  </si>
  <si>
    <t>ELSDON</t>
  </si>
  <si>
    <t>2</t>
  </si>
  <si>
    <t>INRD</t>
  </si>
  <si>
    <t>VILLA GROVE</t>
  </si>
  <si>
    <t>IHB</t>
  </si>
  <si>
    <t>SC&amp;S BRANCH</t>
  </si>
  <si>
    <t>I</t>
  </si>
  <si>
    <t>MAN</t>
  </si>
  <si>
    <t>BELVIDERE</t>
  </si>
  <si>
    <t>TWC</t>
  </si>
  <si>
    <t>WSOR</t>
  </si>
  <si>
    <t>C&amp;M</t>
  </si>
  <si>
    <t>KENOSHA</t>
  </si>
  <si>
    <t>ATS</t>
  </si>
  <si>
    <t>BURNHAM TO CALUMET CITY IND TRACK</t>
  </si>
  <si>
    <t>BURNHAM</t>
  </si>
  <si>
    <t>CFE</t>
  </si>
  <si>
    <t>IHB MAIN LINE</t>
  </si>
  <si>
    <t>BRC</t>
  </si>
  <si>
    <t>CSS</t>
  </si>
  <si>
    <t>KENTON LINE</t>
  </si>
  <si>
    <t>CLEARING</t>
  </si>
  <si>
    <t>7</t>
  </si>
  <si>
    <t>CHICAGO HEIGHTS IND LEAD</t>
  </si>
  <si>
    <t>CRL</t>
  </si>
  <si>
    <t>IR</t>
  </si>
  <si>
    <t>CHICAGO (BNSF)</t>
  </si>
  <si>
    <t>6</t>
  </si>
  <si>
    <t>ROCK ISLAND DISTRICT</t>
  </si>
  <si>
    <t>ABS</t>
  </si>
  <si>
    <t>GENEVA</t>
  </si>
  <si>
    <t>BRT</t>
  </si>
  <si>
    <t>WEST CHICAGO BRANCH</t>
  </si>
  <si>
    <t>MILWAUKEE</t>
  </si>
  <si>
    <t>WEST CHICAGO</t>
  </si>
  <si>
    <t>ATC</t>
  </si>
  <si>
    <t>ELGIN</t>
  </si>
  <si>
    <t>CTM</t>
  </si>
  <si>
    <t>LORENZO IND LEAD</t>
  </si>
  <si>
    <t>GLOBAL IV LEAD</t>
  </si>
  <si>
    <t>GLOBAL IV</t>
  </si>
  <si>
    <t>AMOCO LEAD</t>
  </si>
  <si>
    <t>AURORA</t>
  </si>
  <si>
    <t>EAST JOLIET</t>
  </si>
  <si>
    <t>LAKEFRONT</t>
  </si>
  <si>
    <t>SOUTH CHICAGO (CN)</t>
  </si>
  <si>
    <t>26TH ST</t>
  </si>
  <si>
    <t>BLUE ISLAND</t>
  </si>
  <si>
    <t>JOLIET (CN)</t>
  </si>
  <si>
    <t>SOUTHWEST</t>
  </si>
  <si>
    <t>BARR</t>
  </si>
  <si>
    <t>CHICAGO DISTRICT</t>
  </si>
  <si>
    <t>WEST SUB</t>
  </si>
  <si>
    <t>JOLIET (UP)</t>
  </si>
  <si>
    <t>CHICAGO (CPRS)</t>
  </si>
  <si>
    <t>HARVARD</t>
  </si>
  <si>
    <t>ROCKWELL</t>
  </si>
  <si>
    <t>GLOBAL 1 EAST</t>
  </si>
  <si>
    <t>ROCK ISLAND DISTRICT WEST</t>
  </si>
  <si>
    <t>22ND ST</t>
  </si>
  <si>
    <t>GOVX</t>
  </si>
  <si>
    <t>ACME LEAD</t>
  </si>
  <si>
    <t>IAIS</t>
  </si>
  <si>
    <t>WEBER IND LEAD</t>
  </si>
  <si>
    <t>CALUMET RIVER IND TRACK</t>
  </si>
  <si>
    <t>KENSINGTON IND TRACK</t>
  </si>
  <si>
    <t>MENDOTA</t>
  </si>
  <si>
    <t>CRYSTAL LAKE IND LEAD</t>
  </si>
  <si>
    <t>MARKHAM</t>
  </si>
  <si>
    <t>67TH ST WYE</t>
  </si>
  <si>
    <t>CALUMET</t>
  </si>
  <si>
    <t>FREEPORT</t>
  </si>
  <si>
    <t>IMX</t>
  </si>
  <si>
    <t>PROVISO</t>
  </si>
  <si>
    <t>NICD</t>
  </si>
  <si>
    <t>CHICAGO HEIGHTS</t>
  </si>
  <si>
    <t>FOX LAKE</t>
  </si>
  <si>
    <t>CHICAGO LINE</t>
  </si>
  <si>
    <t>YARD CENTER</t>
  </si>
  <si>
    <t>BENSENVILLE</t>
  </si>
  <si>
    <t>59TH ST INTERMODAL</t>
  </si>
  <si>
    <t>CALUMET CITY IND TRACK</t>
  </si>
  <si>
    <t>ST CHARLES IND LEAD</t>
  </si>
  <si>
    <t>CCUO</t>
  </si>
  <si>
    <t>0</t>
  </si>
  <si>
    <t>CIRY</t>
  </si>
  <si>
    <t>CR&amp;I IND TRACK</t>
  </si>
  <si>
    <t>WESTERN AVE</t>
  </si>
  <si>
    <t>IRONDALE</t>
  </si>
  <si>
    <t>LAKE (CSXT)</t>
  </si>
  <si>
    <t>100TH ST</t>
  </si>
  <si>
    <t>MJ</t>
  </si>
  <si>
    <t>STATE LINE PWR PLT</t>
  </si>
  <si>
    <t>CRAGIN IND LEAD</t>
  </si>
  <si>
    <t>CHILLICOTHE</t>
  </si>
  <si>
    <t>WILLOW SPRINGS</t>
  </si>
  <si>
    <t>ALTENHEIM CICERO IND TRACK</t>
  </si>
  <si>
    <t>PROVISO YARD</t>
  </si>
  <si>
    <t>LOGISTICS PARK CHICAGO</t>
  </si>
  <si>
    <t>59TH STREET</t>
  </si>
  <si>
    <t>INGALTON IND LEAD</t>
  </si>
  <si>
    <t>ELSDON IND LEAD</t>
  </si>
  <si>
    <t>55TH STREET</t>
  </si>
  <si>
    <t>PULLMAN BRANCH</t>
  </si>
  <si>
    <t>97TH ST</t>
  </si>
  <si>
    <t>WESTERN AVE IND TRACK</t>
  </si>
  <si>
    <t>55TH ST</t>
  </si>
  <si>
    <t>14TH ST COACH</t>
  </si>
  <si>
    <t>SCIH</t>
  </si>
  <si>
    <t>SOUTH CHICAGO (SCIH)</t>
  </si>
  <si>
    <t>NEW ROCK</t>
  </si>
  <si>
    <t>CANAL ST</t>
  </si>
  <si>
    <t>BURNHAM TO ROBY IND TRACK</t>
  </si>
  <si>
    <t>ARGO TO NARRAGANSETT</t>
  </si>
  <si>
    <t>ALTENHEIM</t>
  </si>
  <si>
    <t>CORWITH</t>
  </si>
  <si>
    <t>HEGEWISCH MIXING CTR</t>
  </si>
  <si>
    <t>HARTSDALE IT</t>
  </si>
  <si>
    <t>SCHILLER PARK</t>
  </si>
  <si>
    <t>NIFA BRANCH</t>
  </si>
  <si>
    <t>ILLINOIS RIVER</t>
  </si>
  <si>
    <t>CALIFORNIA AVE</t>
  </si>
  <si>
    <t>CHICAGO HEIGHTS AUTO TERM</t>
  </si>
  <si>
    <t>NORPAUL</t>
  </si>
  <si>
    <t>ROCKWELL ST</t>
  </si>
  <si>
    <t>IRYM</t>
  </si>
  <si>
    <t>COMMERCIAL AVE</t>
  </si>
  <si>
    <t>48TH AVE</t>
  </si>
  <si>
    <t>ROMEOVILLE SPUR</t>
  </si>
  <si>
    <t>CRAWFORD</t>
  </si>
  <si>
    <t>COLEHOUR</t>
  </si>
  <si>
    <t>NORTHWEST BRIDGE</t>
  </si>
  <si>
    <t>HAWTHORNE</t>
  </si>
  <si>
    <t>HEGEWISCH IND TRACK</t>
  </si>
  <si>
    <t>PVTX</t>
  </si>
  <si>
    <t>37TH ST</t>
  </si>
  <si>
    <t>PROVISO #9</t>
  </si>
  <si>
    <t>ARGO</t>
  </si>
  <si>
    <t>GALEWOOD</t>
  </si>
  <si>
    <t>GLENN</t>
  </si>
  <si>
    <t>ARGO LEAD</t>
  </si>
  <si>
    <t>EOLA</t>
  </si>
  <si>
    <t>GLOBAL 1 WEST</t>
  </si>
  <si>
    <t>RAILPORT</t>
  </si>
  <si>
    <t>YARD CENTER INTERMODAL</t>
  </si>
  <si>
    <t>LANDERS</t>
  </si>
  <si>
    <t>FOREST HILL</t>
  </si>
  <si>
    <t>14TH ST</t>
  </si>
  <si>
    <t>WAUKEGAN (UP)</t>
  </si>
  <si>
    <t>ASHLAND AVE</t>
  </si>
  <si>
    <t>LAKE (UP)</t>
  </si>
  <si>
    <t>CALUMET CITY</t>
  </si>
  <si>
    <t>JOLIET</t>
  </si>
  <si>
    <t>NERSKA JCT</t>
  </si>
  <si>
    <t>2015 Freight Data</t>
  </si>
  <si>
    <t xml:space="preserve">Source: Data provided by Steven Peterson of Oak Ridge National Laboratory (ORNL). The data includes the length, distance, and 2010/2015 carloads and tonnage for each rail segment by County.  The geographic component (segment length, distance) was sourced from the Transportation Routing Analysis Geographic Information System (TRAGIS) model.  Dr. Peterson mapped each segmentID from TRAGIS to the 2010 and 2015 Confidential Carload Waybill data supplied by the Surface Transportation Board to determine the carloads and tonnage per segment. </t>
  </si>
  <si>
    <t>2009 density</t>
  </si>
  <si>
    <t>2015 CARLOADS</t>
  </si>
  <si>
    <t>2015 TONS</t>
  </si>
  <si>
    <t>2015 Gross Ton-miles</t>
  </si>
  <si>
    <t>2010 Freight Data</t>
  </si>
  <si>
    <t xml:space="preserve"> 2010 CARLOADS</t>
  </si>
  <si>
    <t>2010 TONS</t>
  </si>
  <si>
    <t>2010 Ton-miles</t>
  </si>
  <si>
    <t>Output for Stationary Energy Calculations</t>
  </si>
  <si>
    <t>To be subtracted from the energy consumption data provided by Utilities to avoid double counting:</t>
  </si>
  <si>
    <t>2019 Consumption</t>
  </si>
  <si>
    <t>Electricity Consumption (kwh)</t>
  </si>
  <si>
    <t>CNG Consumption (Therms)</t>
  </si>
  <si>
    <t xml:space="preserve">On-Road Electric Vehicles - Residential </t>
  </si>
  <si>
    <t>On-Road Electric Vehicles - Commercial</t>
  </si>
  <si>
    <t>On-Road Electric Buses</t>
  </si>
  <si>
    <t xml:space="preserve">Rail </t>
  </si>
  <si>
    <t>Off-Road equipment</t>
  </si>
  <si>
    <t>On-Road  Buses</t>
  </si>
  <si>
    <t>Assumptions</t>
  </si>
  <si>
    <t>Percent of EV charging occurs at home</t>
  </si>
  <si>
    <t>Percent of EV charging occurs at commercial or workplace charging stations</t>
  </si>
  <si>
    <t>Source: ICF best estimate based on available data (confirmed by Philip Sheehy, ICF's practice lead on Evs)</t>
  </si>
  <si>
    <t>Note: No electric propulsion reported in NTD for CMAP transit agencies in 2019</t>
  </si>
  <si>
    <t>2015 Consumption</t>
  </si>
  <si>
    <t>Note: No electric propulsion reported in NTD for CMAP transit agencies in 2015</t>
  </si>
  <si>
    <t>2010 Consumption</t>
  </si>
  <si>
    <t>Note: No CNG reported in NTD for PACE in 2010, and no electric propulsion reported in NTD for CMAP transit agencies in 2010</t>
  </si>
  <si>
    <t>grams CO2/gallon</t>
  </si>
  <si>
    <t>grams CH4/gallon</t>
  </si>
  <si>
    <t>grams N2O/gallon</t>
  </si>
  <si>
    <t>Diesel Ships &amp; Boats</t>
  </si>
  <si>
    <t>Gasoline Ships &amp; Boats</t>
  </si>
  <si>
    <t>Aviation Gasoline Aircraft</t>
  </si>
  <si>
    <t>Jet Fuel Aircraft</t>
  </si>
  <si>
    <t>Diesel Fuel</t>
  </si>
  <si>
    <t>U.S. Environmental Protection Agency - Emission Factors for Greenhouse Gas Inventories:  https://www.epa.gov/sites/default/files/2021-04/documents/emission-factors_apr2021.pdf</t>
  </si>
  <si>
    <t>Note: Gasoline ships &amp; boats emission factors are assumed for 4 stroke engines</t>
  </si>
  <si>
    <t>Electricity Factors</t>
  </si>
  <si>
    <t xml:space="preserve"> lbs. CO2/MWh </t>
  </si>
  <si>
    <t xml:space="preserve"> lbs. CH4/MWh </t>
  </si>
  <si>
    <t xml:space="preserve"> lbs. N2O/MWh </t>
  </si>
  <si>
    <t>Source: Stationary Energy_2019</t>
  </si>
  <si>
    <t>2019 Emission Factors</t>
  </si>
  <si>
    <t>grams CO2/mile</t>
  </si>
  <si>
    <t>grams CH4/mile</t>
  </si>
  <si>
    <t>grams N2O/mile</t>
  </si>
  <si>
    <t>grams CO2e/mile</t>
  </si>
  <si>
    <t>2015 Emission Factors</t>
  </si>
  <si>
    <t>Source: Craig Heither (CMAP), based on MOVES2014a model, split out by gas using data from the EPA National GHG Inventory (see calculations below)</t>
  </si>
  <si>
    <t>2010 Emission Factors</t>
  </si>
  <si>
    <t>Off-Road Equipment CH4 &amp; N2O Emissions Factors</t>
  </si>
  <si>
    <t>CH4 (g/kg fuel)</t>
  </si>
  <si>
    <t>N2O (g/kg fuel)</t>
  </si>
  <si>
    <t>MOVES3 Category</t>
  </si>
  <si>
    <t>Fuel</t>
  </si>
  <si>
    <t>LPG</t>
  </si>
  <si>
    <t xml:space="preserve">Source: EPA 1990-2019 National GHG Inventory Tables A-97 and A-98. Available at: https://www.epa.gov/sites/default/files/2021-04/documents/us-ghg-inventory-2021-annexes.pdf </t>
  </si>
  <si>
    <t>Note: Recreational marine diesel emission factor is noted as emission factors for ships and boats distillate fuel oil in the reference</t>
  </si>
  <si>
    <t>On-Road Emissions Factors - analysis to split out by gas</t>
  </si>
  <si>
    <t>Emissions Factors provided by CMAP:</t>
  </si>
  <si>
    <t>EPA GHG Inventory 2015-  Table 2-13: Transportation-Related Greenhouse Gas Emissions, MMT CO2 Eq  (using AR4 GWPs)</t>
  </si>
  <si>
    <t>Gas/Vehicle Type</t>
  </si>
  <si>
    <t>2010</t>
  </si>
  <si>
    <t>2015</t>
  </si>
  <si>
    <t>2010 % by gas</t>
  </si>
  <si>
    <t>2015 % by gas</t>
  </si>
  <si>
    <t xml:space="preserve">g CO2e per mile </t>
  </si>
  <si>
    <t>Passenger Cars</t>
  </si>
  <si>
    <t>Craig Heither (CMAP), based on MOVES2014a model</t>
  </si>
  <si>
    <t>By gas - gCO2e gas per mile using AR4 GWPs</t>
  </si>
  <si>
    <t>Medium- and Heavy-Duty Trucks</t>
  </si>
  <si>
    <t>Motorcycles</t>
  </si>
  <si>
    <t>By gas - grams gas per mile</t>
  </si>
  <si>
    <t>Source: EPA National GHG Inventory Table 2-13: Transportation-Related Greenhouse Gas Emissions, MMT CO2 Eq - https://www.epa.gov/ghgemissions/inventory-us-greenhouse-gas-emissions-and-sinks-1990-2015</t>
  </si>
  <si>
    <t>Note: 2019 calculations will be added to this section following reception of 2019 g CO2e er mile emission factors from CMAP</t>
  </si>
  <si>
    <t>AR4</t>
  </si>
  <si>
    <t>Constants &amp; Conversion Factors</t>
  </si>
  <si>
    <t>Name</t>
  </si>
  <si>
    <t>Formula</t>
  </si>
  <si>
    <t>GWP Value</t>
  </si>
  <si>
    <t>Carbon dioxide</t>
  </si>
  <si>
    <t xml:space="preserve"> CO2</t>
  </si>
  <si>
    <t>Methane</t>
  </si>
  <si>
    <t xml:space="preserve"> CH4</t>
  </si>
  <si>
    <t>Nitrous oxide</t>
  </si>
  <si>
    <t xml:space="preserve"> N2O</t>
  </si>
  <si>
    <t>Sulfur hexafluoride</t>
  </si>
  <si>
    <t xml:space="preserve"> SF6</t>
  </si>
  <si>
    <t>Carbon tetrafluoride</t>
  </si>
  <si>
    <t xml:space="preserve"> CF4</t>
  </si>
  <si>
    <t>Hexafluoroethane</t>
  </si>
  <si>
    <t xml:space="preserve"> C2F6</t>
  </si>
  <si>
    <t>HFC-23</t>
  </si>
  <si>
    <t xml:space="preserve"> CHF3</t>
  </si>
  <si>
    <t>HFC-32</t>
  </si>
  <si>
    <t xml:space="preserve"> CH2F2</t>
  </si>
  <si>
    <t>HFC-41</t>
  </si>
  <si>
    <t xml:space="preserve"> CH3F</t>
  </si>
  <si>
    <t>HFC-125</t>
  </si>
  <si>
    <t xml:space="preserve"> C2HF5</t>
  </si>
  <si>
    <t>HFC-134</t>
  </si>
  <si>
    <t xml:space="preserve"> C2H2F4</t>
  </si>
  <si>
    <t>HFC-134a</t>
  </si>
  <si>
    <t xml:space="preserve"> CH2FCF3</t>
  </si>
  <si>
    <t>HFC-143</t>
  </si>
  <si>
    <t xml:space="preserve"> C2H3F3</t>
  </si>
  <si>
    <t>HFC-143a</t>
  </si>
  <si>
    <t>HFC-152a</t>
  </si>
  <si>
    <t xml:space="preserve"> C2H4F2</t>
  </si>
  <si>
    <t>HFC-227ea</t>
  </si>
  <si>
    <t xml:space="preserve"> C3HF7</t>
  </si>
  <si>
    <t>HFC-236fa</t>
  </si>
  <si>
    <t xml:space="preserve"> C3H2F6</t>
  </si>
  <si>
    <t>HFC-245ca</t>
  </si>
  <si>
    <t xml:space="preserve"> C3H3F5</t>
  </si>
  <si>
    <t>Nitrogen trifluoride</t>
  </si>
  <si>
    <t xml:space="preserve"> NF3</t>
  </si>
  <si>
    <t>Source: IPCC. 2013, IPCC Fifth Assessment Report: Climate Change 2013</t>
  </si>
  <si>
    <t>Conversions</t>
  </si>
  <si>
    <t>Use</t>
  </si>
  <si>
    <t>Value</t>
  </si>
  <si>
    <t>Units</t>
  </si>
  <si>
    <t>Days to Years</t>
  </si>
  <si>
    <t>Divide by</t>
  </si>
  <si>
    <t>days/year</t>
  </si>
  <si>
    <t>Hours to Years</t>
  </si>
  <si>
    <t>hours/year</t>
  </si>
  <si>
    <t>Pounds to Metric Tons</t>
  </si>
  <si>
    <t>lbs./metric ton</t>
  </si>
  <si>
    <t>Metric tons to pounds</t>
  </si>
  <si>
    <t>Multiply by</t>
  </si>
  <si>
    <t>MT/lb</t>
  </si>
  <si>
    <t>Kilograms to Metric Tons</t>
  </si>
  <si>
    <t>kg/metric ton</t>
  </si>
  <si>
    <t>Metric Tons to Million Metric Tons</t>
  </si>
  <si>
    <t>metric ton/million metric ton</t>
  </si>
  <si>
    <t>MMT/Metric Ton</t>
  </si>
  <si>
    <t>MMT/MT</t>
  </si>
  <si>
    <t>Grams to Metric Ton</t>
  </si>
  <si>
    <t>g/metric ton</t>
  </si>
  <si>
    <t>Grams to kilogram</t>
  </si>
  <si>
    <t>g/kg</t>
  </si>
  <si>
    <t>Metric tons to kilograms</t>
  </si>
  <si>
    <t>mt/kg</t>
  </si>
  <si>
    <t>Therms to MMBtu</t>
  </si>
  <si>
    <t>therms/MMBtu</t>
  </si>
  <si>
    <t>kilowatt-hours to megawatt hours</t>
  </si>
  <si>
    <t>kWh/MWh</t>
  </si>
  <si>
    <t>Minutes to hours</t>
  </si>
  <si>
    <t>min</t>
  </si>
  <si>
    <t>Metric tons to short tons</t>
  </si>
  <si>
    <t>mt/ton</t>
  </si>
  <si>
    <t>Million gallons to gallons</t>
  </si>
  <si>
    <t>million gallons per gallon</t>
  </si>
  <si>
    <t>Metric tons to grams</t>
  </si>
  <si>
    <t>mt/g</t>
  </si>
  <si>
    <t>Density of methane</t>
  </si>
  <si>
    <t>grams/m3</t>
  </si>
  <si>
    <t>Cubic feet to cubic meters</t>
  </si>
  <si>
    <t>ft3/m3</t>
  </si>
  <si>
    <t>Heating Value of Methane</t>
  </si>
  <si>
    <t>btu/ft^3 ch4</t>
  </si>
  <si>
    <t>MMBtu to MWh</t>
  </si>
  <si>
    <t>MMBtu / MWh</t>
  </si>
  <si>
    <t>IEA: https://www.iea.org/statistics/resources/unitconverter/</t>
  </si>
  <si>
    <t>Tbtu to MWh</t>
  </si>
  <si>
    <t>TBtu / MWh</t>
  </si>
  <si>
    <t>Site to Source Conversion - Electricity</t>
  </si>
  <si>
    <t>Site to Source Multiplier</t>
  </si>
  <si>
    <t>EnergyStar Portfolio Manager: https://portfoliomanager.zendesk.com/hc/en-us/articles/216670148-What-are-the-Site-to-Source-Conversion-Factors-</t>
  </si>
  <si>
    <t>Site to Source Conversion - Natural Gas</t>
  </si>
  <si>
    <t>Natural Gas Conversion - scf to MMBtu</t>
  </si>
  <si>
    <t>MMBtu / 1000000 scf</t>
  </si>
  <si>
    <t>https://www.eia.gov/energyexplained/index.cfm?page=about_energy_units</t>
  </si>
  <si>
    <t>MJ to kWh</t>
  </si>
  <si>
    <t>MJ/kWh</t>
  </si>
  <si>
    <t>https://www.eia.gov/energyexplained/index.cfm?page=about_energy_conversion_calculator</t>
  </si>
  <si>
    <t>Barrels to gallons</t>
  </si>
  <si>
    <t>Gallons/Barrel</t>
  </si>
  <si>
    <t>Diesel energy content</t>
  </si>
  <si>
    <t>MJ/gallon</t>
  </si>
  <si>
    <t>Btu to kwh</t>
  </si>
  <si>
    <t>kwh/BTU</t>
  </si>
  <si>
    <t>Gasoline fuel density</t>
  </si>
  <si>
    <t>grams/gallon</t>
  </si>
  <si>
    <t>MOVES2014a default</t>
  </si>
  <si>
    <t>Diesel fuel density</t>
  </si>
  <si>
    <t>CNG energy content</t>
  </si>
  <si>
    <t>MJ/kg</t>
  </si>
  <si>
    <t>Btu to MJ Natural Gas</t>
  </si>
  <si>
    <t>MJ/Btu</t>
  </si>
  <si>
    <t>EIA: https://www.eia.gov/energyexplained/index.cfm?page=about_energy_conversion_calculator#natgascalc</t>
  </si>
  <si>
    <t>CMAP Region GDP Growth: 2010-2015</t>
  </si>
  <si>
    <t>percent</t>
  </si>
  <si>
    <t>Scaled based on Regional GDP &amp; Personal Income Data from the Bureau of Economic Analysis. https://www.bea.gov/itable/</t>
  </si>
  <si>
    <t>CMAP Region GDP Growth: 2015-2019</t>
  </si>
  <si>
    <t>Freight rail % Chicago</t>
  </si>
  <si>
    <t>Thomas Murtha, CMAP, based on GIS analysis of freight track within Cook County</t>
  </si>
  <si>
    <t>LPG fuel density</t>
  </si>
  <si>
    <t>CNG bus Fuel Efficiency</t>
  </si>
  <si>
    <t>Therms/Gge</t>
  </si>
  <si>
    <t>2019 NTD Policy Manual, assuming that it is equivalent gallons of diesel fuel: https://www.transit.dot.gov/sites/fta.dot.gov/files/docs/ntd/133146/2019-ntd-reporting-policy-manual-v1-2.pdf</t>
  </si>
  <si>
    <t>Therms to MJ for CNG Bus Consumption</t>
  </si>
  <si>
    <t>MJ/therms</t>
  </si>
  <si>
    <t>CMAP Stationary Energy_2019 SpreadsheetConstants &amp; Conversions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</si>
</sst>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_(* \(#,##0\);_(* &quot;-&quot;_);_(@_)"/>
    <numFmt numFmtId="43" formatCode="_(* #,##0.00_);_(* \(#,##0.00\);_(* &quot;-&quot;??_);_(@_)"/>
    <numFmt numFmtId="164" formatCode="_(* #,##0_);_(* \(#,##0\);_(* &quot;-&quot;??_);_(@_)"/>
    <numFmt numFmtId="165" formatCode="#,##0.0"/>
    <numFmt numFmtId="166" formatCode="0.0%"/>
    <numFmt numFmtId="167" formatCode="_(* #,##0.0_);_(* \(#,##0.0\);_(* &quot;-&quot;?_);_(@_)"/>
    <numFmt numFmtId="168" formatCode="_(* #,##0_);_(* \(#,##0\);_(* &quot;-&quot;?_);_(@_)"/>
    <numFmt numFmtId="169" formatCode="_(* #,##0.0_);_(* \(#,##0.0\);_(* &quot;-&quot;_);_(@_)"/>
    <numFmt numFmtId="170" formatCode="_(* #,##0.000_);_(* \(#,##0.000\);_(* &quot;-&quot;??_);_(@_)"/>
    <numFmt numFmtId="171" formatCode="_(* #,##0.0000_);_(* \(#,##0.0000\);_(* &quot;-&quot;??_);_(@_)"/>
    <numFmt numFmtId="172" formatCode="0.00000000000"/>
    <numFmt numFmtId="173" formatCode="0.0"/>
    <numFmt numFmtId="174" formatCode="0.0000"/>
    <numFmt numFmtId="175" formatCode="#,##0.0_);\(#,##0.0\)"/>
    <numFmt numFmtId="176" formatCode="#,##0.0000_);\(#,##0.0000\)"/>
    <numFmt numFmtId="177" formatCode="_(* #,##0.0_);_(* \(#,##0.0\);_(* &quot;-&quot;??_);_(@_)"/>
  </numFmts>
  <fonts count="71" x14ac:knownFonts="1">
    <font>
      <sz val="11"/>
      <color theme="1"/>
      <name val="Arial"/>
      <family val="2"/>
      <scheme val="minor"/>
    </font>
    <font>
      <sz val="11"/>
      <color theme="1"/>
      <name val="Arial"/>
      <family val="2"/>
      <scheme val="minor"/>
    </font>
    <font>
      <b/>
      <sz val="11"/>
      <color theme="0"/>
      <name val="Arial"/>
      <family val="2"/>
      <scheme val="minor"/>
    </font>
    <font>
      <b/>
      <sz val="11"/>
      <color theme="1"/>
      <name val="Arial"/>
      <family val="2"/>
      <scheme val="minor"/>
    </font>
    <font>
      <sz val="11"/>
      <color theme="0"/>
      <name val="Arial"/>
      <family val="2"/>
      <scheme val="minor"/>
    </font>
    <font>
      <sz val="10"/>
      <name val="Arial"/>
      <family val="2"/>
    </font>
    <font>
      <b/>
      <sz val="14"/>
      <color theme="0"/>
      <name val="Arial"/>
      <family val="2"/>
    </font>
    <font>
      <b/>
      <sz val="10"/>
      <color theme="0"/>
      <name val="Arial"/>
      <family val="2"/>
    </font>
    <font>
      <b/>
      <sz val="10"/>
      <color rgb="FF00538B"/>
      <name val="Arial"/>
      <family val="2"/>
    </font>
    <font>
      <b/>
      <sz val="14"/>
      <color indexed="30"/>
      <name val="Arial"/>
      <family val="2"/>
    </font>
    <font>
      <b/>
      <sz val="12"/>
      <color theme="0"/>
      <name val="Arial"/>
      <family val="2"/>
    </font>
    <font>
      <b/>
      <sz val="10"/>
      <name val="Arial"/>
      <family val="2"/>
    </font>
    <font>
      <sz val="10"/>
      <color rgb="FFFF0000"/>
      <name val="Arial"/>
      <family val="2"/>
    </font>
    <font>
      <b/>
      <sz val="14"/>
      <name val="Arial"/>
      <family val="2"/>
      <scheme val="minor"/>
    </font>
    <font>
      <b/>
      <sz val="14"/>
      <color theme="1"/>
      <name val="Arial"/>
      <family val="2"/>
      <scheme val="minor"/>
    </font>
    <font>
      <b/>
      <sz val="12"/>
      <color theme="0"/>
      <name val="Arial"/>
      <family val="2"/>
      <scheme val="minor"/>
    </font>
    <font>
      <b/>
      <vertAlign val="subscript"/>
      <sz val="11"/>
      <color theme="0"/>
      <name val="Arial"/>
      <family val="2"/>
      <scheme val="minor"/>
    </font>
    <font>
      <u/>
      <sz val="11"/>
      <color theme="10"/>
      <name val="Arial"/>
      <family val="2"/>
      <scheme val="minor"/>
    </font>
    <font>
      <b/>
      <sz val="10"/>
      <color rgb="FF00538B"/>
      <name val="Arial"/>
      <family val="2"/>
      <scheme val="minor"/>
    </font>
    <font>
      <b/>
      <sz val="9"/>
      <color indexed="81"/>
      <name val="Tahoma"/>
      <family val="2"/>
    </font>
    <font>
      <sz val="9"/>
      <color indexed="81"/>
      <name val="Tahoma"/>
      <family val="2"/>
    </font>
    <font>
      <b/>
      <sz val="12"/>
      <color theme="1"/>
      <name val="Arial"/>
      <family val="2"/>
      <scheme val="minor"/>
    </font>
    <font>
      <i/>
      <sz val="11"/>
      <color theme="1"/>
      <name val="Arial"/>
      <family val="2"/>
      <scheme val="minor"/>
    </font>
    <font>
      <b/>
      <sz val="12"/>
      <name val="Arial"/>
      <family val="2"/>
      <scheme val="minor"/>
    </font>
    <font>
      <sz val="12"/>
      <color theme="1"/>
      <name val="Arial"/>
      <family val="2"/>
      <scheme val="minor"/>
    </font>
    <font>
      <i/>
      <u/>
      <sz val="11"/>
      <color theme="1"/>
      <name val="Arial"/>
      <family val="2"/>
      <scheme val="minor"/>
    </font>
    <font>
      <i/>
      <sz val="11"/>
      <color theme="4"/>
      <name val="Arial"/>
      <family val="2"/>
      <scheme val="minor"/>
    </font>
    <font>
      <sz val="11"/>
      <color theme="4"/>
      <name val="Arial"/>
      <family val="2"/>
      <scheme val="minor"/>
    </font>
    <font>
      <sz val="11"/>
      <name val="Arial"/>
      <family val="2"/>
    </font>
    <font>
      <sz val="11"/>
      <color theme="7" tint="0.39997558519241921"/>
      <name val="Arial"/>
      <family val="2"/>
      <scheme val="minor"/>
    </font>
    <font>
      <sz val="11"/>
      <color theme="0"/>
      <name val="Arial"/>
      <family val="2"/>
      <scheme val="major"/>
    </font>
    <font>
      <b/>
      <sz val="11"/>
      <color theme="1"/>
      <name val="Arial"/>
      <family val="2"/>
      <scheme val="major"/>
    </font>
    <font>
      <sz val="11"/>
      <color theme="1"/>
      <name val="Arial"/>
      <family val="2"/>
      <scheme val="major"/>
    </font>
    <font>
      <b/>
      <sz val="11"/>
      <color rgb="FF000000"/>
      <name val="Arial Narrow"/>
      <family val="2"/>
    </font>
    <font>
      <b/>
      <sz val="11"/>
      <color theme="1"/>
      <name val="Arial Narrow"/>
      <family val="2"/>
    </font>
    <font>
      <sz val="11"/>
      <color theme="1"/>
      <name val="Arial Narrow"/>
      <family val="2"/>
    </font>
    <font>
      <i/>
      <u/>
      <sz val="11"/>
      <color theme="10"/>
      <name val="Arial"/>
      <family val="2"/>
      <scheme val="minor"/>
    </font>
    <font>
      <sz val="8"/>
      <color indexed="24"/>
      <name val="Arial"/>
      <family val="2"/>
    </font>
    <font>
      <sz val="10"/>
      <name val="Arial"/>
      <family val="2"/>
      <scheme val="major"/>
    </font>
    <font>
      <sz val="10"/>
      <color theme="1"/>
      <name val="Arial"/>
      <family val="2"/>
      <scheme val="major"/>
    </font>
    <font>
      <b/>
      <sz val="10"/>
      <color theme="1"/>
      <name val="Arial"/>
      <family val="2"/>
      <scheme val="major"/>
    </font>
    <font>
      <i/>
      <sz val="10"/>
      <color theme="4"/>
      <name val="Arial"/>
      <family val="2"/>
      <scheme val="major"/>
    </font>
    <font>
      <i/>
      <sz val="10"/>
      <color theme="4"/>
      <name val="Arial"/>
      <family val="2"/>
      <scheme val="minor"/>
    </font>
    <font>
      <b/>
      <sz val="10"/>
      <color theme="0"/>
      <name val="Arial"/>
      <family val="2"/>
      <scheme val="minor"/>
    </font>
    <font>
      <sz val="10"/>
      <color theme="1"/>
      <name val="Arial"/>
      <family val="2"/>
      <scheme val="minor"/>
    </font>
    <font>
      <b/>
      <sz val="10"/>
      <color theme="1"/>
      <name val="Arial"/>
      <family val="2"/>
      <scheme val="minor"/>
    </font>
    <font>
      <i/>
      <sz val="9"/>
      <color theme="1"/>
      <name val="Arial"/>
      <family val="2"/>
      <scheme val="minor"/>
    </font>
    <font>
      <i/>
      <sz val="10"/>
      <color theme="1"/>
      <name val="Arial"/>
      <family val="2"/>
      <scheme val="minor"/>
    </font>
    <font>
      <sz val="9"/>
      <color theme="1"/>
      <name val="Arial"/>
      <family val="2"/>
      <scheme val="minor"/>
    </font>
    <font>
      <vertAlign val="subscript"/>
      <sz val="10"/>
      <name val="Arial"/>
      <family val="2"/>
    </font>
    <font>
      <i/>
      <sz val="9"/>
      <color theme="1" tint="0.34998626667073579"/>
      <name val="Arial"/>
      <family val="2"/>
      <scheme val="minor"/>
    </font>
    <font>
      <sz val="11"/>
      <color theme="7"/>
      <name val="Arial"/>
      <family val="2"/>
      <scheme val="minor"/>
    </font>
    <font>
      <sz val="11"/>
      <color theme="9"/>
      <name val="Arial"/>
      <family val="2"/>
      <scheme val="minor"/>
    </font>
    <font>
      <sz val="10"/>
      <color rgb="FF201F1E"/>
      <name val="Calibri"/>
      <family val="2"/>
    </font>
    <font>
      <sz val="11"/>
      <color rgb="FF201F1E"/>
      <name val="Arial"/>
      <family val="2"/>
      <scheme val="minor"/>
    </font>
    <font>
      <sz val="11"/>
      <color rgb="FF000000"/>
      <name val="Calibri"/>
      <family val="2"/>
    </font>
    <font>
      <sz val="11"/>
      <color rgb="FF000000"/>
      <name val="Arial"/>
      <family val="2"/>
      <scheme val="minor"/>
    </font>
    <font>
      <vertAlign val="superscript"/>
      <sz val="11"/>
      <color theme="1"/>
      <name val="Arial"/>
      <family val="2"/>
      <scheme val="minor"/>
    </font>
    <font>
      <sz val="11"/>
      <name val="Arial"/>
      <family val="2"/>
      <scheme val="minor"/>
    </font>
    <font>
      <b/>
      <sz val="11"/>
      <name val="Arial"/>
      <family val="2"/>
      <scheme val="minor"/>
    </font>
    <font>
      <b/>
      <sz val="14"/>
      <color theme="0"/>
      <name val="Arial"/>
      <family val="2"/>
      <scheme val="minor"/>
    </font>
    <font>
      <sz val="11"/>
      <color theme="0" tint="-0.249977111117893"/>
      <name val="Arial"/>
      <family val="2"/>
      <scheme val="minor"/>
    </font>
    <font>
      <sz val="11"/>
      <color rgb="FF3F3F76"/>
      <name val="Arial"/>
      <family val="2"/>
      <scheme val="minor"/>
    </font>
    <font>
      <vertAlign val="superscript"/>
      <sz val="11"/>
      <color theme="4"/>
      <name val="Arial"/>
      <family val="2"/>
      <scheme val="minor"/>
    </font>
    <font>
      <b/>
      <i/>
      <sz val="11"/>
      <color theme="1"/>
      <name val="Arial"/>
      <family val="2"/>
      <scheme val="minor"/>
    </font>
    <font>
      <b/>
      <sz val="11"/>
      <color rgb="FF3F3F76"/>
      <name val="Arial"/>
      <family val="2"/>
      <scheme val="minor"/>
    </font>
    <font>
      <sz val="10"/>
      <name val="Arial"/>
      <family val="2"/>
      <scheme val="minor"/>
    </font>
    <font>
      <sz val="11"/>
      <color rgb="FF006100"/>
      <name val="Arial"/>
      <family val="2"/>
      <scheme val="minor"/>
    </font>
    <font>
      <sz val="12"/>
      <color theme="0"/>
      <name val="Arial"/>
      <family val="2"/>
      <scheme val="minor"/>
    </font>
    <font>
      <sz val="8"/>
      <name val="Arial"/>
      <family val="2"/>
    </font>
    <font>
      <i/>
      <sz val="11"/>
      <color theme="3"/>
      <name val="Arial"/>
      <family val="2"/>
      <scheme val="minor"/>
    </font>
  </fonts>
  <fills count="26">
    <fill>
      <patternFill patternType="none"/>
    </fill>
    <fill>
      <patternFill patternType="gray125"/>
    </fill>
    <fill>
      <patternFill patternType="solid">
        <fgColor rgb="FFD8E0E3"/>
        <bgColor indexed="64"/>
      </patternFill>
    </fill>
    <fill>
      <patternFill patternType="solid">
        <fgColor rgb="FF00538B"/>
        <bgColor indexed="64"/>
      </patternFill>
    </fill>
    <fill>
      <patternFill patternType="solid">
        <fgColor theme="0"/>
        <bgColor indexed="64"/>
      </patternFill>
    </fill>
    <fill>
      <patternFill patternType="solid">
        <fgColor theme="7" tint="0.59999389629810485"/>
        <bgColor indexed="64"/>
      </patternFill>
    </fill>
    <fill>
      <patternFill patternType="solid">
        <fgColor theme="5" tint="-0.249977111117893"/>
        <bgColor indexed="64"/>
      </patternFill>
    </fill>
    <fill>
      <patternFill patternType="solid">
        <fgColor rgb="FFE7F6FF"/>
        <bgColor indexed="64"/>
      </patternFill>
    </fill>
    <fill>
      <patternFill patternType="solid">
        <fgColor theme="0" tint="-0.14999847407452621"/>
        <bgColor indexed="64"/>
      </patternFill>
    </fill>
    <fill>
      <patternFill patternType="solid">
        <fgColor theme="6" tint="-0.249977111117893"/>
        <bgColor indexed="64"/>
      </patternFill>
    </fill>
    <fill>
      <patternFill patternType="solid">
        <fgColor theme="4" tint="0.79998168889431442"/>
        <bgColor indexed="64"/>
      </patternFill>
    </fill>
    <fill>
      <patternFill patternType="solid">
        <fgColor theme="8"/>
        <bgColor indexed="64"/>
      </patternFill>
    </fill>
    <fill>
      <patternFill patternType="solid">
        <fgColor rgb="FFFAD6AD"/>
        <bgColor indexed="64"/>
      </patternFill>
    </fill>
    <fill>
      <patternFill patternType="solid">
        <fgColor rgb="FFF29934"/>
        <bgColor indexed="64"/>
      </patternFill>
    </fill>
    <fill>
      <patternFill patternType="solid">
        <fgColor theme="5" tint="0.79998168889431442"/>
        <bgColor indexed="64"/>
      </patternFill>
    </fill>
    <fill>
      <patternFill patternType="solid">
        <fgColor theme="7"/>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rgb="FF000000"/>
      </patternFill>
    </fill>
    <fill>
      <patternFill patternType="solid">
        <fgColor theme="7" tint="-0.249977111117893"/>
        <bgColor indexed="64"/>
      </patternFill>
    </fill>
    <fill>
      <patternFill patternType="solid">
        <fgColor rgb="FFFFCC99"/>
      </patternFill>
    </fill>
    <fill>
      <patternFill patternType="solid">
        <fgColor theme="0" tint="-0.34998626667073579"/>
        <bgColor indexed="64"/>
      </patternFill>
    </fill>
    <fill>
      <patternFill patternType="solid">
        <fgColor rgb="FF0078A6"/>
        <bgColor indexed="64"/>
      </patternFill>
    </fill>
    <fill>
      <patternFill patternType="solid">
        <fgColor rgb="FFC6EFCE"/>
      </patternFill>
    </fill>
    <fill>
      <patternFill patternType="solid">
        <fgColor theme="7" tint="0.79998168889431442"/>
        <bgColor indexed="64"/>
      </patternFill>
    </fill>
    <fill>
      <patternFill patternType="solid">
        <fgColor theme="0" tint="-4.9989318521683403E-2"/>
        <bgColor indexed="64"/>
      </patternFill>
    </fill>
  </fills>
  <borders count="132">
    <border>
      <left/>
      <right/>
      <top/>
      <bottom/>
      <diagonal/>
    </border>
    <border>
      <left style="medium">
        <color rgb="FF00A2E0"/>
      </left>
      <right/>
      <top style="medium">
        <color rgb="FF00A2E0"/>
      </top>
      <bottom style="medium">
        <color rgb="FF00A2E0"/>
      </bottom>
      <diagonal/>
    </border>
    <border>
      <left/>
      <right style="thin">
        <color indexed="64"/>
      </right>
      <top style="medium">
        <color rgb="FF00A2E0"/>
      </top>
      <bottom style="medium">
        <color rgb="FF00A2E0"/>
      </bottom>
      <diagonal/>
    </border>
    <border>
      <left/>
      <right style="medium">
        <color rgb="FF00A2E0"/>
      </right>
      <top style="medium">
        <color rgb="FF00A2E0"/>
      </top>
      <bottom style="medium">
        <color rgb="FF00A2E0"/>
      </bottom>
      <diagonal/>
    </border>
    <border>
      <left style="medium">
        <color rgb="FF00A2E0"/>
      </left>
      <right/>
      <top/>
      <bottom/>
      <diagonal/>
    </border>
    <border>
      <left/>
      <right style="thin">
        <color indexed="64"/>
      </right>
      <top/>
      <bottom/>
      <diagonal/>
    </border>
    <border>
      <left/>
      <right style="medium">
        <color rgb="FF00A2E0"/>
      </right>
      <top/>
      <bottom/>
      <diagonal/>
    </border>
    <border>
      <left style="medium">
        <color rgb="FF00A2E0"/>
      </left>
      <right/>
      <top/>
      <bottom style="medium">
        <color rgb="FF00A2E0"/>
      </bottom>
      <diagonal/>
    </border>
    <border>
      <left/>
      <right style="thin">
        <color indexed="64"/>
      </right>
      <top/>
      <bottom style="medium">
        <color rgb="FF00A2E0"/>
      </bottom>
      <diagonal/>
    </border>
    <border>
      <left/>
      <right style="medium">
        <color rgb="FF00A2E0"/>
      </right>
      <top/>
      <bottom style="medium">
        <color rgb="FF00A2E0"/>
      </bottom>
      <diagonal/>
    </border>
    <border>
      <left style="medium">
        <color rgb="FF00A2E0"/>
      </left>
      <right/>
      <top style="medium">
        <color rgb="FF00A2E0"/>
      </top>
      <bottom/>
      <diagonal/>
    </border>
    <border>
      <left/>
      <right style="medium">
        <color rgb="FF00A2E0"/>
      </right>
      <top style="medium">
        <color rgb="FF00A2E0"/>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thin">
        <color auto="1"/>
      </top>
      <bottom style="thin">
        <color auto="1"/>
      </bottom>
      <diagonal/>
    </border>
    <border>
      <left style="medium">
        <color indexed="64"/>
      </left>
      <right style="thin">
        <color auto="1"/>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indexed="64"/>
      </left>
      <right style="thin">
        <color indexed="64"/>
      </right>
      <top style="medium">
        <color rgb="FF00A2E0"/>
      </top>
      <bottom style="medium">
        <color rgb="FF00A2E0"/>
      </bottom>
      <diagonal/>
    </border>
    <border>
      <left style="thin">
        <color indexed="64"/>
      </left>
      <right style="thin">
        <color indexed="64"/>
      </right>
      <top style="medium">
        <color rgb="FF00A2E0"/>
      </top>
      <bottom/>
      <diagonal/>
    </border>
    <border>
      <left style="thin">
        <color indexed="64"/>
      </left>
      <right style="thin">
        <color indexed="64"/>
      </right>
      <top/>
      <bottom/>
      <diagonal/>
    </border>
    <border>
      <left style="thin">
        <color indexed="64"/>
      </left>
      <right style="thin">
        <color indexed="64"/>
      </right>
      <top/>
      <bottom style="medium">
        <color rgb="FF00A2E0"/>
      </bottom>
      <diagonal/>
    </border>
    <border>
      <left style="medium">
        <color indexed="64"/>
      </left>
      <right style="medium">
        <color indexed="64"/>
      </right>
      <top style="medium">
        <color indexed="64"/>
      </top>
      <bottom style="medium">
        <color indexed="64"/>
      </bottom>
      <diagonal/>
    </border>
    <border>
      <left style="thin">
        <color auto="1"/>
      </left>
      <right style="medium">
        <color indexed="64"/>
      </right>
      <top style="thin">
        <color auto="1"/>
      </top>
      <bottom/>
      <diagonal/>
    </border>
    <border>
      <left style="medium">
        <color indexed="64"/>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right style="thin">
        <color auto="1"/>
      </right>
      <top style="thin">
        <color auto="1"/>
      </top>
      <bottom/>
      <diagonal/>
    </border>
    <border>
      <left style="medium">
        <color indexed="64"/>
      </left>
      <right style="medium">
        <color indexed="64"/>
      </right>
      <top style="thin">
        <color auto="1"/>
      </top>
      <bottom style="thin">
        <color auto="1"/>
      </bottom>
      <diagonal/>
    </border>
    <border>
      <left/>
      <right style="medium">
        <color indexed="64"/>
      </right>
      <top style="thin">
        <color auto="1"/>
      </top>
      <bottom style="thin">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right style="medium">
        <color indexed="64"/>
      </right>
      <top style="medium">
        <color indexed="64"/>
      </top>
      <bottom style="thin">
        <color auto="1"/>
      </bottom>
      <diagonal/>
    </border>
    <border>
      <left/>
      <right style="medium">
        <color indexed="64"/>
      </right>
      <top style="medium">
        <color indexed="64"/>
      </top>
      <bottom style="medium">
        <color indexed="64"/>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right/>
      <top style="medium">
        <color indexed="64"/>
      </top>
      <bottom style="medium">
        <color indexed="64"/>
      </bottom>
      <diagonal/>
    </border>
    <border>
      <left/>
      <right/>
      <top/>
      <bottom style="medium">
        <color indexed="64"/>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indexed="64"/>
      </top>
      <bottom style="thin">
        <color indexed="64"/>
      </bottom>
      <diagonal/>
    </border>
    <border>
      <left/>
      <right/>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theme="0" tint="-0.24994659260841701"/>
      </right>
      <top style="medium">
        <color theme="1"/>
      </top>
      <bottom style="thin">
        <color theme="0" tint="-0.24994659260841701"/>
      </bottom>
      <diagonal/>
    </border>
    <border>
      <left style="thin">
        <color auto="1"/>
      </left>
      <right/>
      <top style="thin">
        <color auto="1"/>
      </top>
      <bottom style="thin">
        <color auto="1"/>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theme="0" tint="-0.24994659260841701"/>
      </left>
      <right/>
      <top/>
      <bottom style="thin">
        <color theme="0" tint="-0.24994659260841701"/>
      </bottom>
      <diagonal/>
    </border>
    <border>
      <left/>
      <right style="thin">
        <color auto="1"/>
      </right>
      <top style="medium">
        <color indexed="64"/>
      </top>
      <bottom style="medium">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right/>
      <top style="thin">
        <color theme="0" tint="-0.249977111117893"/>
      </top>
      <bottom style="thin">
        <color theme="0" tint="-0.249977111117893"/>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dashDot">
        <color rgb="FF0070C0"/>
      </top>
      <bottom style="thin">
        <color rgb="FF7F7F7F"/>
      </bottom>
      <diagonal/>
    </border>
    <border>
      <left/>
      <right/>
      <top style="dashDot">
        <color rgb="FF0070C0"/>
      </top>
      <bottom/>
      <diagonal/>
    </border>
    <border>
      <left/>
      <right style="dashDot">
        <color rgb="FF0070C0"/>
      </right>
      <top style="dashDot">
        <color rgb="FF0070C0"/>
      </top>
      <bottom/>
      <diagonal/>
    </border>
    <border>
      <left style="dashDot">
        <color rgb="FF0070C0"/>
      </left>
      <right/>
      <top/>
      <bottom/>
      <diagonal/>
    </border>
    <border>
      <left/>
      <right style="dashDot">
        <color rgb="FF0070C0"/>
      </right>
      <top/>
      <bottom/>
      <diagonal/>
    </border>
    <border>
      <left style="dashDot">
        <color rgb="FF0070C0"/>
      </left>
      <right/>
      <top/>
      <bottom style="dashDot">
        <color rgb="FF0070C0"/>
      </bottom>
      <diagonal/>
    </border>
    <border>
      <left/>
      <right/>
      <top/>
      <bottom style="dashDot">
        <color rgb="FF0070C0"/>
      </bottom>
      <diagonal/>
    </border>
    <border>
      <left/>
      <right style="dashDot">
        <color rgb="FF0070C0"/>
      </right>
      <top/>
      <bottom style="dashDot">
        <color rgb="FF0070C0"/>
      </bottom>
      <diagonal/>
    </border>
    <border>
      <left style="dashDot">
        <color rgb="FF00538B"/>
      </left>
      <right/>
      <top style="dashDot">
        <color rgb="FF00538B"/>
      </top>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style="medium">
        <color indexed="64"/>
      </left>
      <right style="thin">
        <color indexed="64"/>
      </right>
      <top style="thin">
        <color auto="1"/>
      </top>
      <bottom/>
      <diagonal/>
    </border>
    <border>
      <left style="medium">
        <color indexed="64"/>
      </left>
      <right style="medium">
        <color indexed="64"/>
      </right>
      <top/>
      <bottom style="thin">
        <color auto="1"/>
      </bottom>
      <diagonal/>
    </border>
    <border>
      <left style="thin">
        <color auto="1"/>
      </left>
      <right style="medium">
        <color indexed="64"/>
      </right>
      <top/>
      <bottom style="thin">
        <color auto="1"/>
      </bottom>
      <diagonal/>
    </border>
    <border>
      <left style="thin">
        <color auto="1"/>
      </left>
      <right/>
      <top style="medium">
        <color indexed="64"/>
      </top>
      <bottom style="medium">
        <color indexed="64"/>
      </bottom>
      <diagonal/>
    </border>
    <border>
      <left style="medium">
        <color indexed="64"/>
      </left>
      <right style="medium">
        <color auto="1"/>
      </right>
      <top style="medium">
        <color indexed="64"/>
      </top>
      <bottom/>
      <diagonal/>
    </border>
    <border>
      <left style="medium">
        <color indexed="64"/>
      </left>
      <right style="thin">
        <color auto="1"/>
      </right>
      <top/>
      <bottom style="thin">
        <color auto="1"/>
      </bottom>
      <diagonal/>
    </border>
    <border>
      <left style="medium">
        <color indexed="64"/>
      </left>
      <right style="medium">
        <color indexed="64"/>
      </right>
      <top/>
      <bottom style="medium">
        <color indexed="64"/>
      </bottom>
      <diagonal/>
    </border>
    <border>
      <left/>
      <right style="thin">
        <color auto="1"/>
      </right>
      <top style="thin">
        <color auto="1"/>
      </top>
      <bottom style="medium">
        <color indexed="64"/>
      </bottom>
      <diagonal/>
    </border>
    <border>
      <left style="thin">
        <color auto="1"/>
      </left>
      <right/>
      <top style="thin">
        <color auto="1"/>
      </top>
      <bottom style="medium">
        <color indexed="64"/>
      </bottom>
      <diagonal/>
    </border>
    <border>
      <left style="medium">
        <color indexed="64"/>
      </left>
      <right/>
      <top style="medium">
        <color indexed="64"/>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medium">
        <color indexed="64"/>
      </left>
      <right/>
      <top style="thin">
        <color auto="1"/>
      </top>
      <bottom style="medium">
        <color indexed="64"/>
      </bottom>
      <diagonal/>
    </border>
    <border>
      <left style="thin">
        <color auto="1"/>
      </left>
      <right style="medium">
        <color indexed="64"/>
      </right>
      <top/>
      <bottom/>
      <diagonal/>
    </border>
    <border>
      <left style="medium">
        <color indexed="64"/>
      </left>
      <right style="medium">
        <color indexed="64"/>
      </right>
      <top/>
      <bottom/>
      <diagonal/>
    </border>
    <border>
      <left style="medium">
        <color indexed="64"/>
      </left>
      <right style="thin">
        <color auto="1"/>
      </right>
      <top/>
      <bottom/>
      <diagonal/>
    </border>
    <border>
      <left/>
      <right style="medium">
        <color indexed="64"/>
      </right>
      <top/>
      <bottom style="thin">
        <color auto="1"/>
      </bottom>
      <diagonal/>
    </border>
    <border>
      <left/>
      <right style="medium">
        <color indexed="64"/>
      </right>
      <top style="thin">
        <color auto="1"/>
      </top>
      <bottom style="medium">
        <color indexed="64"/>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77111117893"/>
      </top>
      <bottom style="thin">
        <color theme="0" tint="-0.24994659260841701"/>
      </bottom>
      <diagonal/>
    </border>
    <border>
      <left style="thin">
        <color theme="0" tint="-0.249977111117893"/>
      </left>
      <right style="thin">
        <color theme="0" tint="-0.249977111117893"/>
      </right>
      <top style="thin">
        <color theme="0" tint="-0.249977111117893"/>
      </top>
      <bottom style="thin">
        <color indexed="64"/>
      </bottom>
      <diagonal/>
    </border>
    <border>
      <left/>
      <right style="thin">
        <color auto="1"/>
      </right>
      <top/>
      <bottom style="medium">
        <color indexed="64"/>
      </bottom>
      <diagonal/>
    </border>
    <border>
      <left/>
      <right/>
      <top style="thin">
        <color auto="1"/>
      </top>
      <bottom style="medium">
        <color indexed="64"/>
      </bottom>
      <diagonal/>
    </border>
    <border>
      <left style="thin">
        <color theme="0" tint="-0.249977111117893"/>
      </left>
      <right/>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249977111117893"/>
      </right>
      <top/>
      <bottom/>
      <diagonal/>
    </border>
    <border>
      <left/>
      <right style="thin">
        <color theme="0" tint="-0.249977111117893"/>
      </right>
      <top style="thin">
        <color theme="0" tint="-0.249977111117893"/>
      </top>
      <bottom/>
      <diagonal/>
    </border>
    <border>
      <left style="thin">
        <color theme="0" tint="-0.34998626667073579"/>
      </left>
      <right style="thin">
        <color theme="0" tint="-0.34998626667073579"/>
      </right>
      <top style="thin">
        <color theme="0" tint="-0.34998626667073579"/>
      </top>
      <bottom style="thin">
        <color theme="0" tint="-0.249977111117893"/>
      </bottom>
      <diagonal/>
    </border>
    <border>
      <left style="thin">
        <color theme="0" tint="-0.34998626667073579"/>
      </left>
      <right style="thin">
        <color theme="0" tint="-0.34998626667073579"/>
      </right>
      <top style="thin">
        <color theme="0" tint="-0.249977111117893"/>
      </top>
      <bottom style="thin">
        <color theme="0" tint="-0.249977111117893"/>
      </bottom>
      <diagonal/>
    </border>
    <border>
      <left style="thin">
        <color theme="0" tint="-0.34998626667073579"/>
      </left>
      <right style="thin">
        <color theme="0" tint="-0.34998626667073579"/>
      </right>
      <top style="thin">
        <color theme="0" tint="-0.249977111117893"/>
      </top>
      <bottom style="thin">
        <color theme="0" tint="-0.34998626667073579"/>
      </bottom>
      <diagonal/>
    </border>
    <border>
      <left style="thin">
        <color theme="0" tint="-0.249977111117893"/>
      </left>
      <right/>
      <top style="thin">
        <color theme="0" tint="-0.249977111117893"/>
      </top>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249977111117893"/>
      </top>
      <bottom style="thin">
        <color theme="0" tint="-0.249977111117893"/>
      </bottom>
      <diagonal/>
    </border>
    <border>
      <left style="thin">
        <color theme="0" tint="-0.249977111117893"/>
      </left>
      <right style="thin">
        <color theme="0" tint="-0.34998626667073579"/>
      </right>
      <top/>
      <bottom/>
      <diagonal/>
    </border>
    <border>
      <left style="thin">
        <color theme="0" tint="-0.34998626667073579"/>
      </left>
      <right style="thin">
        <color theme="0" tint="-0.34998626667073579"/>
      </right>
      <top style="thin">
        <color theme="0" tint="-0.249977111117893"/>
      </top>
      <bottom/>
      <diagonal/>
    </border>
    <border>
      <left/>
      <right style="thin">
        <color theme="0" tint="-0.34998626667073579"/>
      </right>
      <top style="thin">
        <color theme="0" tint="-0.34998626667073579"/>
      </top>
      <bottom style="thin">
        <color theme="0" tint="-0.249977111117893"/>
      </bottom>
      <diagonal/>
    </border>
    <border>
      <left style="thin">
        <color theme="0" tint="-0.34998626667073579"/>
      </left>
      <right style="thin">
        <color theme="0" tint="-0.249977111117893"/>
      </right>
      <top/>
      <bottom style="thin">
        <color theme="0" tint="-0.34998626667073579"/>
      </bottom>
      <diagonal/>
    </border>
    <border>
      <left style="thin">
        <color theme="0" tint="-0.249977111117893"/>
      </left>
      <right style="thin">
        <color theme="0" tint="-0.34998626667073579"/>
      </right>
      <top style="thin">
        <color theme="0" tint="-0.249977111117893"/>
      </top>
      <bottom style="thin">
        <color theme="0" tint="-0.34998626667073579"/>
      </bottom>
      <diagonal/>
    </border>
    <border>
      <left style="thin">
        <color theme="0" tint="-0.249977111117893"/>
      </left>
      <right/>
      <top style="thin">
        <color theme="0" tint="-0.249977111117893"/>
      </top>
      <bottom style="thin">
        <color indexed="64"/>
      </bottom>
      <diagonal/>
    </border>
    <border>
      <left/>
      <right style="thin">
        <color theme="0" tint="-0.249977111117893"/>
      </right>
      <top style="thin">
        <color theme="0" tint="-0.249977111117893"/>
      </top>
      <bottom style="thin">
        <color indexed="64"/>
      </bottom>
      <diagonal/>
    </border>
    <border>
      <left style="medium">
        <color rgb="FF00A2E0"/>
      </left>
      <right/>
      <top/>
      <bottom style="medium">
        <color theme="5"/>
      </bottom>
      <diagonal/>
    </border>
    <border>
      <left/>
      <right style="medium">
        <color rgb="FF00A2E0"/>
      </right>
      <top/>
      <bottom style="medium">
        <color theme="5"/>
      </bottom>
      <diagonal/>
    </border>
  </borders>
  <cellStyleXfs count="9">
    <xf numFmtId="0" fontId="0" fillId="0" borderId="0"/>
    <xf numFmtId="43" fontId="1" fillId="0" borderId="0" applyFont="0" applyFill="0" applyBorder="0" applyAlignment="0" applyProtection="0"/>
    <xf numFmtId="0" fontId="17" fillId="0" borderId="0" applyNumberFormat="0" applyFill="0" applyBorder="0" applyAlignment="0" applyProtection="0"/>
    <xf numFmtId="9" fontId="1" fillId="0" borderId="0" applyFont="0" applyFill="0" applyBorder="0" applyAlignment="0" applyProtection="0"/>
    <xf numFmtId="0" fontId="5" fillId="0" borderId="0"/>
    <xf numFmtId="0" fontId="37" fillId="0" borderId="0"/>
    <xf numFmtId="0" fontId="62" fillId="20" borderId="69" applyNumberFormat="0" applyAlignment="0" applyProtection="0"/>
    <xf numFmtId="0" fontId="5" fillId="0" borderId="0" applyBorder="0"/>
    <xf numFmtId="0" fontId="67" fillId="23" borderId="0" applyNumberFormat="0" applyBorder="0" applyAlignment="0" applyProtection="0"/>
  </cellStyleXfs>
  <cellXfs count="742">
    <xf numFmtId="0" fontId="0" fillId="0" borderId="0" xfId="0"/>
    <xf numFmtId="0" fontId="5" fillId="2" borderId="0" xfId="0" applyFont="1" applyFill="1" applyAlignment="1">
      <alignment wrapText="1"/>
    </xf>
    <xf numFmtId="0" fontId="7" fillId="3" borderId="3" xfId="0" applyFont="1" applyFill="1" applyBorder="1" applyAlignment="1">
      <alignment wrapText="1"/>
    </xf>
    <xf numFmtId="0" fontId="8" fillId="4" borderId="4" xfId="0" applyFont="1" applyFill="1" applyBorder="1" applyAlignment="1">
      <alignment horizontal="left" vertical="center"/>
    </xf>
    <xf numFmtId="0" fontId="5" fillId="4" borderId="5" xfId="0" applyFont="1" applyFill="1" applyBorder="1" applyAlignment="1">
      <alignment vertical="center" wrapText="1"/>
    </xf>
    <xf numFmtId="0" fontId="9" fillId="4" borderId="6" xfId="0" applyFont="1" applyFill="1" applyBorder="1" applyAlignment="1">
      <alignment vertical="center" wrapText="1"/>
    </xf>
    <xf numFmtId="0" fontId="5" fillId="4" borderId="6" xfId="0" applyFont="1" applyFill="1" applyBorder="1" applyAlignment="1">
      <alignment wrapText="1"/>
    </xf>
    <xf numFmtId="14" fontId="5" fillId="4" borderId="5" xfId="0" applyNumberFormat="1" applyFont="1" applyFill="1" applyBorder="1" applyAlignment="1">
      <alignment horizontal="left" vertical="center" wrapText="1"/>
    </xf>
    <xf numFmtId="0" fontId="8" fillId="4" borderId="7" xfId="0" applyFont="1" applyFill="1" applyBorder="1" applyAlignment="1">
      <alignment horizontal="left" vertical="center"/>
    </xf>
    <xf numFmtId="0" fontId="5" fillId="4" borderId="8" xfId="0" applyFont="1" applyFill="1" applyBorder="1" applyAlignment="1">
      <alignment vertical="center" wrapText="1"/>
    </xf>
    <xf numFmtId="0" fontId="5" fillId="4" borderId="9" xfId="0" applyFont="1" applyFill="1" applyBorder="1" applyAlignment="1">
      <alignment wrapText="1"/>
    </xf>
    <xf numFmtId="0" fontId="10" fillId="3" borderId="7" xfId="0" applyFont="1" applyFill="1" applyBorder="1"/>
    <xf numFmtId="0" fontId="10" fillId="3" borderId="9" xfId="0" applyFont="1" applyFill="1" applyBorder="1" applyAlignment="1">
      <alignment horizontal="left" vertical="center" wrapText="1"/>
    </xf>
    <xf numFmtId="0" fontId="10" fillId="3" borderId="1" xfId="0" applyFont="1" applyFill="1" applyBorder="1"/>
    <xf numFmtId="0" fontId="10" fillId="3" borderId="3" xfId="0" applyFont="1" applyFill="1" applyBorder="1"/>
    <xf numFmtId="0" fontId="11" fillId="4" borderId="4" xfId="0" applyFont="1" applyFill="1" applyBorder="1"/>
    <xf numFmtId="0" fontId="5" fillId="4" borderId="6" xfId="0" applyFont="1" applyFill="1" applyBorder="1"/>
    <xf numFmtId="0" fontId="12" fillId="4" borderId="7" xfId="0" applyFont="1" applyFill="1" applyBorder="1"/>
    <xf numFmtId="0" fontId="5" fillId="4" borderId="9" xfId="0" applyFont="1" applyFill="1" applyBorder="1"/>
    <xf numFmtId="0" fontId="3" fillId="0" borderId="0" xfId="0" applyFont="1"/>
    <xf numFmtId="0" fontId="0" fillId="8" borderId="0" xfId="0" applyFill="1"/>
    <xf numFmtId="0" fontId="9" fillId="4" borderId="28" xfId="0" applyFont="1" applyFill="1" applyBorder="1" applyAlignment="1">
      <alignment vertical="center" wrapText="1"/>
    </xf>
    <xf numFmtId="0" fontId="5" fillId="4" borderId="29" xfId="0" applyFont="1" applyFill="1" applyBorder="1" applyAlignment="1">
      <alignment wrapText="1"/>
    </xf>
    <xf numFmtId="0" fontId="5" fillId="4" borderId="30" xfId="0" applyFont="1" applyFill="1" applyBorder="1" applyAlignment="1">
      <alignment wrapText="1"/>
    </xf>
    <xf numFmtId="0" fontId="7" fillId="3" borderId="27" xfId="0" applyFont="1" applyFill="1" applyBorder="1" applyAlignment="1">
      <alignment wrapText="1"/>
    </xf>
    <xf numFmtId="0" fontId="13" fillId="5" borderId="0" xfId="0" applyFont="1" applyFill="1"/>
    <xf numFmtId="0" fontId="14" fillId="5" borderId="0" xfId="0" applyFont="1" applyFill="1"/>
    <xf numFmtId="0" fontId="0" fillId="5" borderId="0" xfId="0" applyFill="1"/>
    <xf numFmtId="0" fontId="13" fillId="10" borderId="0" xfId="0" applyFont="1" applyFill="1"/>
    <xf numFmtId="0" fontId="14" fillId="10" borderId="0" xfId="0" applyFont="1" applyFill="1"/>
    <xf numFmtId="0" fontId="0" fillId="0" borderId="22" xfId="0" applyBorder="1" applyAlignment="1">
      <alignment horizontal="left" wrapText="1" indent="1"/>
    </xf>
    <xf numFmtId="0" fontId="5" fillId="4" borderId="6" xfId="0" applyFont="1" applyFill="1" applyBorder="1" applyAlignment="1">
      <alignment vertical="center" wrapText="1"/>
    </xf>
    <xf numFmtId="0" fontId="14" fillId="0" borderId="0" xfId="0" applyFont="1"/>
    <xf numFmtId="43" fontId="0" fillId="0" borderId="15" xfId="1" applyFont="1" applyBorder="1"/>
    <xf numFmtId="43" fontId="0" fillId="0" borderId="16" xfId="1" applyFont="1" applyBorder="1"/>
    <xf numFmtId="43" fontId="0" fillId="0" borderId="18" xfId="1" applyFont="1" applyBorder="1"/>
    <xf numFmtId="43" fontId="0" fillId="0" borderId="23" xfId="1" applyFont="1" applyBorder="1"/>
    <xf numFmtId="43" fontId="0" fillId="0" borderId="20" xfId="1" applyFont="1" applyBorder="1"/>
    <xf numFmtId="43" fontId="0" fillId="0" borderId="21" xfId="1" applyFont="1" applyBorder="1"/>
    <xf numFmtId="0" fontId="14" fillId="8" borderId="0" xfId="0" applyFont="1" applyFill="1"/>
    <xf numFmtId="0" fontId="2" fillId="9" borderId="16" xfId="0" applyFont="1" applyFill="1" applyBorder="1" applyAlignment="1">
      <alignment horizontal="center" vertical="center" wrapText="1"/>
    </xf>
    <xf numFmtId="0" fontId="0" fillId="0" borderId="16" xfId="0" applyBorder="1"/>
    <xf numFmtId="3" fontId="0" fillId="0" borderId="16" xfId="0" applyNumberFormat="1" applyBorder="1"/>
    <xf numFmtId="0" fontId="0" fillId="0" borderId="16" xfId="0" applyBorder="1" applyAlignment="1">
      <alignment horizontal="right"/>
    </xf>
    <xf numFmtId="0" fontId="0" fillId="0" borderId="16" xfId="0" applyBorder="1" applyAlignment="1">
      <alignment horizontal="center"/>
    </xf>
    <xf numFmtId="43" fontId="0" fillId="7" borderId="37" xfId="1" applyFont="1" applyFill="1" applyBorder="1"/>
    <xf numFmtId="0" fontId="2" fillId="6" borderId="33" xfId="0" applyFont="1" applyFill="1" applyBorder="1"/>
    <xf numFmtId="0" fontId="15" fillId="6" borderId="38" xfId="0" applyFont="1" applyFill="1" applyBorder="1" applyAlignment="1">
      <alignment horizontal="center" vertical="center" wrapText="1"/>
    </xf>
    <xf numFmtId="0" fontId="15" fillId="6" borderId="39" xfId="0" applyFont="1" applyFill="1" applyBorder="1" applyAlignment="1">
      <alignment horizontal="center" vertical="center" wrapText="1"/>
    </xf>
    <xf numFmtId="0" fontId="15" fillId="6" borderId="39" xfId="0" applyFont="1" applyFill="1" applyBorder="1" applyAlignment="1">
      <alignment horizontal="center" vertical="center"/>
    </xf>
    <xf numFmtId="0" fontId="15" fillId="6" borderId="40" xfId="0" applyFont="1" applyFill="1" applyBorder="1" applyAlignment="1">
      <alignment horizontal="center" vertical="center"/>
    </xf>
    <xf numFmtId="0" fontId="15" fillId="6" borderId="41" xfId="0" applyFont="1" applyFill="1" applyBorder="1" applyAlignment="1">
      <alignment horizontal="center" vertical="center"/>
    </xf>
    <xf numFmtId="43" fontId="0" fillId="0" borderId="12" xfId="1" applyFont="1" applyBorder="1"/>
    <xf numFmtId="43" fontId="0" fillId="0" borderId="13" xfId="1" applyFont="1" applyBorder="1"/>
    <xf numFmtId="43" fontId="0" fillId="0" borderId="14" xfId="1" applyFont="1" applyBorder="1"/>
    <xf numFmtId="0" fontId="3" fillId="0" borderId="31" xfId="0" applyFont="1" applyBorder="1" applyAlignment="1">
      <alignment wrapText="1"/>
    </xf>
    <xf numFmtId="43" fontId="3" fillId="7" borderId="42" xfId="1" applyFont="1" applyFill="1" applyBorder="1"/>
    <xf numFmtId="0" fontId="0" fillId="0" borderId="0" xfId="0" applyAlignment="1">
      <alignment horizontal="center"/>
    </xf>
    <xf numFmtId="0" fontId="2" fillId="9" borderId="16" xfId="0" applyFont="1" applyFill="1" applyBorder="1" applyAlignment="1">
      <alignment horizontal="left" vertical="center" wrapText="1"/>
    </xf>
    <xf numFmtId="0" fontId="0" fillId="0" borderId="0" xfId="0" applyAlignment="1">
      <alignment horizontal="center" wrapText="1"/>
    </xf>
    <xf numFmtId="0" fontId="2" fillId="9" borderId="0" xfId="0" applyFont="1" applyFill="1" applyAlignment="1">
      <alignment horizontal="left" vertical="center"/>
    </xf>
    <xf numFmtId="0" fontId="2" fillId="9" borderId="0" xfId="0" applyFont="1" applyFill="1" applyAlignment="1">
      <alignment horizontal="center" vertical="center"/>
    </xf>
    <xf numFmtId="0" fontId="0" fillId="0" borderId="0" xfId="0" applyAlignment="1">
      <alignment horizontal="left" vertical="center"/>
    </xf>
    <xf numFmtId="0" fontId="18" fillId="4" borderId="4" xfId="2" applyFont="1" applyFill="1" applyBorder="1" applyAlignment="1">
      <alignment horizontal="left" vertical="center"/>
    </xf>
    <xf numFmtId="0" fontId="0" fillId="0" borderId="0" xfId="0" applyAlignment="1">
      <alignment wrapText="1"/>
    </xf>
    <xf numFmtId="164" fontId="0" fillId="0" borderId="0" xfId="0" applyNumberFormat="1"/>
    <xf numFmtId="0" fontId="0" fillId="4" borderId="0" xfId="0" applyFill="1"/>
    <xf numFmtId="0" fontId="4" fillId="11" borderId="46" xfId="0" applyFont="1" applyFill="1" applyBorder="1" applyAlignment="1">
      <alignment horizontal="center" wrapText="1"/>
    </xf>
    <xf numFmtId="0" fontId="3" fillId="0" borderId="46" xfId="0" applyFont="1" applyBorder="1" applyAlignment="1">
      <alignment wrapText="1"/>
    </xf>
    <xf numFmtId="0" fontId="0" fillId="4" borderId="0" xfId="0" applyFill="1" applyAlignment="1">
      <alignment wrapText="1"/>
    </xf>
    <xf numFmtId="0" fontId="4" fillId="11" borderId="46" xfId="0" applyFont="1" applyFill="1" applyBorder="1" applyAlignment="1">
      <alignment horizontal="center"/>
    </xf>
    <xf numFmtId="2" fontId="0" fillId="0" borderId="0" xfId="0" applyNumberFormat="1"/>
    <xf numFmtId="0" fontId="0" fillId="4" borderId="46" xfId="0" applyFill="1" applyBorder="1"/>
    <xf numFmtId="0" fontId="3" fillId="4" borderId="46" xfId="0" applyFont="1" applyFill="1" applyBorder="1"/>
    <xf numFmtId="0" fontId="4" fillId="11" borderId="48" xfId="0" applyFont="1" applyFill="1" applyBorder="1" applyAlignment="1">
      <alignment horizontal="center" vertical="center" wrapText="1"/>
    </xf>
    <xf numFmtId="0" fontId="4" fillId="11" borderId="48" xfId="0" applyFont="1" applyFill="1" applyBorder="1" applyAlignment="1">
      <alignment horizontal="center" wrapText="1"/>
    </xf>
    <xf numFmtId="0" fontId="13" fillId="12" borderId="0" xfId="0" applyFont="1" applyFill="1"/>
    <xf numFmtId="0" fontId="14" fillId="12" borderId="0" xfId="0" applyFont="1" applyFill="1"/>
    <xf numFmtId="0" fontId="14" fillId="12" borderId="0" xfId="0" applyFont="1" applyFill="1" applyAlignment="1">
      <alignment wrapText="1"/>
    </xf>
    <xf numFmtId="0" fontId="0" fillId="12" borderId="0" xfId="0" applyFill="1"/>
    <xf numFmtId="0" fontId="0" fillId="0" borderId="46" xfId="0" applyBorder="1"/>
    <xf numFmtId="164" fontId="0" fillId="4" borderId="46" xfId="1" applyNumberFormat="1" applyFont="1" applyFill="1" applyBorder="1" applyAlignment="1"/>
    <xf numFmtId="0" fontId="3" fillId="4" borderId="0" xfId="0" applyFont="1" applyFill="1"/>
    <xf numFmtId="0" fontId="4" fillId="13" borderId="46" xfId="0" applyFont="1" applyFill="1" applyBorder="1" applyAlignment="1">
      <alignment wrapText="1"/>
    </xf>
    <xf numFmtId="0" fontId="4" fillId="13" borderId="46" xfId="0" applyFont="1" applyFill="1" applyBorder="1"/>
    <xf numFmtId="0" fontId="0" fillId="0" borderId="46" xfId="0" applyBorder="1" applyAlignment="1">
      <alignment wrapText="1"/>
    </xf>
    <xf numFmtId="3" fontId="0" fillId="4" borderId="46" xfId="0" applyNumberFormat="1" applyFill="1" applyBorder="1" applyAlignment="1">
      <alignment wrapText="1"/>
    </xf>
    <xf numFmtId="3" fontId="0" fillId="4" borderId="46" xfId="0" applyNumberFormat="1" applyFill="1" applyBorder="1"/>
    <xf numFmtId="3" fontId="0" fillId="4" borderId="0" xfId="0" applyNumberFormat="1" applyFill="1"/>
    <xf numFmtId="0" fontId="23" fillId="12" borderId="0" xfId="0" applyFont="1" applyFill="1"/>
    <xf numFmtId="0" fontId="21" fillId="12" borderId="0" xfId="0" applyFont="1" applyFill="1"/>
    <xf numFmtId="0" fontId="21" fillId="12" borderId="0" xfId="0" applyFont="1" applyFill="1" applyAlignment="1">
      <alignment wrapText="1"/>
    </xf>
    <xf numFmtId="0" fontId="24" fillId="12" borderId="0" xfId="0" applyFont="1" applyFill="1"/>
    <xf numFmtId="165" fontId="0" fillId="4" borderId="46" xfId="0" applyNumberFormat="1" applyFill="1" applyBorder="1"/>
    <xf numFmtId="165" fontId="3" fillId="4" borderId="46" xfId="0" applyNumberFormat="1" applyFont="1" applyFill="1" applyBorder="1"/>
    <xf numFmtId="166" fontId="0" fillId="4" borderId="46" xfId="3" applyNumberFormat="1" applyFont="1" applyFill="1" applyBorder="1"/>
    <xf numFmtId="166" fontId="3" fillId="4" borderId="46" xfId="3" applyNumberFormat="1" applyFont="1" applyFill="1" applyBorder="1"/>
    <xf numFmtId="0" fontId="25" fillId="0" borderId="0" xfId="0" applyFont="1"/>
    <xf numFmtId="0" fontId="23" fillId="4" borderId="0" xfId="0" applyFont="1" applyFill="1"/>
    <xf numFmtId="167" fontId="0" fillId="4" borderId="46" xfId="0" applyNumberFormat="1" applyFill="1" applyBorder="1"/>
    <xf numFmtId="167" fontId="0" fillId="4" borderId="0" xfId="0" applyNumberFormat="1" applyFill="1"/>
    <xf numFmtId="0" fontId="26" fillId="4" borderId="0" xfId="0" applyFont="1" applyFill="1"/>
    <xf numFmtId="0" fontId="27" fillId="4" borderId="0" xfId="0" applyFont="1" applyFill="1"/>
    <xf numFmtId="0" fontId="25" fillId="4" borderId="0" xfId="0" applyFont="1" applyFill="1"/>
    <xf numFmtId="168" fontId="0" fillId="4" borderId="46" xfId="0" applyNumberFormat="1" applyFill="1" applyBorder="1"/>
    <xf numFmtId="0" fontId="17" fillId="4" borderId="0" xfId="2" applyFill="1" applyAlignment="1"/>
    <xf numFmtId="0" fontId="21" fillId="4" borderId="0" xfId="0" applyFont="1" applyFill="1"/>
    <xf numFmtId="0" fontId="21" fillId="4" borderId="0" xfId="0" applyFont="1" applyFill="1" applyAlignment="1">
      <alignment wrapText="1"/>
    </xf>
    <xf numFmtId="0" fontId="24" fillId="4" borderId="0" xfId="0" applyFont="1" applyFill="1"/>
    <xf numFmtId="0" fontId="3" fillId="14" borderId="46" xfId="0" applyFont="1" applyFill="1" applyBorder="1"/>
    <xf numFmtId="164" fontId="0" fillId="4" borderId="0" xfId="1" applyNumberFormat="1" applyFont="1" applyFill="1"/>
    <xf numFmtId="43" fontId="0" fillId="4" borderId="0" xfId="0" applyNumberFormat="1" applyFill="1"/>
    <xf numFmtId="0" fontId="3" fillId="0" borderId="0" xfId="0" applyFont="1" applyAlignment="1">
      <alignment horizontal="center"/>
    </xf>
    <xf numFmtId="3" fontId="3" fillId="4" borderId="46" xfId="0" applyNumberFormat="1" applyFont="1" applyFill="1" applyBorder="1"/>
    <xf numFmtId="3" fontId="3" fillId="4" borderId="0" xfId="0" applyNumberFormat="1" applyFont="1" applyFill="1"/>
    <xf numFmtId="10" fontId="0" fillId="4" borderId="46" xfId="3" applyNumberFormat="1" applyFont="1" applyFill="1" applyBorder="1"/>
    <xf numFmtId="4" fontId="0" fillId="4" borderId="46" xfId="0" applyNumberFormat="1" applyFill="1" applyBorder="1"/>
    <xf numFmtId="168" fontId="0" fillId="0" borderId="46" xfId="0" applyNumberFormat="1" applyBorder="1"/>
    <xf numFmtId="0" fontId="2" fillId="4" borderId="0" xfId="0" applyFont="1" applyFill="1"/>
    <xf numFmtId="0" fontId="4" fillId="4" borderId="0" xfId="0" applyFont="1" applyFill="1"/>
    <xf numFmtId="43" fontId="0" fillId="0" borderId="0" xfId="0" applyNumberFormat="1"/>
    <xf numFmtId="0" fontId="0" fillId="0" borderId="0" xfId="0" applyAlignment="1">
      <alignment horizontal="left" vertical="top" wrapText="1"/>
    </xf>
    <xf numFmtId="41" fontId="0" fillId="4" borderId="46" xfId="0" applyNumberFormat="1" applyFill="1" applyBorder="1"/>
    <xf numFmtId="0" fontId="0" fillId="4" borderId="47" xfId="0" applyFill="1" applyBorder="1"/>
    <xf numFmtId="0" fontId="28" fillId="0" borderId="0" xfId="4" applyFont="1"/>
    <xf numFmtId="171" fontId="0" fillId="0" borderId="0" xfId="0" applyNumberFormat="1"/>
    <xf numFmtId="0" fontId="3" fillId="4" borderId="0" xfId="0" applyFont="1" applyFill="1" applyAlignment="1">
      <alignment wrapText="1"/>
    </xf>
    <xf numFmtId="170" fontId="0" fillId="4" borderId="46" xfId="1" applyNumberFormat="1" applyFont="1" applyFill="1" applyBorder="1"/>
    <xf numFmtId="0" fontId="2" fillId="13" borderId="52" xfId="0" applyFont="1" applyFill="1" applyBorder="1" applyAlignment="1">
      <alignment horizontal="center" wrapText="1"/>
    </xf>
    <xf numFmtId="0" fontId="4" fillId="13" borderId="48" xfId="0" applyFont="1" applyFill="1" applyBorder="1" applyAlignment="1">
      <alignment wrapText="1"/>
    </xf>
    <xf numFmtId="0" fontId="4" fillId="13" borderId="47" xfId="0" applyFont="1" applyFill="1" applyBorder="1" applyAlignment="1">
      <alignment wrapText="1"/>
    </xf>
    <xf numFmtId="0" fontId="2" fillId="13" borderId="46" xfId="0" applyFont="1" applyFill="1" applyBorder="1" applyAlignment="1">
      <alignment horizontal="center" wrapText="1"/>
    </xf>
    <xf numFmtId="9" fontId="29" fillId="4" borderId="0" xfId="3" applyFont="1" applyFill="1" applyBorder="1" applyAlignment="1">
      <alignment wrapText="1"/>
    </xf>
    <xf numFmtId="0" fontId="0" fillId="0" borderId="0" xfId="0" applyAlignment="1">
      <alignment vertical="center"/>
    </xf>
    <xf numFmtId="0" fontId="30" fillId="13" borderId="46" xfId="0" applyFont="1" applyFill="1" applyBorder="1" applyAlignment="1">
      <alignment wrapText="1"/>
    </xf>
    <xf numFmtId="0" fontId="30" fillId="13" borderId="46" xfId="0" applyFont="1" applyFill="1" applyBorder="1"/>
    <xf numFmtId="164" fontId="32" fillId="4" borderId="46" xfId="0" applyNumberFormat="1" applyFont="1" applyFill="1" applyBorder="1" applyAlignment="1">
      <alignment horizontal="center" wrapText="1"/>
    </xf>
    <xf numFmtId="0" fontId="32" fillId="0" borderId="46" xfId="0" applyFont="1" applyBorder="1" applyAlignment="1">
      <alignment vertical="center"/>
    </xf>
    <xf numFmtId="0" fontId="22" fillId="4" borderId="0" xfId="0" applyFont="1" applyFill="1"/>
    <xf numFmtId="3" fontId="3" fillId="4" borderId="0" xfId="0" applyNumberFormat="1" applyFont="1" applyFill="1" applyAlignment="1">
      <alignment wrapText="1"/>
    </xf>
    <xf numFmtId="164" fontId="0" fillId="4" borderId="46" xfId="1" applyNumberFormat="1" applyFont="1" applyFill="1" applyBorder="1"/>
    <xf numFmtId="0" fontId="2" fillId="0" borderId="0" xfId="0" applyFont="1"/>
    <xf numFmtId="0" fontId="4" fillId="0" borderId="0" xfId="0" applyFont="1"/>
    <xf numFmtId="0" fontId="34" fillId="0" borderId="46" xfId="0" applyFont="1" applyBorder="1" applyAlignment="1">
      <alignment vertical="center"/>
    </xf>
    <xf numFmtId="164" fontId="0" fillId="4" borderId="46" xfId="0" applyNumberFormat="1" applyFill="1" applyBorder="1" applyAlignment="1">
      <alignment horizontal="center" wrapText="1"/>
    </xf>
    <xf numFmtId="3" fontId="22" fillId="4" borderId="0" xfId="0" applyNumberFormat="1" applyFont="1" applyFill="1"/>
    <xf numFmtId="0" fontId="36" fillId="4" borderId="0" xfId="2" applyFont="1" applyFill="1" applyAlignment="1"/>
    <xf numFmtId="164" fontId="3" fillId="4" borderId="0" xfId="0" applyNumberFormat="1" applyFont="1" applyFill="1" applyAlignment="1">
      <alignment horizontal="center" wrapText="1"/>
    </xf>
    <xf numFmtId="0" fontId="38" fillId="0" borderId="0" xfId="0" applyFont="1"/>
    <xf numFmtId="49" fontId="38" fillId="0" borderId="0" xfId="5" applyNumberFormat="1" applyFont="1" applyAlignment="1">
      <alignment horizontal="left" indent="1"/>
    </xf>
    <xf numFmtId="165" fontId="38" fillId="0" borderId="0" xfId="5" applyNumberFormat="1" applyFont="1" applyAlignment="1">
      <alignment horizontal="right"/>
    </xf>
    <xf numFmtId="0" fontId="38" fillId="0" borderId="0" xfId="0" applyFont="1" applyAlignment="1">
      <alignment horizontal="left" indent="1"/>
    </xf>
    <xf numFmtId="165" fontId="38" fillId="0" borderId="0" xfId="0" applyNumberFormat="1" applyFont="1" applyAlignment="1">
      <alignment horizontal="right"/>
    </xf>
    <xf numFmtId="0" fontId="39" fillId="0" borderId="0" xfId="0" applyFont="1"/>
    <xf numFmtId="0" fontId="40" fillId="0" borderId="0" xfId="0" applyFont="1"/>
    <xf numFmtId="0" fontId="39" fillId="0" borderId="16" xfId="0" applyFont="1" applyBorder="1"/>
    <xf numFmtId="165" fontId="39" fillId="0" borderId="16" xfId="0" applyNumberFormat="1" applyFont="1" applyBorder="1"/>
    <xf numFmtId="4" fontId="39" fillId="0" borderId="16" xfId="0" applyNumberFormat="1" applyFont="1" applyBorder="1"/>
    <xf numFmtId="0" fontId="39" fillId="0" borderId="16" xfId="0" applyFont="1" applyBorder="1" applyAlignment="1">
      <alignment horizontal="center"/>
    </xf>
    <xf numFmtId="0" fontId="2" fillId="15" borderId="0" xfId="0" applyFont="1" applyFill="1"/>
    <xf numFmtId="0" fontId="4" fillId="15" borderId="0" xfId="0" applyFont="1" applyFill="1"/>
    <xf numFmtId="49" fontId="38" fillId="0" borderId="0" xfId="5" applyNumberFormat="1" applyFont="1"/>
    <xf numFmtId="49" fontId="40" fillId="0" borderId="0" xfId="5" applyNumberFormat="1" applyFont="1"/>
    <xf numFmtId="49" fontId="38" fillId="0" borderId="53" xfId="5" applyNumberFormat="1" applyFont="1" applyBorder="1"/>
    <xf numFmtId="49" fontId="38" fillId="0" borderId="53" xfId="5" applyNumberFormat="1" applyFont="1" applyBorder="1" applyAlignment="1">
      <alignment horizontal="right"/>
    </xf>
    <xf numFmtId="49" fontId="38" fillId="0" borderId="0" xfId="5" applyNumberFormat="1" applyFont="1" applyAlignment="1">
      <alignment horizontal="left"/>
    </xf>
    <xf numFmtId="0" fontId="39" fillId="14" borderId="16" xfId="0" applyFont="1" applyFill="1" applyBorder="1"/>
    <xf numFmtId="0" fontId="39" fillId="14" borderId="16" xfId="0" applyFont="1" applyFill="1" applyBorder="1" applyAlignment="1">
      <alignment horizontal="center"/>
    </xf>
    <xf numFmtId="4" fontId="0" fillId="0" borderId="0" xfId="0" applyNumberFormat="1"/>
    <xf numFmtId="41" fontId="3" fillId="4" borderId="46" xfId="0" applyNumberFormat="1" applyFont="1" applyFill="1" applyBorder="1"/>
    <xf numFmtId="168" fontId="0" fillId="0" borderId="47" xfId="0" applyNumberFormat="1" applyBorder="1"/>
    <xf numFmtId="168" fontId="3" fillId="0" borderId="51" xfId="0" applyNumberFormat="1" applyFont="1" applyBorder="1"/>
    <xf numFmtId="168" fontId="0" fillId="0" borderId="0" xfId="0" applyNumberFormat="1"/>
    <xf numFmtId="0" fontId="0" fillId="4" borderId="48" xfId="0" applyFill="1" applyBorder="1"/>
    <xf numFmtId="0" fontId="0" fillId="4" borderId="55" xfId="0" applyFill="1" applyBorder="1"/>
    <xf numFmtId="0" fontId="0" fillId="4" borderId="56" xfId="0" applyFill="1" applyBorder="1"/>
    <xf numFmtId="168" fontId="3" fillId="4" borderId="0" xfId="0" applyNumberFormat="1" applyFont="1" applyFill="1"/>
    <xf numFmtId="168" fontId="0" fillId="4" borderId="0" xfId="0" applyNumberFormat="1" applyFill="1"/>
    <xf numFmtId="0" fontId="0" fillId="4" borderId="16" xfId="0" applyFill="1" applyBorder="1"/>
    <xf numFmtId="164" fontId="0" fillId="0" borderId="46" xfId="0" applyNumberFormat="1" applyBorder="1"/>
    <xf numFmtId="41" fontId="3" fillId="4" borderId="56" xfId="0" applyNumberFormat="1" applyFont="1" applyFill="1" applyBorder="1"/>
    <xf numFmtId="169" fontId="0" fillId="4" borderId="0" xfId="0" applyNumberFormat="1" applyFill="1"/>
    <xf numFmtId="41" fontId="3" fillId="4" borderId="0" xfId="0" applyNumberFormat="1" applyFont="1" applyFill="1"/>
    <xf numFmtId="169" fontId="22" fillId="4" borderId="0" xfId="0" applyNumberFormat="1" applyFont="1" applyFill="1"/>
    <xf numFmtId="49" fontId="41" fillId="0" borderId="0" xfId="5" applyNumberFormat="1" applyFont="1" applyAlignment="1">
      <alignment horizontal="left"/>
    </xf>
    <xf numFmtId="0" fontId="40" fillId="0" borderId="0" xfId="0" applyFont="1" applyAlignment="1">
      <alignment horizontal="center"/>
    </xf>
    <xf numFmtId="164" fontId="0" fillId="0" borderId="46" xfId="1" applyNumberFormat="1" applyFont="1" applyFill="1" applyBorder="1" applyAlignment="1"/>
    <xf numFmtId="9" fontId="0" fillId="0" borderId="16" xfId="3" applyFont="1" applyFill="1" applyBorder="1" applyAlignment="1">
      <alignment horizontal="right"/>
    </xf>
    <xf numFmtId="0" fontId="0" fillId="4" borderId="0" xfId="0" applyFill="1" applyAlignment="1">
      <alignment horizontal="center"/>
    </xf>
    <xf numFmtId="0" fontId="14" fillId="4" borderId="0" xfId="0" applyFont="1" applyFill="1"/>
    <xf numFmtId="0" fontId="42" fillId="4" borderId="0" xfId="0" applyFont="1" applyFill="1"/>
    <xf numFmtId="0" fontId="43" fillId="4" borderId="0" xfId="0" applyFont="1" applyFill="1"/>
    <xf numFmtId="0" fontId="22" fillId="4" borderId="46" xfId="0" applyFont="1" applyFill="1" applyBorder="1"/>
    <xf numFmtId="170" fontId="22" fillId="4" borderId="46" xfId="1" applyNumberFormat="1" applyFont="1" applyFill="1" applyBorder="1"/>
    <xf numFmtId="1" fontId="22" fillId="4" borderId="46" xfId="0" applyNumberFormat="1" applyFont="1" applyFill="1" applyBorder="1"/>
    <xf numFmtId="0" fontId="0" fillId="4" borderId="16" xfId="0" applyFill="1" applyBorder="1" applyAlignment="1">
      <alignment horizontal="center"/>
    </xf>
    <xf numFmtId="166" fontId="0" fillId="4" borderId="16" xfId="3" applyNumberFormat="1" applyFont="1" applyFill="1" applyBorder="1"/>
    <xf numFmtId="0" fontId="4" fillId="11" borderId="62" xfId="0" applyFont="1" applyFill="1" applyBorder="1" applyAlignment="1">
      <alignment horizontal="center" vertical="center" wrapText="1"/>
    </xf>
    <xf numFmtId="0" fontId="4" fillId="11" borderId="46" xfId="0" applyFont="1" applyFill="1" applyBorder="1" applyAlignment="1">
      <alignment horizontal="center" vertical="center" wrapText="1"/>
    </xf>
    <xf numFmtId="3" fontId="0" fillId="0" borderId="46" xfId="0" applyNumberFormat="1" applyBorder="1"/>
    <xf numFmtId="0" fontId="26" fillId="0" borderId="52" xfId="0" applyFont="1" applyBorder="1"/>
    <xf numFmtId="0" fontId="3" fillId="4" borderId="16" xfId="0" applyFont="1" applyFill="1" applyBorder="1"/>
    <xf numFmtId="0" fontId="3" fillId="0" borderId="16" xfId="0" applyFont="1" applyBorder="1"/>
    <xf numFmtId="0" fontId="47" fillId="4" borderId="0" xfId="0" applyFont="1" applyFill="1"/>
    <xf numFmtId="9" fontId="0" fillId="4" borderId="16" xfId="0" applyNumberFormat="1" applyFill="1" applyBorder="1" applyAlignment="1">
      <alignment horizontal="center"/>
    </xf>
    <xf numFmtId="1" fontId="0" fillId="4" borderId="0" xfId="0" applyNumberFormat="1" applyFill="1"/>
    <xf numFmtId="168" fontId="0" fillId="0" borderId="48" xfId="0" applyNumberFormat="1" applyBorder="1"/>
    <xf numFmtId="168" fontId="0" fillId="0" borderId="55" xfId="0" applyNumberFormat="1" applyBorder="1"/>
    <xf numFmtId="164" fontId="0" fillId="4" borderId="46" xfId="0" applyNumberFormat="1" applyFill="1" applyBorder="1"/>
    <xf numFmtId="0" fontId="4" fillId="11" borderId="64" xfId="0" applyFont="1" applyFill="1" applyBorder="1" applyAlignment="1">
      <alignment horizontal="center" wrapText="1"/>
    </xf>
    <xf numFmtId="0" fontId="0" fillId="0" borderId="64" xfId="0" applyBorder="1"/>
    <xf numFmtId="173" fontId="0" fillId="0" borderId="64" xfId="0" applyNumberFormat="1" applyBorder="1"/>
    <xf numFmtId="3" fontId="0" fillId="0" borderId="64" xfId="0" applyNumberFormat="1" applyBorder="1"/>
    <xf numFmtId="1" fontId="0" fillId="0" borderId="64" xfId="0" applyNumberFormat="1" applyBorder="1"/>
    <xf numFmtId="1" fontId="48" fillId="4" borderId="0" xfId="0" applyNumberFormat="1" applyFont="1" applyFill="1" applyAlignment="1">
      <alignment wrapText="1"/>
    </xf>
    <xf numFmtId="1" fontId="3" fillId="0" borderId="64" xfId="0" applyNumberFormat="1" applyFont="1" applyBorder="1"/>
    <xf numFmtId="172" fontId="3" fillId="0" borderId="64" xfId="0" applyNumberFormat="1" applyFont="1" applyBorder="1"/>
    <xf numFmtId="174" fontId="0" fillId="0" borderId="64" xfId="0" applyNumberFormat="1" applyBorder="1"/>
    <xf numFmtId="0" fontId="13" fillId="0" borderId="0" xfId="0" applyFont="1"/>
    <xf numFmtId="0" fontId="14" fillId="0" borderId="0" xfId="0" applyFont="1" applyAlignment="1">
      <alignment wrapText="1"/>
    </xf>
    <xf numFmtId="0" fontId="26" fillId="0" borderId="0" xfId="0" applyFont="1"/>
    <xf numFmtId="168" fontId="0" fillId="0" borderId="64" xfId="0" applyNumberFormat="1" applyBorder="1"/>
    <xf numFmtId="173" fontId="0" fillId="0" borderId="0" xfId="0" applyNumberFormat="1"/>
    <xf numFmtId="0" fontId="17" fillId="0" borderId="16" xfId="2" applyFill="1" applyBorder="1"/>
    <xf numFmtId="166" fontId="0" fillId="4" borderId="0" xfId="3" applyNumberFormat="1" applyFont="1" applyFill="1" applyBorder="1"/>
    <xf numFmtId="166" fontId="0" fillId="4" borderId="5" xfId="0" applyNumberFormat="1" applyFill="1" applyBorder="1"/>
    <xf numFmtId="166" fontId="0" fillId="4" borderId="0" xfId="0" applyNumberFormat="1" applyFill="1"/>
    <xf numFmtId="0" fontId="0" fillId="4" borderId="61" xfId="0" applyFill="1" applyBorder="1"/>
    <xf numFmtId="166" fontId="0" fillId="4" borderId="54" xfId="3" applyNumberFormat="1" applyFont="1" applyFill="1" applyBorder="1"/>
    <xf numFmtId="166" fontId="0" fillId="4" borderId="60" xfId="0" applyNumberFormat="1" applyFill="1" applyBorder="1"/>
    <xf numFmtId="166" fontId="0" fillId="4" borderId="0" xfId="3" applyNumberFormat="1" applyFont="1" applyFill="1"/>
    <xf numFmtId="166" fontId="0" fillId="0" borderId="16" xfId="3" applyNumberFormat="1" applyFont="1" applyFill="1" applyBorder="1" applyAlignment="1">
      <alignment horizontal="right"/>
    </xf>
    <xf numFmtId="41" fontId="0" fillId="4" borderId="16" xfId="0" applyNumberFormat="1" applyFill="1" applyBorder="1"/>
    <xf numFmtId="9" fontId="0" fillId="4" borderId="0" xfId="3" applyFont="1" applyFill="1"/>
    <xf numFmtId="43" fontId="0" fillId="0" borderId="46" xfId="0" applyNumberFormat="1" applyBorder="1"/>
    <xf numFmtId="0" fontId="0" fillId="0" borderId="67" xfId="0" applyBorder="1"/>
    <xf numFmtId="173" fontId="0" fillId="4" borderId="0" xfId="0" applyNumberFormat="1" applyFill="1"/>
    <xf numFmtId="0" fontId="50" fillId="4" borderId="0" xfId="0" applyFont="1" applyFill="1"/>
    <xf numFmtId="0" fontId="51" fillId="4" borderId="0" xfId="0" applyFont="1" applyFill="1"/>
    <xf numFmtId="0" fontId="52" fillId="4" borderId="0" xfId="0" applyFont="1" applyFill="1"/>
    <xf numFmtId="9" fontId="0" fillId="4" borderId="0" xfId="0" applyNumberFormat="1" applyFill="1"/>
    <xf numFmtId="2" fontId="0" fillId="4" borderId="0" xfId="0" applyNumberFormat="1" applyFill="1"/>
    <xf numFmtId="0" fontId="53" fillId="4" borderId="0" xfId="0" applyFont="1" applyFill="1" applyAlignment="1">
      <alignment wrapText="1"/>
    </xf>
    <xf numFmtId="0" fontId="17" fillId="4" borderId="0" xfId="2" applyFill="1" applyAlignment="1">
      <alignment wrapText="1"/>
    </xf>
    <xf numFmtId="0" fontId="33" fillId="4" borderId="0" xfId="0" applyFont="1" applyFill="1" applyAlignment="1">
      <alignment vertical="center"/>
    </xf>
    <xf numFmtId="0" fontId="33" fillId="4" borderId="0" xfId="0" applyFont="1" applyFill="1" applyAlignment="1">
      <alignment horizontal="center" vertical="center" wrapText="1"/>
    </xf>
    <xf numFmtId="0" fontId="34" fillId="4" borderId="0" xfId="0" applyFont="1" applyFill="1" applyAlignment="1">
      <alignment vertical="center"/>
    </xf>
    <xf numFmtId="4" fontId="34" fillId="4" borderId="0" xfId="0" applyNumberFormat="1" applyFont="1" applyFill="1" applyAlignment="1">
      <alignment horizontal="right" vertical="center" wrapText="1"/>
    </xf>
    <xf numFmtId="0" fontId="35" fillId="4" borderId="0" xfId="0" applyFont="1" applyFill="1" applyAlignment="1">
      <alignment vertical="center"/>
    </xf>
    <xf numFmtId="0" fontId="35" fillId="4" borderId="0" xfId="0" applyFont="1" applyFill="1" applyAlignment="1">
      <alignment horizontal="right" vertical="center" wrapText="1"/>
    </xf>
    <xf numFmtId="0" fontId="54" fillId="4" borderId="0" xfId="0" applyFont="1" applyFill="1" applyAlignment="1">
      <alignment wrapText="1"/>
    </xf>
    <xf numFmtId="3" fontId="55" fillId="4" borderId="0" xfId="0" applyNumberFormat="1" applyFont="1" applyFill="1" applyAlignment="1">
      <alignment horizontal="left" vertical="top"/>
    </xf>
    <xf numFmtId="3" fontId="55" fillId="18" borderId="0" xfId="0" applyNumberFormat="1" applyFont="1" applyFill="1" applyAlignment="1">
      <alignment horizontal="left" vertical="top"/>
    </xf>
    <xf numFmtId="0" fontId="55" fillId="4" borderId="0" xfId="0" applyFont="1" applyFill="1" applyAlignment="1">
      <alignment horizontal="left" vertical="top"/>
    </xf>
    <xf numFmtId="164" fontId="0" fillId="4" borderId="0" xfId="1" applyNumberFormat="1" applyFont="1" applyFill="1" applyBorder="1"/>
    <xf numFmtId="3" fontId="56" fillId="4" borderId="0" xfId="0" applyNumberFormat="1" applyFont="1" applyFill="1" applyAlignment="1">
      <alignment horizontal="left" vertical="top"/>
    </xf>
    <xf numFmtId="173" fontId="0" fillId="0" borderId="68" xfId="0" applyNumberFormat="1" applyBorder="1"/>
    <xf numFmtId="0" fontId="60" fillId="19" borderId="0" xfId="0" applyFont="1" applyFill="1"/>
    <xf numFmtId="0" fontId="14" fillId="19" borderId="0" xfId="0" applyFont="1" applyFill="1" applyAlignment="1">
      <alignment horizontal="center"/>
    </xf>
    <xf numFmtId="0" fontId="14" fillId="19" borderId="0" xfId="0" applyFont="1" applyFill="1"/>
    <xf numFmtId="0" fontId="0" fillId="19" borderId="0" xfId="0" applyFill="1"/>
    <xf numFmtId="0" fontId="2" fillId="6" borderId="16" xfId="0" applyFont="1" applyFill="1" applyBorder="1" applyAlignment="1">
      <alignment horizontal="center"/>
    </xf>
    <xf numFmtId="0" fontId="2" fillId="6" borderId="16" xfId="0" applyFont="1" applyFill="1" applyBorder="1"/>
    <xf numFmtId="0" fontId="0" fillId="0" borderId="16" xfId="0" applyBorder="1" applyAlignment="1">
      <alignment horizontal="center" vertical="center"/>
    </xf>
    <xf numFmtId="0" fontId="0" fillId="0" borderId="16" xfId="0" applyBorder="1" applyAlignment="1">
      <alignment horizontal="right" vertical="center"/>
    </xf>
    <xf numFmtId="0" fontId="61" fillId="0" borderId="0" xfId="0" applyFont="1"/>
    <xf numFmtId="43" fontId="3" fillId="7" borderId="43" xfId="1" applyFont="1" applyFill="1" applyBorder="1"/>
    <xf numFmtId="43" fontId="3" fillId="7" borderId="44" xfId="1" applyFont="1" applyFill="1" applyBorder="1"/>
    <xf numFmtId="43" fontId="3" fillId="7" borderId="45" xfId="1" applyFont="1" applyFill="1" applyBorder="1"/>
    <xf numFmtId="0" fontId="14" fillId="0" borderId="71" xfId="0" applyFont="1" applyBorder="1"/>
    <xf numFmtId="0" fontId="0" fillId="0" borderId="71" xfId="0" applyBorder="1"/>
    <xf numFmtId="0" fontId="0" fillId="0" borderId="72" xfId="0" applyBorder="1"/>
    <xf numFmtId="0" fontId="3" fillId="0" borderId="73" xfId="0" applyFont="1" applyBorder="1"/>
    <xf numFmtId="0" fontId="0" fillId="0" borderId="74" xfId="0" applyBorder="1"/>
    <xf numFmtId="0" fontId="3" fillId="0" borderId="74" xfId="0" applyFont="1" applyBorder="1"/>
    <xf numFmtId="0" fontId="0" fillId="0" borderId="75" xfId="0" applyBorder="1"/>
    <xf numFmtId="0" fontId="0" fillId="0" borderId="76" xfId="0" applyBorder="1"/>
    <xf numFmtId="0" fontId="0" fillId="0" borderId="77" xfId="0" applyBorder="1"/>
    <xf numFmtId="0" fontId="3" fillId="0" borderId="78" xfId="0" applyFont="1" applyBorder="1" applyAlignment="1">
      <alignment horizontal="right"/>
    </xf>
    <xf numFmtId="2" fontId="0" fillId="0" borderId="16" xfId="0" applyNumberFormat="1" applyBorder="1"/>
    <xf numFmtId="2" fontId="0" fillId="14" borderId="16" xfId="0" applyNumberFormat="1" applyFill="1" applyBorder="1"/>
    <xf numFmtId="0" fontId="17" fillId="4" borderId="0" xfId="2" applyFill="1"/>
    <xf numFmtId="0" fontId="4" fillId="21" borderId="46" xfId="0" applyFont="1" applyFill="1" applyBorder="1"/>
    <xf numFmtId="164" fontId="0" fillId="4" borderId="0" xfId="0" applyNumberFormat="1" applyFill="1"/>
    <xf numFmtId="0" fontId="0" fillId="4" borderId="0" xfId="0" applyFill="1" applyAlignment="1">
      <alignment horizontal="left"/>
    </xf>
    <xf numFmtId="0" fontId="0" fillId="4" borderId="16" xfId="0" applyFill="1" applyBorder="1" applyAlignment="1">
      <alignment horizontal="left"/>
    </xf>
    <xf numFmtId="0" fontId="0" fillId="0" borderId="0" xfId="0" applyAlignment="1">
      <alignment horizontal="left"/>
    </xf>
    <xf numFmtId="43" fontId="0" fillId="0" borderId="0" xfId="1" applyFont="1"/>
    <xf numFmtId="10" fontId="0" fillId="4" borderId="0" xfId="3" applyNumberFormat="1" applyFont="1" applyFill="1" applyAlignment="1">
      <alignment wrapText="1"/>
    </xf>
    <xf numFmtId="164" fontId="0" fillId="4" borderId="0" xfId="1" applyNumberFormat="1" applyFont="1" applyFill="1" applyAlignment="1">
      <alignment wrapText="1"/>
    </xf>
    <xf numFmtId="167" fontId="0" fillId="0" borderId="46" xfId="0" applyNumberFormat="1" applyBorder="1"/>
    <xf numFmtId="0" fontId="0" fillId="4" borderId="0" xfId="0" applyFill="1" applyAlignment="1">
      <alignment horizontal="center" vertical="center"/>
    </xf>
    <xf numFmtId="10" fontId="0" fillId="4" borderId="0" xfId="3" applyNumberFormat="1" applyFont="1" applyFill="1"/>
    <xf numFmtId="0" fontId="58" fillId="4" borderId="46" xfId="0" applyFont="1" applyFill="1" applyBorder="1"/>
    <xf numFmtId="10" fontId="0" fillId="4" borderId="0" xfId="1" applyNumberFormat="1" applyFont="1" applyFill="1" applyBorder="1"/>
    <xf numFmtId="10" fontId="0" fillId="4" borderId="0" xfId="0" applyNumberFormat="1" applyFill="1"/>
    <xf numFmtId="164" fontId="3" fillId="21" borderId="46" xfId="0" applyNumberFormat="1" applyFont="1" applyFill="1" applyBorder="1" applyAlignment="1">
      <alignment horizontal="center" wrapText="1"/>
    </xf>
    <xf numFmtId="0" fontId="4" fillId="4" borderId="0" xfId="0" applyFont="1" applyFill="1" applyAlignment="1">
      <alignment wrapText="1"/>
    </xf>
    <xf numFmtId="0" fontId="4" fillId="4" borderId="0" xfId="0" applyFont="1" applyFill="1" applyAlignment="1">
      <alignment horizontal="center"/>
    </xf>
    <xf numFmtId="0" fontId="4" fillId="4" borderId="0" xfId="0" applyFont="1" applyFill="1" applyAlignment="1">
      <alignment horizontal="center" wrapText="1"/>
    </xf>
    <xf numFmtId="0" fontId="13" fillId="10" borderId="0" xfId="0" applyFont="1" applyFill="1" applyAlignment="1">
      <alignment horizontal="left"/>
    </xf>
    <xf numFmtId="0" fontId="13" fillId="16" borderId="16" xfId="0" applyFont="1" applyFill="1" applyBorder="1" applyAlignment="1">
      <alignment horizontal="center"/>
    </xf>
    <xf numFmtId="43" fontId="0" fillId="17" borderId="16" xfId="1" applyFont="1" applyFill="1" applyBorder="1"/>
    <xf numFmtId="0" fontId="2" fillId="6" borderId="16" xfId="0" applyFont="1" applyFill="1" applyBorder="1" applyAlignment="1">
      <alignment horizontal="center" vertical="center"/>
    </xf>
    <xf numFmtId="0" fontId="2" fillId="6" borderId="18" xfId="0" applyFont="1" applyFill="1" applyBorder="1" applyAlignment="1">
      <alignment horizontal="center" vertical="center"/>
    </xf>
    <xf numFmtId="0" fontId="0" fillId="0" borderId="15" xfId="0" applyBorder="1" applyAlignment="1">
      <alignment horizontal="center"/>
    </xf>
    <xf numFmtId="0" fontId="0" fillId="0" borderId="18" xfId="0" applyBorder="1" applyAlignment="1">
      <alignment horizontal="center"/>
    </xf>
    <xf numFmtId="0" fontId="0" fillId="0" borderId="53" xfId="0" applyBorder="1" applyAlignment="1">
      <alignment horizontal="left" vertical="center" wrapText="1" indent="1"/>
    </xf>
    <xf numFmtId="43" fontId="22" fillId="0" borderId="16" xfId="1" applyFont="1" applyBorder="1"/>
    <xf numFmtId="43" fontId="22" fillId="0" borderId="18" xfId="1" applyFont="1" applyBorder="1"/>
    <xf numFmtId="164" fontId="22" fillId="0" borderId="16" xfId="1" applyNumberFormat="1" applyFont="1" applyBorder="1"/>
    <xf numFmtId="164" fontId="22" fillId="0" borderId="57" xfId="1" applyNumberFormat="1" applyFont="1" applyBorder="1"/>
    <xf numFmtId="164" fontId="64" fillId="7" borderId="18" xfId="1" applyNumberFormat="1" applyFont="1" applyFill="1" applyBorder="1"/>
    <xf numFmtId="0" fontId="22" fillId="0" borderId="53" xfId="0" applyFont="1" applyBorder="1" applyAlignment="1">
      <alignment horizontal="left" vertical="center" wrapText="1" indent="2"/>
    </xf>
    <xf numFmtId="0" fontId="22" fillId="0" borderId="22" xfId="0" applyFont="1" applyBorder="1" applyAlignment="1">
      <alignment horizontal="left" wrapText="1" indent="2"/>
    </xf>
    <xf numFmtId="164" fontId="3" fillId="7" borderId="18" xfId="1" applyNumberFormat="1" applyFont="1" applyFill="1" applyBorder="1"/>
    <xf numFmtId="0" fontId="0" fillId="0" borderId="23" xfId="0" applyBorder="1" applyAlignment="1">
      <alignment horizontal="center"/>
    </xf>
    <xf numFmtId="0" fontId="0" fillId="0" borderId="21" xfId="0" applyBorder="1" applyAlignment="1">
      <alignment horizontal="center"/>
    </xf>
    <xf numFmtId="0" fontId="3" fillId="0" borderId="49" xfId="0" applyFont="1" applyBorder="1" applyAlignment="1">
      <alignment wrapText="1"/>
    </xf>
    <xf numFmtId="164" fontId="3" fillId="0" borderId="25" xfId="1" applyNumberFormat="1" applyFont="1" applyBorder="1"/>
    <xf numFmtId="164" fontId="3" fillId="0" borderId="84" xfId="1" applyNumberFormat="1" applyFont="1" applyBorder="1"/>
    <xf numFmtId="164" fontId="3" fillId="7" borderId="26" xfId="1" applyNumberFormat="1" applyFont="1" applyFill="1" applyBorder="1"/>
    <xf numFmtId="0" fontId="2" fillId="6" borderId="81" xfId="0" applyFont="1" applyFill="1" applyBorder="1" applyAlignment="1">
      <alignment horizontal="center" vertical="center"/>
    </xf>
    <xf numFmtId="0" fontId="2" fillId="6" borderId="32" xfId="0" applyFont="1" applyFill="1" applyBorder="1" applyAlignment="1">
      <alignment horizontal="center" vertical="center"/>
    </xf>
    <xf numFmtId="0" fontId="2" fillId="6" borderId="19" xfId="0" applyFont="1" applyFill="1" applyBorder="1" applyAlignment="1">
      <alignment horizontal="center" vertical="center"/>
    </xf>
    <xf numFmtId="43" fontId="59" fillId="19" borderId="16" xfId="1" applyFont="1" applyFill="1" applyBorder="1" applyAlignment="1">
      <alignment horizontal="center" vertical="center"/>
    </xf>
    <xf numFmtId="0" fontId="3" fillId="0" borderId="0" xfId="0" applyFont="1" applyAlignment="1">
      <alignment wrapText="1"/>
    </xf>
    <xf numFmtId="164" fontId="3" fillId="0" borderId="0" xfId="1" applyNumberFormat="1" applyFont="1" applyBorder="1"/>
    <xf numFmtId="0" fontId="0" fillId="0" borderId="16" xfId="0" applyBorder="1" applyAlignment="1">
      <alignment horizontal="left" vertical="center" wrapText="1" indent="1"/>
    </xf>
    <xf numFmtId="43" fontId="3" fillId="19" borderId="59" xfId="1" applyFont="1" applyFill="1" applyBorder="1" applyAlignment="1">
      <alignment vertical="center"/>
    </xf>
    <xf numFmtId="43" fontId="3" fillId="19" borderId="54" xfId="1" applyFont="1" applyFill="1" applyBorder="1" applyAlignment="1">
      <alignment vertical="center"/>
    </xf>
    <xf numFmtId="1" fontId="65" fillId="20" borderId="70" xfId="6" applyNumberFormat="1" applyFont="1" applyBorder="1" applyAlignment="1">
      <alignment horizontal="left"/>
    </xf>
    <xf numFmtId="0" fontId="2" fillId="6" borderId="15" xfId="0" applyFont="1" applyFill="1" applyBorder="1" applyAlignment="1">
      <alignment horizontal="center" vertical="center"/>
    </xf>
    <xf numFmtId="0" fontId="45" fillId="4" borderId="16" xfId="0" applyFont="1" applyFill="1" applyBorder="1" applyAlignment="1">
      <alignment horizontal="center"/>
    </xf>
    <xf numFmtId="1" fontId="0" fillId="0" borderId="46" xfId="0" applyNumberFormat="1" applyBorder="1"/>
    <xf numFmtId="0" fontId="0" fillId="0" borderId="86" xfId="0" applyBorder="1" applyAlignment="1">
      <alignment horizontal="center"/>
    </xf>
    <xf numFmtId="0" fontId="0" fillId="0" borderId="83" xfId="0" applyBorder="1" applyAlignment="1">
      <alignment horizontal="center"/>
    </xf>
    <xf numFmtId="43" fontId="22" fillId="0" borderId="61" xfId="1" applyFont="1" applyBorder="1"/>
    <xf numFmtId="43" fontId="22" fillId="0" borderId="83" xfId="1" applyFont="1" applyBorder="1"/>
    <xf numFmtId="164" fontId="22" fillId="0" borderId="61" xfId="1" applyNumberFormat="1" applyFont="1" applyBorder="1"/>
    <xf numFmtId="164" fontId="22" fillId="0" borderId="59" xfId="1" applyNumberFormat="1" applyFont="1" applyBorder="1"/>
    <xf numFmtId="164" fontId="64" fillId="7" borderId="83" xfId="1" applyNumberFormat="1" applyFont="1" applyFill="1" applyBorder="1"/>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88" xfId="0" applyFont="1" applyFill="1" applyBorder="1" applyAlignment="1">
      <alignment horizontal="center" vertical="center"/>
    </xf>
    <xf numFmtId="43" fontId="22" fillId="0" borderId="60" xfId="1" applyFont="1" applyBorder="1"/>
    <xf numFmtId="43" fontId="22" fillId="0" borderId="17" xfId="1" applyFont="1" applyBorder="1"/>
    <xf numFmtId="164" fontId="3" fillId="0" borderId="63" xfId="1" applyNumberFormat="1" applyFont="1" applyBorder="1"/>
    <xf numFmtId="0" fontId="0" fillId="0" borderId="82" xfId="0" applyBorder="1" applyAlignment="1">
      <alignment horizontal="left" vertical="center" wrapText="1" indent="1"/>
    </xf>
    <xf numFmtId="0" fontId="22" fillId="0" borderId="36" xfId="0" applyFont="1" applyBorder="1" applyAlignment="1">
      <alignment horizontal="left" vertical="center" wrapText="1" indent="2"/>
    </xf>
    <xf numFmtId="0" fontId="22" fillId="0" borderId="36" xfId="0" applyFont="1" applyBorder="1" applyAlignment="1">
      <alignment horizontal="left" wrapText="1" indent="2"/>
    </xf>
    <xf numFmtId="0" fontId="0" fillId="0" borderId="36" xfId="0" applyBorder="1" applyAlignment="1">
      <alignment horizontal="left" vertical="center" wrapText="1" indent="1"/>
    </xf>
    <xf numFmtId="43" fontId="3" fillId="4" borderId="0" xfId="1" applyFont="1" applyFill="1"/>
    <xf numFmtId="43" fontId="0" fillId="4" borderId="0" xfId="1" applyFont="1" applyFill="1"/>
    <xf numFmtId="168" fontId="3" fillId="0" borderId="64" xfId="0" applyNumberFormat="1" applyFont="1" applyBorder="1"/>
    <xf numFmtId="41" fontId="0" fillId="7" borderId="46" xfId="0" applyNumberFormat="1" applyFill="1" applyBorder="1"/>
    <xf numFmtId="168" fontId="3" fillId="7" borderId="51" xfId="0" applyNumberFormat="1" applyFont="1" applyFill="1" applyBorder="1"/>
    <xf numFmtId="0" fontId="4" fillId="13" borderId="46" xfId="0" applyFont="1" applyFill="1" applyBorder="1" applyAlignment="1">
      <alignment horizontal="center" vertical="center" wrapText="1"/>
    </xf>
    <xf numFmtId="0" fontId="0" fillId="4" borderId="52" xfId="0" applyFill="1" applyBorder="1"/>
    <xf numFmtId="169" fontId="3" fillId="7" borderId="56" xfId="0" applyNumberFormat="1" applyFont="1" applyFill="1" applyBorder="1"/>
    <xf numFmtId="0" fontId="3" fillId="7" borderId="31" xfId="0" applyFont="1" applyFill="1" applyBorder="1" applyAlignment="1">
      <alignment wrapText="1"/>
    </xf>
    <xf numFmtId="164" fontId="3" fillId="7" borderId="63" xfId="1" applyNumberFormat="1" applyFont="1" applyFill="1" applyBorder="1"/>
    <xf numFmtId="164" fontId="3" fillId="7" borderId="25" xfId="1" applyNumberFormat="1" applyFont="1" applyFill="1" applyBorder="1"/>
    <xf numFmtId="164" fontId="3" fillId="7" borderId="84" xfId="1" applyNumberFormat="1" applyFont="1" applyFill="1" applyBorder="1"/>
    <xf numFmtId="0" fontId="2" fillId="6" borderId="89" xfId="0" applyFont="1" applyFill="1" applyBorder="1" applyAlignment="1">
      <alignment horizontal="center" vertical="center"/>
    </xf>
    <xf numFmtId="43" fontId="22" fillId="0" borderId="59" xfId="1" applyFont="1" applyBorder="1"/>
    <xf numFmtId="43" fontId="22" fillId="0" borderId="57" xfId="1" applyFont="1" applyBorder="1"/>
    <xf numFmtId="164" fontId="22" fillId="0" borderId="86" xfId="1" applyNumberFormat="1" applyFont="1" applyBorder="1"/>
    <xf numFmtId="164" fontId="22" fillId="0" borderId="15" xfId="1" applyNumberFormat="1" applyFont="1" applyBorder="1"/>
    <xf numFmtId="164" fontId="3" fillId="7" borderId="24" xfId="1" applyNumberFormat="1" applyFont="1" applyFill="1" applyBorder="1"/>
    <xf numFmtId="41" fontId="3" fillId="7" borderId="56" xfId="0" applyNumberFormat="1" applyFont="1" applyFill="1" applyBorder="1"/>
    <xf numFmtId="0" fontId="2" fillId="22" borderId="64" xfId="0" applyFont="1" applyFill="1" applyBorder="1"/>
    <xf numFmtId="0" fontId="2" fillId="22" borderId="64" xfId="0" applyFont="1" applyFill="1" applyBorder="1" applyAlignment="1">
      <alignment horizontal="center"/>
    </xf>
    <xf numFmtId="164" fontId="22" fillId="0" borderId="17" xfId="1" applyNumberFormat="1" applyFont="1" applyBorder="1"/>
    <xf numFmtId="164" fontId="3" fillId="7" borderId="46" xfId="1" applyNumberFormat="1" applyFont="1" applyFill="1" applyBorder="1"/>
    <xf numFmtId="164" fontId="3" fillId="7" borderId="55" xfId="1" applyNumberFormat="1" applyFont="1" applyFill="1" applyBorder="1"/>
    <xf numFmtId="164" fontId="3" fillId="7" borderId="48" xfId="1" applyNumberFormat="1" applyFont="1" applyFill="1" applyBorder="1"/>
    <xf numFmtId="164" fontId="14" fillId="10" borderId="0" xfId="1" applyNumberFormat="1" applyFont="1" applyFill="1"/>
    <xf numFmtId="164" fontId="4" fillId="4" borderId="0" xfId="1" applyNumberFormat="1" applyFont="1" applyFill="1"/>
    <xf numFmtId="164" fontId="2" fillId="22" borderId="64" xfId="1" applyNumberFormat="1" applyFont="1" applyFill="1" applyBorder="1" applyAlignment="1">
      <alignment horizontal="center"/>
    </xf>
    <xf numFmtId="164" fontId="0" fillId="0" borderId="0" xfId="1" applyNumberFormat="1" applyFont="1" applyAlignment="1">
      <alignment vertical="center"/>
    </xf>
    <xf numFmtId="164" fontId="0" fillId="0" borderId="0" xfId="1" applyNumberFormat="1" applyFont="1"/>
    <xf numFmtId="164" fontId="3" fillId="0" borderId="0" xfId="1" applyNumberFormat="1" applyFont="1"/>
    <xf numFmtId="164" fontId="22" fillId="4" borderId="0" xfId="1" applyNumberFormat="1" applyFont="1" applyFill="1"/>
    <xf numFmtId="0" fontId="2" fillId="6" borderId="35" xfId="0" applyFont="1" applyFill="1" applyBorder="1" applyAlignment="1">
      <alignment horizontal="center" vertical="center"/>
    </xf>
    <xf numFmtId="0" fontId="0" fillId="0" borderId="64" xfId="0" applyBorder="1" applyAlignment="1">
      <alignment horizontal="left" vertical="center" wrapText="1" indent="1"/>
    </xf>
    <xf numFmtId="0" fontId="0" fillId="0" borderId="64" xfId="0" applyBorder="1" applyAlignment="1">
      <alignment horizontal="left" vertical="center" wrapText="1" indent="2"/>
    </xf>
    <xf numFmtId="0" fontId="0" fillId="0" borderId="16" xfId="0" applyBorder="1" applyAlignment="1">
      <alignment horizontal="left" vertical="center" wrapText="1" indent="2"/>
    </xf>
    <xf numFmtId="164" fontId="0" fillId="0" borderId="46" xfId="1" applyNumberFormat="1" applyFont="1" applyBorder="1"/>
    <xf numFmtId="164" fontId="0" fillId="0" borderId="96" xfId="0" applyNumberFormat="1" applyBorder="1"/>
    <xf numFmtId="164" fontId="0" fillId="4" borderId="47" xfId="1" applyNumberFormat="1" applyFont="1" applyFill="1" applyBorder="1" applyAlignment="1"/>
    <xf numFmtId="164" fontId="0" fillId="4" borderId="64" xfId="1" applyNumberFormat="1" applyFont="1" applyFill="1" applyBorder="1" applyAlignment="1"/>
    <xf numFmtId="0" fontId="0" fillId="4" borderId="97" xfId="0" applyFill="1" applyBorder="1"/>
    <xf numFmtId="164" fontId="0" fillId="4" borderId="67" xfId="1" applyNumberFormat="1" applyFont="1" applyFill="1" applyBorder="1" applyAlignment="1"/>
    <xf numFmtId="164" fontId="0" fillId="4" borderId="98" xfId="0" applyNumberFormat="1" applyFill="1" applyBorder="1"/>
    <xf numFmtId="0" fontId="0" fillId="4" borderId="64" xfId="0" applyFill="1" applyBorder="1"/>
    <xf numFmtId="164" fontId="0" fillId="4" borderId="64" xfId="0" applyNumberFormat="1" applyFill="1" applyBorder="1"/>
    <xf numFmtId="0" fontId="3" fillId="4" borderId="64" xfId="0" applyFont="1" applyFill="1" applyBorder="1"/>
    <xf numFmtId="164" fontId="3" fillId="4" borderId="64" xfId="0" applyNumberFormat="1" applyFont="1" applyFill="1" applyBorder="1"/>
    <xf numFmtId="164" fontId="3" fillId="4" borderId="0" xfId="0" applyNumberFormat="1" applyFont="1" applyFill="1"/>
    <xf numFmtId="43" fontId="0" fillId="0" borderId="16" xfId="1" applyFont="1" applyBorder="1" applyAlignment="1">
      <alignment horizontal="left" vertical="center" wrapText="1" indent="1"/>
    </xf>
    <xf numFmtId="164" fontId="0" fillId="0" borderId="16" xfId="1" applyNumberFormat="1" applyFont="1" applyBorder="1" applyAlignment="1">
      <alignment horizontal="left" vertical="center" wrapText="1" indent="1"/>
    </xf>
    <xf numFmtId="0" fontId="0" fillId="0" borderId="57" xfId="0" applyBorder="1" applyAlignment="1">
      <alignment horizontal="left" vertical="center" wrapText="1" indent="1"/>
    </xf>
    <xf numFmtId="0" fontId="0" fillId="0" borderId="57" xfId="0" applyBorder="1" applyAlignment="1">
      <alignment horizontal="left" vertical="center" wrapText="1" indent="2"/>
    </xf>
    <xf numFmtId="0" fontId="2" fillId="6" borderId="17" xfId="0" applyFont="1" applyFill="1" applyBorder="1" applyAlignment="1">
      <alignment horizontal="center" vertical="center"/>
    </xf>
    <xf numFmtId="43" fontId="0" fillId="17" borderId="0" xfId="1" applyFont="1" applyFill="1" applyBorder="1"/>
    <xf numFmtId="164" fontId="0" fillId="0" borderId="36" xfId="1" applyNumberFormat="1" applyFont="1" applyBorder="1" applyAlignment="1">
      <alignment horizontal="left" vertical="center" wrapText="1" indent="1"/>
    </xf>
    <xf numFmtId="164" fontId="0" fillId="0" borderId="22" xfId="1" applyNumberFormat="1" applyFont="1" applyBorder="1" applyAlignment="1">
      <alignment horizontal="left" vertical="center" wrapText="1" indent="1"/>
    </xf>
    <xf numFmtId="0" fontId="0" fillId="0" borderId="22" xfId="0" applyBorder="1" applyAlignment="1">
      <alignment horizontal="left" vertical="center" wrapText="1" indent="1"/>
    </xf>
    <xf numFmtId="0" fontId="2" fillId="6" borderId="16" xfId="0" applyFont="1" applyFill="1" applyBorder="1" applyAlignment="1">
      <alignment horizontal="center" vertical="center" wrapText="1"/>
    </xf>
    <xf numFmtId="0" fontId="2" fillId="6" borderId="57" xfId="0" applyFont="1" applyFill="1" applyBorder="1" applyAlignment="1">
      <alignment horizontal="center" vertical="center"/>
    </xf>
    <xf numFmtId="164" fontId="0" fillId="0" borderId="19" xfId="1" applyNumberFormat="1" applyFont="1" applyBorder="1" applyAlignment="1">
      <alignment horizontal="left" vertical="center" wrapText="1" indent="1"/>
    </xf>
    <xf numFmtId="0" fontId="3" fillId="0" borderId="25" xfId="0" applyFont="1" applyBorder="1" applyAlignment="1">
      <alignment wrapText="1"/>
    </xf>
    <xf numFmtId="164" fontId="3" fillId="0" borderId="31" xfId="0" applyNumberFormat="1" applyFont="1" applyBorder="1" applyAlignment="1">
      <alignment wrapText="1"/>
    </xf>
    <xf numFmtId="0" fontId="0" fillId="0" borderId="20" xfId="0" applyBorder="1" applyAlignment="1">
      <alignment horizontal="center"/>
    </xf>
    <xf numFmtId="0" fontId="3" fillId="0" borderId="89" xfId="0" applyFont="1" applyBorder="1" applyAlignment="1">
      <alignment wrapText="1"/>
    </xf>
    <xf numFmtId="0" fontId="2" fillId="6" borderId="37" xfId="0" applyFont="1" applyFill="1" applyBorder="1" applyAlignment="1">
      <alignment horizontal="center" vertical="center"/>
    </xf>
    <xf numFmtId="164" fontId="0" fillId="0" borderId="15" xfId="1" applyNumberFormat="1" applyFont="1" applyBorder="1" applyAlignment="1">
      <alignment horizontal="left" vertical="center" wrapText="1" indent="1"/>
    </xf>
    <xf numFmtId="164" fontId="0" fillId="0" borderId="18" xfId="1" applyNumberFormat="1" applyFont="1" applyBorder="1" applyAlignment="1">
      <alignment horizontal="left" vertical="center" wrapText="1" indent="1"/>
    </xf>
    <xf numFmtId="164" fontId="0" fillId="0" borderId="81" xfId="1" applyNumberFormat="1" applyFont="1" applyBorder="1" applyAlignment="1">
      <alignment horizontal="left" vertical="center" wrapText="1" indent="1"/>
    </xf>
    <xf numFmtId="0" fontId="3" fillId="0" borderId="24" xfId="0" applyFont="1" applyBorder="1" applyAlignment="1">
      <alignment wrapText="1"/>
    </xf>
    <xf numFmtId="0" fontId="3" fillId="0" borderId="26" xfId="0" applyFont="1" applyBorder="1" applyAlignment="1">
      <alignment wrapText="1"/>
    </xf>
    <xf numFmtId="4" fontId="0" fillId="0" borderId="16" xfId="0" applyNumberFormat="1" applyBorder="1"/>
    <xf numFmtId="43" fontId="0" fillId="0" borderId="16" xfId="0" applyNumberFormat="1" applyBorder="1"/>
    <xf numFmtId="164" fontId="0" fillId="0" borderId="16" xfId="0" applyNumberFormat="1" applyBorder="1"/>
    <xf numFmtId="43" fontId="0" fillId="0" borderId="16" xfId="0" applyNumberFormat="1" applyBorder="1" applyAlignment="1">
      <alignment horizontal="center" wrapText="1"/>
    </xf>
    <xf numFmtId="41" fontId="0" fillId="0" borderId="16" xfId="0" applyNumberFormat="1" applyBorder="1"/>
    <xf numFmtId="0" fontId="0" fillId="4" borderId="54" xfId="0" applyFill="1" applyBorder="1" applyAlignment="1">
      <alignment horizontal="center"/>
    </xf>
    <xf numFmtId="0" fontId="0" fillId="4" borderId="60" xfId="0" applyFill="1" applyBorder="1" applyAlignment="1">
      <alignment horizontal="center"/>
    </xf>
    <xf numFmtId="0" fontId="0" fillId="0" borderId="18" xfId="0" applyBorder="1" applyAlignment="1">
      <alignment horizontal="left" vertical="center" wrapText="1" indent="1"/>
    </xf>
    <xf numFmtId="0" fontId="0" fillId="0" borderId="18" xfId="0" applyBorder="1" applyAlignment="1">
      <alignment horizontal="left" vertical="center" wrapText="1" indent="2"/>
    </xf>
    <xf numFmtId="0" fontId="3" fillId="0" borderId="21" xfId="0" applyFont="1" applyBorder="1" applyAlignment="1">
      <alignment wrapText="1"/>
    </xf>
    <xf numFmtId="0" fontId="21" fillId="12" borderId="0" xfId="0" applyFont="1" applyFill="1" applyAlignment="1">
      <alignment horizontal="left"/>
    </xf>
    <xf numFmtId="0" fontId="23" fillId="12" borderId="0" xfId="0" applyFont="1" applyFill="1" applyAlignment="1">
      <alignment horizontal="left"/>
    </xf>
    <xf numFmtId="0" fontId="4" fillId="11" borderId="64" xfId="0" applyFont="1" applyFill="1" applyBorder="1" applyAlignment="1">
      <alignment horizontal="center"/>
    </xf>
    <xf numFmtId="164" fontId="0" fillId="0" borderId="64" xfId="1" applyNumberFormat="1" applyFont="1" applyBorder="1" applyAlignment="1">
      <alignment horizontal="left" vertical="center" wrapText="1" indent="1"/>
    </xf>
    <xf numFmtId="164" fontId="0" fillId="0" borderId="64" xfId="0" applyNumberFormat="1" applyBorder="1" applyAlignment="1">
      <alignment horizontal="left" vertical="center" wrapText="1" indent="2"/>
    </xf>
    <xf numFmtId="0" fontId="3" fillId="0" borderId="64" xfId="0" applyFont="1" applyBorder="1" applyAlignment="1">
      <alignment horizontal="left" vertical="center" wrapText="1" indent="1"/>
    </xf>
    <xf numFmtId="164" fontId="3" fillId="0" borderId="64" xfId="0" applyNumberFormat="1" applyFont="1" applyBorder="1" applyAlignment="1">
      <alignment horizontal="left" vertical="center" wrapText="1" indent="1"/>
    </xf>
    <xf numFmtId="164" fontId="0" fillId="0" borderId="16" xfId="0" applyNumberFormat="1" applyBorder="1" applyAlignment="1">
      <alignment horizontal="center"/>
    </xf>
    <xf numFmtId="43" fontId="0" fillId="0" borderId="16" xfId="0" applyNumberFormat="1" applyBorder="1" applyAlignment="1">
      <alignment horizontal="center"/>
    </xf>
    <xf numFmtId="0" fontId="47" fillId="0" borderId="0" xfId="0" applyFont="1" applyAlignment="1">
      <alignment horizontal="left" vertical="top"/>
    </xf>
    <xf numFmtId="0" fontId="3" fillId="0" borderId="84" xfId="0" applyFont="1" applyBorder="1" applyAlignment="1">
      <alignment wrapText="1"/>
    </xf>
    <xf numFmtId="164" fontId="22" fillId="0" borderId="35" xfId="1" applyNumberFormat="1" applyFont="1" applyBorder="1"/>
    <xf numFmtId="43" fontId="22" fillId="0" borderId="35" xfId="1" applyFont="1" applyBorder="1"/>
    <xf numFmtId="164" fontId="64" fillId="7" borderId="32" xfId="1" applyNumberFormat="1" applyFont="1" applyFill="1" applyBorder="1"/>
    <xf numFmtId="164" fontId="3" fillId="7" borderId="24" xfId="0" applyNumberFormat="1" applyFont="1" applyFill="1" applyBorder="1" applyAlignment="1">
      <alignment wrapText="1"/>
    </xf>
    <xf numFmtId="164" fontId="3" fillId="7" borderId="25" xfId="0" applyNumberFormat="1" applyFont="1" applyFill="1" applyBorder="1" applyAlignment="1">
      <alignment wrapText="1"/>
    </xf>
    <xf numFmtId="164" fontId="3" fillId="7" borderId="26" xfId="0" applyNumberFormat="1" applyFont="1" applyFill="1" applyBorder="1" applyAlignment="1">
      <alignment wrapText="1"/>
    </xf>
    <xf numFmtId="0" fontId="22" fillId="0" borderId="22" xfId="0" applyFont="1" applyBorder="1" applyAlignment="1">
      <alignment horizontal="left" vertical="center" wrapText="1" indent="2"/>
    </xf>
    <xf numFmtId="164" fontId="0" fillId="0" borderId="23" xfId="1" applyNumberFormat="1" applyFont="1" applyBorder="1" applyAlignment="1">
      <alignment horizontal="left" vertical="center" wrapText="1" indent="1"/>
    </xf>
    <xf numFmtId="164" fontId="0" fillId="0" borderId="20" xfId="1" applyNumberFormat="1" applyFont="1" applyBorder="1" applyAlignment="1">
      <alignment horizontal="left" vertical="center" wrapText="1" indent="1"/>
    </xf>
    <xf numFmtId="164" fontId="0" fillId="0" borderId="21" xfId="1" applyNumberFormat="1" applyFont="1" applyBorder="1" applyAlignment="1">
      <alignment horizontal="left" vertical="center" wrapText="1" indent="1"/>
    </xf>
    <xf numFmtId="43" fontId="22" fillId="0" borderId="15" xfId="1" applyFont="1" applyBorder="1"/>
    <xf numFmtId="43" fontId="22" fillId="0" borderId="37" xfId="1" applyFont="1" applyBorder="1"/>
    <xf numFmtId="43" fontId="22" fillId="0" borderId="23" xfId="1" applyFont="1" applyBorder="1"/>
    <xf numFmtId="43" fontId="22" fillId="0" borderId="88" xfId="1" applyFont="1" applyBorder="1"/>
    <xf numFmtId="43" fontId="22" fillId="0" borderId="104" xfId="1" applyFont="1" applyBorder="1"/>
    <xf numFmtId="164" fontId="3" fillId="0" borderId="31" xfId="1" applyNumberFormat="1" applyFont="1" applyBorder="1"/>
    <xf numFmtId="0" fontId="4" fillId="11" borderId="64" xfId="0" applyFont="1" applyFill="1" applyBorder="1" applyAlignment="1">
      <alignment horizontal="center" vertical="center"/>
    </xf>
    <xf numFmtId="168" fontId="0" fillId="0" borderId="64" xfId="0" applyNumberFormat="1" applyBorder="1" applyAlignment="1">
      <alignment horizontal="left" vertical="center" wrapText="1" indent="1"/>
    </xf>
    <xf numFmtId="168" fontId="0" fillId="4" borderId="64" xfId="0" applyNumberFormat="1" applyFill="1" applyBorder="1"/>
    <xf numFmtId="0" fontId="0" fillId="0" borderId="47" xfId="0" applyBorder="1"/>
    <xf numFmtId="0" fontId="3" fillId="0" borderId="64" xfId="0" applyFont="1" applyBorder="1"/>
    <xf numFmtId="164" fontId="0" fillId="0" borderId="47" xfId="1" applyNumberFormat="1" applyFont="1" applyFill="1" applyBorder="1" applyAlignment="1"/>
    <xf numFmtId="164" fontId="3" fillId="0" borderId="64" xfId="1" applyNumberFormat="1" applyFont="1" applyFill="1" applyBorder="1" applyAlignment="1"/>
    <xf numFmtId="0" fontId="0" fillId="0" borderId="37" xfId="0" applyBorder="1" applyAlignment="1">
      <alignment horizontal="left" vertical="center" wrapText="1" indent="1"/>
    </xf>
    <xf numFmtId="0" fontId="22" fillId="0" borderId="37" xfId="0" applyFont="1" applyBorder="1" applyAlignment="1">
      <alignment horizontal="left" vertical="center" wrapText="1" indent="2"/>
    </xf>
    <xf numFmtId="0" fontId="3" fillId="0" borderId="42" xfId="0" applyFont="1" applyBorder="1" applyAlignment="1">
      <alignment wrapText="1"/>
    </xf>
    <xf numFmtId="164" fontId="3" fillId="0" borderId="24" xfId="1" applyNumberFormat="1" applyFont="1" applyBorder="1"/>
    <xf numFmtId="164" fontId="3" fillId="0" borderId="26" xfId="1" applyNumberFormat="1" applyFont="1" applyBorder="1"/>
    <xf numFmtId="0" fontId="4" fillId="13" borderId="47" xfId="0" applyFont="1" applyFill="1" applyBorder="1" applyAlignment="1">
      <alignment horizontal="center" wrapText="1"/>
    </xf>
    <xf numFmtId="164" fontId="0" fillId="4" borderId="16" xfId="0" applyNumberFormat="1" applyFill="1" applyBorder="1"/>
    <xf numFmtId="0" fontId="45" fillId="0" borderId="16" xfId="0" applyFont="1" applyBorder="1"/>
    <xf numFmtId="0" fontId="44" fillId="0" borderId="16" xfId="0" applyFont="1" applyBorder="1" applyAlignment="1">
      <alignment vertical="center"/>
    </xf>
    <xf numFmtId="39" fontId="0" fillId="0" borderId="48" xfId="0" applyNumberFormat="1" applyBorder="1"/>
    <xf numFmtId="39" fontId="0" fillId="0" borderId="106" xfId="0" applyNumberFormat="1" applyBorder="1"/>
    <xf numFmtId="39" fontId="0" fillId="0" borderId="55" xfId="0" applyNumberFormat="1" applyBorder="1"/>
    <xf numFmtId="0" fontId="0" fillId="4" borderId="0" xfId="0" applyFill="1" applyAlignment="1">
      <alignment vertical="center"/>
    </xf>
    <xf numFmtId="1" fontId="0" fillId="0" borderId="0" xfId="0" applyNumberFormat="1"/>
    <xf numFmtId="168" fontId="3" fillId="0" borderId="95" xfId="0" applyNumberFormat="1" applyFont="1" applyBorder="1"/>
    <xf numFmtId="164" fontId="0" fillId="0" borderId="55" xfId="0" applyNumberFormat="1" applyBorder="1"/>
    <xf numFmtId="168" fontId="0" fillId="0" borderId="95" xfId="0" applyNumberFormat="1" applyBorder="1"/>
    <xf numFmtId="168" fontId="0" fillId="0" borderId="107" xfId="0" applyNumberFormat="1" applyBorder="1"/>
    <xf numFmtId="0" fontId="3" fillId="0" borderId="50" xfId="0" applyFont="1" applyBorder="1" applyAlignment="1">
      <alignment wrapText="1"/>
    </xf>
    <xf numFmtId="0" fontId="0" fillId="0" borderId="99" xfId="0" applyBorder="1" applyAlignment="1">
      <alignment horizontal="left" vertical="center" wrapText="1" indent="1"/>
    </xf>
    <xf numFmtId="0" fontId="2" fillId="6" borderId="18" xfId="0" applyFont="1" applyFill="1" applyBorder="1" applyAlignment="1">
      <alignment horizontal="center" vertical="center" wrapText="1"/>
    </xf>
    <xf numFmtId="43" fontId="0" fillId="0" borderId="18" xfId="1" applyFont="1" applyBorder="1" applyAlignment="1">
      <alignment horizontal="left" vertical="center" wrapText="1" indent="1"/>
    </xf>
    <xf numFmtId="43" fontId="0" fillId="0" borderId="12" xfId="1" applyFont="1" applyBorder="1" applyAlignment="1">
      <alignment horizontal="left" vertical="center" wrapText="1" indent="1"/>
    </xf>
    <xf numFmtId="43" fontId="0" fillId="0" borderId="13" xfId="1" applyFont="1" applyBorder="1" applyAlignment="1">
      <alignment horizontal="left" vertical="center" wrapText="1" indent="1"/>
    </xf>
    <xf numFmtId="43" fontId="0" fillId="0" borderId="14" xfId="1" applyFont="1" applyBorder="1" applyAlignment="1">
      <alignment horizontal="left" vertical="center" wrapText="1" indent="1"/>
    </xf>
    <xf numFmtId="43" fontId="0" fillId="0" borderId="15" xfId="1" applyFont="1" applyBorder="1" applyAlignment="1">
      <alignment horizontal="left" vertical="center" wrapText="1" indent="1"/>
    </xf>
    <xf numFmtId="43" fontId="0" fillId="0" borderId="23" xfId="1" applyFont="1" applyBorder="1" applyAlignment="1">
      <alignment horizontal="left" vertical="center" wrapText="1" indent="1"/>
    </xf>
    <xf numFmtId="43" fontId="0" fillId="0" borderId="20" xfId="1" applyFont="1" applyBorder="1" applyAlignment="1">
      <alignment horizontal="left" vertical="center" wrapText="1" indent="1"/>
    </xf>
    <xf numFmtId="43" fontId="0" fillId="0" borderId="21" xfId="1" applyFont="1" applyBorder="1" applyAlignment="1">
      <alignment horizontal="left" vertical="center" wrapText="1" indent="1"/>
    </xf>
    <xf numFmtId="164" fontId="0" fillId="7" borderId="26" xfId="1" applyNumberFormat="1" applyFont="1" applyFill="1" applyBorder="1" applyAlignment="1">
      <alignment horizontal="left" vertical="center" wrapText="1" indent="1"/>
    </xf>
    <xf numFmtId="164" fontId="0" fillId="7" borderId="57" xfId="1" applyNumberFormat="1" applyFont="1" applyFill="1" applyBorder="1" applyAlignment="1">
      <alignment horizontal="left" vertical="center" wrapText="1" indent="1"/>
    </xf>
    <xf numFmtId="164" fontId="0" fillId="7" borderId="58" xfId="1" applyNumberFormat="1" applyFont="1" applyFill="1" applyBorder="1" applyAlignment="1">
      <alignment horizontal="left" vertical="center" wrapText="1" indent="1"/>
    </xf>
    <xf numFmtId="0" fontId="3" fillId="0" borderId="108" xfId="0" applyFont="1" applyBorder="1" applyAlignment="1">
      <alignment wrapText="1"/>
    </xf>
    <xf numFmtId="0" fontId="3" fillId="0" borderId="44" xfId="0" applyFont="1" applyBorder="1" applyAlignment="1">
      <alignment wrapText="1"/>
    </xf>
    <xf numFmtId="0" fontId="3" fillId="0" borderId="45" xfId="0" applyFont="1" applyBorder="1" applyAlignment="1">
      <alignment wrapText="1"/>
    </xf>
    <xf numFmtId="164" fontId="22" fillId="0" borderId="16" xfId="1" applyNumberFormat="1" applyFont="1" applyBorder="1" applyAlignment="1">
      <alignment horizontal="left" wrapText="1" indent="2"/>
    </xf>
    <xf numFmtId="43" fontId="22" fillId="0" borderId="53" xfId="1" applyFont="1" applyBorder="1"/>
    <xf numFmtId="43" fontId="22" fillId="0" borderId="109" xfId="1" applyFont="1" applyBorder="1"/>
    <xf numFmtId="9" fontId="0" fillId="4" borderId="46" xfId="3" applyFont="1" applyFill="1" applyBorder="1"/>
    <xf numFmtId="168" fontId="0" fillId="4" borderId="47" xfId="0" applyNumberFormat="1" applyFill="1" applyBorder="1"/>
    <xf numFmtId="168" fontId="3" fillId="7" borderId="64" xfId="0" applyNumberFormat="1" applyFont="1" applyFill="1" applyBorder="1"/>
    <xf numFmtId="164" fontId="0" fillId="7" borderId="64" xfId="1" applyNumberFormat="1" applyFont="1" applyFill="1" applyBorder="1" applyAlignment="1">
      <alignment horizontal="left" vertical="center" wrapText="1" indent="1"/>
    </xf>
    <xf numFmtId="164" fontId="3" fillId="7" borderId="64" xfId="0" applyNumberFormat="1" applyFont="1" applyFill="1" applyBorder="1" applyAlignment="1">
      <alignment horizontal="left" vertical="center" wrapText="1" indent="1"/>
    </xf>
    <xf numFmtId="164" fontId="3" fillId="7" borderId="26" xfId="1" applyNumberFormat="1" applyFont="1" applyFill="1" applyBorder="1" applyAlignment="1">
      <alignment horizontal="left" vertical="center" wrapText="1" indent="1"/>
    </xf>
    <xf numFmtId="168" fontId="0" fillId="0" borderId="0" xfId="0" applyNumberFormat="1" applyAlignment="1">
      <alignment wrapText="1"/>
    </xf>
    <xf numFmtId="0" fontId="3" fillId="0" borderId="43" xfId="0" applyFont="1" applyBorder="1" applyAlignment="1">
      <alignment wrapText="1"/>
    </xf>
    <xf numFmtId="164" fontId="0" fillId="0" borderId="12" xfId="1" applyNumberFormat="1" applyFont="1" applyBorder="1" applyAlignment="1">
      <alignment horizontal="left" vertical="center" wrapText="1" indent="1"/>
    </xf>
    <xf numFmtId="11" fontId="54" fillId="4" borderId="0" xfId="0" applyNumberFormat="1" applyFont="1" applyFill="1" applyAlignment="1">
      <alignment wrapText="1"/>
    </xf>
    <xf numFmtId="164" fontId="58" fillId="4" borderId="0" xfId="0" applyNumberFormat="1" applyFont="1" applyFill="1"/>
    <xf numFmtId="0" fontId="31" fillId="7" borderId="46" xfId="0" applyFont="1" applyFill="1" applyBorder="1" applyAlignment="1">
      <alignment vertical="center"/>
    </xf>
    <xf numFmtId="164" fontId="31" fillId="7" borderId="46" xfId="0" applyNumberFormat="1" applyFont="1" applyFill="1" applyBorder="1" applyAlignment="1">
      <alignment horizontal="center" wrapText="1"/>
    </xf>
    <xf numFmtId="0" fontId="34" fillId="0" borderId="0" xfId="0" applyFont="1" applyAlignment="1">
      <alignment vertical="center"/>
    </xf>
    <xf numFmtId="164" fontId="0" fillId="4" borderId="46" xfId="1" applyNumberFormat="1" applyFont="1" applyFill="1" applyBorder="1" applyAlignment="1">
      <alignment horizontal="center" wrapText="1"/>
    </xf>
    <xf numFmtId="164" fontId="46" fillId="4" borderId="16" xfId="0" applyNumberFormat="1" applyFont="1" applyFill="1" applyBorder="1" applyAlignment="1">
      <alignment horizontal="center"/>
    </xf>
    <xf numFmtId="10" fontId="0" fillId="4" borderId="0" xfId="3" applyNumberFormat="1" applyFont="1" applyFill="1" applyBorder="1"/>
    <xf numFmtId="0" fontId="59" fillId="4" borderId="0" xfId="0" applyFont="1" applyFill="1"/>
    <xf numFmtId="0" fontId="3" fillId="4" borderId="0" xfId="0" applyFont="1" applyFill="1" applyAlignment="1">
      <alignment horizontal="left"/>
    </xf>
    <xf numFmtId="0" fontId="59" fillId="4" borderId="0" xfId="0" applyFont="1" applyFill="1" applyAlignment="1">
      <alignment wrapText="1"/>
    </xf>
    <xf numFmtId="0" fontId="58" fillId="4" borderId="0" xfId="0" applyFont="1" applyFill="1"/>
    <xf numFmtId="0" fontId="15" fillId="4" borderId="0" xfId="0" applyFont="1" applyFill="1"/>
    <xf numFmtId="0" fontId="68" fillId="4" borderId="0" xfId="0" applyFont="1" applyFill="1"/>
    <xf numFmtId="0" fontId="4" fillId="4" borderId="0" xfId="8" applyFont="1" applyFill="1"/>
    <xf numFmtId="0" fontId="4" fillId="4" borderId="0" xfId="8" applyFont="1" applyFill="1" applyAlignment="1">
      <alignment horizontal="left" indent="2"/>
    </xf>
    <xf numFmtId="3" fontId="4" fillId="4" borderId="0" xfId="8" applyNumberFormat="1" applyFont="1" applyFill="1"/>
    <xf numFmtId="43" fontId="4" fillId="4" borderId="0" xfId="8" applyNumberFormat="1" applyFont="1" applyFill="1"/>
    <xf numFmtId="41" fontId="4" fillId="4" borderId="0" xfId="8" applyNumberFormat="1" applyFont="1" applyFill="1"/>
    <xf numFmtId="3" fontId="0" fillId="7" borderId="46" xfId="0" applyNumberFormat="1" applyFill="1" applyBorder="1"/>
    <xf numFmtId="3" fontId="3" fillId="7" borderId="46" xfId="0" applyNumberFormat="1" applyFont="1" applyFill="1" applyBorder="1" applyAlignment="1">
      <alignment wrapText="1"/>
    </xf>
    <xf numFmtId="9" fontId="0" fillId="4" borderId="114" xfId="3" applyFont="1" applyFill="1" applyBorder="1"/>
    <xf numFmtId="0" fontId="31" fillId="0" borderId="114" xfId="0" applyFont="1" applyBorder="1" applyAlignment="1">
      <alignment vertical="center"/>
    </xf>
    <xf numFmtId="4" fontId="31" fillId="0" borderId="114" xfId="0" applyNumberFormat="1" applyFont="1" applyBorder="1" applyAlignment="1">
      <alignment horizontal="right" vertical="center" wrapText="1"/>
    </xf>
    <xf numFmtId="0" fontId="32" fillId="0" borderId="114" xfId="0" applyFont="1" applyBorder="1" applyAlignment="1">
      <alignment vertical="center"/>
    </xf>
    <xf numFmtId="4" fontId="32" fillId="0" borderId="114" xfId="0" applyNumberFormat="1" applyFont="1" applyBorder="1" applyAlignment="1">
      <alignment horizontal="right" vertical="center" wrapText="1"/>
    </xf>
    <xf numFmtId="0" fontId="32" fillId="0" borderId="114" xfId="0" applyFont="1" applyBorder="1" applyAlignment="1">
      <alignment horizontal="right" vertical="center" wrapText="1"/>
    </xf>
    <xf numFmtId="0" fontId="31" fillId="0" borderId="114" xfId="0" applyFont="1" applyBorder="1" applyAlignment="1">
      <alignment horizontal="right" vertical="center" wrapText="1"/>
    </xf>
    <xf numFmtId="0" fontId="31" fillId="7" borderId="114" xfId="0" applyFont="1" applyFill="1" applyBorder="1" applyAlignment="1">
      <alignment vertical="center"/>
    </xf>
    <xf numFmtId="4" fontId="31" fillId="7" borderId="114" xfId="0" applyNumberFormat="1" applyFont="1" applyFill="1" applyBorder="1" applyAlignment="1">
      <alignment horizontal="right" vertical="center" wrapText="1"/>
    </xf>
    <xf numFmtId="10" fontId="0" fillId="4" borderId="114" xfId="3" applyNumberFormat="1" applyFont="1" applyFill="1" applyBorder="1"/>
    <xf numFmtId="164" fontId="3" fillId="7" borderId="46" xfId="0" applyNumberFormat="1" applyFont="1" applyFill="1" applyBorder="1" applyAlignment="1">
      <alignment horizontal="center" wrapText="1"/>
    </xf>
    <xf numFmtId="0" fontId="34" fillId="7" borderId="46" xfId="0" applyFont="1" applyFill="1" applyBorder="1" applyAlignment="1">
      <alignment vertical="center"/>
    </xf>
    <xf numFmtId="0" fontId="4" fillId="13" borderId="114" xfId="0" applyFont="1" applyFill="1" applyBorder="1" applyAlignment="1">
      <alignment wrapText="1"/>
    </xf>
    <xf numFmtId="0" fontId="4" fillId="13" borderId="114" xfId="0" applyFont="1" applyFill="1" applyBorder="1" applyAlignment="1">
      <alignment horizontal="center" wrapText="1"/>
    </xf>
    <xf numFmtId="4" fontId="0" fillId="4" borderId="0" xfId="0" applyNumberFormat="1" applyFill="1"/>
    <xf numFmtId="10" fontId="3" fillId="4" borderId="0" xfId="3" applyNumberFormat="1" applyFont="1" applyFill="1"/>
    <xf numFmtId="0" fontId="3" fillId="7" borderId="64" xfId="0" applyFont="1" applyFill="1" applyBorder="1" applyAlignment="1">
      <alignment horizontal="left" vertical="center" wrapText="1" indent="1"/>
    </xf>
    <xf numFmtId="3" fontId="3" fillId="7" borderId="52" xfId="0" applyNumberFormat="1" applyFont="1" applyFill="1" applyBorder="1" applyAlignment="1">
      <alignment wrapText="1"/>
    </xf>
    <xf numFmtId="3" fontId="3" fillId="7" borderId="64" xfId="0" applyNumberFormat="1" applyFont="1" applyFill="1" applyBorder="1"/>
    <xf numFmtId="170" fontId="22" fillId="0" borderId="46" xfId="1" applyNumberFormat="1" applyFont="1" applyFill="1" applyBorder="1"/>
    <xf numFmtId="170" fontId="0" fillId="0" borderId="46" xfId="1" applyNumberFormat="1" applyFont="1" applyFill="1" applyBorder="1"/>
    <xf numFmtId="1" fontId="0" fillId="4" borderId="46" xfId="0" applyNumberFormat="1" applyFill="1" applyBorder="1"/>
    <xf numFmtId="1" fontId="22" fillId="4" borderId="0" xfId="0" applyNumberFormat="1" applyFont="1" applyFill="1"/>
    <xf numFmtId="43" fontId="66" fillId="0" borderId="16" xfId="0" applyNumberFormat="1" applyFont="1" applyBorder="1"/>
    <xf numFmtId="3" fontId="69" fillId="0" borderId="0" xfId="0" applyNumberFormat="1" applyFont="1"/>
    <xf numFmtId="175" fontId="3" fillId="21" borderId="46" xfId="0" applyNumberFormat="1" applyFont="1" applyFill="1" applyBorder="1" applyAlignment="1">
      <alignment horizontal="center" wrapText="1"/>
    </xf>
    <xf numFmtId="175" fontId="0" fillId="4" borderId="46" xfId="1" applyNumberFormat="1" applyFont="1" applyFill="1" applyBorder="1"/>
    <xf numFmtId="176" fontId="0" fillId="4" borderId="0" xfId="0" applyNumberFormat="1" applyFill="1"/>
    <xf numFmtId="43" fontId="44" fillId="0" borderId="16" xfId="0" applyNumberFormat="1" applyFont="1" applyBorder="1"/>
    <xf numFmtId="3" fontId="0" fillId="7" borderId="64" xfId="0" applyNumberFormat="1" applyFill="1" applyBorder="1"/>
    <xf numFmtId="164" fontId="0" fillId="0" borderId="46" xfId="1" applyNumberFormat="1" applyFont="1" applyFill="1" applyBorder="1"/>
    <xf numFmtId="164" fontId="3" fillId="4" borderId="0" xfId="0" applyNumberFormat="1" applyFont="1" applyFill="1" applyAlignment="1">
      <alignment wrapText="1"/>
    </xf>
    <xf numFmtId="43" fontId="0" fillId="4" borderId="16" xfId="1" applyFont="1" applyFill="1" applyBorder="1"/>
    <xf numFmtId="0" fontId="3" fillId="0" borderId="0" xfId="0" applyFont="1" applyAlignment="1">
      <alignment horizontal="left" vertical="center" wrapText="1" indent="1"/>
    </xf>
    <xf numFmtId="164" fontId="3" fillId="0" borderId="0" xfId="0" applyNumberFormat="1" applyFont="1" applyAlignment="1">
      <alignment horizontal="left" vertical="center" wrapText="1" indent="1"/>
    </xf>
    <xf numFmtId="164" fontId="0" fillId="0" borderId="46" xfId="1" applyNumberFormat="1" applyFont="1" applyFill="1" applyBorder="1" applyAlignment="1">
      <alignment horizontal="center" vertical="center" wrapText="1"/>
    </xf>
    <xf numFmtId="164" fontId="0" fillId="4" borderId="46" xfId="1" applyNumberFormat="1" applyFont="1" applyFill="1" applyBorder="1" applyAlignment="1">
      <alignment horizontal="center" vertical="center" wrapText="1"/>
    </xf>
    <xf numFmtId="3" fontId="0" fillId="7" borderId="46" xfId="0" applyNumberFormat="1" applyFill="1" applyBorder="1" applyAlignment="1">
      <alignment vertical="center"/>
    </xf>
    <xf numFmtId="3" fontId="0" fillId="7" borderId="64" xfId="0" applyNumberFormat="1" applyFill="1" applyBorder="1" applyAlignment="1">
      <alignment vertical="center"/>
    </xf>
    <xf numFmtId="164" fontId="3" fillId="7" borderId="46" xfId="0" applyNumberFormat="1" applyFont="1" applyFill="1" applyBorder="1" applyAlignment="1">
      <alignment horizontal="center" vertical="center" wrapText="1"/>
    </xf>
    <xf numFmtId="3" fontId="3" fillId="7" borderId="64" xfId="0" applyNumberFormat="1" applyFont="1" applyFill="1" applyBorder="1" applyAlignment="1">
      <alignment vertical="center"/>
    </xf>
    <xf numFmtId="0" fontId="0" fillId="0" borderId="46" xfId="0" applyBorder="1" applyAlignment="1">
      <alignment vertical="center" wrapText="1"/>
    </xf>
    <xf numFmtId="168" fontId="0" fillId="7" borderId="46" xfId="0" applyNumberFormat="1" applyFill="1" applyBorder="1"/>
    <xf numFmtId="39" fontId="0" fillId="0" borderId="18" xfId="1" applyNumberFormat="1" applyFont="1" applyBorder="1" applyAlignment="1">
      <alignment horizontal="left" vertical="center" wrapText="1" indent="1"/>
    </xf>
    <xf numFmtId="164" fontId="0" fillId="7" borderId="46" xfId="1" applyNumberFormat="1" applyFont="1" applyFill="1" applyBorder="1" applyAlignment="1">
      <alignment horizontal="center" vertical="center" wrapText="1"/>
    </xf>
    <xf numFmtId="166" fontId="0" fillId="0" borderId="16" xfId="3" applyNumberFormat="1" applyFont="1" applyFill="1" applyBorder="1"/>
    <xf numFmtId="175" fontId="0" fillId="0" borderId="18" xfId="1" applyNumberFormat="1" applyFont="1" applyBorder="1" applyAlignment="1">
      <alignment horizontal="right" vertical="center" wrapText="1" indent="1"/>
    </xf>
    <xf numFmtId="175" fontId="0" fillId="0" borderId="21" xfId="1" applyNumberFormat="1" applyFont="1" applyBorder="1" applyAlignment="1">
      <alignment horizontal="right" vertical="center" wrapText="1" indent="1"/>
    </xf>
    <xf numFmtId="0" fontId="42" fillId="0" borderId="0" xfId="0" applyFont="1"/>
    <xf numFmtId="0" fontId="47" fillId="0" borderId="0" xfId="0" applyFont="1"/>
    <xf numFmtId="43" fontId="66" fillId="4" borderId="16" xfId="0" applyNumberFormat="1" applyFont="1" applyFill="1" applyBorder="1"/>
    <xf numFmtId="166" fontId="38" fillId="0" borderId="0" xfId="3" applyNumberFormat="1" applyFont="1"/>
    <xf numFmtId="166" fontId="38" fillId="0" borderId="0" xfId="0" applyNumberFormat="1" applyFont="1"/>
    <xf numFmtId="43" fontId="39" fillId="0" borderId="0" xfId="0" applyNumberFormat="1" applyFont="1"/>
    <xf numFmtId="10" fontId="39" fillId="0" borderId="0" xfId="3" applyNumberFormat="1" applyFont="1"/>
    <xf numFmtId="43" fontId="0" fillId="0" borderId="0" xfId="1" applyFont="1" applyFill="1" applyBorder="1"/>
    <xf numFmtId="0" fontId="3" fillId="14" borderId="47" xfId="0" applyFont="1" applyFill="1" applyBorder="1"/>
    <xf numFmtId="164" fontId="32" fillId="0" borderId="114" xfId="1" applyNumberFormat="1" applyFont="1" applyBorder="1" applyAlignment="1">
      <alignment horizontal="right" vertical="center" wrapText="1"/>
    </xf>
    <xf numFmtId="9" fontId="32" fillId="0" borderId="114" xfId="3" applyFont="1" applyFill="1" applyBorder="1" applyAlignment="1">
      <alignment horizontal="right" vertical="center" wrapText="1"/>
    </xf>
    <xf numFmtId="43" fontId="32" fillId="4" borderId="46" xfId="1" applyFont="1" applyFill="1" applyBorder="1" applyAlignment="1">
      <alignment horizontal="center" wrapText="1"/>
    </xf>
    <xf numFmtId="164" fontId="32" fillId="7" borderId="46" xfId="0" applyNumberFormat="1" applyFont="1" applyFill="1" applyBorder="1" applyAlignment="1">
      <alignment horizontal="center" wrapText="1"/>
    </xf>
    <xf numFmtId="175" fontId="32" fillId="0" borderId="114" xfId="1" applyNumberFormat="1" applyFont="1" applyBorder="1" applyAlignment="1">
      <alignment horizontal="right" vertical="center" wrapText="1"/>
    </xf>
    <xf numFmtId="0" fontId="70" fillId="4" borderId="0" xfId="0" applyFont="1" applyFill="1" applyAlignment="1">
      <alignment horizontal="left" wrapText="1"/>
    </xf>
    <xf numFmtId="0" fontId="0" fillId="24" borderId="29" xfId="0" applyFill="1" applyBorder="1"/>
    <xf numFmtId="0" fontId="45" fillId="24" borderId="16" xfId="0" applyFont="1" applyFill="1" applyBorder="1" applyAlignment="1">
      <alignment wrapText="1"/>
    </xf>
    <xf numFmtId="4" fontId="0" fillId="4" borderId="0" xfId="0" applyNumberFormat="1" applyFill="1" applyAlignment="1">
      <alignment wrapText="1"/>
    </xf>
    <xf numFmtId="0" fontId="0" fillId="4" borderId="19" xfId="0" applyFill="1" applyBorder="1" applyAlignment="1">
      <alignment wrapText="1"/>
    </xf>
    <xf numFmtId="0" fontId="0" fillId="24" borderId="61" xfId="0" applyFill="1" applyBorder="1"/>
    <xf numFmtId="164" fontId="0" fillId="4" borderId="0" xfId="1" applyNumberFormat="1" applyFont="1" applyFill="1" applyBorder="1" applyAlignment="1">
      <alignment wrapText="1"/>
    </xf>
    <xf numFmtId="0" fontId="4" fillId="4" borderId="0" xfId="0" applyFont="1" applyFill="1" applyAlignment="1">
      <alignment horizontal="center" vertical="center"/>
    </xf>
    <xf numFmtId="164" fontId="0" fillId="4" borderId="0" xfId="1" applyNumberFormat="1" applyFont="1" applyFill="1" applyBorder="1" applyAlignment="1">
      <alignment horizontal="left" vertical="center" wrapText="1" indent="1"/>
    </xf>
    <xf numFmtId="164" fontId="58" fillId="4" borderId="0" xfId="1" applyNumberFormat="1" applyFont="1" applyFill="1" applyBorder="1" applyAlignment="1">
      <alignment horizontal="left" vertical="center" wrapText="1" indent="1"/>
    </xf>
    <xf numFmtId="0" fontId="0" fillId="4" borderId="54" xfId="0" applyFill="1" applyBorder="1" applyAlignment="1">
      <alignment horizontal="right"/>
    </xf>
    <xf numFmtId="0" fontId="0" fillId="4" borderId="29" xfId="0" applyFill="1" applyBorder="1"/>
    <xf numFmtId="0" fontId="58" fillId="16" borderId="46" xfId="0" applyFont="1" applyFill="1" applyBorder="1" applyAlignment="1">
      <alignment wrapText="1"/>
    </xf>
    <xf numFmtId="164" fontId="0" fillId="7" borderId="16" xfId="0" applyNumberFormat="1" applyFill="1" applyBorder="1"/>
    <xf numFmtId="3" fontId="0" fillId="0" borderId="0" xfId="0" applyNumberFormat="1"/>
    <xf numFmtId="1" fontId="0" fillId="0" borderId="66" xfId="0" applyNumberFormat="1" applyBorder="1"/>
    <xf numFmtId="1" fontId="0" fillId="0" borderId="65" xfId="0" applyNumberFormat="1" applyBorder="1"/>
    <xf numFmtId="1" fontId="0" fillId="0" borderId="67" xfId="0" applyNumberFormat="1" applyBorder="1"/>
    <xf numFmtId="1" fontId="0" fillId="0" borderId="116" xfId="0" applyNumberFormat="1" applyBorder="1"/>
    <xf numFmtId="1" fontId="0" fillId="0" borderId="95" xfId="0" applyNumberFormat="1" applyBorder="1"/>
    <xf numFmtId="1" fontId="0" fillId="0" borderId="117" xfId="0" applyNumberFormat="1" applyBorder="1"/>
    <xf numFmtId="1" fontId="0" fillId="0" borderId="118" xfId="0" applyNumberFormat="1" applyBorder="1"/>
    <xf numFmtId="1" fontId="0" fillId="0" borderId="119" xfId="0" applyNumberFormat="1" applyBorder="1"/>
    <xf numFmtId="1" fontId="0" fillId="0" borderId="120" xfId="0" applyNumberFormat="1" applyBorder="1"/>
    <xf numFmtId="1" fontId="0" fillId="0" borderId="121" xfId="0" applyNumberFormat="1" applyBorder="1"/>
    <xf numFmtId="1" fontId="0" fillId="0" borderId="122" xfId="0" applyNumberFormat="1" applyBorder="1"/>
    <xf numFmtId="1" fontId="0" fillId="0" borderId="123" xfId="0" applyNumberFormat="1" applyBorder="1"/>
    <xf numFmtId="1" fontId="0" fillId="0" borderId="124" xfId="0" applyNumberFormat="1" applyBorder="1"/>
    <xf numFmtId="1" fontId="0" fillId="0" borderId="125" xfId="0" applyNumberFormat="1" applyBorder="1"/>
    <xf numFmtId="1" fontId="0" fillId="0" borderId="126" xfId="0" applyNumberFormat="1" applyBorder="1"/>
    <xf numFmtId="1" fontId="0" fillId="0" borderId="127" xfId="0" applyNumberFormat="1" applyBorder="1"/>
    <xf numFmtId="0" fontId="3" fillId="0" borderId="114" xfId="0" applyFont="1" applyBorder="1"/>
    <xf numFmtId="3" fontId="3" fillId="0" borderId="114" xfId="0" applyNumberFormat="1" applyFont="1" applyBorder="1"/>
    <xf numFmtId="0" fontId="0" fillId="0" borderId="114" xfId="0" applyBorder="1"/>
    <xf numFmtId="3" fontId="0" fillId="0" borderId="114" xfId="0" applyNumberFormat="1" applyBorder="1"/>
    <xf numFmtId="168" fontId="0" fillId="0" borderId="128" xfId="0" applyNumberFormat="1" applyBorder="1"/>
    <xf numFmtId="168" fontId="0" fillId="0" borderId="129" xfId="0" applyNumberFormat="1" applyBorder="1"/>
    <xf numFmtId="177" fontId="0" fillId="0" borderId="0" xfId="1" applyNumberFormat="1" applyFont="1"/>
    <xf numFmtId="43" fontId="0" fillId="4" borderId="64" xfId="0" applyNumberFormat="1" applyFill="1" applyBorder="1"/>
    <xf numFmtId="43" fontId="3" fillId="4" borderId="48" xfId="1" applyFont="1" applyFill="1" applyBorder="1"/>
    <xf numFmtId="43" fontId="3" fillId="4" borderId="46" xfId="1" applyFont="1" applyFill="1" applyBorder="1"/>
    <xf numFmtId="168" fontId="3" fillId="0" borderId="111" xfId="0" applyNumberFormat="1" applyFont="1" applyBorder="1"/>
    <xf numFmtId="10" fontId="3" fillId="4" borderId="0" xfId="3" applyNumberFormat="1" applyFont="1" applyFill="1" applyAlignment="1">
      <alignment horizontal="center" wrapText="1"/>
    </xf>
    <xf numFmtId="164" fontId="70" fillId="4" borderId="0" xfId="0" applyNumberFormat="1" applyFont="1" applyFill="1" applyAlignment="1">
      <alignment horizontal="left" wrapText="1"/>
    </xf>
    <xf numFmtId="43" fontId="0" fillId="7" borderId="16" xfId="0" applyNumberFormat="1" applyFill="1" applyBorder="1"/>
    <xf numFmtId="164" fontId="0" fillId="0" borderId="16" xfId="1" applyNumberFormat="1" applyFont="1" applyBorder="1"/>
    <xf numFmtId="0" fontId="0" fillId="0" borderId="16" xfId="0" applyBorder="1" applyAlignment="1">
      <alignment horizontal="center" vertical="center" wrapText="1"/>
    </xf>
    <xf numFmtId="2" fontId="0" fillId="0" borderId="16" xfId="0" applyNumberFormat="1" applyBorder="1" applyAlignment="1">
      <alignment horizontal="center"/>
    </xf>
    <xf numFmtId="41" fontId="0" fillId="4" borderId="0" xfId="0" applyNumberFormat="1" applyFill="1"/>
    <xf numFmtId="0" fontId="22" fillId="0" borderId="0" xfId="0" applyFont="1"/>
    <xf numFmtId="0" fontId="18" fillId="4" borderId="130" xfId="2" applyFont="1" applyFill="1" applyBorder="1" applyAlignment="1">
      <alignment horizontal="left" vertical="center"/>
    </xf>
    <xf numFmtId="0" fontId="5" fillId="4" borderId="131" xfId="0" applyFont="1" applyFill="1" applyBorder="1" applyAlignment="1">
      <alignment vertical="center" wrapText="1"/>
    </xf>
    <xf numFmtId="0" fontId="5" fillId="2" borderId="4" xfId="0" applyFont="1" applyFill="1" applyBorder="1" applyAlignment="1">
      <alignment wrapText="1"/>
    </xf>
    <xf numFmtId="41" fontId="0" fillId="25" borderId="46" xfId="0" applyNumberFormat="1" applyFill="1" applyBorder="1"/>
    <xf numFmtId="43" fontId="0" fillId="7" borderId="64" xfId="0" applyNumberFormat="1" applyFill="1" applyBorder="1"/>
    <xf numFmtId="43" fontId="3" fillId="7" borderId="48" xfId="1" applyFont="1" applyFill="1" applyBorder="1"/>
    <xf numFmtId="43" fontId="3" fillId="7" borderId="46" xfId="1" applyFont="1" applyFill="1" applyBorder="1"/>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10" xfId="0" applyFont="1" applyFill="1" applyBorder="1" applyAlignment="1">
      <alignment horizontal="center"/>
    </xf>
    <xf numFmtId="0" fontId="6" fillId="3" borderId="11" xfId="0" applyFont="1" applyFill="1" applyBorder="1" applyAlignment="1">
      <alignment horizontal="center"/>
    </xf>
    <xf numFmtId="0" fontId="2" fillId="6" borderId="92" xfId="0" applyFont="1" applyFill="1" applyBorder="1" applyAlignment="1">
      <alignment horizontal="center" vertical="center"/>
    </xf>
    <xf numFmtId="0" fontId="2" fillId="6" borderId="93" xfId="0" applyFont="1" applyFill="1" applyBorder="1" applyAlignment="1">
      <alignment horizontal="center" vertical="center"/>
    </xf>
    <xf numFmtId="0" fontId="2" fillId="6" borderId="54" xfId="0" applyFont="1" applyFill="1" applyBorder="1" applyAlignment="1">
      <alignment horizontal="center" vertical="center"/>
    </xf>
    <xf numFmtId="0" fontId="2" fillId="6" borderId="103"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86" xfId="0" applyFont="1" applyFill="1" applyBorder="1" applyAlignment="1">
      <alignment horizontal="center" vertical="center"/>
    </xf>
    <xf numFmtId="0" fontId="2" fillId="6" borderId="15" xfId="0" applyFont="1" applyFill="1" applyBorder="1" applyAlignment="1">
      <alignment horizontal="center" vertical="center"/>
    </xf>
    <xf numFmtId="0" fontId="2" fillId="6" borderId="40" xfId="0" applyFont="1" applyFill="1" applyBorder="1" applyAlignment="1">
      <alignment horizontal="center" vertical="center"/>
    </xf>
    <xf numFmtId="0" fontId="2" fillId="6" borderId="100" xfId="0" applyFont="1" applyFill="1" applyBorder="1" applyAlignment="1">
      <alignment horizontal="center" vertical="center"/>
    </xf>
    <xf numFmtId="0" fontId="2" fillId="6" borderId="83" xfId="0" applyFont="1" applyFill="1" applyBorder="1" applyAlignment="1">
      <alignment horizontal="center" vertical="center"/>
    </xf>
    <xf numFmtId="0" fontId="2" fillId="6" borderId="85" xfId="0" applyFont="1" applyFill="1" applyBorder="1" applyAlignment="1">
      <alignment horizontal="center" vertical="center"/>
    </xf>
    <xf numFmtId="0" fontId="2" fillId="6" borderId="101" xfId="0" applyFont="1" applyFill="1" applyBorder="1" applyAlignment="1">
      <alignment horizontal="center" vertical="center"/>
    </xf>
    <xf numFmtId="0" fontId="2" fillId="6" borderId="82" xfId="0" applyFont="1" applyFill="1" applyBorder="1" applyAlignment="1">
      <alignment horizontal="center" vertical="center"/>
    </xf>
    <xf numFmtId="0" fontId="2" fillId="6" borderId="90" xfId="0" applyFont="1" applyFill="1" applyBorder="1" applyAlignment="1">
      <alignment horizontal="center" vertical="center" wrapText="1"/>
    </xf>
    <xf numFmtId="0" fontId="2" fillId="6" borderId="91" xfId="0" applyFont="1" applyFill="1" applyBorder="1" applyAlignment="1">
      <alignment horizontal="center" vertical="center" wrapText="1"/>
    </xf>
    <xf numFmtId="0" fontId="2" fillId="6" borderId="94" xfId="0" applyFont="1" applyFill="1" applyBorder="1" applyAlignment="1">
      <alignment horizontal="center" vertical="center" wrapText="1"/>
    </xf>
    <xf numFmtId="0" fontId="2" fillId="6" borderId="79" xfId="0" applyFont="1" applyFill="1" applyBorder="1" applyAlignment="1">
      <alignment horizontal="center" vertical="center" wrapText="1"/>
    </xf>
    <xf numFmtId="0" fontId="2" fillId="6" borderId="80"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2" fillId="6" borderId="79" xfId="0" applyFont="1" applyFill="1" applyBorder="1" applyAlignment="1">
      <alignment horizontal="center" vertical="center"/>
    </xf>
    <xf numFmtId="0" fontId="2" fillId="6" borderId="80" xfId="0" applyFont="1" applyFill="1" applyBorder="1" applyAlignment="1">
      <alignment horizontal="center" vertical="center"/>
    </xf>
    <xf numFmtId="0" fontId="2" fillId="6" borderId="41" xfId="0" applyFont="1" applyFill="1" applyBorder="1" applyAlignment="1">
      <alignment horizontal="center" vertical="center"/>
    </xf>
    <xf numFmtId="43" fontId="3" fillId="19" borderId="59" xfId="1" applyFont="1" applyFill="1" applyBorder="1" applyAlignment="1">
      <alignment horizontal="center" vertical="center"/>
    </xf>
    <xf numFmtId="43" fontId="3" fillId="19" borderId="54" xfId="1" applyFont="1" applyFill="1" applyBorder="1" applyAlignment="1">
      <alignment horizontal="center" vertical="center"/>
    </xf>
    <xf numFmtId="0" fontId="2" fillId="6" borderId="90" xfId="0" applyFont="1" applyFill="1" applyBorder="1" applyAlignment="1">
      <alignment horizontal="center" vertical="center"/>
    </xf>
    <xf numFmtId="0" fontId="2" fillId="6" borderId="94" xfId="0" applyFont="1" applyFill="1" applyBorder="1" applyAlignment="1">
      <alignment horizontal="center" vertical="center"/>
    </xf>
    <xf numFmtId="0" fontId="2" fillId="6" borderId="22" xfId="0" applyFont="1" applyFill="1" applyBorder="1" applyAlignment="1">
      <alignment horizontal="center" vertical="center"/>
    </xf>
    <xf numFmtId="0" fontId="2" fillId="6" borderId="12"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2" fillId="6" borderId="14" xfId="0" applyFont="1" applyFill="1" applyBorder="1" applyAlignment="1">
      <alignment horizontal="center" vertical="center" wrapText="1"/>
    </xf>
    <xf numFmtId="0" fontId="2" fillId="6" borderId="15"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2" fillId="6" borderId="18" xfId="0" applyFont="1" applyFill="1" applyBorder="1" applyAlignment="1">
      <alignment horizontal="center" vertical="center" wrapText="1"/>
    </xf>
    <xf numFmtId="0" fontId="2" fillId="6" borderId="34" xfId="0" applyFont="1" applyFill="1" applyBorder="1" applyAlignment="1">
      <alignment horizontal="center" vertical="center" wrapText="1"/>
    </xf>
    <xf numFmtId="0" fontId="2" fillId="6" borderId="91" xfId="0" applyFont="1" applyFill="1" applyBorder="1" applyAlignment="1">
      <alignment horizontal="center" vertical="center"/>
    </xf>
    <xf numFmtId="0" fontId="2" fillId="6" borderId="34" xfId="0" applyFont="1" applyFill="1" applyBorder="1" applyAlignment="1">
      <alignment horizontal="center" vertical="center"/>
    </xf>
    <xf numFmtId="0" fontId="2" fillId="6" borderId="13" xfId="0" applyFont="1" applyFill="1" applyBorder="1" applyAlignment="1">
      <alignment horizontal="center" vertical="center"/>
    </xf>
    <xf numFmtId="0" fontId="2" fillId="6" borderId="14" xfId="0" applyFont="1" applyFill="1" applyBorder="1" applyAlignment="1">
      <alignment horizontal="center" vertical="center"/>
    </xf>
    <xf numFmtId="0" fontId="2" fillId="6" borderId="35" xfId="0" applyFont="1" applyFill="1" applyBorder="1" applyAlignment="1">
      <alignment horizontal="center" vertical="center"/>
    </xf>
    <xf numFmtId="0" fontId="2" fillId="6" borderId="60" xfId="0" applyFont="1" applyFill="1" applyBorder="1" applyAlignment="1">
      <alignment horizontal="center" vertical="center"/>
    </xf>
    <xf numFmtId="0" fontId="2" fillId="6" borderId="19" xfId="0" applyFont="1" applyFill="1" applyBorder="1" applyAlignment="1">
      <alignment horizontal="center" vertical="center"/>
    </xf>
    <xf numFmtId="0" fontId="2" fillId="6" borderId="61" xfId="0" applyFont="1" applyFill="1" applyBorder="1" applyAlignment="1">
      <alignment horizontal="center" vertical="center"/>
    </xf>
    <xf numFmtId="0" fontId="2" fillId="6" borderId="32" xfId="0" applyFont="1" applyFill="1" applyBorder="1" applyAlignment="1">
      <alignment horizontal="center" vertical="center"/>
    </xf>
    <xf numFmtId="0" fontId="2" fillId="6" borderId="38" xfId="0" applyFont="1" applyFill="1" applyBorder="1" applyAlignment="1">
      <alignment horizontal="center" vertical="center"/>
    </xf>
    <xf numFmtId="0" fontId="2" fillId="6" borderId="102" xfId="0" applyFont="1" applyFill="1" applyBorder="1" applyAlignment="1">
      <alignment horizontal="center" vertical="center"/>
    </xf>
    <xf numFmtId="0" fontId="2" fillId="6" borderId="39"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85" xfId="0" applyFont="1" applyFill="1" applyBorder="1" applyAlignment="1">
      <alignment horizontal="center" vertical="center" wrapText="1"/>
    </xf>
    <xf numFmtId="0" fontId="2" fillId="6" borderId="101" xfId="0" applyFont="1" applyFill="1" applyBorder="1" applyAlignment="1">
      <alignment horizontal="center" vertical="center" wrapText="1"/>
    </xf>
    <xf numFmtId="0" fontId="2" fillId="6" borderId="82" xfId="0" applyFont="1" applyFill="1" applyBorder="1" applyAlignment="1">
      <alignment horizontal="center" vertical="center" wrapText="1"/>
    </xf>
    <xf numFmtId="0" fontId="2" fillId="6" borderId="23" xfId="0" applyFont="1" applyFill="1" applyBorder="1" applyAlignment="1">
      <alignment horizontal="center" vertical="center"/>
    </xf>
    <xf numFmtId="0" fontId="2" fillId="6" borderId="45" xfId="0" applyFont="1" applyFill="1" applyBorder="1" applyAlignment="1">
      <alignment horizontal="center" vertical="center"/>
    </xf>
    <xf numFmtId="0" fontId="2" fillId="6" borderId="87" xfId="0" applyFont="1" applyFill="1" applyBorder="1" applyAlignment="1">
      <alignment horizontal="center" vertical="center"/>
    </xf>
    <xf numFmtId="0" fontId="4" fillId="11" borderId="64" xfId="0" applyFont="1" applyFill="1" applyBorder="1" applyAlignment="1">
      <alignment horizontal="center" vertical="center"/>
    </xf>
    <xf numFmtId="0" fontId="4" fillId="11" borderId="65" xfId="0" applyFont="1" applyFill="1" applyBorder="1" applyAlignment="1">
      <alignment horizontal="center" wrapText="1"/>
    </xf>
    <xf numFmtId="0" fontId="4" fillId="11" borderId="68" xfId="0" applyFont="1" applyFill="1" applyBorder="1" applyAlignment="1">
      <alignment horizontal="center" wrapText="1"/>
    </xf>
    <xf numFmtId="0" fontId="4" fillId="11" borderId="66" xfId="0" applyFont="1" applyFill="1" applyBorder="1" applyAlignment="1">
      <alignment horizontal="center" wrapText="1"/>
    </xf>
    <xf numFmtId="0" fontId="4" fillId="11" borderId="111" xfId="0" applyFont="1" applyFill="1" applyBorder="1" applyAlignment="1">
      <alignment horizontal="center" wrapText="1"/>
    </xf>
    <xf numFmtId="0" fontId="4" fillId="11" borderId="112" xfId="0" applyFont="1" applyFill="1" applyBorder="1" applyAlignment="1">
      <alignment horizontal="center" wrapText="1"/>
    </xf>
    <xf numFmtId="0" fontId="4" fillId="11" borderId="113" xfId="0" applyFont="1" applyFill="1" applyBorder="1" applyAlignment="1">
      <alignment horizontal="center" wrapText="1"/>
    </xf>
    <xf numFmtId="0" fontId="70" fillId="4" borderId="0" xfId="0" applyFont="1" applyFill="1" applyAlignment="1">
      <alignment horizontal="left" wrapText="1"/>
    </xf>
    <xf numFmtId="0" fontId="4" fillId="11" borderId="110" xfId="0" applyFont="1" applyFill="1" applyBorder="1" applyAlignment="1">
      <alignment horizontal="center" wrapText="1"/>
    </xf>
    <xf numFmtId="0" fontId="4" fillId="11" borderId="0" xfId="0" applyFont="1" applyFill="1" applyAlignment="1">
      <alignment horizontal="center" wrapText="1"/>
    </xf>
    <xf numFmtId="0" fontId="4" fillId="13" borderId="52" xfId="0" applyFont="1" applyFill="1" applyBorder="1" applyAlignment="1">
      <alignment horizontal="center" wrapText="1"/>
    </xf>
    <xf numFmtId="0" fontId="4" fillId="13" borderId="105" xfId="0" applyFont="1" applyFill="1" applyBorder="1" applyAlignment="1">
      <alignment horizontal="center" wrapText="1"/>
    </xf>
    <xf numFmtId="0" fontId="4" fillId="13" borderId="96" xfId="0" applyFont="1" applyFill="1" applyBorder="1" applyAlignment="1">
      <alignment horizontal="center" wrapText="1"/>
    </xf>
    <xf numFmtId="0" fontId="4" fillId="13" borderId="46" xfId="0" applyFont="1" applyFill="1" applyBorder="1" applyAlignment="1">
      <alignment horizontal="center" wrapText="1"/>
    </xf>
    <xf numFmtId="0" fontId="4" fillId="11" borderId="64" xfId="0" applyFont="1" applyFill="1" applyBorder="1" applyAlignment="1">
      <alignment horizontal="center" wrapText="1"/>
    </xf>
    <xf numFmtId="0" fontId="4" fillId="11" borderId="110" xfId="0" applyFont="1" applyFill="1" applyBorder="1" applyAlignment="1">
      <alignment horizontal="center"/>
    </xf>
    <xf numFmtId="0" fontId="4" fillId="11" borderId="0" xfId="0" applyFont="1" applyFill="1" applyAlignment="1">
      <alignment horizontal="center"/>
    </xf>
    <xf numFmtId="0" fontId="4" fillId="11" borderId="115" xfId="0" applyFont="1" applyFill="1" applyBorder="1" applyAlignment="1">
      <alignment horizontal="center"/>
    </xf>
    <xf numFmtId="0" fontId="3" fillId="4" borderId="57" xfId="0" applyFont="1" applyFill="1" applyBorder="1" applyAlignment="1">
      <alignment horizontal="center"/>
    </xf>
    <xf numFmtId="0" fontId="3" fillId="4" borderId="17" xfId="0" applyFont="1" applyFill="1" applyBorder="1" applyAlignment="1">
      <alignment horizontal="center"/>
    </xf>
    <xf numFmtId="0" fontId="0" fillId="4" borderId="19" xfId="0" applyFill="1" applyBorder="1" applyAlignment="1">
      <alignment horizontal="center"/>
    </xf>
    <xf numFmtId="0" fontId="0" fillId="4" borderId="61" xfId="0" applyFill="1" applyBorder="1" applyAlignment="1">
      <alignment horizontal="center"/>
    </xf>
    <xf numFmtId="0" fontId="3" fillId="4" borderId="53" xfId="0" applyFont="1" applyFill="1" applyBorder="1" applyAlignment="1">
      <alignment horizontal="center"/>
    </xf>
    <xf numFmtId="0" fontId="3" fillId="14" borderId="16" xfId="0" applyFont="1" applyFill="1" applyBorder="1" applyAlignment="1">
      <alignment horizontal="center"/>
    </xf>
    <xf numFmtId="0" fontId="2" fillId="6" borderId="16" xfId="0" applyFont="1" applyFill="1" applyBorder="1" applyAlignment="1">
      <alignment horizontal="center" vertical="center"/>
    </xf>
    <xf numFmtId="0" fontId="39" fillId="14" borderId="57" xfId="0" applyFont="1" applyFill="1" applyBorder="1" applyAlignment="1">
      <alignment horizontal="center"/>
    </xf>
    <xf numFmtId="0" fontId="39" fillId="14" borderId="53" xfId="0" applyFont="1" applyFill="1" applyBorder="1" applyAlignment="1">
      <alignment horizontal="center"/>
    </xf>
    <xf numFmtId="0" fontId="39" fillId="14" borderId="17" xfId="0" applyFont="1" applyFill="1" applyBorder="1" applyAlignment="1">
      <alignment horizontal="center"/>
    </xf>
    <xf numFmtId="0" fontId="45" fillId="4" borderId="57" xfId="0" applyFont="1" applyFill="1" applyBorder="1" applyAlignment="1">
      <alignment horizontal="center"/>
    </xf>
    <xf numFmtId="0" fontId="45" fillId="4" borderId="53" xfId="0" applyFont="1" applyFill="1" applyBorder="1" applyAlignment="1">
      <alignment horizontal="center"/>
    </xf>
    <xf numFmtId="0" fontId="45" fillId="4" borderId="17" xfId="0" applyFont="1" applyFill="1" applyBorder="1" applyAlignment="1">
      <alignment horizontal="center"/>
    </xf>
  </cellXfs>
  <cellStyles count="9">
    <cellStyle name="Comma" xfId="1" builtinId="3"/>
    <cellStyle name="Good" xfId="8" builtinId="26"/>
    <cellStyle name="Hyperlink" xfId="2" builtinId="8"/>
    <cellStyle name="Input" xfId="6" builtinId="20"/>
    <cellStyle name="Normal" xfId="0" builtinId="0"/>
    <cellStyle name="Normal 2" xfId="4" xr:uid="{00000000-0005-0000-0000-000004000000}"/>
    <cellStyle name="Normal_SUMMARY (old)" xfId="5" xr:uid="{00000000-0005-0000-0000-000005000000}"/>
    <cellStyle name="Percent" xfId="3" builtinId="5"/>
    <cellStyle name="Style 1" xfId="7" xr:uid="{A4CF7CC6-E3B2-4A6F-8290-5FBC69D9074A}"/>
  </cellStyles>
  <dxfs count="1">
    <dxf>
      <fill>
        <patternFill>
          <bgColor theme="0" tint="-0.14996795556505021"/>
        </patternFill>
      </fill>
    </dxf>
  </dxfs>
  <tableStyles count="0" defaultTableStyle="TableStyleMedium2" defaultPivotStyle="PivotStyleLight16"/>
  <colors>
    <mruColors>
      <color rgb="FFE7F6FF"/>
      <color rgb="FFFAD6AD"/>
      <color rgb="FF0078A6"/>
      <color rgb="FFFF9999"/>
      <color rgb="FFF299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eetMetadata" Target="metadata.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4</xdr:col>
      <xdr:colOff>182879</xdr:colOff>
      <xdr:row>2</xdr:row>
      <xdr:rowOff>125171</xdr:rowOff>
    </xdr:from>
    <xdr:ext cx="703729" cy="629210"/>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79479" y="529031"/>
          <a:ext cx="703729" cy="629210"/>
        </a:xfrm>
        <a:prstGeom prst="rect">
          <a:avLst/>
        </a:prstGeom>
      </xdr:spPr>
    </xdr:pic>
    <xdr:clientData/>
  </xdr:oneCellAnchor>
  <xdr:twoCellAnchor editAs="oneCell">
    <xdr:from>
      <xdr:col>3</xdr:col>
      <xdr:colOff>228600</xdr:colOff>
      <xdr:row>2</xdr:row>
      <xdr:rowOff>76200</xdr:rowOff>
    </xdr:from>
    <xdr:to>
      <xdr:col>3</xdr:col>
      <xdr:colOff>979805</xdr:colOff>
      <xdr:row>5</xdr:row>
      <xdr:rowOff>141605</xdr:rowOff>
    </xdr:to>
    <xdr:pic>
      <xdr:nvPicPr>
        <xdr:cNvPr id="3" name="Picture 2" descr="Image result for CMAP logo">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1720" y="480060"/>
          <a:ext cx="754380"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640080</xdr:colOff>
      <xdr:row>129</xdr:row>
      <xdr:rowOff>152400</xdr:rowOff>
    </xdr:from>
    <xdr:to>
      <xdr:col>18</xdr:col>
      <xdr:colOff>114300</xdr:colOff>
      <xdr:row>144</xdr:row>
      <xdr:rowOff>111631</xdr:rowOff>
    </xdr:to>
    <xdr:pic>
      <xdr:nvPicPr>
        <xdr:cNvPr id="2" name="Picture 1">
          <a:extLst>
            <a:ext uri="{FF2B5EF4-FFF2-40B4-BE49-F238E27FC236}">
              <a16:creationId xmlns:a16="http://schemas.microsoft.com/office/drawing/2014/main" id="{D6BC992D-7985-46CC-AFF0-71E40B5276A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965680" y="25117425"/>
          <a:ext cx="4560570" cy="2673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127635</xdr:colOff>
      <xdr:row>136</xdr:row>
      <xdr:rowOff>70484</xdr:rowOff>
    </xdr:from>
    <xdr:to>
      <xdr:col>15</xdr:col>
      <xdr:colOff>461010</xdr:colOff>
      <xdr:row>138</xdr:row>
      <xdr:rowOff>7619</xdr:rowOff>
    </xdr:to>
    <xdr:sp macro="" textlink="">
      <xdr:nvSpPr>
        <xdr:cNvPr id="3" name="Oval 2">
          <a:extLst>
            <a:ext uri="{FF2B5EF4-FFF2-40B4-BE49-F238E27FC236}">
              <a16:creationId xmlns:a16="http://schemas.microsoft.com/office/drawing/2014/main" id="{A5696883-AA4E-484E-946C-A38B1E5E41BD}"/>
            </a:ext>
          </a:extLst>
        </xdr:cNvPr>
        <xdr:cNvSpPr/>
      </xdr:nvSpPr>
      <xdr:spPr>
        <a:xfrm>
          <a:off x="17558385" y="26369009"/>
          <a:ext cx="333375" cy="31813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1">
              <a:solidFill>
                <a:sysClr val="windowText" lastClr="000000"/>
              </a:solidFill>
            </a:rPr>
            <a:t>A</a:t>
          </a:r>
        </a:p>
      </xdr:txBody>
    </xdr:sp>
    <xdr:clientData/>
  </xdr:twoCellAnchor>
  <xdr:twoCellAnchor>
    <xdr:from>
      <xdr:col>14</xdr:col>
      <xdr:colOff>630555</xdr:colOff>
      <xdr:row>139</xdr:row>
      <xdr:rowOff>62865</xdr:rowOff>
    </xdr:from>
    <xdr:to>
      <xdr:col>15</xdr:col>
      <xdr:colOff>308610</xdr:colOff>
      <xdr:row>141</xdr:row>
      <xdr:rowOff>0</xdr:rowOff>
    </xdr:to>
    <xdr:sp macro="" textlink="">
      <xdr:nvSpPr>
        <xdr:cNvPr id="4" name="Oval 3">
          <a:extLst>
            <a:ext uri="{FF2B5EF4-FFF2-40B4-BE49-F238E27FC236}">
              <a16:creationId xmlns:a16="http://schemas.microsoft.com/office/drawing/2014/main" id="{66D3606E-408A-4F73-B261-03648DE69433}"/>
            </a:ext>
          </a:extLst>
        </xdr:cNvPr>
        <xdr:cNvSpPr/>
      </xdr:nvSpPr>
      <xdr:spPr>
        <a:xfrm>
          <a:off x="17375505" y="26932890"/>
          <a:ext cx="363855" cy="31813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1">
              <a:solidFill>
                <a:sysClr val="windowText" lastClr="000000"/>
              </a:solidFill>
            </a:rPr>
            <a:t>B</a:t>
          </a:r>
        </a:p>
      </xdr:txBody>
    </xdr:sp>
    <xdr:clientData/>
  </xdr:twoCellAnchor>
  <xdr:twoCellAnchor>
    <xdr:from>
      <xdr:col>14</xdr:col>
      <xdr:colOff>173355</xdr:colOff>
      <xdr:row>140</xdr:row>
      <xdr:rowOff>17145</xdr:rowOff>
    </xdr:from>
    <xdr:to>
      <xdr:col>14</xdr:col>
      <xdr:colOff>506730</xdr:colOff>
      <xdr:row>141</xdr:row>
      <xdr:rowOff>129540</xdr:rowOff>
    </xdr:to>
    <xdr:sp macro="" textlink="">
      <xdr:nvSpPr>
        <xdr:cNvPr id="5" name="Oval 4">
          <a:extLst>
            <a:ext uri="{FF2B5EF4-FFF2-40B4-BE49-F238E27FC236}">
              <a16:creationId xmlns:a16="http://schemas.microsoft.com/office/drawing/2014/main" id="{EBD08B29-F5E6-458D-80CF-1FD73E132DD1}"/>
            </a:ext>
          </a:extLst>
        </xdr:cNvPr>
        <xdr:cNvSpPr/>
      </xdr:nvSpPr>
      <xdr:spPr>
        <a:xfrm>
          <a:off x="16918305" y="27077670"/>
          <a:ext cx="333375" cy="30289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1">
              <a:solidFill>
                <a:sysClr val="windowText" lastClr="000000"/>
              </a:solidFill>
            </a:rPr>
            <a:t>C</a:t>
          </a:r>
        </a:p>
      </xdr:txBody>
    </xdr:sp>
    <xdr:clientData/>
  </xdr:twoCellAnchor>
  <xdr:twoCellAnchor>
    <xdr:from>
      <xdr:col>13</xdr:col>
      <xdr:colOff>487680</xdr:colOff>
      <xdr:row>138</xdr:row>
      <xdr:rowOff>140970</xdr:rowOff>
    </xdr:from>
    <xdr:to>
      <xdr:col>14</xdr:col>
      <xdr:colOff>173355</xdr:colOff>
      <xdr:row>140</xdr:row>
      <xdr:rowOff>93345</xdr:rowOff>
    </xdr:to>
    <xdr:sp macro="" textlink="">
      <xdr:nvSpPr>
        <xdr:cNvPr id="6" name="Oval 5">
          <a:extLst>
            <a:ext uri="{FF2B5EF4-FFF2-40B4-BE49-F238E27FC236}">
              <a16:creationId xmlns:a16="http://schemas.microsoft.com/office/drawing/2014/main" id="{74AD76B6-FCCA-4B4F-9CF1-EE0313DB6EC9}"/>
            </a:ext>
          </a:extLst>
        </xdr:cNvPr>
        <xdr:cNvSpPr/>
      </xdr:nvSpPr>
      <xdr:spPr>
        <a:xfrm>
          <a:off x="16565880" y="26820495"/>
          <a:ext cx="352425" cy="33337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1">
              <a:solidFill>
                <a:sysClr val="windowText" lastClr="000000"/>
              </a:solidFill>
            </a:rPr>
            <a:t>D</a:t>
          </a:r>
        </a:p>
      </xdr:txBody>
    </xdr:sp>
    <xdr:clientData/>
  </xdr:twoCellAnchor>
  <xdr:twoCellAnchor>
    <xdr:from>
      <xdr:col>13</xdr:col>
      <xdr:colOff>53340</xdr:colOff>
      <xdr:row>137</xdr:row>
      <xdr:rowOff>5715</xdr:rowOff>
    </xdr:from>
    <xdr:to>
      <xdr:col>13</xdr:col>
      <xdr:colOff>401955</xdr:colOff>
      <xdr:row>138</xdr:row>
      <xdr:rowOff>140970</xdr:rowOff>
    </xdr:to>
    <xdr:sp macro="" textlink="">
      <xdr:nvSpPr>
        <xdr:cNvPr id="7" name="Oval 6">
          <a:extLst>
            <a:ext uri="{FF2B5EF4-FFF2-40B4-BE49-F238E27FC236}">
              <a16:creationId xmlns:a16="http://schemas.microsoft.com/office/drawing/2014/main" id="{F60D4369-2C40-4E8B-9EBC-34F379337E3E}"/>
            </a:ext>
          </a:extLst>
        </xdr:cNvPr>
        <xdr:cNvSpPr/>
      </xdr:nvSpPr>
      <xdr:spPr>
        <a:xfrm>
          <a:off x="16131540" y="26494740"/>
          <a:ext cx="348615" cy="32575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1">
              <a:solidFill>
                <a:sysClr val="windowText" lastClr="000000"/>
              </a:solidFill>
            </a:rPr>
            <a:t>E</a:t>
          </a:r>
        </a:p>
      </xdr:txBody>
    </xdr:sp>
    <xdr:clientData/>
  </xdr:twoCellAnchor>
  <xdr:twoCellAnchor>
    <xdr:from>
      <xdr:col>13</xdr:col>
      <xdr:colOff>659130</xdr:colOff>
      <xdr:row>132</xdr:row>
      <xdr:rowOff>110490</xdr:rowOff>
    </xdr:from>
    <xdr:to>
      <xdr:col>14</xdr:col>
      <xdr:colOff>344805</xdr:colOff>
      <xdr:row>134</xdr:row>
      <xdr:rowOff>47625</xdr:rowOff>
    </xdr:to>
    <xdr:sp macro="" textlink="">
      <xdr:nvSpPr>
        <xdr:cNvPr id="8" name="Oval 7">
          <a:extLst>
            <a:ext uri="{FF2B5EF4-FFF2-40B4-BE49-F238E27FC236}">
              <a16:creationId xmlns:a16="http://schemas.microsoft.com/office/drawing/2014/main" id="{D31EED42-AB2D-41A2-A664-FC6A04AC47C5}"/>
            </a:ext>
          </a:extLst>
        </xdr:cNvPr>
        <xdr:cNvSpPr/>
      </xdr:nvSpPr>
      <xdr:spPr>
        <a:xfrm>
          <a:off x="16737330" y="25647015"/>
          <a:ext cx="352425" cy="31813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1">
              <a:solidFill>
                <a:sysClr val="windowText" lastClr="000000"/>
              </a:solidFill>
            </a:rPr>
            <a:t>F</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patton/Documents/Projects/GHG%20Inventory/Final%20Deliverables/CMAP%202019%20Inventory%20Files_FINAL_6.24.22_v2/Inventory%20Spredsheets/CMAP%202019%20Inventory%20Summary_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patton/Documents/Projects/GHG%20Inventory/Final%20Deliverables/CMAP%202019%20Inventory%20Files_FINAL_6.24.22_v2/Inventory%20Spredsheets/CMAP%20Stationary%20Energy_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Summary by Scope"/>
      <sheetName val="Summary by County"/>
      <sheetName val="Summary by Gas"/>
      <sheetName val="Emissions Data"/>
      <sheetName val="2019 Report Data"/>
      <sheetName val="2010-2019 Trends"/>
      <sheetName val="Per Capita Emissions"/>
      <sheetName val="Per Job Emissions"/>
      <sheetName val="Per Capita Comparisons"/>
      <sheetName val="Projections"/>
      <sheetName val="Socioeconomic Data"/>
      <sheetName val="Trend Data"/>
    </sheetNames>
    <sheetDataSet>
      <sheetData sheetId="0" refreshError="1"/>
      <sheetData sheetId="1" refreshError="1"/>
      <sheetData sheetId="2" refreshError="1"/>
      <sheetData sheetId="3" refreshError="1"/>
      <sheetData sheetId="4" refreshError="1"/>
      <sheetData sheetId="5" refreshError="1"/>
      <sheetData sheetId="6">
        <row r="35">
          <cell r="T35">
            <v>9.1826405474375747E-2</v>
          </cell>
          <cell r="U35">
            <v>4.9874458572562584E-2</v>
          </cell>
        </row>
      </sheetData>
      <sheetData sheetId="7" refreshError="1"/>
      <sheetData sheetId="8" refreshError="1"/>
      <sheetData sheetId="9" refreshError="1"/>
      <sheetData sheetId="10" refreshError="1"/>
      <sheetData sheetId="11">
        <row r="5">
          <cell r="C5">
            <v>2695598</v>
          </cell>
          <cell r="E5">
            <v>5194675</v>
          </cell>
        </row>
        <row r="6">
          <cell r="C6">
            <v>2727195.9823191222</v>
          </cell>
          <cell r="D6">
            <v>2511020.0176808666</v>
          </cell>
          <cell r="E6">
            <v>5238215.9999999888</v>
          </cell>
          <cell r="F6">
            <v>933735.99999995017</v>
          </cell>
          <cell r="G6">
            <v>123354.99999998651</v>
          </cell>
          <cell r="H6">
            <v>530847.00000003248</v>
          </cell>
          <cell r="I6">
            <v>703909.99999997485</v>
          </cell>
          <cell r="J6">
            <v>307342.99999999424</v>
          </cell>
          <cell r="K6">
            <v>687263.00000007811</v>
          </cell>
        </row>
        <row r="7">
          <cell r="C7">
            <v>2746388</v>
          </cell>
          <cell r="D7">
            <v>2529153</v>
          </cell>
          <cell r="E7">
            <v>5275541</v>
          </cell>
          <cell r="F7">
            <v>932877</v>
          </cell>
          <cell r="H7">
            <v>516522</v>
          </cell>
          <cell r="I7">
            <v>714342</v>
          </cell>
          <cell r="J7">
            <v>310229</v>
          </cell>
          <cell r="K7">
            <v>696355</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Summary"/>
      <sheetName val="Emissions Data"/>
      <sheetName val="Residential"/>
      <sheetName val="Commmercial"/>
      <sheetName val="Industrial"/>
      <sheetName val="Energy Industries"/>
      <sheetName val="Fugitive Emissions"/>
      <sheetName val="Wastewater"/>
      <sheetName val="IMEA (EIA)"/>
      <sheetName val="2019_Nicor Gas"/>
      <sheetName val="2015_Nicor Gas"/>
      <sheetName val="2010_Nicor Gas"/>
      <sheetName val="2019_Peoples Gas"/>
      <sheetName val="2015_Peoples Gas"/>
      <sheetName val="2010_Peoples Gas"/>
      <sheetName val="2019_ComEd"/>
      <sheetName val="2015_ComEd"/>
      <sheetName val="2010_ComEd"/>
      <sheetName val="GHGRP Subpart Data"/>
      <sheetName val="GHGRP Fuel-Level Data"/>
      <sheetName val="Water Conveyance"/>
      <sheetName val="Wastewater Data"/>
      <sheetName val="Water Data"/>
      <sheetName val="Constants &amp; Conversions"/>
      <sheetName val="2019 Local Summary Output"/>
      <sheetName val="CMAP Stationary Energy_2019"/>
    </sheetNames>
    <definedNames>
      <definedName name="CH4_EF_eGRID_2010" refersTo="='Constants &amp; Conversions'!$B$78"/>
      <definedName name="CH4_EF_eGRID_2015" refersTo="='Constants &amp; Conversions'!$B$75"/>
      <definedName name="CH4_EF_eGRID_2019" refersTo="='Constants &amp; Conversions'!$B$72"/>
      <definedName name="CO2_EF_ComEd_2010" refersTo="='Constants &amp; Conversions'!$B$94"/>
      <definedName name="CO2_EF_ComEd_2015" refersTo="='Constants &amp; Conversions'!$B$93"/>
      <definedName name="CO2_EF_ComEd_2019" refersTo="='Constants &amp; Conversions'!$B$92"/>
      <definedName name="N2O_EF_eGRID_2010" refersTo="='Constants &amp; Conversions'!$B$79"/>
      <definedName name="N2O_EF_eGRID_2015" refersTo="='Constants &amp; Conversions'!$B$76"/>
      <definedName name="N2O_EF_eGRID_2019" refersTo="='Constants &amp; Conversions'!$B$73"/>
    </definedNames>
    <sheetDataSet>
      <sheetData sheetId="0"/>
      <sheetData sheetId="1"/>
      <sheetData sheetId="2">
        <row r="72">
          <cell r="B72">
            <v>2010</v>
          </cell>
        </row>
        <row r="73">
          <cell r="B73">
            <v>2010</v>
          </cell>
        </row>
        <row r="75">
          <cell r="B75">
            <v>2010</v>
          </cell>
        </row>
        <row r="76">
          <cell r="B76">
            <v>2010</v>
          </cell>
        </row>
        <row r="78">
          <cell r="B78">
            <v>2010</v>
          </cell>
        </row>
        <row r="79">
          <cell r="B79">
            <v>2010</v>
          </cell>
        </row>
        <row r="92">
          <cell r="B92">
            <v>2015</v>
          </cell>
        </row>
        <row r="93">
          <cell r="B93">
            <v>2015</v>
          </cell>
        </row>
        <row r="94">
          <cell r="B94">
            <v>2015</v>
          </cell>
        </row>
      </sheetData>
      <sheetData sheetId="3">
        <row r="73">
          <cell r="B73" t="str">
            <v>Electricity Use</v>
          </cell>
        </row>
        <row r="78">
          <cell r="B78">
            <v>2010</v>
          </cell>
        </row>
        <row r="79">
          <cell r="B79">
            <v>2010</v>
          </cell>
        </row>
        <row r="93">
          <cell r="B93">
            <v>2010</v>
          </cell>
        </row>
        <row r="94">
          <cell r="B94">
            <v>2010</v>
          </cell>
        </row>
      </sheetData>
      <sheetData sheetId="4">
        <row r="73">
          <cell r="B73">
            <v>2015</v>
          </cell>
        </row>
        <row r="75">
          <cell r="B75">
            <v>2015</v>
          </cell>
        </row>
        <row r="76">
          <cell r="B76">
            <v>2015</v>
          </cell>
        </row>
        <row r="78">
          <cell r="B78">
            <v>2015</v>
          </cell>
        </row>
        <row r="79">
          <cell r="B79">
            <v>2015</v>
          </cell>
        </row>
        <row r="92">
          <cell r="B92">
            <v>2015</v>
          </cell>
        </row>
        <row r="93">
          <cell r="B93">
            <v>2015</v>
          </cell>
        </row>
        <row r="94">
          <cell r="B94">
            <v>2015</v>
          </cell>
        </row>
      </sheetData>
      <sheetData sheetId="5">
        <row r="73">
          <cell r="B73">
            <v>2015</v>
          </cell>
        </row>
        <row r="75">
          <cell r="B75">
            <v>2015</v>
          </cell>
        </row>
        <row r="76">
          <cell r="B76">
            <v>2015</v>
          </cell>
        </row>
        <row r="78">
          <cell r="B78">
            <v>2015</v>
          </cell>
        </row>
        <row r="79">
          <cell r="B79">
            <v>2015</v>
          </cell>
        </row>
        <row r="92">
          <cell r="B92">
            <v>2015</v>
          </cell>
        </row>
        <row r="93">
          <cell r="B93">
            <v>2015</v>
          </cell>
        </row>
        <row r="94">
          <cell r="B94">
            <v>2015</v>
          </cell>
        </row>
      </sheetData>
      <sheetData sheetId="6">
        <row r="72">
          <cell r="B72">
            <v>2010</v>
          </cell>
        </row>
        <row r="73">
          <cell r="B73">
            <v>2010</v>
          </cell>
        </row>
        <row r="75">
          <cell r="B75">
            <v>2010</v>
          </cell>
        </row>
        <row r="76">
          <cell r="B76">
            <v>2010</v>
          </cell>
        </row>
        <row r="78">
          <cell r="B78">
            <v>2010</v>
          </cell>
        </row>
        <row r="92">
          <cell r="B92">
            <v>2010</v>
          </cell>
        </row>
      </sheetData>
      <sheetData sheetId="7">
        <row r="72">
          <cell r="B72">
            <v>2015</v>
          </cell>
        </row>
        <row r="73">
          <cell r="B73">
            <v>2015</v>
          </cell>
        </row>
        <row r="75">
          <cell r="B75">
            <v>2015</v>
          </cell>
        </row>
        <row r="78">
          <cell r="B78" t="str">
            <v>Year</v>
          </cell>
        </row>
        <row r="93">
          <cell r="B93" t="str">
            <v>Petroleum Refining</v>
          </cell>
        </row>
        <row r="94">
          <cell r="B94" t="str">
            <v>Year</v>
          </cell>
        </row>
      </sheetData>
      <sheetData sheetId="8">
        <row r="73">
          <cell r="B73">
            <v>2015</v>
          </cell>
        </row>
        <row r="75">
          <cell r="B75">
            <v>2015</v>
          </cell>
        </row>
        <row r="76">
          <cell r="B76">
            <v>2015</v>
          </cell>
        </row>
        <row r="78">
          <cell r="B78">
            <v>2015</v>
          </cell>
        </row>
        <row r="79">
          <cell r="B79">
            <v>2015</v>
          </cell>
        </row>
        <row r="92">
          <cell r="B92">
            <v>2015</v>
          </cell>
        </row>
        <row r="93">
          <cell r="B93">
            <v>2015</v>
          </cell>
        </row>
        <row r="94">
          <cell r="B94">
            <v>2015</v>
          </cell>
        </row>
      </sheetData>
      <sheetData sheetId="9"/>
      <sheetData sheetId="10">
        <row r="72">
          <cell r="B72" t="str">
            <v>Kane</v>
          </cell>
        </row>
        <row r="73">
          <cell r="B73" t="str">
            <v>Lake</v>
          </cell>
        </row>
        <row r="75">
          <cell r="B75" t="str">
            <v>Mchenry</v>
          </cell>
        </row>
        <row r="76">
          <cell r="B76" t="str">
            <v>Mchenry</v>
          </cell>
        </row>
        <row r="78">
          <cell r="B78" t="str">
            <v>Cook</v>
          </cell>
        </row>
        <row r="79">
          <cell r="B79" t="str">
            <v>Cook</v>
          </cell>
        </row>
        <row r="92">
          <cell r="B92" t="str">
            <v>Cook</v>
          </cell>
        </row>
        <row r="93">
          <cell r="B93" t="str">
            <v>Cook</v>
          </cell>
        </row>
        <row r="94">
          <cell r="B94" t="str">
            <v>Cook</v>
          </cell>
        </row>
      </sheetData>
      <sheetData sheetId="11"/>
      <sheetData sheetId="12">
        <row r="72">
          <cell r="B72" t="str">
            <v>Gas  Metered Residential Noheat</v>
          </cell>
        </row>
        <row r="73">
          <cell r="B73" t="str">
            <v>Gas Lights Unbadged</v>
          </cell>
        </row>
        <row r="75">
          <cell r="B75" t="str">
            <v>Gas Metered  Industrial Heat</v>
          </cell>
        </row>
        <row r="76">
          <cell r="B76" t="str">
            <v>Gas Metered  Industrial Heat</v>
          </cell>
        </row>
        <row r="78">
          <cell r="B78" t="str">
            <v>Gas Metered Commercial Heat</v>
          </cell>
        </row>
        <row r="79">
          <cell r="B79" t="str">
            <v>Gas Metered Commercial Heat</v>
          </cell>
        </row>
        <row r="92">
          <cell r="B92" t="str">
            <v>Gas Metered  Industrial Heat</v>
          </cell>
        </row>
        <row r="93">
          <cell r="B93" t="str">
            <v>Gas Metered  Industrial Heat</v>
          </cell>
        </row>
        <row r="94">
          <cell r="B94" t="str">
            <v>Gas Metered Commercial Heat</v>
          </cell>
        </row>
      </sheetData>
      <sheetData sheetId="13"/>
      <sheetData sheetId="14"/>
      <sheetData sheetId="15">
        <row r="72">
          <cell r="B72" t="str">
            <v>Lake</v>
          </cell>
        </row>
        <row r="73">
          <cell r="B73" t="str">
            <v>Lake</v>
          </cell>
        </row>
        <row r="75">
          <cell r="B75" t="str">
            <v>Lake</v>
          </cell>
        </row>
        <row r="76">
          <cell r="B76" t="str">
            <v>Lake</v>
          </cell>
        </row>
        <row r="78">
          <cell r="B78" t="str">
            <v>Lake</v>
          </cell>
        </row>
        <row r="79">
          <cell r="B79" t="str">
            <v>Lake</v>
          </cell>
        </row>
        <row r="92">
          <cell r="B92" t="str">
            <v>Lake</v>
          </cell>
        </row>
        <row r="93">
          <cell r="B93" t="str">
            <v>Lake</v>
          </cell>
        </row>
        <row r="94">
          <cell r="B94" t="str">
            <v>Lake</v>
          </cell>
        </row>
      </sheetData>
      <sheetData sheetId="16">
        <row r="72">
          <cell r="B72">
            <v>86058905.30309999</v>
          </cell>
        </row>
        <row r="73">
          <cell r="B73">
            <v>235665245.44849998</v>
          </cell>
        </row>
        <row r="75">
          <cell r="B75">
            <v>144488119.4305</v>
          </cell>
        </row>
        <row r="76">
          <cell r="B76">
            <v>146099496</v>
          </cell>
        </row>
        <row r="78">
          <cell r="B78">
            <v>214306439.67269999</v>
          </cell>
        </row>
        <row r="79">
          <cell r="B79">
            <v>2069513</v>
          </cell>
        </row>
        <row r="92">
          <cell r="B92">
            <v>234104</v>
          </cell>
        </row>
        <row r="93">
          <cell r="B93">
            <v>418274421</v>
          </cell>
        </row>
        <row r="94">
          <cell r="B94">
            <v>12400</v>
          </cell>
        </row>
      </sheetData>
      <sheetData sheetId="17">
        <row r="72">
          <cell r="B72" t="str">
            <v>Commercial</v>
          </cell>
        </row>
        <row r="73">
          <cell r="B73" t="str">
            <v>Commercial</v>
          </cell>
        </row>
        <row r="75">
          <cell r="B75" t="str">
            <v>Commercial</v>
          </cell>
        </row>
        <row r="76">
          <cell r="B76" t="str">
            <v>Commercial</v>
          </cell>
        </row>
        <row r="78">
          <cell r="B78" t="str">
            <v>Industrial</v>
          </cell>
        </row>
        <row r="79">
          <cell r="B79" t="str">
            <v>Industrial</v>
          </cell>
        </row>
        <row r="92">
          <cell r="B92" t="str">
            <v>Residential-Single</v>
          </cell>
        </row>
        <row r="93">
          <cell r="B93" t="str">
            <v>Residential-Single</v>
          </cell>
        </row>
        <row r="94">
          <cell r="B94" t="str">
            <v>Residential-Single</v>
          </cell>
        </row>
      </sheetData>
      <sheetData sheetId="18">
        <row r="72">
          <cell r="B72" t="str">
            <v>C27-Com KWH Only</v>
          </cell>
        </row>
        <row r="73">
          <cell r="B73" t="str">
            <v>C27-Com KWH Only</v>
          </cell>
        </row>
        <row r="75">
          <cell r="B75" t="str">
            <v>C27-Com KWH Only</v>
          </cell>
        </row>
        <row r="76">
          <cell r="B76" t="str">
            <v>C27-Com KWH Only</v>
          </cell>
        </row>
        <row r="78">
          <cell r="B78" t="str">
            <v>C27-Com KWH Only</v>
          </cell>
        </row>
        <row r="79">
          <cell r="B79" t="str">
            <v>C27-Com KWH Only</v>
          </cell>
        </row>
        <row r="92">
          <cell r="B92" t="str">
            <v>C29-Med (100 - 400)</v>
          </cell>
        </row>
        <row r="93">
          <cell r="B93" t="str">
            <v>C29-Med (100 - 400)</v>
          </cell>
        </row>
        <row r="94">
          <cell r="B94" t="str">
            <v>C29-Med (100 - 400)</v>
          </cell>
        </row>
      </sheetData>
      <sheetData sheetId="19">
        <row r="72">
          <cell r="B72" t="str">
            <v>Channahon</v>
          </cell>
        </row>
        <row r="73">
          <cell r="B73" t="str">
            <v>ELWOOD</v>
          </cell>
        </row>
        <row r="75">
          <cell r="B75" t="str">
            <v>City of Chicago</v>
          </cell>
        </row>
        <row r="76">
          <cell r="B76" t="str">
            <v>City of Chicago</v>
          </cell>
        </row>
        <row r="78">
          <cell r="B78" t="str">
            <v>MINOOKA</v>
          </cell>
        </row>
        <row r="79">
          <cell r="B79" t="str">
            <v>Channahon</v>
          </cell>
        </row>
        <row r="92">
          <cell r="B92" t="str">
            <v>CRETE</v>
          </cell>
        </row>
        <row r="93">
          <cell r="B93" t="str">
            <v>CHANNAHON</v>
          </cell>
        </row>
        <row r="94">
          <cell r="B94" t="str">
            <v>City of Chicago</v>
          </cell>
        </row>
      </sheetData>
      <sheetData sheetId="20">
        <row r="72">
          <cell r="B72">
            <v>2015</v>
          </cell>
        </row>
        <row r="73">
          <cell r="B73">
            <v>2015</v>
          </cell>
        </row>
        <row r="75">
          <cell r="B75">
            <v>2015</v>
          </cell>
        </row>
        <row r="76">
          <cell r="B76">
            <v>2015</v>
          </cell>
        </row>
        <row r="78">
          <cell r="B78">
            <v>2015</v>
          </cell>
        </row>
        <row r="79">
          <cell r="B79">
            <v>2015</v>
          </cell>
        </row>
        <row r="92">
          <cell r="B92">
            <v>2015</v>
          </cell>
        </row>
        <row r="93">
          <cell r="B93">
            <v>2015</v>
          </cell>
        </row>
        <row r="94">
          <cell r="B94">
            <v>2015</v>
          </cell>
        </row>
      </sheetData>
      <sheetData sheetId="21">
        <row r="72">
          <cell r="B72" t="str">
            <v>Water Withdrawals (million gallons per day)</v>
          </cell>
        </row>
        <row r="73">
          <cell r="B73" t="str">
            <v>County</v>
          </cell>
        </row>
        <row r="75">
          <cell r="B75" t="str">
            <v>City of Chicago</v>
          </cell>
        </row>
        <row r="76">
          <cell r="B76" t="str">
            <v>Cook (Balance)</v>
          </cell>
        </row>
        <row r="78">
          <cell r="B78" t="str">
            <v>Kane</v>
          </cell>
        </row>
        <row r="79">
          <cell r="B79" t="str">
            <v>Kendall</v>
          </cell>
        </row>
        <row r="92">
          <cell r="B92" t="str">
            <v>Total</v>
          </cell>
        </row>
        <row r="94">
          <cell r="B94" t="str">
            <v>Water Source Profile (%)</v>
          </cell>
        </row>
      </sheetData>
      <sheetData sheetId="22"/>
      <sheetData sheetId="23"/>
      <sheetData sheetId="24">
        <row r="72">
          <cell r="B72">
            <v>9.9000000000000005E-2</v>
          </cell>
        </row>
        <row r="73">
          <cell r="B73">
            <v>1.4E-2</v>
          </cell>
        </row>
        <row r="75">
          <cell r="B75">
            <v>0.150199</v>
          </cell>
        </row>
        <row r="76">
          <cell r="B76">
            <v>2.2033999999999998E-2</v>
          </cell>
        </row>
        <row r="78">
          <cell r="B78">
            <v>1.8200000000000001E-2</v>
          </cell>
        </row>
        <row r="79">
          <cell r="B79">
            <v>2.4750000000000001E-2</v>
          </cell>
        </row>
        <row r="92">
          <cell r="B92">
            <v>851.19</v>
          </cell>
        </row>
        <row r="93">
          <cell r="B93">
            <v>903.86</v>
          </cell>
        </row>
        <row r="94">
          <cell r="B94">
            <v>1135.3900000000001</v>
          </cell>
        </row>
      </sheetData>
      <sheetData sheetId="25">
        <row r="72">
          <cell r="B72" t="str">
            <v>Evanston</v>
          </cell>
        </row>
        <row r="73">
          <cell r="B73" t="str">
            <v>Evergreen Park</v>
          </cell>
        </row>
        <row r="75">
          <cell r="B75" t="str">
            <v>Ford Heights</v>
          </cell>
        </row>
        <row r="76">
          <cell r="B76" t="str">
            <v>Forest Park</v>
          </cell>
        </row>
        <row r="78">
          <cell r="B78" t="str">
            <v>Fox Lake</v>
          </cell>
        </row>
        <row r="79">
          <cell r="B79" t="str">
            <v>Fox River Grove</v>
          </cell>
        </row>
        <row r="92">
          <cell r="B92" t="str">
            <v>Green Oaks</v>
          </cell>
        </row>
        <row r="93">
          <cell r="B93" t="str">
            <v>Greenwood</v>
          </cell>
        </row>
        <row r="94">
          <cell r="B94" t="str">
            <v>Gurnee</v>
          </cell>
        </row>
      </sheetData>
      <sheetData sheetId="26" refreshError="1"/>
    </sheetDataSet>
  </externalBook>
</externalLink>
</file>

<file path=xl/theme/theme1.xml><?xml version="1.0" encoding="utf-8"?>
<a:theme xmlns:a="http://schemas.openxmlformats.org/drawingml/2006/main" name="ICF Theme">
  <a:themeElements>
    <a:clrScheme name="ICF Blue">
      <a:dk1>
        <a:sysClr val="windowText" lastClr="000000"/>
      </a:dk1>
      <a:lt1>
        <a:sysClr val="window" lastClr="FFFFFF"/>
      </a:lt1>
      <a:dk2>
        <a:srgbClr val="00538B"/>
      </a:dk2>
      <a:lt2>
        <a:srgbClr val="D8E0E3"/>
      </a:lt2>
      <a:accent1>
        <a:srgbClr val="00538B"/>
      </a:accent1>
      <a:accent2>
        <a:srgbClr val="00A2E0"/>
      </a:accent2>
      <a:accent3>
        <a:srgbClr val="00AFAA"/>
      </a:accent3>
      <a:accent4>
        <a:srgbClr val="69C14C"/>
      </a:accent4>
      <a:accent5>
        <a:srgbClr val="F29934"/>
      </a:accent5>
      <a:accent6>
        <a:srgbClr val="E1085A"/>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2700" cmpd="sng">
          <a:solidFill>
            <a:schemeClr val="accent1"/>
          </a:solidFill>
        </a:ln>
        <a:effectLst/>
      </a:spPr>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lgn="ctr">
          <a:defRPr/>
        </a:defPPr>
      </a:lstStyle>
      <a:style>
        <a:lnRef idx="2">
          <a:schemeClr val="accent2"/>
        </a:lnRef>
        <a:fillRef idx="1">
          <a:schemeClr val="lt1"/>
        </a:fillRef>
        <a:effectRef idx="0">
          <a:schemeClr val="accent2"/>
        </a:effectRef>
        <a:fontRef idx="minor">
          <a:schemeClr val="dk1"/>
        </a:fontRef>
      </a:style>
    </a:spDef>
    <a:lnDef>
      <a:spPr>
        <a:ln>
          <a:solidFill>
            <a:schemeClr val="accent1"/>
          </a:solidFill>
        </a:ln>
      </a:spPr>
      <a:bodyPr/>
      <a:lstStyle/>
      <a:style>
        <a:lnRef idx="1">
          <a:schemeClr val="accent2"/>
        </a:lnRef>
        <a:fillRef idx="0">
          <a:schemeClr val="accent2"/>
        </a:fillRef>
        <a:effectRef idx="0">
          <a:schemeClr val="accent2"/>
        </a:effectRef>
        <a:fontRef idx="minor">
          <a:schemeClr val="tx1"/>
        </a:fontRef>
      </a:style>
    </a:lnDef>
    <a:txDef>
      <a:spPr/>
      <a:bodyPr wrap="square" lIns="0" tIns="0" rIns="0" bIns="0" rtlCol="0">
        <a:noAutofit/>
      </a:bodyPr>
      <a:lstStyle>
        <a:defPPr marL="0" indent="0">
          <a:spcBef>
            <a:spcPts val="1200"/>
          </a:spcBef>
          <a:spcAft>
            <a:spcPts val="0"/>
          </a:spcAft>
          <a:buNone/>
          <a:defRPr sz="1600" dirty="0" err="1" smtClean="0"/>
        </a:defPPr>
      </a:lst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rita.dot.gov/bts/sites/rita.dot.gov.bts/files/publications/national_transportation_statistics/html/table_04_18.html" TargetMode="External"/><Relationship Id="rId7" Type="http://schemas.openxmlformats.org/officeDocument/2006/relationships/comments" Target="../comments1.xml"/><Relationship Id="rId2" Type="http://schemas.openxmlformats.org/officeDocument/2006/relationships/hyperlink" Target="https://www.bts.gov/content/amtrak-fuel-consumption-and-travel-1" TargetMode="External"/><Relationship Id="rId1" Type="http://schemas.openxmlformats.org/officeDocument/2006/relationships/hyperlink" Target="https://www.bts.gov/content/amtrak-fuel-consumption-and-travel-1" TargetMode="External"/><Relationship Id="rId6" Type="http://schemas.openxmlformats.org/officeDocument/2006/relationships/vmlDrawing" Target="../drawings/vmlDrawing1.vml"/><Relationship Id="rId5" Type="http://schemas.openxmlformats.org/officeDocument/2006/relationships/drawing" Target="../drawings/drawing2.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hyperlink" Target="https://www.eia.gov/energyexplained/index.cfm?page=about_energy_conversion_calculator" TargetMode="External"/><Relationship Id="rId1" Type="http://schemas.openxmlformats.org/officeDocument/2006/relationships/hyperlink" Target="https://www.eia.gov/energyexplained/index.cfm?page=about_energy_conversion_calculat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E35"/>
  <sheetViews>
    <sheetView workbookViewId="0"/>
  </sheetViews>
  <sheetFormatPr baseColWidth="10" defaultColWidth="8.6640625" defaultRowHeight="13" x14ac:dyDescent="0.15"/>
  <cols>
    <col min="1" max="1" width="1.6640625" style="1" customWidth="1"/>
    <col min="2" max="2" width="25.6640625" style="1" customWidth="1"/>
    <col min="3" max="3" width="105.1640625" style="1" customWidth="1"/>
    <col min="4" max="4" width="15.33203125" style="1" customWidth="1"/>
    <col min="5" max="5" width="14.1640625" style="1" customWidth="1"/>
    <col min="6" max="16384" width="8.6640625" style="1"/>
  </cols>
  <sheetData>
    <row r="1" spans="2:5" ht="14" thickBot="1" x14ac:dyDescent="0.2"/>
    <row r="2" spans="2:5" ht="19" thickBot="1" x14ac:dyDescent="0.2">
      <c r="B2" s="654" t="s">
        <v>0</v>
      </c>
      <c r="C2" s="655"/>
      <c r="D2" s="24" t="s">
        <v>1</v>
      </c>
      <c r="E2" s="2" t="s">
        <v>2</v>
      </c>
    </row>
    <row r="3" spans="2:5" ht="18" customHeight="1" x14ac:dyDescent="0.15">
      <c r="B3" s="3" t="s">
        <v>3</v>
      </c>
      <c r="C3" s="4" t="s">
        <v>4</v>
      </c>
      <c r="D3" s="21"/>
      <c r="E3" s="5"/>
    </row>
    <row r="4" spans="2:5" ht="18" customHeight="1" x14ac:dyDescent="0.15">
      <c r="B4" s="3" t="s">
        <v>5</v>
      </c>
      <c r="C4" s="4" t="s">
        <v>6</v>
      </c>
      <c r="D4" s="22"/>
      <c r="E4" s="6"/>
    </row>
    <row r="5" spans="2:5" ht="18" customHeight="1" x14ac:dyDescent="0.15">
      <c r="B5" s="3" t="s">
        <v>7</v>
      </c>
      <c r="C5" s="7">
        <v>44736</v>
      </c>
      <c r="D5" s="22"/>
      <c r="E5" s="6"/>
    </row>
    <row r="6" spans="2:5" ht="29" customHeight="1" thickBot="1" x14ac:dyDescent="0.2">
      <c r="B6" s="8" t="s">
        <v>8</v>
      </c>
      <c r="C6" s="9" t="s">
        <v>9</v>
      </c>
      <c r="D6" s="23"/>
      <c r="E6" s="10"/>
    </row>
    <row r="8" spans="2:5" ht="14" thickBot="1" x14ac:dyDescent="0.2"/>
    <row r="9" spans="2:5" ht="18" x14ac:dyDescent="0.2">
      <c r="B9" s="656" t="s">
        <v>10</v>
      </c>
      <c r="C9" s="657"/>
    </row>
    <row r="10" spans="2:5" ht="18" thickBot="1" x14ac:dyDescent="0.25">
      <c r="B10" s="11" t="s">
        <v>11</v>
      </c>
      <c r="C10" s="12" t="s">
        <v>12</v>
      </c>
    </row>
    <row r="11" spans="2:5" ht="13.5" customHeight="1" x14ac:dyDescent="0.15">
      <c r="B11" s="63" t="s">
        <v>13</v>
      </c>
      <c r="C11" s="31" t="s">
        <v>14</v>
      </c>
    </row>
    <row r="12" spans="2:5" ht="13.5" customHeight="1" x14ac:dyDescent="0.15">
      <c r="B12" s="63" t="s">
        <v>15</v>
      </c>
      <c r="C12" s="31" t="s">
        <v>16</v>
      </c>
    </row>
    <row r="13" spans="2:5" ht="13.5" customHeight="1" x14ac:dyDescent="0.15">
      <c r="B13" s="63" t="s">
        <v>17</v>
      </c>
      <c r="C13" s="31" t="s">
        <v>18</v>
      </c>
    </row>
    <row r="14" spans="2:5" ht="13.5" customHeight="1" x14ac:dyDescent="0.15">
      <c r="B14" s="63" t="s">
        <v>19</v>
      </c>
      <c r="C14" s="31" t="s">
        <v>20</v>
      </c>
    </row>
    <row r="15" spans="2:5" ht="13.5" customHeight="1" x14ac:dyDescent="0.15">
      <c r="B15" s="63" t="s">
        <v>21</v>
      </c>
      <c r="C15" s="31" t="s">
        <v>22</v>
      </c>
    </row>
    <row r="16" spans="2:5" ht="13.5" customHeight="1" x14ac:dyDescent="0.15">
      <c r="B16" s="63" t="s">
        <v>23</v>
      </c>
      <c r="C16" s="31" t="s">
        <v>24</v>
      </c>
    </row>
    <row r="17" spans="2:4" ht="13.5" customHeight="1" x14ac:dyDescent="0.15">
      <c r="B17" s="63" t="s">
        <v>25</v>
      </c>
      <c r="C17" s="31" t="s">
        <v>26</v>
      </c>
    </row>
    <row r="18" spans="2:4" ht="13.5" customHeight="1" x14ac:dyDescent="0.15">
      <c r="B18" s="63" t="s">
        <v>27</v>
      </c>
      <c r="C18" s="31" t="s">
        <v>28</v>
      </c>
    </row>
    <row r="19" spans="2:4" ht="13.5" customHeight="1" x14ac:dyDescent="0.15">
      <c r="B19" s="63" t="s">
        <v>29</v>
      </c>
      <c r="C19" s="31" t="s">
        <v>30</v>
      </c>
    </row>
    <row r="20" spans="2:4" ht="13.5" customHeight="1" x14ac:dyDescent="0.15">
      <c r="B20" s="63" t="s">
        <v>31</v>
      </c>
      <c r="C20" s="31" t="s">
        <v>32</v>
      </c>
      <c r="D20" s="649"/>
    </row>
    <row r="21" spans="2:4" ht="13.5" customHeight="1" x14ac:dyDescent="0.15">
      <c r="B21" s="63" t="s">
        <v>33</v>
      </c>
      <c r="C21" s="31" t="s">
        <v>34</v>
      </c>
    </row>
    <row r="22" spans="2:4" ht="13.5" customHeight="1" x14ac:dyDescent="0.15">
      <c r="B22" s="63" t="s">
        <v>35</v>
      </c>
      <c r="C22" s="31" t="s">
        <v>36</v>
      </c>
    </row>
    <row r="23" spans="2:4" ht="13.5" customHeight="1" x14ac:dyDescent="0.15">
      <c r="B23" s="63" t="s">
        <v>37</v>
      </c>
      <c r="C23" s="31" t="s">
        <v>38</v>
      </c>
    </row>
    <row r="24" spans="2:4" ht="13.5" customHeight="1" x14ac:dyDescent="0.15">
      <c r="B24" s="3" t="s">
        <v>39</v>
      </c>
      <c r="C24" s="31" t="s">
        <v>40</v>
      </c>
    </row>
    <row r="25" spans="2:4" ht="14" x14ac:dyDescent="0.15">
      <c r="B25" s="63" t="s">
        <v>41</v>
      </c>
      <c r="C25" s="31" t="s">
        <v>42</v>
      </c>
    </row>
    <row r="26" spans="2:4" ht="13.5" customHeight="1" x14ac:dyDescent="0.15">
      <c r="B26" s="63" t="s">
        <v>43</v>
      </c>
      <c r="C26" s="31" t="s">
        <v>44</v>
      </c>
    </row>
    <row r="27" spans="2:4" ht="13.5" customHeight="1" x14ac:dyDescent="0.15">
      <c r="B27" s="63" t="s">
        <v>45</v>
      </c>
      <c r="C27" s="31" t="s">
        <v>46</v>
      </c>
    </row>
    <row r="28" spans="2:4" ht="13.5" customHeight="1" x14ac:dyDescent="0.15">
      <c r="B28" s="63" t="s">
        <v>47</v>
      </c>
      <c r="C28" s="31" t="s">
        <v>48</v>
      </c>
    </row>
    <row r="29" spans="2:4" ht="13.5" customHeight="1" x14ac:dyDescent="0.15">
      <c r="B29" s="63" t="s">
        <v>49</v>
      </c>
      <c r="C29" s="31" t="s">
        <v>50</v>
      </c>
    </row>
    <row r="30" spans="2:4" ht="13.5" customHeight="1" thickBot="1" x14ac:dyDescent="0.2">
      <c r="B30" s="647" t="s">
        <v>51</v>
      </c>
      <c r="C30" s="648" t="s">
        <v>52</v>
      </c>
    </row>
    <row r="32" spans="2:4" ht="14" thickBot="1" x14ac:dyDescent="0.2"/>
    <row r="33" spans="2:3" ht="17" thickBot="1" x14ac:dyDescent="0.25">
      <c r="B33" s="13" t="s">
        <v>53</v>
      </c>
      <c r="C33" s="14"/>
    </row>
    <row r="34" spans="2:3" x14ac:dyDescent="0.15">
      <c r="B34" s="15" t="s">
        <v>54</v>
      </c>
      <c r="C34" s="16"/>
    </row>
    <row r="35" spans="2:3" ht="14" thickBot="1" x14ac:dyDescent="0.2">
      <c r="B35" s="17"/>
      <c r="C35" s="18"/>
    </row>
  </sheetData>
  <mergeCells count="2">
    <mergeCell ref="B2:C2"/>
    <mergeCell ref="B9:C9"/>
  </mergeCells>
  <hyperlinks>
    <hyperlink ref="B11" location="Summary!A1" display="Summary" xr:uid="{00000000-0004-0000-0000-000000000000}"/>
    <hyperlink ref="B29" location="'Emission Factors'!A1" display="Emission Factors" xr:uid="{00000000-0004-0000-0000-000002000000}"/>
    <hyperlink ref="B24" location="'Offroad Allocation to Chicago'!A1" display="Offroad Allocation to Chicago" xr:uid="{00000000-0004-0000-0000-000003000000}"/>
    <hyperlink ref="B15" location="Waterborne!A1" display="Water" xr:uid="{00000000-0004-0000-0000-000004000000}"/>
    <hyperlink ref="B16" location="Aviation!A1" display="Aviation" xr:uid="{00000000-0004-0000-0000-000005000000}"/>
    <hyperlink ref="B17" location="'Off-road'!A1" display="Off-road" xr:uid="{00000000-0004-0000-0000-000006000000}"/>
    <hyperlink ref="B25" location="'Freight Data_2019'!A1" display="Freight Data 2019 " xr:uid="{00000000-0004-0000-0000-000008000000}"/>
    <hyperlink ref="B28" location="'Outputs for Energy'!A1" display="Outputs for Energy" xr:uid="{00000000-0004-0000-0000-000009000000}"/>
    <hyperlink ref="B30" location="'Constants &amp; Conversions'!A1" display="Constants &amp; Conversions" xr:uid="{00000000-0004-0000-0000-00000A000000}"/>
    <hyperlink ref="B12" location="Emissions_Data" display="Emissions Data" xr:uid="{00000000-0004-0000-0000-00000B000000}"/>
    <hyperlink ref="B13" location="'On-road'!A1" display="Onroad" xr:uid="{6EFC6825-CB74-4F35-913F-0EAD0A9266CF}"/>
    <hyperlink ref="B14" location="Rail!A1" display="Rail" xr:uid="{286A9D9F-CB0F-4C4D-9CDA-8C3DF25734DD}"/>
    <hyperlink ref="B21" location="'Waterborne Data'!A1" display="Water" xr:uid="{34DCCC42-47C6-456B-99AC-1CA0F54CA8DB}"/>
    <hyperlink ref="B22" location="'Aviation Data'!A1" display="Aviation Data" xr:uid="{03C4270B-62DB-49B3-B20E-293DCE5AB8C5}"/>
    <hyperlink ref="B23" location="'Offroad Data'!A1" display="Off-road Data" xr:uid="{389A0FE3-D524-4E14-A1C1-20CB53D8B1A5}"/>
    <hyperlink ref="B18" location="'Onroad Data'!A1" display="Onroad Data" xr:uid="{D18AE336-7943-45FF-9EBB-3B4A8681E452}"/>
    <hyperlink ref="B19" location="'Passenger Rail'!A1" display="Passenger Rail" xr:uid="{D959C8B3-6DB3-4E05-9829-03C8F9B8DCF9}"/>
    <hyperlink ref="B20" location="'Freight Summary'!A1" display="Passenger Rail" xr:uid="{3F2A8C1C-35BE-40A4-90DA-F70F86AC0589}"/>
    <hyperlink ref="B26" location="'Freight Data_2015'!A1" display="Freight Data 2015" xr:uid="{93EB33F3-7AD0-408F-984C-392E256B8EFA}"/>
    <hyperlink ref="B27" location="'Freight Data_2010'!A1" display="Freight Data 2010" xr:uid="{05FAB4D1-2827-4B25-9406-7F63401BDDD7}"/>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7" tint="0.59999389629810485"/>
  </sheetPr>
  <dimension ref="A1:L34"/>
  <sheetViews>
    <sheetView zoomScaleNormal="100" workbookViewId="0">
      <selection activeCell="C50" sqref="C50"/>
    </sheetView>
  </sheetViews>
  <sheetFormatPr baseColWidth="10" defaultColWidth="8.6640625" defaultRowHeight="14" x14ac:dyDescent="0.15"/>
  <cols>
    <col min="1" max="1" width="4.1640625" customWidth="1"/>
    <col min="2" max="2" width="35.6640625" customWidth="1"/>
    <col min="3" max="11" width="16.1640625" customWidth="1"/>
  </cols>
  <sheetData>
    <row r="1" spans="1:12" s="27" customFormat="1" ht="18" x14ac:dyDescent="0.2">
      <c r="A1" s="25" t="s">
        <v>55</v>
      </c>
      <c r="B1" s="26"/>
      <c r="C1" s="26"/>
      <c r="D1" s="26"/>
      <c r="E1" s="26"/>
      <c r="K1" s="26"/>
    </row>
    <row r="2" spans="1:12" ht="18" x14ac:dyDescent="0.2">
      <c r="B2" s="32"/>
      <c r="C2" s="32"/>
      <c r="D2" s="32"/>
      <c r="E2" s="32"/>
      <c r="K2" s="32"/>
    </row>
    <row r="3" spans="1:12" ht="18" x14ac:dyDescent="0.2">
      <c r="B3" s="278" t="s">
        <v>56</v>
      </c>
      <c r="C3" s="331">
        <v>2019</v>
      </c>
      <c r="D3" s="269"/>
      <c r="E3" s="269"/>
      <c r="F3" s="270"/>
      <c r="G3" s="270"/>
      <c r="H3" s="270"/>
      <c r="I3" s="270"/>
      <c r="J3" s="270"/>
      <c r="K3" s="269"/>
      <c r="L3" s="271"/>
    </row>
    <row r="4" spans="1:12" ht="15" thickBot="1" x14ac:dyDescent="0.2">
      <c r="B4" s="272"/>
      <c r="L4" s="273"/>
    </row>
    <row r="5" spans="1:12" ht="18" thickBot="1" x14ac:dyDescent="0.2">
      <c r="B5" s="46" t="s">
        <v>57</v>
      </c>
      <c r="C5" s="47" t="s">
        <v>58</v>
      </c>
      <c r="D5" s="48" t="s">
        <v>59</v>
      </c>
      <c r="E5" s="49" t="s">
        <v>60</v>
      </c>
      <c r="F5" s="49" t="s">
        <v>61</v>
      </c>
      <c r="G5" s="49" t="s">
        <v>62</v>
      </c>
      <c r="H5" s="49" t="s">
        <v>63</v>
      </c>
      <c r="I5" s="49" t="s">
        <v>64</v>
      </c>
      <c r="J5" s="50" t="s">
        <v>65</v>
      </c>
      <c r="K5" s="51" t="s">
        <v>66</v>
      </c>
      <c r="L5" s="273"/>
    </row>
    <row r="6" spans="1:12" ht="14.5" customHeight="1" x14ac:dyDescent="0.15">
      <c r="B6" s="30" t="s">
        <v>67</v>
      </c>
      <c r="C6" s="52">
        <f>SUMIFS('Emissions Data'!$N:$N,'Emissions Data'!$B:$B,C3,'Emissions Data'!$C:$C,C5,'Emissions Data'!$E:$E,$B6)</f>
        <v>5.1064056197298955</v>
      </c>
      <c r="D6" s="53">
        <f>SUMIFS('Emissions Data'!$N:$N,'Emissions Data'!$B:$B,C3,'Emissions Data'!$C:$C,D5,'Emissions Data'!$E:$E,$B6)</f>
        <v>14.22429307411697</v>
      </c>
      <c r="E6" s="53">
        <f>SUMIFS('Emissions Data'!$N:$N,'Emissions Data'!$B:$B,C3,'Emissions Data'!$C:$C,E5,'Emissions Data'!$E:$E,$B6)</f>
        <v>4.0861402594603318</v>
      </c>
      <c r="F6" s="53">
        <f>SUMIFS('Emissions Data'!$N:$N,'Emissions Data'!$B:$B,C3,'Emissions Data'!$C:$C,F5,'Emissions Data'!$E:$E,$B6)</f>
        <v>0.61562583508534541</v>
      </c>
      <c r="G6" s="53">
        <f>SUMIFS('Emissions Data'!$N:$N,'Emissions Data'!$B:$B,C3,'Emissions Data'!$C:$C,G5,'Emissions Data'!$E:$E,$B6)</f>
        <v>2.2228068029343544</v>
      </c>
      <c r="H6" s="53">
        <f>SUMIFS('Emissions Data'!$N:$N,'Emissions Data'!$B:$B,C3,'Emissions Data'!$C:$C,H5,'Emissions Data'!$E:$E,$B6)</f>
        <v>3.2290261859071281</v>
      </c>
      <c r="I6" s="53">
        <f>SUMIFS('Emissions Data'!$N:$N,'Emissions Data'!$B:$B,C3,'Emissions Data'!$C:$C,I5,'Emissions Data'!$E:$E,$B6)</f>
        <v>1.2570961277718318</v>
      </c>
      <c r="J6" s="54">
        <f>SUMIFS('Emissions Data'!$N:$N,'Emissions Data'!$B:$B,C3,'Emissions Data'!$C:$C,J5,'Emissions Data'!$E:$E,$B6)</f>
        <v>3.8711349198976772</v>
      </c>
      <c r="K6" s="45">
        <f t="shared" ref="K6:K11" si="0">SUM(D6:J6)</f>
        <v>29.506123205173637</v>
      </c>
      <c r="L6" s="273"/>
    </row>
    <row r="7" spans="1:12" ht="14.5" customHeight="1" x14ac:dyDescent="0.15">
      <c r="B7" s="30" t="s">
        <v>68</v>
      </c>
      <c r="C7" s="33">
        <f>SUMIFS('Emissions Data'!$N:$N,'Emissions Data'!$B:$B,C3,'Emissions Data'!$C:$C,C5,'Emissions Data'!$E:$E,$B7)</f>
        <v>0.45683261840602407</v>
      </c>
      <c r="D7" s="34">
        <f>SUMIFS('Emissions Data'!$N:$N,'Emissions Data'!$B:$B,C3,'Emissions Data'!$C:$C,D5,'Emissions Data'!$E:$E,$B7)</f>
        <v>0.6239071358335303</v>
      </c>
      <c r="E7" s="34">
        <f>SUMIFS('Emissions Data'!$N:$N,'Emissions Data'!$B:$B,C3,'Emissions Data'!$C:$C,E5,'Emissions Data'!$E:$E,$B7)</f>
        <v>6.5074949520012013E-2</v>
      </c>
      <c r="F7" s="34">
        <f>SUMIFS('Emissions Data'!$N:$N,'Emissions Data'!$B:$B,C3,'Emissions Data'!$C:$C,F5,'Emissions Data'!$E:$E,$B7)</f>
        <v>5.8086865408991193E-3</v>
      </c>
      <c r="G7" s="34">
        <f>SUMIFS('Emissions Data'!$N:$N,'Emissions Data'!$B:$B,C3,'Emissions Data'!$C:$C,G5,'Emissions Data'!$E:$E,$B7)</f>
        <v>3.4261147357411099E-2</v>
      </c>
      <c r="H7" s="34">
        <f>SUMIFS('Emissions Data'!$N:$N,'Emissions Data'!$B:$B,C3,'Emissions Data'!$C:$C,H5,'Emissions Data'!$E:$E,$B7)</f>
        <v>6.9983686617679092E-2</v>
      </c>
      <c r="I7" s="34">
        <f>SUMIFS('Emissions Data'!$N:$N,'Emissions Data'!$B:$B,C3,'Emissions Data'!$C:$C,I5,'Emissions Data'!$E:$E,$B7)</f>
        <v>1.8938877384205705E-2</v>
      </c>
      <c r="J7" s="35">
        <f>SUMIFS('Emissions Data'!$N:$N,'Emissions Data'!$B:$B,C3,'Emissions Data'!$C:$C,J5,'Emissions Data'!$E:$E,$B7)</f>
        <v>4.7232762073547339E-2</v>
      </c>
      <c r="K7" s="45">
        <f t="shared" si="0"/>
        <v>0.86520724532728477</v>
      </c>
      <c r="L7" s="273"/>
    </row>
    <row r="8" spans="1:12" ht="14.5" customHeight="1" x14ac:dyDescent="0.15">
      <c r="B8" s="30" t="s">
        <v>69</v>
      </c>
      <c r="C8" s="33">
        <f>SUMIFS('Emissions Data'!$N:$N,'Emissions Data'!$B:$B,C3,'Emissions Data'!$C:$C,C5,'Emissions Data'!$E:$E,$B8)</f>
        <v>5.3086014655685772E-3</v>
      </c>
      <c r="D8" s="34">
        <f>SUMIFS('Emissions Data'!$N:$N,'Emissions Data'!$B:$B,C3,'Emissions Data'!$C:$C,D5,'Emissions Data'!$E:$E,$B8)</f>
        <v>2.1350129710624027E-2</v>
      </c>
      <c r="E8" s="34">
        <f>SUMIFS('Emissions Data'!$N:$N,'Emissions Data'!$B:$B,C3,'Emissions Data'!$C:$C,E5,'Emissions Data'!$E:$E,$B8)</f>
        <v>8.047022781071144E-4</v>
      </c>
      <c r="F8" s="34">
        <f>SUMIFS('Emissions Data'!$N:$N,'Emissions Data'!$B:$B,C3,'Emissions Data'!$C:$C,F5,'Emissions Data'!$E:$E,$B8)</f>
        <v>6.7058550691068369E-4</v>
      </c>
      <c r="G8" s="34">
        <f>SUMIFS('Emissions Data'!$N:$N,'Emissions Data'!$B:$B,C3,'Emissions Data'!$C:$C,G5,'Emissions Data'!$E:$E,$B8)</f>
        <v>1.2070537404640024E-3</v>
      </c>
      <c r="H8" s="34">
        <f>SUMIFS('Emissions Data'!$N:$N,'Emissions Data'!$B:$B,C3,'Emissions Data'!$C:$C,H5,'Emissions Data'!$E:$E,$B8)</f>
        <v>1.6323576484032196E-2</v>
      </c>
      <c r="I8" s="34">
        <f>SUMIFS('Emissions Data'!$N:$N,'Emissions Data'!$B:$B,C3,'Emissions Data'!$C:$C,I5,'Emissions Data'!$E:$E,$B8)</f>
        <v>2.4141070088040608E-3</v>
      </c>
      <c r="J8" s="35">
        <f>SUMIFS('Emissions Data'!$N:$N,'Emissions Data'!$B:$B,C3,'Emissions Data'!$C:$C,J5,'Emissions Data'!$E:$E,$B8)</f>
        <v>4.2917498816275488E-3</v>
      </c>
      <c r="K8" s="45">
        <f t="shared" si="0"/>
        <v>4.7061904610569631E-2</v>
      </c>
      <c r="L8" s="273"/>
    </row>
    <row r="9" spans="1:12" ht="14.5" customHeight="1" x14ac:dyDescent="0.15">
      <c r="B9" s="30" t="s">
        <v>23</v>
      </c>
      <c r="C9" s="33">
        <f>SUMIFS('Emissions Data'!$N:$N,'Emissions Data'!$B:$B,C3,'Emissions Data'!$C:$C,C5,'Emissions Data'!$E:$E,$B9)</f>
        <v>1.6162404347904025</v>
      </c>
      <c r="D9" s="34">
        <f>SUMIFS('Emissions Data'!$N:$N,'Emissions Data'!$B:$B,C3,'Emissions Data'!$C:$C,D5,'Emissions Data'!$E:$E,$B9)</f>
        <v>1.6162516507913705</v>
      </c>
      <c r="E9" s="34">
        <f>SUMIFS('Emissions Data'!$N:$N,'Emissions Data'!$B:$B,C3,'Emissions Data'!$C:$C,E5,'Emissions Data'!$E:$E,$B9)</f>
        <v>0</v>
      </c>
      <c r="F9" s="34">
        <f>SUMIFS('Emissions Data'!$N:$N,'Emissions Data'!$B:$B,C3,'Emissions Data'!$C:$C,F5,'Emissions Data'!$E:$E,$B9)</f>
        <v>0</v>
      </c>
      <c r="G9" s="34">
        <f>SUMIFS('Emissions Data'!$N:$N,'Emissions Data'!$B:$B,C3,'Emissions Data'!$C:$C,G5,'Emissions Data'!$E:$E,$B9)</f>
        <v>0</v>
      </c>
      <c r="H9" s="34">
        <f>SUMIFS('Emissions Data'!$N:$N,'Emissions Data'!$B:$B,C3,'Emissions Data'!$C:$C,H5,'Emissions Data'!$E:$E,$B9)</f>
        <v>0</v>
      </c>
      <c r="I9" s="34">
        <f>SUMIFS('Emissions Data'!$N:$N,'Emissions Data'!$B:$B,C3,'Emissions Data'!$C:$C,I5,'Emissions Data'!$E:$E,$B9)</f>
        <v>0</v>
      </c>
      <c r="J9" s="35">
        <f>SUMIFS('Emissions Data'!$N:$N,'Emissions Data'!$B:$B,C3,'Emissions Data'!$C:$C,J5,'Emissions Data'!$E:$E,$B9)</f>
        <v>0</v>
      </c>
      <c r="K9" s="45">
        <f t="shared" si="0"/>
        <v>1.6162516507913705</v>
      </c>
      <c r="L9" s="273"/>
    </row>
    <row r="10" spans="1:12" ht="14.5" customHeight="1" thickBot="1" x14ac:dyDescent="0.2">
      <c r="B10" s="30" t="s">
        <v>70</v>
      </c>
      <c r="C10" s="36">
        <f>SUMIFS('Emissions Data'!$N:$N,'Emissions Data'!$B:$B,C3,'Emissions Data'!$C:$C,C5,'Emissions Data'!$E:$E,$B10)</f>
        <v>0.57275562755600251</v>
      </c>
      <c r="D10" s="37">
        <f>SUMIFS('Emissions Data'!$N:$N,'Emissions Data'!$B:$B,C3,'Emissions Data'!$C:$C,D5,'Emissions Data'!$E:$E,$B10)</f>
        <v>1.6971789030833768</v>
      </c>
      <c r="E10" s="37">
        <f>SUMIFS('Emissions Data'!$N:$N,'Emissions Data'!$B:$B,C3,'Emissions Data'!$C:$C,E5,'Emissions Data'!$E:$E,$B10)</f>
        <v>0.51990616843212678</v>
      </c>
      <c r="F10" s="37">
        <f>SUMIFS('Emissions Data'!$N:$N,'Emissions Data'!$B:$B,C3,'Emissions Data'!$C:$C,F5,'Emissions Data'!$E:$E,$B10)</f>
        <v>8.2470952622720209E-2</v>
      </c>
      <c r="G10" s="37">
        <f>SUMIFS('Emissions Data'!$N:$N,'Emissions Data'!$B:$B,C3,'Emissions Data'!$C:$C,G5,'Emissions Data'!$E:$E,$B10)</f>
        <v>0.33644743721516951</v>
      </c>
      <c r="H10" s="37">
        <f>SUMIFS('Emissions Data'!$N:$N,'Emissions Data'!$B:$B,C3,'Emissions Data'!$C:$C,H5,'Emissions Data'!$E:$E,$B10)</f>
        <v>0.39008521947295499</v>
      </c>
      <c r="I10" s="37">
        <f>SUMIFS('Emissions Data'!$N:$N,'Emissions Data'!$B:$B,C3,'Emissions Data'!$C:$C,I5,'Emissions Data'!$E:$E,$B10)</f>
        <v>0.21429492428671587</v>
      </c>
      <c r="J10" s="38">
        <f>SUMIFS('Emissions Data'!$N:$N,'Emissions Data'!$B:$B,C3,'Emissions Data'!$C:$C,J5,'Emissions Data'!$E:$E,$B10)</f>
        <v>0.38588526753725194</v>
      </c>
      <c r="K10" s="45">
        <f t="shared" si="0"/>
        <v>3.6262688726503161</v>
      </c>
      <c r="L10" s="273"/>
    </row>
    <row r="11" spans="1:12" s="19" customFormat="1" ht="16" thickBot="1" x14ac:dyDescent="0.2">
      <c r="B11" s="55" t="s">
        <v>71</v>
      </c>
      <c r="C11" s="266">
        <f t="shared" ref="C11:J11" si="1">SUM(C6:C10)</f>
        <v>7.7575429019478932</v>
      </c>
      <c r="D11" s="267">
        <f t="shared" si="1"/>
        <v>18.18298089353587</v>
      </c>
      <c r="E11" s="267">
        <f t="shared" si="1"/>
        <v>4.6719260796905777</v>
      </c>
      <c r="F11" s="267">
        <f t="shared" si="1"/>
        <v>0.70457605975587545</v>
      </c>
      <c r="G11" s="267">
        <f t="shared" si="1"/>
        <v>2.594722441247399</v>
      </c>
      <c r="H11" s="267">
        <f t="shared" si="1"/>
        <v>3.7054186684817947</v>
      </c>
      <c r="I11" s="267">
        <f t="shared" si="1"/>
        <v>1.4927440364515572</v>
      </c>
      <c r="J11" s="268">
        <f t="shared" si="1"/>
        <v>4.3085446993901044</v>
      </c>
      <c r="K11" s="56">
        <f t="shared" si="0"/>
        <v>35.660912878553177</v>
      </c>
      <c r="L11" s="274"/>
    </row>
    <row r="12" spans="1:12" ht="14.5" customHeight="1" x14ac:dyDescent="0.15">
      <c r="B12" s="275"/>
      <c r="C12" s="276"/>
      <c r="D12" s="276"/>
      <c r="E12" s="276"/>
      <c r="F12" s="276"/>
      <c r="G12" s="276"/>
      <c r="H12" s="276"/>
      <c r="I12" s="276"/>
      <c r="J12" s="276"/>
      <c r="K12" s="276"/>
      <c r="L12" s="277"/>
    </row>
    <row r="14" spans="1:12" ht="18" x14ac:dyDescent="0.2">
      <c r="B14" s="278" t="s">
        <v>56</v>
      </c>
      <c r="C14" s="331">
        <v>2015</v>
      </c>
      <c r="D14" s="269"/>
      <c r="E14" s="269"/>
      <c r="F14" s="270"/>
      <c r="G14" s="270"/>
      <c r="H14" s="270"/>
      <c r="I14" s="270"/>
      <c r="J14" s="270"/>
      <c r="K14" s="269"/>
      <c r="L14" s="271"/>
    </row>
    <row r="15" spans="1:12" ht="15" thickBot="1" x14ac:dyDescent="0.2">
      <c r="B15" s="272"/>
      <c r="L15" s="273"/>
    </row>
    <row r="16" spans="1:12" ht="18" thickBot="1" x14ac:dyDescent="0.2">
      <c r="B16" s="46" t="s">
        <v>57</v>
      </c>
      <c r="C16" s="47" t="s">
        <v>58</v>
      </c>
      <c r="D16" s="48" t="s">
        <v>59</v>
      </c>
      <c r="E16" s="49" t="s">
        <v>60</v>
      </c>
      <c r="F16" s="49" t="s">
        <v>61</v>
      </c>
      <c r="G16" s="49" t="s">
        <v>62</v>
      </c>
      <c r="H16" s="49" t="s">
        <v>63</v>
      </c>
      <c r="I16" s="49" t="s">
        <v>64</v>
      </c>
      <c r="J16" s="50" t="s">
        <v>65</v>
      </c>
      <c r="K16" s="51" t="s">
        <v>66</v>
      </c>
      <c r="L16" s="273"/>
    </row>
    <row r="17" spans="2:12" ht="15" x14ac:dyDescent="0.15">
      <c r="B17" s="30" t="s">
        <v>67</v>
      </c>
      <c r="C17" s="52">
        <f>SUMIFS('Emissions Data'!$N:$N,'Emissions Data'!$B:$B,C14,'Emissions Data'!$C:$C,C16,'Emissions Data'!$E:$E,$B17)</f>
        <v>5.1290222568227604</v>
      </c>
      <c r="D17" s="53">
        <f>SUMIFS('Emissions Data'!$N:$N,'Emissions Data'!$B:$B,C14,'Emissions Data'!$C:$C,D16,'Emissions Data'!$E:$E,$B17)</f>
        <v>14.548415409806669</v>
      </c>
      <c r="E17" s="53">
        <f>SUMIFS('Emissions Data'!$N:$N,'Emissions Data'!$B:$B,C14,'Emissions Data'!$C:$C,E16,'Emissions Data'!$E:$E,$B17)</f>
        <v>4.1311738031943195</v>
      </c>
      <c r="F17" s="53">
        <f>SUMIFS('Emissions Data'!$N:$N,'Emissions Data'!$B:$B,C14,'Emissions Data'!$C:$C,F16,'Emissions Data'!$E:$E,$B17)</f>
        <v>0.45611175283302968</v>
      </c>
      <c r="G17" s="53">
        <f>SUMIFS('Emissions Data'!$N:$N,'Emissions Data'!$B:$B,C14,'Emissions Data'!$C:$C,G16,'Emissions Data'!$E:$E,$B17)</f>
        <v>2.072413267292732</v>
      </c>
      <c r="H17" s="53">
        <f>SUMIFS('Emissions Data'!$N:$N,'Emissions Data'!$B:$B,C14,'Emissions Data'!$C:$C,H16,'Emissions Data'!$E:$E,$B17)</f>
        <v>3.215533745322225</v>
      </c>
      <c r="I17" s="53">
        <f>SUMIFS('Emissions Data'!$N:$N,'Emissions Data'!$B:$B,C14,'Emissions Data'!$C:$C,I16,'Emissions Data'!$E:$E,$B17)</f>
        <v>1.2662634637938044</v>
      </c>
      <c r="J17" s="54">
        <f>SUMIFS('Emissions Data'!$N:$N,'Emissions Data'!$B:$B,C14,'Emissions Data'!$C:$C,J16,'Emissions Data'!$E:$E,$B17)</f>
        <v>2.9641159691697117</v>
      </c>
      <c r="K17" s="45">
        <f t="shared" ref="K17:K22" si="2">SUM(D17:J17)</f>
        <v>28.654027411412493</v>
      </c>
      <c r="L17" s="273"/>
    </row>
    <row r="18" spans="2:12" ht="15" x14ac:dyDescent="0.15">
      <c r="B18" s="30" t="s">
        <v>68</v>
      </c>
      <c r="C18" s="33">
        <f>SUMIFS('Emissions Data'!$N:$N,'Emissions Data'!$B:$B,C14,'Emissions Data'!$C:$C,C16,'Emissions Data'!$E:$E,$B18)</f>
        <v>0.48988000807213161</v>
      </c>
      <c r="D18" s="34">
        <f>SUMIFS('Emissions Data'!$N:$N,'Emissions Data'!$B:$B,C14,'Emissions Data'!$C:$C,D16,'Emissions Data'!$E:$E,$B18)</f>
        <v>0.66438019228450784</v>
      </c>
      <c r="E18" s="34">
        <f>SUMIFS('Emissions Data'!$N:$N,'Emissions Data'!$B:$B,C14,'Emissions Data'!$C:$C,E16,'Emissions Data'!$E:$E,$B18)</f>
        <v>8.19820355150368E-2</v>
      </c>
      <c r="F18" s="34">
        <f>SUMIFS('Emissions Data'!$N:$N,'Emissions Data'!$B:$B,C14,'Emissions Data'!$C:$C,F16,'Emissions Data'!$E:$E,$B18)</f>
        <v>9.7457727878500315E-3</v>
      </c>
      <c r="G18" s="34">
        <f>SUMIFS('Emissions Data'!$N:$N,'Emissions Data'!$B:$B,C14,'Emissions Data'!$C:$C,G16,'Emissions Data'!$E:$E,$B18)</f>
        <v>3.7815796309296948E-2</v>
      </c>
      <c r="H18" s="34">
        <f>SUMIFS('Emissions Data'!$N:$N,'Emissions Data'!$B:$B,C14,'Emissions Data'!$C:$C,H16,'Emissions Data'!$E:$E,$B18)</f>
        <v>6.6742552686426995E-2</v>
      </c>
      <c r="I18" s="34">
        <f>SUMIFS('Emissions Data'!$N:$N,'Emissions Data'!$B:$B,C14,'Emissions Data'!$C:$C,I16,'Emissions Data'!$E:$E,$B18)</f>
        <v>1.1067543040863929E-2</v>
      </c>
      <c r="J18" s="35">
        <f>SUMIFS('Emissions Data'!$N:$N,'Emissions Data'!$B:$B,C14,'Emissions Data'!$C:$C,J16,'Emissions Data'!$E:$E,$B18)</f>
        <v>3.7471591909974469E-2</v>
      </c>
      <c r="K18" s="45">
        <f t="shared" si="2"/>
        <v>0.90920548453395711</v>
      </c>
      <c r="L18" s="273"/>
    </row>
    <row r="19" spans="2:12" ht="15" x14ac:dyDescent="0.15">
      <c r="B19" s="30" t="s">
        <v>69</v>
      </c>
      <c r="C19" s="33">
        <f>SUMIFS('Emissions Data'!$N:$N,'Emissions Data'!$B:$B,C14,'Emissions Data'!$C:$C,C16,'Emissions Data'!$E:$E,$B19)</f>
        <v>4.5177103995136152E-3</v>
      </c>
      <c r="D19" s="34">
        <f>SUMIFS('Emissions Data'!$N:$N,'Emissions Data'!$B:$B,C14,'Emissions Data'!$C:$C,D16,'Emissions Data'!$E:$E,$B19)</f>
        <v>2.0352406865921446E-2</v>
      </c>
      <c r="E19" s="34">
        <f>SUMIFS('Emissions Data'!$N:$N,'Emissions Data'!$B:$B,C14,'Emissions Data'!$C:$C,E16,'Emissions Data'!$E:$E,$B19)</f>
        <v>7.9935200404874444E-4</v>
      </c>
      <c r="F19" s="34">
        <f>SUMIFS('Emissions Data'!$N:$N,'Emissions Data'!$B:$B,C14,'Emissions Data'!$C:$C,F16,'Emissions Data'!$E:$E,$B19)</f>
        <v>6.6612664645998956E-4</v>
      </c>
      <c r="G19" s="34">
        <f>SUMIFS('Emissions Data'!$N:$N,'Emissions Data'!$B:$B,C14,'Emissions Data'!$C:$C,G16,'Emissions Data'!$E:$E,$B19)</f>
        <v>1.1990278638107355E-3</v>
      </c>
      <c r="H19" s="34">
        <f>SUMIFS('Emissions Data'!$N:$N,'Emissions Data'!$B:$B,C14,'Emissions Data'!$C:$C,H16,'Emissions Data'!$E:$E,$B19)</f>
        <v>1.6141272664064843E-2</v>
      </c>
      <c r="I19" s="34">
        <f>SUMIFS('Emissions Data'!$N:$N,'Emissions Data'!$B:$B,C14,'Emissions Data'!$C:$C,I16,'Emissions Data'!$E:$E,$B19)</f>
        <v>2.3980554451223201E-3</v>
      </c>
      <c r="J19" s="35">
        <f>SUMIFS('Emissions Data'!$N:$N,'Emissions Data'!$B:$B,C14,'Emissions Data'!$C:$C,J16,'Emissions Data'!$E:$E,$B19)</f>
        <v>4.2632087646686393E-3</v>
      </c>
      <c r="K19" s="45">
        <f t="shared" si="2"/>
        <v>4.5819450254096714E-2</v>
      </c>
      <c r="L19" s="273"/>
    </row>
    <row r="20" spans="2:12" ht="15" x14ac:dyDescent="0.15">
      <c r="B20" s="30" t="s">
        <v>23</v>
      </c>
      <c r="C20" s="33">
        <f>SUMIFS('Emissions Data'!$N:$N,'Emissions Data'!$B:$B,C14,'Emissions Data'!$C:$C,C16,'Emissions Data'!$E:$E,$B20)</f>
        <v>1.58377917457758</v>
      </c>
      <c r="D20" s="34">
        <f>SUMIFS('Emissions Data'!$N:$N,'Emissions Data'!$B:$B,C14,'Emissions Data'!$C:$C,D16,'Emissions Data'!$E:$E,$B20)</f>
        <v>1.58378985776058</v>
      </c>
      <c r="E20" s="34">
        <f>SUMIFS('Emissions Data'!$N:$N,'Emissions Data'!$B:$B,C14,'Emissions Data'!$C:$C,E16,'Emissions Data'!$E:$E,$B20)</f>
        <v>0</v>
      </c>
      <c r="F20" s="34">
        <f>SUMIFS('Emissions Data'!$N:$N,'Emissions Data'!$B:$B,C14,'Emissions Data'!$C:$C,F16,'Emissions Data'!$E:$E,$B20)</f>
        <v>0</v>
      </c>
      <c r="G20" s="34">
        <f>SUMIFS('Emissions Data'!$N:$N,'Emissions Data'!$B:$B,C14,'Emissions Data'!$C:$C,G16,'Emissions Data'!$E:$E,$B20)</f>
        <v>0</v>
      </c>
      <c r="H20" s="34">
        <f>SUMIFS('Emissions Data'!$N:$N,'Emissions Data'!$B:$B,C14,'Emissions Data'!$C:$C,H16,'Emissions Data'!$E:$E,$B20)</f>
        <v>0</v>
      </c>
      <c r="I20" s="34">
        <f>SUMIFS('Emissions Data'!$N:$N,'Emissions Data'!$B:$B,C14,'Emissions Data'!$C:$C,I16,'Emissions Data'!$E:$E,$B20)</f>
        <v>0</v>
      </c>
      <c r="J20" s="35">
        <f>SUMIFS('Emissions Data'!$N:$N,'Emissions Data'!$B:$B,C14,'Emissions Data'!$C:$C,J16,'Emissions Data'!$E:$E,$B20)</f>
        <v>0</v>
      </c>
      <c r="K20" s="45">
        <f t="shared" si="2"/>
        <v>1.58378985776058</v>
      </c>
      <c r="L20" s="273"/>
    </row>
    <row r="21" spans="2:12" ht="16" thickBot="1" x14ac:dyDescent="0.2">
      <c r="B21" s="30" t="s">
        <v>70</v>
      </c>
      <c r="C21" s="36">
        <f>SUMIFS('Emissions Data'!$N:$N,'Emissions Data'!$B:$B,C14,'Emissions Data'!$C:$C,C16,'Emissions Data'!$E:$E,$B21)</f>
        <v>0.51648875653471871</v>
      </c>
      <c r="D21" s="37">
        <f>SUMIFS('Emissions Data'!$N:$N,'Emissions Data'!$B:$B,C14,'Emissions Data'!$C:$C,D16,'Emissions Data'!$E:$E,$B21)</f>
        <v>1.5413324903630148</v>
      </c>
      <c r="E21" s="37">
        <f>SUMIFS('Emissions Data'!$N:$N,'Emissions Data'!$B:$B,C14,'Emissions Data'!$C:$C,E16,'Emissions Data'!$E:$E,$B21)</f>
        <v>0.47979349298292107</v>
      </c>
      <c r="F21" s="37">
        <f>SUMIFS('Emissions Data'!$N:$N,'Emissions Data'!$B:$B,C14,'Emissions Data'!$C:$C,F16,'Emissions Data'!$E:$E,$B21)</f>
        <v>7.759192876275614E-2</v>
      </c>
      <c r="G21" s="37">
        <f>SUMIFS('Emissions Data'!$N:$N,'Emissions Data'!$B:$B,C14,'Emissions Data'!$C:$C,G16,'Emissions Data'!$E:$E,$B21)</f>
        <v>0.30855858318273677</v>
      </c>
      <c r="H21" s="37">
        <f>SUMIFS('Emissions Data'!$N:$N,'Emissions Data'!$B:$B,C14,'Emissions Data'!$C:$C,H16,'Emissions Data'!$E:$E,$B21)</f>
        <v>0.36168446446599162</v>
      </c>
      <c r="I21" s="37">
        <f>SUMIFS('Emissions Data'!$N:$N,'Emissions Data'!$B:$B,C14,'Emissions Data'!$C:$C,I16,'Emissions Data'!$E:$E,$B21)</f>
        <v>0.19735645460526344</v>
      </c>
      <c r="J21" s="38">
        <f>SUMIFS('Emissions Data'!$N:$N,'Emissions Data'!$B:$B,C14,'Emissions Data'!$C:$C,J16,'Emissions Data'!$E:$E,$B21)</f>
        <v>0.35042420735044361</v>
      </c>
      <c r="K21" s="45">
        <f>SUM(D21:J21)</f>
        <v>3.3167416217131276</v>
      </c>
      <c r="L21" s="273"/>
    </row>
    <row r="22" spans="2:12" ht="16" thickBot="1" x14ac:dyDescent="0.2">
      <c r="B22" s="55" t="s">
        <v>71</v>
      </c>
      <c r="C22" s="266">
        <f t="shared" ref="C22:J22" si="3">SUM(C17:C21)</f>
        <v>7.7236879064067043</v>
      </c>
      <c r="D22" s="267">
        <f t="shared" si="3"/>
        <v>18.358270357080691</v>
      </c>
      <c r="E22" s="267">
        <f t="shared" si="3"/>
        <v>4.6937486836963265</v>
      </c>
      <c r="F22" s="267">
        <f t="shared" si="3"/>
        <v>0.54411558103009583</v>
      </c>
      <c r="G22" s="267">
        <f t="shared" si="3"/>
        <v>2.4199866746485763</v>
      </c>
      <c r="H22" s="267">
        <f t="shared" si="3"/>
        <v>3.6601020351387086</v>
      </c>
      <c r="I22" s="267">
        <f t="shared" si="3"/>
        <v>1.4770855168850543</v>
      </c>
      <c r="J22" s="268">
        <f t="shared" si="3"/>
        <v>3.3562749771947984</v>
      </c>
      <c r="K22" s="56">
        <f t="shared" si="2"/>
        <v>34.509583825674255</v>
      </c>
      <c r="L22" s="274"/>
    </row>
    <row r="23" spans="2:12" x14ac:dyDescent="0.15">
      <c r="B23" s="275"/>
      <c r="C23" s="276"/>
      <c r="D23" s="276"/>
      <c r="E23" s="276"/>
      <c r="F23" s="276"/>
      <c r="G23" s="276"/>
      <c r="H23" s="276"/>
      <c r="I23" s="276"/>
      <c r="J23" s="276"/>
      <c r="K23" s="276"/>
      <c r="L23" s="277"/>
    </row>
    <row r="25" spans="2:12" ht="18" x14ac:dyDescent="0.2">
      <c r="B25" s="278" t="s">
        <v>56</v>
      </c>
      <c r="C25" s="331">
        <v>2010</v>
      </c>
      <c r="D25" s="269"/>
      <c r="E25" s="269"/>
      <c r="F25" s="270"/>
      <c r="G25" s="270"/>
      <c r="H25" s="270"/>
      <c r="I25" s="270"/>
      <c r="J25" s="270"/>
      <c r="K25" s="269"/>
      <c r="L25" s="271"/>
    </row>
    <row r="26" spans="2:12" ht="15" thickBot="1" x14ac:dyDescent="0.2">
      <c r="B26" s="272"/>
      <c r="L26" s="273"/>
    </row>
    <row r="27" spans="2:12" ht="18" thickBot="1" x14ac:dyDescent="0.2">
      <c r="B27" s="46" t="s">
        <v>57</v>
      </c>
      <c r="C27" s="47" t="s">
        <v>58</v>
      </c>
      <c r="D27" s="48" t="s">
        <v>59</v>
      </c>
      <c r="E27" s="49" t="s">
        <v>60</v>
      </c>
      <c r="F27" s="49" t="s">
        <v>61</v>
      </c>
      <c r="G27" s="49" t="s">
        <v>62</v>
      </c>
      <c r="H27" s="49" t="s">
        <v>63</v>
      </c>
      <c r="I27" s="49" t="s">
        <v>64</v>
      </c>
      <c r="J27" s="50" t="s">
        <v>65</v>
      </c>
      <c r="K27" s="51" t="s">
        <v>66</v>
      </c>
      <c r="L27" s="273"/>
    </row>
    <row r="28" spans="2:12" ht="15" x14ac:dyDescent="0.15">
      <c r="B28" s="30" t="s">
        <v>67</v>
      </c>
      <c r="C28" s="52">
        <f>SUMIFS('Emissions Data'!$N:$N,'Emissions Data'!$B:$B,C25,'Emissions Data'!$C:$C,C27,'Emissions Data'!$E:$E,$B28)</f>
        <v>5.131826119290209</v>
      </c>
      <c r="D28" s="53">
        <f>SUMIFS('Emissions Data'!$N:$N,'Emissions Data'!$B:$B,C25,'Emissions Data'!$C:$C,D27,'Emissions Data'!$E:$E,$B28)</f>
        <v>14.674632402644729</v>
      </c>
      <c r="E28" s="53">
        <f>SUMIFS('Emissions Data'!$N:$N,'Emissions Data'!$B:$B,C25,'Emissions Data'!$C:$C,E27,'Emissions Data'!$E:$E,$B28)</f>
        <v>4.3155423227248688</v>
      </c>
      <c r="F28" s="53">
        <f>SUMIFS('Emissions Data'!$N:$N,'Emissions Data'!$B:$B,C25,'Emissions Data'!$C:$C,F27,'Emissions Data'!$E:$E,$B28)</f>
        <v>0.44093738913981229</v>
      </c>
      <c r="G28" s="53">
        <f>SUMIFS('Emissions Data'!$N:$N,'Emissions Data'!$B:$B,C25,'Emissions Data'!$C:$C,G27,'Emissions Data'!$E:$E,$B28)</f>
        <v>1.9990119194226175</v>
      </c>
      <c r="H28" s="53">
        <f>SUMIFS('Emissions Data'!$N:$N,'Emissions Data'!$B:$B,C25,'Emissions Data'!$C:$C,H27,'Emissions Data'!$E:$E,$B28)</f>
        <v>3.173407864735438</v>
      </c>
      <c r="I28" s="53">
        <f>SUMIFS('Emissions Data'!$N:$N,'Emissions Data'!$B:$B,C25,'Emissions Data'!$C:$C,I27,'Emissions Data'!$E:$E,$B28)</f>
        <v>1.1792371223501787</v>
      </c>
      <c r="J28" s="54">
        <f>SUMIFS('Emissions Data'!$N:$N,'Emissions Data'!$B:$B,C25,'Emissions Data'!$C:$C,J27,'Emissions Data'!$E:$E,$B28)</f>
        <v>2.9376393977133541</v>
      </c>
      <c r="K28" s="45">
        <f t="shared" ref="K28:K33" si="4">SUM(D28:J28)</f>
        <v>28.720408418731001</v>
      </c>
      <c r="L28" s="273"/>
    </row>
    <row r="29" spans="2:12" ht="15" x14ac:dyDescent="0.15">
      <c r="B29" s="30" t="s">
        <v>68</v>
      </c>
      <c r="C29" s="33">
        <f>SUMIFS('Emissions Data'!$N:$N,'Emissions Data'!$B:$B,C25,'Emissions Data'!$C:$C,C27,'Emissions Data'!$E:$E,$B29)</f>
        <v>0.54512200308247549</v>
      </c>
      <c r="D29" s="34">
        <f>SUMIFS('Emissions Data'!$N:$N,'Emissions Data'!$B:$B,C25,'Emissions Data'!$C:$C,D27,'Emissions Data'!$E:$E,$B29)</f>
        <v>0.71835641804681249</v>
      </c>
      <c r="E29" s="34">
        <f>SUMIFS('Emissions Data'!$N:$N,'Emissions Data'!$B:$B,C25,'Emissions Data'!$C:$C,E27,'Emissions Data'!$E:$E,$B29)</f>
        <v>7.6171230609266991E-2</v>
      </c>
      <c r="F29" s="34">
        <f>SUMIFS('Emissions Data'!$N:$N,'Emissions Data'!$B:$B,C25,'Emissions Data'!$C:$C,F27,'Emissions Data'!$E:$E,$B29)</f>
        <v>8.047719567401676E-3</v>
      </c>
      <c r="G29" s="34">
        <f>SUMIFS('Emissions Data'!$N:$N,'Emissions Data'!$B:$B,C25,'Emissions Data'!$C:$C,G27,'Emissions Data'!$E:$E,$B29)</f>
        <v>3.3469601336900467E-2</v>
      </c>
      <c r="H29" s="34">
        <f>SUMIFS('Emissions Data'!$N:$N,'Emissions Data'!$B:$B,C25,'Emissions Data'!$C:$C,H27,'Emissions Data'!$E:$E,$B29)</f>
        <v>6.1974688033508481E-2</v>
      </c>
      <c r="I29" s="34">
        <f>SUMIFS('Emissions Data'!$N:$N,'Emissions Data'!$B:$B,C25,'Emissions Data'!$C:$C,I27,'Emissions Data'!$E:$E,$B29)</f>
        <v>1.0884285697071006E-2</v>
      </c>
      <c r="J29" s="35">
        <f>SUMIFS('Emissions Data'!$N:$N,'Emissions Data'!$B:$B,C25,'Emissions Data'!$C:$C,J27,'Emissions Data'!$E:$E,$B29)</f>
        <v>4.3766011544863925E-2</v>
      </c>
      <c r="K29" s="45">
        <f t="shared" si="4"/>
        <v>0.95266995483582506</v>
      </c>
      <c r="L29" s="273"/>
    </row>
    <row r="30" spans="2:12" ht="15" x14ac:dyDescent="0.15">
      <c r="B30" s="30" t="s">
        <v>69</v>
      </c>
      <c r="C30" s="33">
        <f>SUMIFS('Emissions Data'!$N:$N,'Emissions Data'!$B:$B,C25,'Emissions Data'!$C:$C,C27,'Emissions Data'!$E:$E,$B30)</f>
        <v>4.1893740106851308E-3</v>
      </c>
      <c r="D30" s="34">
        <f>SUMIFS('Emissions Data'!$N:$N,'Emissions Data'!$B:$B,C25,'Emissions Data'!$C:$C,D27,'Emissions Data'!$E:$E,$B30)</f>
        <v>2.380257842425066E-2</v>
      </c>
      <c r="E30" s="34">
        <f>SUMIFS('Emissions Data'!$N:$N,'Emissions Data'!$B:$B,C25,'Emissions Data'!$C:$C,E27,'Emissions Data'!$E:$E,$B30)</f>
        <v>1.019978117906219E-3</v>
      </c>
      <c r="F30" s="34">
        <f>SUMIFS('Emissions Data'!$N:$N,'Emissions Data'!$B:$B,C25,'Emissions Data'!$C:$C,F27,'Emissions Data'!$E:$E,$B30)</f>
        <v>8.4998169718796695E-4</v>
      </c>
      <c r="G30" s="34">
        <f>SUMIFS('Emissions Data'!$N:$N,'Emissions Data'!$B:$B,C25,'Emissions Data'!$C:$C,G27,'Emissions Data'!$E:$E,$B30)</f>
        <v>1.5299677924243049E-3</v>
      </c>
      <c r="H30" s="34">
        <f>SUMIFS('Emissions Data'!$N:$N,'Emissions Data'!$B:$B,C25,'Emissions Data'!$C:$C,H27,'Emissions Data'!$E:$E,$B30)</f>
        <v>2.0160450884906006E-2</v>
      </c>
      <c r="I30" s="34">
        <f>SUMIFS('Emissions Data'!$N:$N,'Emissions Data'!$B:$B,C25,'Emissions Data'!$C:$C,I27,'Emissions Data'!$E:$E,$B30)</f>
        <v>3.0599335149797628E-3</v>
      </c>
      <c r="J30" s="35">
        <f>SUMIFS('Emissions Data'!$N:$N,'Emissions Data'!$B:$B,C25,'Emissions Data'!$C:$C,J27,'Emissions Data'!$E:$E,$B30)</f>
        <v>5.4398824052096072E-3</v>
      </c>
      <c r="K30" s="45">
        <f t="shared" si="4"/>
        <v>5.586277283686452E-2</v>
      </c>
      <c r="L30" s="273"/>
    </row>
    <row r="31" spans="2:12" ht="15" x14ac:dyDescent="0.15">
      <c r="B31" s="30" t="s">
        <v>23</v>
      </c>
      <c r="C31" s="33">
        <f>SUMIFS('Emissions Data'!$N:$N,'Emissions Data'!$B:$B,C25,'Emissions Data'!$C:$C,C27,'Emissions Data'!$E:$E,$B31)</f>
        <v>1.5830705359916863</v>
      </c>
      <c r="D31" s="34">
        <f>SUMIFS('Emissions Data'!$N:$N,'Emissions Data'!$B:$B,C25,'Emissions Data'!$C:$C,D27,'Emissions Data'!$E:$E,$B31)</f>
        <v>1.5830803206817674</v>
      </c>
      <c r="E31" s="34">
        <f>SUMIFS('Emissions Data'!$N:$N,'Emissions Data'!$B:$B,C25,'Emissions Data'!$C:$C,E27,'Emissions Data'!$E:$E,$B31)</f>
        <v>0</v>
      </c>
      <c r="F31" s="34">
        <f>SUMIFS('Emissions Data'!$N:$N,'Emissions Data'!$B:$B,C25,'Emissions Data'!$C:$C,F27,'Emissions Data'!$E:$E,$B31)</f>
        <v>0</v>
      </c>
      <c r="G31" s="34">
        <f>SUMIFS('Emissions Data'!$N:$N,'Emissions Data'!$B:$B,C25,'Emissions Data'!$C:$C,G27,'Emissions Data'!$E:$E,$B31)</f>
        <v>0</v>
      </c>
      <c r="H31" s="34">
        <f>SUMIFS('Emissions Data'!$N:$N,'Emissions Data'!$B:$B,C25,'Emissions Data'!$C:$C,H27,'Emissions Data'!$E:$E,$B31)</f>
        <v>0</v>
      </c>
      <c r="I31" s="34">
        <f>SUMIFS('Emissions Data'!$N:$N,'Emissions Data'!$B:$B,C25,'Emissions Data'!$C:$C,I27,'Emissions Data'!$E:$E,$B31)</f>
        <v>0</v>
      </c>
      <c r="J31" s="35">
        <f>SUMIFS('Emissions Data'!$N:$N,'Emissions Data'!$B:$B,C25,'Emissions Data'!$C:$C,J27,'Emissions Data'!$E:$E,$B31)</f>
        <v>0</v>
      </c>
      <c r="K31" s="45">
        <f t="shared" si="4"/>
        <v>1.5830803206817674</v>
      </c>
      <c r="L31" s="273"/>
    </row>
    <row r="32" spans="2:12" ht="16" thickBot="1" x14ac:dyDescent="0.2">
      <c r="B32" s="30" t="s">
        <v>70</v>
      </c>
      <c r="C32" s="36">
        <f>SUMIFS('Emissions Data'!$N:$N,'Emissions Data'!$B:$B,C25,'Emissions Data'!$C:$C,C27,'Emissions Data'!$E:$E,$B32)</f>
        <v>0.55775660105228875</v>
      </c>
      <c r="D32" s="37">
        <f>SUMIFS('Emissions Data'!$N:$N,'Emissions Data'!$B:$B,C25,'Emissions Data'!$C:$C,D27,'Emissions Data'!$E:$E,$B32)</f>
        <v>1.6630175804740339</v>
      </c>
      <c r="E32" s="37">
        <f>SUMIFS('Emissions Data'!$N:$N,'Emissions Data'!$B:$B,C25,'Emissions Data'!$C:$C,E27,'Emissions Data'!$E:$E,$B32)</f>
        <v>0.50385599936270653</v>
      </c>
      <c r="F32" s="37">
        <f>SUMIFS('Emissions Data'!$N:$N,'Emissions Data'!$B:$B,C25,'Emissions Data'!$C:$C,F27,'Emissions Data'!$E:$E,$B32)</f>
        <v>8.3557774253052955E-2</v>
      </c>
      <c r="G32" s="37">
        <f>SUMIFS('Emissions Data'!$N:$N,'Emissions Data'!$B:$B,C25,'Emissions Data'!$C:$C,G27,'Emissions Data'!$E:$E,$B32)</f>
        <v>0.33631963315863733</v>
      </c>
      <c r="H32" s="37">
        <f>SUMIFS('Emissions Data'!$N:$N,'Emissions Data'!$B:$B,C25,'Emissions Data'!$C:$C,H27,'Emissions Data'!$E:$E,$B32)</f>
        <v>0.37941312541116795</v>
      </c>
      <c r="I32" s="37">
        <f>SUMIFS('Emissions Data'!$N:$N,'Emissions Data'!$B:$B,C25,'Emissions Data'!$C:$C,I27,'Emissions Data'!$E:$E,$B32)</f>
        <v>0.21360772391752278</v>
      </c>
      <c r="J32" s="38">
        <f>SUMIFS('Emissions Data'!$N:$N,'Emissions Data'!$B:$B,C25,'Emissions Data'!$C:$C,J27,'Emissions Data'!$E:$E,$B32)</f>
        <v>0.39470436110220708</v>
      </c>
      <c r="K32" s="45">
        <f>SUM(D32:J32)</f>
        <v>3.5744761976793291</v>
      </c>
      <c r="L32" s="273"/>
    </row>
    <row r="33" spans="2:12" ht="16" thickBot="1" x14ac:dyDescent="0.2">
      <c r="B33" s="55" t="s">
        <v>71</v>
      </c>
      <c r="C33" s="266">
        <f t="shared" ref="C33:J33" si="5">SUM(C28:C32)</f>
        <v>7.8219646334273438</v>
      </c>
      <c r="D33" s="267">
        <f t="shared" si="5"/>
        <v>18.662889300271594</v>
      </c>
      <c r="E33" s="267">
        <f t="shared" si="5"/>
        <v>4.8965895308147491</v>
      </c>
      <c r="F33" s="267">
        <f t="shared" si="5"/>
        <v>0.53339286465745495</v>
      </c>
      <c r="G33" s="267">
        <f t="shared" si="5"/>
        <v>2.3703311217105796</v>
      </c>
      <c r="H33" s="267">
        <f t="shared" si="5"/>
        <v>3.6349561290650207</v>
      </c>
      <c r="I33" s="267">
        <f t="shared" si="5"/>
        <v>1.4067890654797521</v>
      </c>
      <c r="J33" s="268">
        <f t="shared" si="5"/>
        <v>3.381549652765635</v>
      </c>
      <c r="K33" s="56">
        <f t="shared" si="4"/>
        <v>34.886497664764789</v>
      </c>
      <c r="L33" s="274"/>
    </row>
    <row r="34" spans="2:12" x14ac:dyDescent="0.15">
      <c r="B34" s="275"/>
      <c r="C34" s="276"/>
      <c r="D34" s="276"/>
      <c r="E34" s="276"/>
      <c r="F34" s="276"/>
      <c r="G34" s="276"/>
      <c r="H34" s="276"/>
      <c r="I34" s="276"/>
      <c r="J34" s="276"/>
      <c r="K34" s="276"/>
      <c r="L34" s="27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8CD68-26C5-4CA1-A62E-F7C539FDE72E}">
  <sheetPr codeName="Sheet4">
    <tabColor theme="7" tint="-0.249977111117893"/>
  </sheetPr>
  <dimension ref="A1:DF247"/>
  <sheetViews>
    <sheetView zoomScale="80" zoomScaleNormal="80" workbookViewId="0">
      <selection activeCell="N8" sqref="N8"/>
    </sheetView>
  </sheetViews>
  <sheetFormatPr baseColWidth="10" defaultColWidth="8.83203125" defaultRowHeight="14" x14ac:dyDescent="0.15"/>
  <cols>
    <col min="1" max="1" width="7.6640625" customWidth="1"/>
    <col min="2" max="2" width="9" style="57"/>
    <col min="3" max="3" width="15" customWidth="1"/>
    <col min="4" max="4" width="17.5" customWidth="1"/>
    <col min="5" max="5" width="20.6640625" bestFit="1" customWidth="1"/>
    <col min="6" max="6" width="10.6640625" customWidth="1"/>
    <col min="7" max="7" width="12.33203125" customWidth="1"/>
    <col min="8" max="8" width="10.6640625" customWidth="1"/>
    <col min="9" max="9" width="13.33203125" customWidth="1"/>
    <col min="10" max="13" width="10.6640625" customWidth="1"/>
    <col min="14" max="14" width="14.1640625" customWidth="1"/>
    <col min="15" max="15" width="12.6640625" customWidth="1"/>
    <col min="16" max="25" width="8.6640625"/>
  </cols>
  <sheetData>
    <row r="1" spans="1:110" s="260" customFormat="1" ht="18" x14ac:dyDescent="0.2">
      <c r="A1" s="257" t="s">
        <v>72</v>
      </c>
      <c r="B1" s="258"/>
      <c r="C1" s="259"/>
      <c r="D1" s="259"/>
      <c r="E1" s="259"/>
      <c r="F1" s="259"/>
      <c r="G1" s="259"/>
      <c r="H1" s="259"/>
      <c r="I1" s="259"/>
      <c r="J1" s="259"/>
      <c r="K1" s="259"/>
      <c r="L1" s="259"/>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row>
    <row r="3" spans="1:110" x14ac:dyDescent="0.15">
      <c r="B3" s="286" t="s">
        <v>73</v>
      </c>
      <c r="G3" s="287"/>
      <c r="H3" s="287"/>
      <c r="I3" s="287"/>
      <c r="J3" s="287"/>
      <c r="K3" s="287"/>
      <c r="L3" s="287"/>
      <c r="M3" s="287"/>
      <c r="N3" s="287"/>
      <c r="O3" s="287"/>
    </row>
    <row r="4" spans="1:110" x14ac:dyDescent="0.15">
      <c r="B4" s="286" t="s">
        <v>74</v>
      </c>
      <c r="G4" s="287"/>
      <c r="H4" s="287"/>
      <c r="I4" s="287"/>
      <c r="J4" s="287"/>
      <c r="K4" s="287"/>
      <c r="L4" s="287"/>
      <c r="M4" s="287"/>
      <c r="N4" s="287"/>
      <c r="O4" s="287"/>
    </row>
    <row r="5" spans="1:110" x14ac:dyDescent="0.15">
      <c r="B5" s="286" t="s">
        <v>75</v>
      </c>
      <c r="G5" s="287"/>
      <c r="H5" s="287"/>
      <c r="I5" s="287"/>
      <c r="J5" s="287"/>
      <c r="K5" s="287"/>
      <c r="L5" s="287"/>
      <c r="M5" s="287"/>
      <c r="N5" s="287"/>
      <c r="O5" s="287"/>
    </row>
    <row r="6" spans="1:110" x14ac:dyDescent="0.15">
      <c r="B6"/>
    </row>
    <row r="7" spans="1:110" ht="16" x14ac:dyDescent="0.2">
      <c r="B7" s="261" t="s">
        <v>76</v>
      </c>
      <c r="C7" s="262" t="s">
        <v>77</v>
      </c>
      <c r="D7" s="262" t="s">
        <v>78</v>
      </c>
      <c r="E7" s="262" t="s">
        <v>79</v>
      </c>
      <c r="F7" s="261" t="s">
        <v>80</v>
      </c>
      <c r="G7" s="261" t="s">
        <v>81</v>
      </c>
      <c r="H7" s="261" t="s">
        <v>82</v>
      </c>
      <c r="I7" s="261" t="s">
        <v>83</v>
      </c>
      <c r="J7" s="261" t="s">
        <v>84</v>
      </c>
      <c r="K7" s="261" t="s">
        <v>85</v>
      </c>
      <c r="L7" s="261" t="s">
        <v>86</v>
      </c>
      <c r="M7" s="261" t="s">
        <v>87</v>
      </c>
      <c r="N7" s="261" t="s">
        <v>88</v>
      </c>
      <c r="O7" s="261" t="s">
        <v>89</v>
      </c>
    </row>
    <row r="8" spans="1:110" x14ac:dyDescent="0.15">
      <c r="A8" s="265">
        <v>1</v>
      </c>
      <c r="B8" s="44">
        <v>2010</v>
      </c>
      <c r="C8" s="41" t="s">
        <v>58</v>
      </c>
      <c r="D8" s="41" t="s">
        <v>90</v>
      </c>
      <c r="E8" s="41" t="s">
        <v>17</v>
      </c>
      <c r="F8" s="264">
        <v>1</v>
      </c>
      <c r="G8" s="279">
        <f>SUMIFS('On-road'!N:N,'On-road'!$B:$B,'Emissions Data'!$B8,'On-road'!$C:$C,'Emissions Data'!$F8,'On-road'!$D:$D,'Emissions Data'!$C8)</f>
        <v>5.0530843647421211</v>
      </c>
      <c r="H8" s="279">
        <f>SUMIFS('On-road'!O:O,'On-road'!$B:$B,'Emissions Data'!$B8,'On-road'!$C:$C,'Emissions Data'!$F8,'On-road'!$D:$D,'Emissions Data'!$C8)</f>
        <v>7.9710617086998121E-3</v>
      </c>
      <c r="I8" s="279">
        <f>SUMIFS('On-road'!P:P,'On-road'!$B:$B,'Emissions Data'!$B8,'On-road'!$C:$C,'Emissions Data'!$F8,'On-road'!$D:$D,'Emissions Data'!$C8)</f>
        <v>7.0735846992329002E-2</v>
      </c>
      <c r="J8" s="279"/>
      <c r="K8" s="279"/>
      <c r="L8" s="279"/>
      <c r="M8" s="279"/>
      <c r="N8" s="280">
        <f>SUM(G8:M8)</f>
        <v>5.1317912734431497</v>
      </c>
      <c r="O8" s="279"/>
    </row>
    <row r="9" spans="1:110" x14ac:dyDescent="0.15">
      <c r="A9" s="265">
        <v>2</v>
      </c>
      <c r="B9" s="44">
        <v>2010</v>
      </c>
      <c r="C9" s="41" t="s">
        <v>58</v>
      </c>
      <c r="D9" s="41" t="s">
        <v>90</v>
      </c>
      <c r="E9" s="41" t="s">
        <v>17</v>
      </c>
      <c r="F9" s="264">
        <v>2</v>
      </c>
      <c r="G9" s="279">
        <f>SUMIFS('On-road'!N:N,'On-road'!$B:$B,'Emissions Data'!$B9,'On-road'!$C:$C,'Emissions Data'!$F9,'On-road'!$D:$D,'Emissions Data'!$C9)</f>
        <v>3.4630257017680012E-5</v>
      </c>
      <c r="H9" s="279">
        <f>SUMIFS('On-road'!O:O,'On-road'!$B:$B,'Emissions Data'!$B9,'On-road'!$C:$C,'Emissions Data'!$F9,'On-road'!$D:$D,'Emissions Data'!$C9)</f>
        <v>1.5543186901601859E-8</v>
      </c>
      <c r="I9" s="279">
        <f>SUMIFS('On-road'!P:P,'On-road'!$B:$B,'Emissions Data'!$B9,'On-road'!$C:$C,'Emissions Data'!$F9,'On-road'!$D:$D,'Emissions Data'!$C9)</f>
        <v>2.0004685457394261E-7</v>
      </c>
      <c r="J9" s="279"/>
      <c r="K9" s="279"/>
      <c r="L9" s="279"/>
      <c r="M9" s="279"/>
      <c r="N9" s="280">
        <f t="shared" ref="N9:N72" si="0">SUM(G9:M9)</f>
        <v>3.4845847059155554E-5</v>
      </c>
      <c r="O9" s="279"/>
    </row>
    <row r="10" spans="1:110" x14ac:dyDescent="0.15">
      <c r="A10" s="265">
        <v>3</v>
      </c>
      <c r="B10" s="44">
        <v>2010</v>
      </c>
      <c r="C10" s="41" t="s">
        <v>58</v>
      </c>
      <c r="D10" s="41" t="s">
        <v>90</v>
      </c>
      <c r="E10" s="41" t="s">
        <v>68</v>
      </c>
      <c r="F10" s="264">
        <v>1</v>
      </c>
      <c r="G10" s="279">
        <f>SUMIFS(Rail!S:S,Rail!$B:$B,'Emissions Data'!$B10,Rail!$C:$C,'Emissions Data'!$F10,Rail!$D:$D,'Emissions Data'!$C10)</f>
        <v>0.32272617726269609</v>
      </c>
      <c r="H10" s="279">
        <f>SUMIFS(Rail!T:T,Rail!$B:$B,'Emissions Data'!$B10,Rail!$C:$C,'Emissions Data'!$F10,Rail!$D:$D,'Emissions Data'!$C10)</f>
        <v>7.0803784237849097E-4</v>
      </c>
      <c r="I10" s="279">
        <f>SUMIFS(Rail!U:U,Rail!$B:$B,'Emissions Data'!$B10,Rail!$C:$C,'Emissions Data'!$F10,Rail!$D:$D,'Emissions Data'!$C10)</f>
        <v>2.1778485419588402E-3</v>
      </c>
      <c r="J10" s="279"/>
      <c r="K10" s="279"/>
      <c r="L10" s="279"/>
      <c r="M10" s="279"/>
      <c r="N10" s="280">
        <f t="shared" si="0"/>
        <v>0.32561206364703343</v>
      </c>
      <c r="O10" s="279"/>
    </row>
    <row r="11" spans="1:110" x14ac:dyDescent="0.15">
      <c r="A11" s="265">
        <v>4</v>
      </c>
      <c r="B11" s="44">
        <v>2010</v>
      </c>
      <c r="C11" s="41" t="s">
        <v>58</v>
      </c>
      <c r="D11" s="41" t="s">
        <v>90</v>
      </c>
      <c r="E11" s="41" t="s">
        <v>68</v>
      </c>
      <c r="F11" s="264">
        <v>2</v>
      </c>
      <c r="G11" s="279">
        <f>SUMIFS(Rail!S:S,Rail!$B:$B,'Emissions Data'!$B11,Rail!$C:$C,'Emissions Data'!$F11,Rail!$D:$D,'Emissions Data'!$C11)</f>
        <v>0.21815183908945704</v>
      </c>
      <c r="H11" s="279">
        <f>SUMIFS(Rail!T:T,Rail!$B:$B,'Emissions Data'!$B11,Rail!$C:$C,'Emissions Data'!$F11,Rail!$D:$D,'Emissions Data'!$C11)</f>
        <v>9.7913648349895008E-5</v>
      </c>
      <c r="I11" s="279">
        <f>SUMIFS(Rail!U:U,Rail!$B:$B,'Emissions Data'!$B11,Rail!$C:$C,'Emissions Data'!$F11,Rail!$D:$D,'Emissions Data'!$C11)</f>
        <v>1.2601866976351527E-3</v>
      </c>
      <c r="J11" s="279"/>
      <c r="K11" s="279"/>
      <c r="L11" s="279"/>
      <c r="M11" s="279"/>
      <c r="N11" s="280">
        <f t="shared" si="0"/>
        <v>0.21950993943544209</v>
      </c>
      <c r="O11" s="279"/>
    </row>
    <row r="12" spans="1:110" x14ac:dyDescent="0.15">
      <c r="A12" s="265">
        <v>5</v>
      </c>
      <c r="B12" s="44">
        <v>2010</v>
      </c>
      <c r="C12" s="41" t="s">
        <v>58</v>
      </c>
      <c r="D12" s="41" t="s">
        <v>90</v>
      </c>
      <c r="E12" s="41" t="s">
        <v>91</v>
      </c>
      <c r="F12" s="264">
        <v>1</v>
      </c>
      <c r="G12" s="279">
        <f>SUMIFS(Waterborne!Q:Q,Waterborne!$B:$B,'Emissions Data'!$B12,Waterborne!$C:$C,'Emissions Data'!$F12,Waterborne!$D:$D,'Emissions Data'!$C12)</f>
        <v>4.1310743025131528E-3</v>
      </c>
      <c r="H12" s="279">
        <f>SUMIFS(Waterborne!R:R,Waterborne!$B:$B,'Emissions Data'!$B12,Waterborne!$C:$C,'Emissions Data'!$F12,Waterborne!$D:$D,'Emissions Data'!$C12)</f>
        <v>5.5073568006499707E-6</v>
      </c>
      <c r="I12" s="279">
        <f>SUMIFS(Waterborne!S:S,Waterborne!$B:$B,'Emissions Data'!$B12,Waterborne!$C:$C,'Emissions Data'!$F12,Waterborne!$D:$D,'Emissions Data'!$C12)</f>
        <v>5.2792351371328096E-5</v>
      </c>
      <c r="J12" s="279"/>
      <c r="K12" s="279"/>
      <c r="L12" s="279"/>
      <c r="M12" s="279"/>
      <c r="N12" s="280">
        <f t="shared" si="0"/>
        <v>4.1893740106851308E-3</v>
      </c>
      <c r="O12" s="279"/>
    </row>
    <row r="13" spans="1:110" x14ac:dyDescent="0.15">
      <c r="A13" s="265">
        <v>6</v>
      </c>
      <c r="B13" s="44">
        <v>2010</v>
      </c>
      <c r="C13" s="41" t="s">
        <v>58</v>
      </c>
      <c r="D13" s="41" t="s">
        <v>90</v>
      </c>
      <c r="E13" s="41" t="s">
        <v>91</v>
      </c>
      <c r="F13" s="264">
        <v>2</v>
      </c>
      <c r="G13" s="279">
        <f>SUMIFS(Waterborne!Q:Q,Waterborne!$B:$B,'Emissions Data'!$B13,Waterborne!$C:$C,'Emissions Data'!$F13,Waterborne!$D:$D,'Emissions Data'!$C13)</f>
        <v>0</v>
      </c>
      <c r="H13" s="279">
        <f>SUMIFS(Waterborne!R:R,Waterborne!$B:$B,'Emissions Data'!$B13,Waterborne!$C:$C,'Emissions Data'!$F13,Waterborne!$D:$D,'Emissions Data'!$C13)</f>
        <v>0</v>
      </c>
      <c r="I13" s="279">
        <f>SUMIFS(Waterborne!S:S,Waterborne!$B:$B,'Emissions Data'!$B13,Waterborne!$C:$C,'Emissions Data'!$F13,Waterborne!$D:$D,'Emissions Data'!$C13)</f>
        <v>0</v>
      </c>
      <c r="J13" s="279"/>
      <c r="K13" s="279"/>
      <c r="L13" s="279"/>
      <c r="M13" s="279"/>
      <c r="N13" s="280">
        <f t="shared" si="0"/>
        <v>0</v>
      </c>
      <c r="O13" s="279"/>
    </row>
    <row r="14" spans="1:110" x14ac:dyDescent="0.15">
      <c r="A14" s="265">
        <v>7</v>
      </c>
      <c r="B14" s="44">
        <v>2010</v>
      </c>
      <c r="C14" s="41" t="s">
        <v>58</v>
      </c>
      <c r="D14" s="41" t="s">
        <v>90</v>
      </c>
      <c r="E14" s="41" t="s">
        <v>23</v>
      </c>
      <c r="F14" s="264">
        <v>1</v>
      </c>
      <c r="G14" s="279">
        <f>SUMIFS(Aviation!N:N,Aviation!$B:$B,'Emissions Data'!$B14,Aviation!$C:$C,'Emissions Data'!$F14,Aviation!$D:$D,'Emissions Data'!$C14)</f>
        <v>1.570266821905381</v>
      </c>
      <c r="H14" s="279">
        <f>SUMIFS(Aviation!O:O,Aviation!$B:$B,'Emissions Data'!$B14,Aviation!$C:$C,'Emissions Data'!$F14,Aviation!$D:$D,'Emissions Data'!$C14)</f>
        <v>0</v>
      </c>
      <c r="I14" s="279">
        <f>SUMIFS(Aviation!P:P,Aviation!$B:$B,'Emissions Data'!$B14,Aviation!$C:$C,'Emissions Data'!$F14,Aviation!$D:$D,'Emissions Data'!$C14)</f>
        <v>1.2803714086305415E-2</v>
      </c>
      <c r="J14" s="279"/>
      <c r="K14" s="279"/>
      <c r="L14" s="279"/>
      <c r="M14" s="279"/>
      <c r="N14" s="280">
        <f t="shared" si="0"/>
        <v>1.5830705359916863</v>
      </c>
      <c r="O14" s="279"/>
    </row>
    <row r="15" spans="1:110" x14ac:dyDescent="0.15">
      <c r="A15" s="265">
        <v>8</v>
      </c>
      <c r="B15" s="44">
        <v>2010</v>
      </c>
      <c r="C15" s="41" t="s">
        <v>58</v>
      </c>
      <c r="D15" s="41" t="s">
        <v>90</v>
      </c>
      <c r="E15" s="41" t="s">
        <v>23</v>
      </c>
      <c r="F15" s="264">
        <v>2</v>
      </c>
      <c r="G15" s="279">
        <f>SUMIFS(Aviation!N:N,Aviation!$B:$B,'Emissions Data'!$B15,Aviation!$C:$C,'Emissions Data'!$F15,Aviation!$D:$D,'Emissions Data'!$C15)</f>
        <v>0</v>
      </c>
      <c r="H15" s="279">
        <f>SUMIFS(Aviation!O:O,Aviation!$B:$B,'Emissions Data'!$B15,Aviation!$C:$C,'Emissions Data'!$F15,Aviation!$D:$D,'Emissions Data'!$C15)</f>
        <v>0</v>
      </c>
      <c r="I15" s="279">
        <f>SUMIFS(Aviation!P:P,Aviation!$B:$B,'Emissions Data'!$B15,Aviation!$C:$C,'Emissions Data'!$F15,Aviation!$D:$D,'Emissions Data'!$C15)</f>
        <v>0</v>
      </c>
      <c r="J15" s="279"/>
      <c r="K15" s="279"/>
      <c r="L15" s="279"/>
      <c r="M15" s="279"/>
      <c r="N15" s="280">
        <f t="shared" si="0"/>
        <v>0</v>
      </c>
      <c r="O15" s="279"/>
    </row>
    <row r="16" spans="1:110" x14ac:dyDescent="0.15">
      <c r="A16" s="265">
        <v>9</v>
      </c>
      <c r="B16" s="44">
        <v>2010</v>
      </c>
      <c r="C16" s="41" t="s">
        <v>58</v>
      </c>
      <c r="D16" s="41" t="s">
        <v>90</v>
      </c>
      <c r="E16" s="41" t="s">
        <v>25</v>
      </c>
      <c r="F16" s="264">
        <v>1</v>
      </c>
      <c r="G16" s="279">
        <f>SUMIFS('Off-road'!O:O,'Off-road'!$B:$B,'Emissions Data'!$B16,'Off-road'!$C:$C,'Emissions Data'!$F16,'Off-road'!$D:$D,'Emissions Data'!$C16)</f>
        <v>0.53091095845133274</v>
      </c>
      <c r="H16" s="279">
        <f>SUMIFS('Off-road'!P:P,'Off-road'!$B:$B,'Emissions Data'!$B16,'Off-road'!$C:$C,'Emissions Data'!$F16,'Off-road'!$D:$D,'Emissions Data'!$C16)</f>
        <v>1.1535372231363377E-2</v>
      </c>
      <c r="I16" s="279">
        <f>SUMIFS('Off-road'!Q:Q,'Off-road'!$B:$B,'Emissions Data'!$B16,'Off-road'!$C:$C,'Emissions Data'!$F16,'Off-road'!$D:$D,'Emissions Data'!$C16)</f>
        <v>1.5310270369592616E-2</v>
      </c>
      <c r="J16" s="279"/>
      <c r="K16" s="279"/>
      <c r="L16" s="279"/>
      <c r="M16" s="279"/>
      <c r="N16" s="280">
        <f t="shared" si="0"/>
        <v>0.55775660105228875</v>
      </c>
      <c r="O16" s="279"/>
    </row>
    <row r="17" spans="1:15" x14ac:dyDescent="0.15">
      <c r="A17" s="265">
        <v>10</v>
      </c>
      <c r="B17" s="44">
        <v>2010</v>
      </c>
      <c r="C17" s="41" t="s">
        <v>58</v>
      </c>
      <c r="D17" s="41" t="s">
        <v>90</v>
      </c>
      <c r="E17" s="41" t="s">
        <v>25</v>
      </c>
      <c r="F17" s="264">
        <v>2</v>
      </c>
      <c r="G17" s="279">
        <f>SUMIFS('Off-road'!O:O,'Off-road'!$B:$B,'Emissions Data'!$B17,'Off-road'!$C:$C,'Emissions Data'!$F17,'Off-road'!$D:$D,'Emissions Data'!$C17)</f>
        <v>0</v>
      </c>
      <c r="H17" s="279">
        <f>SUMIFS('Off-road'!P:P,'Off-road'!$B:$B,'Emissions Data'!$B17,'Off-road'!$C:$C,'Emissions Data'!$F17,'Off-road'!$D:$D,'Emissions Data'!$C17)</f>
        <v>0</v>
      </c>
      <c r="I17" s="279">
        <f>SUMIFS('Off-road'!Q:Q,'Off-road'!$B:$B,'Emissions Data'!$B17,'Off-road'!$C:$C,'Emissions Data'!$F17,'Off-road'!$D:$D,'Emissions Data'!$C17)</f>
        <v>0</v>
      </c>
      <c r="J17" s="279"/>
      <c r="K17" s="279"/>
      <c r="L17" s="279"/>
      <c r="M17" s="279"/>
      <c r="N17" s="280">
        <f t="shared" si="0"/>
        <v>0</v>
      </c>
      <c r="O17" s="279"/>
    </row>
    <row r="18" spans="1:15" x14ac:dyDescent="0.15">
      <c r="A18" s="265">
        <v>11</v>
      </c>
      <c r="B18" s="44">
        <v>2010</v>
      </c>
      <c r="C18" s="41" t="s">
        <v>59</v>
      </c>
      <c r="D18" s="41" t="s">
        <v>90</v>
      </c>
      <c r="E18" s="41" t="s">
        <v>17</v>
      </c>
      <c r="F18" s="264">
        <v>1</v>
      </c>
      <c r="G18" s="279">
        <f>SUMIFS('On-road'!N:N,'On-road'!$B:$B,'Emissions Data'!$B18,'On-road'!$C:$C,'Emissions Data'!$F18,'On-road'!$D:$D,'Emissions Data'!$C18)</f>
        <v>14.465448229784615</v>
      </c>
      <c r="H18" s="279">
        <f>SUMIFS('On-road'!O:O,'On-road'!$B:$B,'Emissions Data'!$B18,'On-road'!$C:$C,'Emissions Data'!$F18,'On-road'!$D:$D,'Emissions Data'!$C18)</f>
        <v>2.099604971014981E-2</v>
      </c>
      <c r="I18" s="279">
        <f>SUMIFS('On-road'!P:P,'On-road'!$B:$B,'Emissions Data'!$B18,'On-road'!$C:$C,'Emissions Data'!$F18,'On-road'!$D:$D,'Emissions Data'!$C18)</f>
        <v>0.18812856658056054</v>
      </c>
      <c r="J18" s="279"/>
      <c r="K18" s="279"/>
      <c r="L18" s="279"/>
      <c r="M18" s="279"/>
      <c r="N18" s="280">
        <f t="shared" si="0"/>
        <v>14.674572846075325</v>
      </c>
      <c r="O18" s="279"/>
    </row>
    <row r="19" spans="1:15" x14ac:dyDescent="0.15">
      <c r="A19" s="265">
        <v>12</v>
      </c>
      <c r="B19" s="44">
        <v>2010</v>
      </c>
      <c r="C19" s="41" t="s">
        <v>59</v>
      </c>
      <c r="D19" s="41" t="s">
        <v>90</v>
      </c>
      <c r="E19" s="41" t="s">
        <v>17</v>
      </c>
      <c r="F19" s="264">
        <v>2</v>
      </c>
      <c r="G19" s="279">
        <f>SUMIFS('On-road'!N:N,'On-road'!$B:$B,'Emissions Data'!$B19,'On-road'!$C:$C,'Emissions Data'!$F19,'On-road'!$D:$D,'Emissions Data'!$C19)</f>
        <v>5.9188094984113697E-5</v>
      </c>
      <c r="H19" s="279">
        <f>SUMIFS('On-road'!O:O,'On-road'!$B:$B,'Emissions Data'!$B19,'On-road'!$C:$C,'Emissions Data'!$F19,'On-road'!$D:$D,'Emissions Data'!$C19)</f>
        <v>2.6565544177687261E-8</v>
      </c>
      <c r="I19" s="279">
        <f>SUMIFS('On-road'!P:P,'On-road'!$B:$B,'Emissions Data'!$B19,'On-road'!$C:$C,'Emissions Data'!$F19,'On-road'!$D:$D,'Emissions Data'!$C19)</f>
        <v>3.4190887534420387E-7</v>
      </c>
      <c r="J19" s="279"/>
      <c r="K19" s="279"/>
      <c r="L19" s="279"/>
      <c r="M19" s="279"/>
      <c r="N19" s="280">
        <f t="shared" si="0"/>
        <v>5.9556569403635587E-5</v>
      </c>
      <c r="O19" s="279"/>
    </row>
    <row r="20" spans="1:15" x14ac:dyDescent="0.15">
      <c r="A20" s="265">
        <v>13</v>
      </c>
      <c r="B20" s="44">
        <v>2010</v>
      </c>
      <c r="C20" s="41" t="s">
        <v>59</v>
      </c>
      <c r="D20" s="41" t="s">
        <v>90</v>
      </c>
      <c r="E20" s="41" t="s">
        <v>68</v>
      </c>
      <c r="F20" s="264">
        <v>1</v>
      </c>
      <c r="G20" s="279">
        <f>SUMIFS(Rail!S:S,Rail!$B:$B,'Emissions Data'!$B20,Rail!$C:$C,'Emissions Data'!$F20,Rail!$D:$D,'Emissions Data'!$C20)</f>
        <v>0.46225626441669154</v>
      </c>
      <c r="H20" s="279">
        <f>SUMIFS(Rail!T:T,Rail!$B:$B,'Emissions Data'!$B20,Rail!$C:$C,'Emissions Data'!$F20,Rail!$D:$D,'Emissions Data'!$C20)</f>
        <v>1.0141567407378931E-3</v>
      </c>
      <c r="I20" s="279">
        <f>SUMIFS(Rail!U:U,Rail!$B:$B,'Emissions Data'!$B20,Rail!$C:$C,'Emissions Data'!$F20,Rail!$D:$D,'Emissions Data'!$C20)</f>
        <v>3.119437474858966E-3</v>
      </c>
      <c r="J20" s="279"/>
      <c r="K20" s="279"/>
      <c r="L20" s="279"/>
      <c r="M20" s="279"/>
      <c r="N20" s="280">
        <f t="shared" si="0"/>
        <v>0.46638985863228843</v>
      </c>
      <c r="O20" s="279"/>
    </row>
    <row r="21" spans="1:15" x14ac:dyDescent="0.15">
      <c r="A21" s="265">
        <v>14</v>
      </c>
      <c r="B21" s="44">
        <v>2010</v>
      </c>
      <c r="C21" s="41" t="s">
        <v>59</v>
      </c>
      <c r="D21" s="41" t="s">
        <v>90</v>
      </c>
      <c r="E21" s="41" t="s">
        <v>68</v>
      </c>
      <c r="F21" s="264">
        <v>2</v>
      </c>
      <c r="G21" s="279">
        <f>SUMIFS(Rail!S:S,Rail!$B:$B,'Emissions Data'!$B21,Rail!$C:$C,'Emissions Data'!$F21,Rail!$D:$D,'Emissions Data'!$C21)</f>
        <v>0.25040765109175006</v>
      </c>
      <c r="H21" s="279">
        <f>SUMIFS(Rail!T:T,Rail!$B:$B,'Emissions Data'!$B21,Rail!$C:$C,'Emissions Data'!$F21,Rail!$D:$D,'Emissions Data'!$C21)</f>
        <v>1.1239110701728555E-4</v>
      </c>
      <c r="I21" s="279">
        <f>SUMIFS(Rail!U:U,Rail!$B:$B,'Emissions Data'!$B21,Rail!$C:$C,'Emissions Data'!$F21,Rail!$D:$D,'Emissions Data'!$C21)</f>
        <v>1.4465172157567142E-3</v>
      </c>
      <c r="J21" s="279"/>
      <c r="K21" s="279"/>
      <c r="L21" s="279"/>
      <c r="M21" s="279"/>
      <c r="N21" s="280">
        <f t="shared" si="0"/>
        <v>0.25196655941452406</v>
      </c>
      <c r="O21" s="279"/>
    </row>
    <row r="22" spans="1:15" x14ac:dyDescent="0.15">
      <c r="A22" s="265">
        <v>15</v>
      </c>
      <c r="B22" s="44">
        <v>2010</v>
      </c>
      <c r="C22" s="41" t="s">
        <v>59</v>
      </c>
      <c r="D22" s="41" t="s">
        <v>90</v>
      </c>
      <c r="E22" s="41" t="s">
        <v>91</v>
      </c>
      <c r="F22" s="264">
        <v>1</v>
      </c>
      <c r="G22" s="279">
        <f>SUMIFS(Waterborne!Q:Q,Waterborne!$B:$B,'Emissions Data'!$B22,Waterborne!$C:$C,'Emissions Data'!$F22,Waterborne!$D:$D,'Emissions Data'!$C22)</f>
        <v>2.336186122460341E-2</v>
      </c>
      <c r="H22" s="279">
        <f>SUMIFS(Waterborne!R:R,Waterborne!$B:$B,'Emissions Data'!$B22,Waterborne!$C:$C,'Emissions Data'!$F22,Waterborne!$D:$D,'Emissions Data'!$C22)</f>
        <v>2.1939468700409026E-4</v>
      </c>
      <c r="I22" s="279">
        <f>SUMIFS(Waterborne!S:S,Waterborne!$B:$B,'Emissions Data'!$B22,Waterborne!$C:$C,'Emissions Data'!$F22,Waterborne!$D:$D,'Emissions Data'!$C22)</f>
        <v>2.2132251264316027E-4</v>
      </c>
      <c r="J22" s="279"/>
      <c r="K22" s="279"/>
      <c r="L22" s="279"/>
      <c r="M22" s="279"/>
      <c r="N22" s="280">
        <f t="shared" si="0"/>
        <v>2.380257842425066E-2</v>
      </c>
      <c r="O22" s="279"/>
    </row>
    <row r="23" spans="1:15" x14ac:dyDescent="0.15">
      <c r="A23" s="265">
        <v>16</v>
      </c>
      <c r="B23" s="44">
        <v>2010</v>
      </c>
      <c r="C23" s="41" t="s">
        <v>59</v>
      </c>
      <c r="D23" s="41" t="s">
        <v>90</v>
      </c>
      <c r="E23" s="41" t="s">
        <v>91</v>
      </c>
      <c r="F23" s="264">
        <v>2</v>
      </c>
      <c r="G23" s="279">
        <f>SUMIFS(Waterborne!Q:Q,Waterborne!$B:$B,'Emissions Data'!$B23,Waterborne!$C:$C,'Emissions Data'!$F23,Waterborne!$D:$D,'Emissions Data'!$C23)</f>
        <v>0</v>
      </c>
      <c r="H23" s="279">
        <f>SUMIFS(Waterborne!R:R,Waterborne!$B:$B,'Emissions Data'!$B23,Waterborne!$C:$C,'Emissions Data'!$F23,Waterborne!$D:$D,'Emissions Data'!$C23)</f>
        <v>0</v>
      </c>
      <c r="I23" s="279">
        <f>SUMIFS(Waterborne!S:S,Waterborne!$B:$B,'Emissions Data'!$B23,Waterborne!$C:$C,'Emissions Data'!$F23,Waterborne!$D:$D,'Emissions Data'!$C23)</f>
        <v>0</v>
      </c>
      <c r="J23" s="279"/>
      <c r="K23" s="279"/>
      <c r="L23" s="279"/>
      <c r="M23" s="279"/>
      <c r="N23" s="280">
        <f t="shared" si="0"/>
        <v>0</v>
      </c>
      <c r="O23" s="279"/>
    </row>
    <row r="24" spans="1:15" x14ac:dyDescent="0.15">
      <c r="A24" s="265">
        <v>17</v>
      </c>
      <c r="B24" s="44">
        <v>2010</v>
      </c>
      <c r="C24" s="41" t="s">
        <v>59</v>
      </c>
      <c r="D24" s="41" t="s">
        <v>90</v>
      </c>
      <c r="E24" s="41" t="s">
        <v>23</v>
      </c>
      <c r="F24" s="264">
        <v>1</v>
      </c>
      <c r="G24" s="279">
        <f>SUMIFS(Aviation!N:N,Aviation!$B:$B,'Emissions Data'!$B24,Aviation!$C:$C,'Emissions Data'!$F24,Aviation!$D:$D,'Emissions Data'!$C24)</f>
        <v>1.5702765130064085</v>
      </c>
      <c r="H24" s="279">
        <f>SUMIFS(Aviation!O:O,Aviation!$B:$B,'Emissions Data'!$B24,Aviation!$C:$C,'Emissions Data'!$F24,Aviation!$D:$D,'Emissions Data'!$C24)</f>
        <v>1.8105442312884178E-8</v>
      </c>
      <c r="I24" s="279">
        <f>SUMIFS(Aviation!P:P,Aviation!$B:$B,'Emissions Data'!$B24,Aviation!$C:$C,'Emissions Data'!$F24,Aviation!$D:$D,'Emissions Data'!$C24)</f>
        <v>1.2803789569916717E-2</v>
      </c>
      <c r="J24" s="279"/>
      <c r="K24" s="279"/>
      <c r="L24" s="279"/>
      <c r="M24" s="279"/>
      <c r="N24" s="280">
        <f t="shared" si="0"/>
        <v>1.5830803206817674</v>
      </c>
      <c r="O24" s="279"/>
    </row>
    <row r="25" spans="1:15" x14ac:dyDescent="0.15">
      <c r="A25" s="265">
        <v>18</v>
      </c>
      <c r="B25" s="44">
        <v>2010</v>
      </c>
      <c r="C25" s="41" t="s">
        <v>59</v>
      </c>
      <c r="D25" s="41" t="s">
        <v>90</v>
      </c>
      <c r="E25" s="41" t="s">
        <v>23</v>
      </c>
      <c r="F25" s="264">
        <v>2</v>
      </c>
      <c r="G25" s="279">
        <f>SUMIFS(Aviation!N:N,Aviation!$B:$B,'Emissions Data'!$B25,Aviation!$C:$C,'Emissions Data'!$F25,Aviation!$D:$D,'Emissions Data'!$C25)</f>
        <v>0</v>
      </c>
      <c r="H25" s="279">
        <f>SUMIFS(Aviation!O:O,Aviation!$B:$B,'Emissions Data'!$B25,Aviation!$C:$C,'Emissions Data'!$F25,Aviation!$D:$D,'Emissions Data'!$C25)</f>
        <v>0</v>
      </c>
      <c r="I25" s="279">
        <f>SUMIFS(Aviation!P:P,Aviation!$B:$B,'Emissions Data'!$B25,Aviation!$C:$C,'Emissions Data'!$F25,Aviation!$D:$D,'Emissions Data'!$C25)</f>
        <v>0</v>
      </c>
      <c r="J25" s="279"/>
      <c r="K25" s="279"/>
      <c r="L25" s="279"/>
      <c r="M25" s="279"/>
      <c r="N25" s="280">
        <f t="shared" si="0"/>
        <v>0</v>
      </c>
      <c r="O25" s="279"/>
    </row>
    <row r="26" spans="1:15" x14ac:dyDescent="0.15">
      <c r="A26" s="265">
        <v>19</v>
      </c>
      <c r="B26" s="44">
        <v>2010</v>
      </c>
      <c r="C26" s="41" t="s">
        <v>59</v>
      </c>
      <c r="D26" s="41" t="s">
        <v>90</v>
      </c>
      <c r="E26" s="41" t="s">
        <v>25</v>
      </c>
      <c r="F26" s="264">
        <v>1</v>
      </c>
      <c r="G26" s="279">
        <f>SUMIFS('Off-road'!O:O,'Off-road'!$B:$B,'Emissions Data'!$B26,'Off-road'!$C:$C,'Emissions Data'!$F26,'Off-road'!$D:$D,'Emissions Data'!$C26)</f>
        <v>1.5792176810589615</v>
      </c>
      <c r="H26" s="279">
        <f>SUMIFS('Off-road'!P:P,'Off-road'!$B:$B,'Emissions Data'!$B26,'Off-road'!$C:$C,'Emissions Data'!$F26,'Off-road'!$D:$D,'Emissions Data'!$C26)</f>
        <v>3.697133250744368E-2</v>
      </c>
      <c r="I26" s="279">
        <f>SUMIFS('Off-road'!Q:Q,'Off-road'!$B:$B,'Emissions Data'!$B26,'Off-road'!$C:$C,'Emissions Data'!$F26,'Off-road'!$D:$D,'Emissions Data'!$C26)</f>
        <v>4.6828566907628773E-2</v>
      </c>
      <c r="J26" s="279"/>
      <c r="K26" s="279"/>
      <c r="L26" s="279"/>
      <c r="M26" s="279"/>
      <c r="N26" s="280">
        <f t="shared" si="0"/>
        <v>1.6630175804740339</v>
      </c>
      <c r="O26" s="279"/>
    </row>
    <row r="27" spans="1:15" x14ac:dyDescent="0.15">
      <c r="A27" s="265">
        <v>20</v>
      </c>
      <c r="B27" s="44">
        <v>2010</v>
      </c>
      <c r="C27" s="41" t="s">
        <v>59</v>
      </c>
      <c r="D27" s="41" t="s">
        <v>90</v>
      </c>
      <c r="E27" s="41" t="s">
        <v>25</v>
      </c>
      <c r="F27" s="264">
        <v>2</v>
      </c>
      <c r="G27" s="279">
        <f>SUMIFS('Off-road'!O:O,'Off-road'!$B:$B,'Emissions Data'!$B27,'Off-road'!$C:$C,'Emissions Data'!$F27,'Off-road'!$D:$D,'Emissions Data'!$C27)</f>
        <v>0</v>
      </c>
      <c r="H27" s="279">
        <f>SUMIFS('Off-road'!P:P,'Off-road'!$B:$B,'Emissions Data'!$B27,'Off-road'!$C:$C,'Emissions Data'!$F27,'Off-road'!$D:$D,'Emissions Data'!$C27)</f>
        <v>0</v>
      </c>
      <c r="I27" s="279">
        <f>SUMIFS('Off-road'!Q:Q,'Off-road'!$B:$B,'Emissions Data'!$B27,'Off-road'!$C:$C,'Emissions Data'!$F27,'Off-road'!$D:$D,'Emissions Data'!$C27)</f>
        <v>0</v>
      </c>
      <c r="J27" s="279"/>
      <c r="K27" s="279"/>
      <c r="L27" s="279"/>
      <c r="M27" s="279"/>
      <c r="N27" s="280">
        <f t="shared" si="0"/>
        <v>0</v>
      </c>
      <c r="O27" s="279"/>
    </row>
    <row r="28" spans="1:15" x14ac:dyDescent="0.15">
      <c r="A28" s="265">
        <v>21</v>
      </c>
      <c r="B28" s="44">
        <v>2010</v>
      </c>
      <c r="C28" s="41" t="s">
        <v>60</v>
      </c>
      <c r="D28" s="41" t="s">
        <v>90</v>
      </c>
      <c r="E28" s="41" t="s">
        <v>17</v>
      </c>
      <c r="F28" s="264">
        <v>1</v>
      </c>
      <c r="G28" s="279">
        <f>SUMIFS('On-road'!N:N,'On-road'!$B:$B,'Emissions Data'!$B28,'On-road'!$C:$C,'Emissions Data'!$F28,'On-road'!$D:$D,'Emissions Data'!$C28)</f>
        <v>4.2510528129228673</v>
      </c>
      <c r="H28" s="279">
        <f>SUMIFS('On-road'!O:O,'On-road'!$B:$B,'Emissions Data'!$B28,'On-road'!$C:$C,'Emissions Data'!$F28,'On-road'!$D:$D,'Emissions Data'!$C28)</f>
        <v>6.4129300234540172E-3</v>
      </c>
      <c r="I28" s="279">
        <f>SUMIFS('On-road'!P:P,'On-road'!$B:$B,'Emissions Data'!$B28,'On-road'!$C:$C,'Emissions Data'!$F28,'On-road'!$D:$D,'Emissions Data'!$C28)</f>
        <v>5.8044407314012579E-2</v>
      </c>
      <c r="J28" s="279"/>
      <c r="K28" s="279"/>
      <c r="L28" s="279"/>
      <c r="M28" s="279"/>
      <c r="N28" s="280">
        <f t="shared" si="0"/>
        <v>4.3155101502603337</v>
      </c>
      <c r="O28" s="279"/>
    </row>
    <row r="29" spans="1:15" x14ac:dyDescent="0.15">
      <c r="A29" s="265">
        <v>22</v>
      </c>
      <c r="B29" s="44">
        <v>2010</v>
      </c>
      <c r="C29" s="41" t="s">
        <v>60</v>
      </c>
      <c r="D29" s="41" t="s">
        <v>90</v>
      </c>
      <c r="E29" s="41" t="s">
        <v>17</v>
      </c>
      <c r="F29" s="264">
        <v>2</v>
      </c>
      <c r="G29" s="279">
        <f>SUMIFS('On-road'!N:N,'On-road'!$B:$B,'Emissions Data'!$B29,'On-road'!$C:$C,'Emissions Data'!$F29,'On-road'!$D:$D,'Emissions Data'!$C29)</f>
        <v>3.1973414617820722E-5</v>
      </c>
      <c r="H29" s="279">
        <f>SUMIFS('On-road'!O:O,'On-road'!$B:$B,'Emissions Data'!$B29,'On-road'!$C:$C,'Emissions Data'!$F29,'On-road'!$D:$D,'Emissions Data'!$C29)</f>
        <v>1.4350709526454735E-8</v>
      </c>
      <c r="I29" s="279">
        <f>SUMIFS('On-road'!P:P,'On-road'!$B:$B,'Emissions Data'!$B29,'On-road'!$C:$C,'Emissions Data'!$F29,'On-road'!$D:$D,'Emissions Data'!$C29)</f>
        <v>1.846992074306024E-7</v>
      </c>
      <c r="J29" s="279"/>
      <c r="K29" s="279"/>
      <c r="L29" s="279"/>
      <c r="M29" s="279"/>
      <c r="N29" s="280">
        <f t="shared" si="0"/>
        <v>3.2172464534777781E-5</v>
      </c>
      <c r="O29" s="279"/>
    </row>
    <row r="30" spans="1:15" x14ac:dyDescent="0.15">
      <c r="A30" s="265">
        <v>23</v>
      </c>
      <c r="B30" s="44">
        <v>2010</v>
      </c>
      <c r="C30" s="41" t="s">
        <v>60</v>
      </c>
      <c r="D30" s="41" t="s">
        <v>90</v>
      </c>
      <c r="E30" s="41" t="s">
        <v>68</v>
      </c>
      <c r="F30" s="264">
        <v>1</v>
      </c>
      <c r="G30" s="279">
        <f>SUMIFS(Rail!S:S,Rail!$B:$B,'Emissions Data'!$B30,Rail!$C:$C,'Emissions Data'!$F30,Rail!$D:$D,'Emissions Data'!$C30)</f>
        <v>6.8063207648136503E-2</v>
      </c>
      <c r="H30" s="279">
        <f>SUMIFS(Rail!T:T,Rail!$B:$B,'Emissions Data'!$B30,Rail!$C:$C,'Emissions Data'!$F30,Rail!$D:$D,'Emissions Data'!$C30)</f>
        <v>1.493257444973808E-4</v>
      </c>
      <c r="I30" s="279">
        <f>SUMIFS(Rail!U:U,Rail!$B:$B,'Emissions Data'!$B30,Rail!$C:$C,'Emissions Data'!$F30,Rail!$D:$D,'Emissions Data'!$C30)</f>
        <v>4.5930999088703294E-4</v>
      </c>
      <c r="J30" s="279"/>
      <c r="K30" s="279"/>
      <c r="L30" s="279"/>
      <c r="M30" s="279"/>
      <c r="N30" s="280">
        <f t="shared" si="0"/>
        <v>6.867184338352092E-2</v>
      </c>
      <c r="O30" s="279"/>
    </row>
    <row r="31" spans="1:15" x14ac:dyDescent="0.15">
      <c r="A31" s="265">
        <v>24</v>
      </c>
      <c r="B31" s="44">
        <v>2010</v>
      </c>
      <c r="C31" s="41" t="s">
        <v>60</v>
      </c>
      <c r="D31" s="41" t="s">
        <v>90</v>
      </c>
      <c r="E31" s="41" t="s">
        <v>68</v>
      </c>
      <c r="F31" s="264">
        <v>2</v>
      </c>
      <c r="G31" s="279">
        <f>SUMIFS(Rail!S:S,Rail!$B:$B,'Emissions Data'!$B31,Rail!$C:$C,'Emissions Data'!$F31,Rail!$D:$D,'Emissions Data'!$C31)</f>
        <v>7.4529887783128688E-3</v>
      </c>
      <c r="H31" s="279">
        <f>SUMIFS(Rail!T:T,Rail!$B:$B,'Emissions Data'!$B31,Rail!$C:$C,'Emissions Data'!$F31,Rail!$D:$D,'Emissions Data'!$C31)</f>
        <v>3.3451440310626636E-6</v>
      </c>
      <c r="I31" s="279">
        <f>SUMIFS(Rail!U:U,Rail!$B:$B,'Emissions Data'!$B31,Rail!$C:$C,'Emissions Data'!$F31,Rail!$D:$D,'Emissions Data'!$C31)</f>
        <v>4.3053303402143344E-5</v>
      </c>
      <c r="J31" s="279"/>
      <c r="K31" s="279"/>
      <c r="L31" s="279"/>
      <c r="M31" s="279"/>
      <c r="N31" s="280">
        <f t="shared" si="0"/>
        <v>7.4993872257460743E-3</v>
      </c>
      <c r="O31" s="279"/>
    </row>
    <row r="32" spans="1:15" x14ac:dyDescent="0.15">
      <c r="A32" s="265">
        <v>25</v>
      </c>
      <c r="B32" s="44">
        <v>2010</v>
      </c>
      <c r="C32" s="41" t="s">
        <v>60</v>
      </c>
      <c r="D32" s="41" t="s">
        <v>90</v>
      </c>
      <c r="E32" s="41" t="s">
        <v>91</v>
      </c>
      <c r="F32" s="264">
        <v>1</v>
      </c>
      <c r="G32" s="279">
        <f>SUMIFS(Waterborne!Q:Q,Waterborne!$B:$B,'Emissions Data'!$B32,Waterborne!$C:$C,'Emissions Data'!$F32,Waterborne!$D:$D,'Emissions Data'!$C32)</f>
        <v>9.9896179015625426E-4</v>
      </c>
      <c r="H32" s="279">
        <f>SUMIFS(Waterborne!R:R,Waterborne!$B:$B,'Emissions Data'!$B32,Waterborne!$C:$C,'Emissions Data'!$F32,Waterborne!$D:$D,'Emissions Data'!$C32)</f>
        <v>1.3062682089417265E-5</v>
      </c>
      <c r="I32" s="279">
        <f>SUMIFS(Waterborne!S:S,Waterborne!$B:$B,'Emissions Data'!$B32,Waterborne!$C:$C,'Emissions Data'!$F32,Waterborne!$D:$D,'Emissions Data'!$C32)</f>
        <v>7.953645660547625E-6</v>
      </c>
      <c r="J32" s="279"/>
      <c r="K32" s="279"/>
      <c r="L32" s="279"/>
      <c r="M32" s="279"/>
      <c r="N32" s="280">
        <f t="shared" si="0"/>
        <v>1.019978117906219E-3</v>
      </c>
      <c r="O32" s="279"/>
    </row>
    <row r="33" spans="1:15" x14ac:dyDescent="0.15">
      <c r="A33" s="265">
        <v>26</v>
      </c>
      <c r="B33" s="44">
        <v>2010</v>
      </c>
      <c r="C33" s="41" t="s">
        <v>60</v>
      </c>
      <c r="D33" s="41" t="s">
        <v>90</v>
      </c>
      <c r="E33" s="41" t="s">
        <v>91</v>
      </c>
      <c r="F33" s="264">
        <v>2</v>
      </c>
      <c r="G33" s="279">
        <f>SUMIFS(Waterborne!Q:Q,Waterborne!$B:$B,'Emissions Data'!$B33,Waterborne!$C:$C,'Emissions Data'!$F33,Waterborne!$D:$D,'Emissions Data'!$C33)</f>
        <v>0</v>
      </c>
      <c r="H33" s="279">
        <f>SUMIFS(Waterborne!R:R,Waterborne!$B:$B,'Emissions Data'!$B33,Waterborne!$C:$C,'Emissions Data'!$F33,Waterborne!$D:$D,'Emissions Data'!$C33)</f>
        <v>0</v>
      </c>
      <c r="I33" s="279">
        <f>SUMIFS(Waterborne!S:S,Waterborne!$B:$B,'Emissions Data'!$B33,Waterborne!$C:$C,'Emissions Data'!$F33,Waterborne!$D:$D,'Emissions Data'!$C33)</f>
        <v>0</v>
      </c>
      <c r="J33" s="279"/>
      <c r="K33" s="279"/>
      <c r="L33" s="279"/>
      <c r="M33" s="279"/>
      <c r="N33" s="280">
        <f t="shared" si="0"/>
        <v>0</v>
      </c>
      <c r="O33" s="279"/>
    </row>
    <row r="34" spans="1:15" x14ac:dyDescent="0.15">
      <c r="A34" s="265">
        <v>27</v>
      </c>
      <c r="B34" s="44">
        <v>2010</v>
      </c>
      <c r="C34" s="41" t="s">
        <v>60</v>
      </c>
      <c r="D34" s="41" t="s">
        <v>90</v>
      </c>
      <c r="E34" s="41" t="s">
        <v>23</v>
      </c>
      <c r="F34" s="264">
        <v>1</v>
      </c>
      <c r="G34" s="279">
        <f>SUMIFS(Aviation!N:N,Aviation!$B:$B,'Emissions Data'!$B34,Aviation!$C:$C,'Emissions Data'!$F34,Aviation!$D:$D,'Emissions Data'!$C34)</f>
        <v>0</v>
      </c>
      <c r="H34" s="279">
        <f>SUMIFS(Aviation!O:O,Aviation!$B:$B,'Emissions Data'!$B34,Aviation!$C:$C,'Emissions Data'!$F34,Aviation!$D:$D,'Emissions Data'!$C34)</f>
        <v>0</v>
      </c>
      <c r="I34" s="279">
        <f>SUMIFS(Aviation!P:P,Aviation!$B:$B,'Emissions Data'!$B34,Aviation!$C:$C,'Emissions Data'!$F34,Aviation!$D:$D,'Emissions Data'!$C34)</f>
        <v>0</v>
      </c>
      <c r="J34" s="279"/>
      <c r="K34" s="279"/>
      <c r="L34" s="279"/>
      <c r="M34" s="279"/>
      <c r="N34" s="280">
        <f t="shared" si="0"/>
        <v>0</v>
      </c>
      <c r="O34" s="279"/>
    </row>
    <row r="35" spans="1:15" x14ac:dyDescent="0.15">
      <c r="A35" s="265">
        <v>28</v>
      </c>
      <c r="B35" s="44">
        <v>2010</v>
      </c>
      <c r="C35" s="41" t="s">
        <v>60</v>
      </c>
      <c r="D35" s="41" t="s">
        <v>90</v>
      </c>
      <c r="E35" s="41" t="s">
        <v>23</v>
      </c>
      <c r="F35" s="264">
        <v>2</v>
      </c>
      <c r="G35" s="279">
        <f>SUMIFS(Aviation!N:N,Aviation!$B:$B,'Emissions Data'!$B35,Aviation!$C:$C,'Emissions Data'!$F35,Aviation!$D:$D,'Emissions Data'!$C35)</f>
        <v>0</v>
      </c>
      <c r="H35" s="279">
        <f>SUMIFS(Aviation!O:O,Aviation!$B:$B,'Emissions Data'!$B35,Aviation!$C:$C,'Emissions Data'!$F35,Aviation!$D:$D,'Emissions Data'!$C35)</f>
        <v>0</v>
      </c>
      <c r="I35" s="279">
        <f>SUMIFS(Aviation!P:P,Aviation!$B:$B,'Emissions Data'!$B35,Aviation!$C:$C,'Emissions Data'!$F35,Aviation!$D:$D,'Emissions Data'!$C35)</f>
        <v>0</v>
      </c>
      <c r="J35" s="279"/>
      <c r="K35" s="279"/>
      <c r="L35" s="279"/>
      <c r="M35" s="279"/>
      <c r="N35" s="280">
        <f t="shared" si="0"/>
        <v>0</v>
      </c>
      <c r="O35" s="279"/>
    </row>
    <row r="36" spans="1:15" x14ac:dyDescent="0.15">
      <c r="A36" s="265">
        <v>29</v>
      </c>
      <c r="B36" s="44">
        <v>2010</v>
      </c>
      <c r="C36" s="41" t="s">
        <v>60</v>
      </c>
      <c r="D36" s="41" t="s">
        <v>90</v>
      </c>
      <c r="E36" s="41" t="s">
        <v>25</v>
      </c>
      <c r="F36" s="264">
        <v>1</v>
      </c>
      <c r="G36" s="279">
        <f>SUMIFS('Off-road'!O:O,'Off-road'!$B:$B,'Emissions Data'!$B36,'Off-road'!$C:$C,'Emissions Data'!$F36,'Off-road'!$D:$D,'Emissions Data'!$C36)</f>
        <v>0.47638234759078124</v>
      </c>
      <c r="H36" s="279">
        <f>SUMIFS('Off-road'!P:P,'Off-road'!$B:$B,'Emissions Data'!$B36,'Off-road'!$C:$C,'Emissions Data'!$F36,'Off-road'!$D:$D,'Emissions Data'!$C36)</f>
        <v>1.2385498819379575E-2</v>
      </c>
      <c r="I36" s="279">
        <f>SUMIFS('Off-road'!Q:Q,'Off-road'!$B:$B,'Emissions Data'!$B36,'Off-road'!$C:$C,'Emissions Data'!$F36,'Off-road'!$D:$D,'Emissions Data'!$C36)</f>
        <v>1.5088152952545722E-2</v>
      </c>
      <c r="J36" s="279"/>
      <c r="K36" s="279"/>
      <c r="L36" s="279"/>
      <c r="M36" s="279"/>
      <c r="N36" s="280">
        <f t="shared" si="0"/>
        <v>0.50385599936270653</v>
      </c>
      <c r="O36" s="279"/>
    </row>
    <row r="37" spans="1:15" x14ac:dyDescent="0.15">
      <c r="A37" s="265">
        <v>30</v>
      </c>
      <c r="B37" s="44">
        <v>2010</v>
      </c>
      <c r="C37" s="41" t="s">
        <v>60</v>
      </c>
      <c r="D37" s="41" t="s">
        <v>90</v>
      </c>
      <c r="E37" s="41" t="s">
        <v>25</v>
      </c>
      <c r="F37" s="264">
        <v>2</v>
      </c>
      <c r="G37" s="279">
        <f>SUMIFS('Off-road'!O:O,'Off-road'!$B:$B,'Emissions Data'!$B37,'Off-road'!$C:$C,'Emissions Data'!$F37,'Off-road'!$D:$D,'Emissions Data'!$C37)</f>
        <v>0</v>
      </c>
      <c r="H37" s="279">
        <f>SUMIFS('Off-road'!P:P,'Off-road'!$B:$B,'Emissions Data'!$B37,'Off-road'!$C:$C,'Emissions Data'!$F37,'Off-road'!$D:$D,'Emissions Data'!$C37)</f>
        <v>0</v>
      </c>
      <c r="I37" s="279">
        <f>SUMIFS('Off-road'!Q:Q,'Off-road'!$B:$B,'Emissions Data'!$B37,'Off-road'!$C:$C,'Emissions Data'!$F37,'Off-road'!$D:$D,'Emissions Data'!$C37)</f>
        <v>0</v>
      </c>
      <c r="J37" s="279"/>
      <c r="K37" s="279"/>
      <c r="L37" s="279"/>
      <c r="M37" s="279"/>
      <c r="N37" s="280">
        <f t="shared" si="0"/>
        <v>0</v>
      </c>
      <c r="O37" s="279"/>
    </row>
    <row r="38" spans="1:15" x14ac:dyDescent="0.15">
      <c r="A38" s="265">
        <v>31</v>
      </c>
      <c r="B38" s="44">
        <v>2010</v>
      </c>
      <c r="C38" s="41" t="s">
        <v>61</v>
      </c>
      <c r="D38" s="41" t="s">
        <v>90</v>
      </c>
      <c r="E38" s="41" t="s">
        <v>17</v>
      </c>
      <c r="F38" s="264">
        <v>1</v>
      </c>
      <c r="G38" s="279">
        <f>SUMIFS('On-road'!N:N,'On-road'!$B:$B,'Emissions Data'!$B38,'On-road'!$C:$C,'Emissions Data'!$F38,'On-road'!$D:$D,'Emissions Data'!$C38)</f>
        <v>0.43418363335938281</v>
      </c>
      <c r="H38" s="279">
        <f>SUMIFS('On-road'!O:O,'On-road'!$B:$B,'Emissions Data'!$B38,'On-road'!$C:$C,'Emissions Data'!$F38,'On-road'!$D:$D,'Emissions Data'!$C38)</f>
        <v>6.7151494628919848E-4</v>
      </c>
      <c r="I38" s="279">
        <f>SUMIFS('On-road'!P:P,'On-road'!$B:$B,'Emissions Data'!$B38,'On-road'!$C:$C,'Emissions Data'!$F38,'On-road'!$D:$D,'Emissions Data'!$C38)</f>
        <v>6.0810301212140174E-3</v>
      </c>
      <c r="J38" s="279"/>
      <c r="K38" s="279"/>
      <c r="L38" s="279"/>
      <c r="M38" s="279"/>
      <c r="N38" s="280">
        <f t="shared" si="0"/>
        <v>0.44093617842688604</v>
      </c>
      <c r="O38" s="279"/>
    </row>
    <row r="39" spans="1:15" x14ac:dyDescent="0.15">
      <c r="A39" s="265">
        <v>32</v>
      </c>
      <c r="B39" s="44">
        <v>2010</v>
      </c>
      <c r="C39" s="41" t="s">
        <v>61</v>
      </c>
      <c r="D39" s="41" t="s">
        <v>90</v>
      </c>
      <c r="E39" s="41" t="s">
        <v>17</v>
      </c>
      <c r="F39" s="264">
        <v>2</v>
      </c>
      <c r="G39" s="279">
        <f>SUMIFS('On-road'!N:N,'On-road'!$B:$B,'Emissions Data'!$B39,'On-road'!$C:$C,'Emissions Data'!$F39,'On-road'!$D:$D,'Emissions Data'!$C39)</f>
        <v>1.2032222875507154E-6</v>
      </c>
      <c r="H39" s="279">
        <f>SUMIFS('On-road'!O:O,'On-road'!$B:$B,'Emissions Data'!$B39,'On-road'!$C:$C,'Emissions Data'!$F39,'On-road'!$D:$D,'Emissions Data'!$C39)</f>
        <v>5.4004533925421637E-10</v>
      </c>
      <c r="I39" s="279">
        <f>SUMIFS('On-road'!P:P,'On-road'!$B:$B,'Emissions Data'!$B39,'On-road'!$C:$C,'Emissions Data'!$F39,'On-road'!$D:$D,'Emissions Data'!$C39)</f>
        <v>6.9505933454348331E-9</v>
      </c>
      <c r="J39" s="279"/>
      <c r="K39" s="279"/>
      <c r="L39" s="279"/>
      <c r="M39" s="279"/>
      <c r="N39" s="280">
        <f t="shared" si="0"/>
        <v>1.2107129262354044E-6</v>
      </c>
      <c r="O39" s="279"/>
    </row>
    <row r="40" spans="1:15" x14ac:dyDescent="0.15">
      <c r="A40" s="265">
        <v>33</v>
      </c>
      <c r="B40" s="44">
        <v>2010</v>
      </c>
      <c r="C40" s="41" t="s">
        <v>61</v>
      </c>
      <c r="D40" s="41" t="s">
        <v>90</v>
      </c>
      <c r="E40" s="41" t="s">
        <v>68</v>
      </c>
      <c r="F40" s="264">
        <v>1</v>
      </c>
      <c r="G40" s="279">
        <f>SUMIFS(Rail!S:S,Rail!$B:$B,'Emissions Data'!$B40,Rail!$C:$C,'Emissions Data'!$F40,Rail!$D:$D,'Emissions Data'!$C40)</f>
        <v>7.9763929584781637E-3</v>
      </c>
      <c r="H40" s="279">
        <f>SUMIFS(Rail!T:T,Rail!$B:$B,'Emissions Data'!$B40,Rail!$C:$C,'Emissions Data'!$F40,Rail!$D:$D,'Emissions Data'!$C40)</f>
        <v>1.7499628038189115E-5</v>
      </c>
      <c r="I40" s="279">
        <f>SUMIFS(Rail!U:U,Rail!$B:$B,'Emissions Data'!$B40,Rail!$C:$C,'Emissions Data'!$F40,Rail!$D:$D,'Emissions Data'!$C40)</f>
        <v>5.3826980885322777E-5</v>
      </c>
      <c r="J40" s="279"/>
      <c r="K40" s="279"/>
      <c r="L40" s="279"/>
      <c r="M40" s="279"/>
      <c r="N40" s="280">
        <f t="shared" si="0"/>
        <v>8.047719567401676E-3</v>
      </c>
      <c r="O40" s="279"/>
    </row>
    <row r="41" spans="1:15" x14ac:dyDescent="0.15">
      <c r="A41" s="265">
        <v>34</v>
      </c>
      <c r="B41" s="44">
        <v>2010</v>
      </c>
      <c r="C41" s="41" t="s">
        <v>61</v>
      </c>
      <c r="D41" s="41" t="s">
        <v>90</v>
      </c>
      <c r="E41" s="41" t="s">
        <v>68</v>
      </c>
      <c r="F41" s="264">
        <v>2</v>
      </c>
      <c r="G41" s="279">
        <f>SUMIFS(Rail!S:S,Rail!$B:$B,'Emissions Data'!$B41,Rail!$C:$C,'Emissions Data'!$F41,Rail!$D:$D,'Emissions Data'!$C41)</f>
        <v>0</v>
      </c>
      <c r="H41" s="279">
        <f>SUMIFS(Rail!T:T,Rail!$B:$B,'Emissions Data'!$B41,Rail!$C:$C,'Emissions Data'!$F41,Rail!$D:$D,'Emissions Data'!$C41)</f>
        <v>0</v>
      </c>
      <c r="I41" s="279">
        <f>SUMIFS(Rail!U:U,Rail!$B:$B,'Emissions Data'!$B41,Rail!$C:$C,'Emissions Data'!$F41,Rail!$D:$D,'Emissions Data'!$C41)</f>
        <v>0</v>
      </c>
      <c r="J41" s="279"/>
      <c r="K41" s="279"/>
      <c r="L41" s="279"/>
      <c r="M41" s="279"/>
      <c r="N41" s="280">
        <f t="shared" si="0"/>
        <v>0</v>
      </c>
      <c r="O41" s="279"/>
    </row>
    <row r="42" spans="1:15" x14ac:dyDescent="0.15">
      <c r="A42" s="265">
        <v>35</v>
      </c>
      <c r="B42" s="44">
        <v>2010</v>
      </c>
      <c r="C42" s="41" t="s">
        <v>61</v>
      </c>
      <c r="D42" s="41" t="s">
        <v>90</v>
      </c>
      <c r="E42" s="41" t="s">
        <v>91</v>
      </c>
      <c r="F42" s="264">
        <v>1</v>
      </c>
      <c r="G42" s="279">
        <f>SUMIFS(Waterborne!Q:Q,Waterborne!$B:$B,'Emissions Data'!$B42,Waterborne!$C:$C,'Emissions Data'!$F42,Waterborne!$D:$D,'Emissions Data'!$C42)</f>
        <v>8.3246809133937145E-4</v>
      </c>
      <c r="H42" s="279">
        <f>SUMIFS(Waterborne!R:R,Waterborne!$B:$B,'Emissions Data'!$B42,Waterborne!$C:$C,'Emissions Data'!$F42,Waterborne!$D:$D,'Emissions Data'!$C42)</f>
        <v>1.0885568890757071E-5</v>
      </c>
      <c r="I42" s="279">
        <f>SUMIFS(Waterborne!S:S,Waterborne!$B:$B,'Emissions Data'!$B42,Waterborne!$C:$C,'Emissions Data'!$F42,Waterborne!$D:$D,'Emissions Data'!$C42)</f>
        <v>6.6280369578384178E-6</v>
      </c>
      <c r="J42" s="279"/>
      <c r="K42" s="279"/>
      <c r="L42" s="279"/>
      <c r="M42" s="279"/>
      <c r="N42" s="280">
        <f t="shared" si="0"/>
        <v>8.4998169718796695E-4</v>
      </c>
      <c r="O42" s="279"/>
    </row>
    <row r="43" spans="1:15" x14ac:dyDescent="0.15">
      <c r="A43" s="265">
        <v>36</v>
      </c>
      <c r="B43" s="44">
        <v>2010</v>
      </c>
      <c r="C43" s="41" t="s">
        <v>61</v>
      </c>
      <c r="D43" s="41" t="s">
        <v>90</v>
      </c>
      <c r="E43" s="41" t="s">
        <v>91</v>
      </c>
      <c r="F43" s="264">
        <v>2</v>
      </c>
      <c r="G43" s="279">
        <f>SUMIFS(Waterborne!Q:Q,Waterborne!$B:$B,'Emissions Data'!$B43,Waterborne!$C:$C,'Emissions Data'!$F43,Waterborne!$D:$D,'Emissions Data'!$C43)</f>
        <v>0</v>
      </c>
      <c r="H43" s="279">
        <f>SUMIFS(Waterborne!R:R,Waterborne!$B:$B,'Emissions Data'!$B43,Waterborne!$C:$C,'Emissions Data'!$F43,Waterborne!$D:$D,'Emissions Data'!$C43)</f>
        <v>0</v>
      </c>
      <c r="I43" s="279">
        <f>SUMIFS(Waterborne!S:S,Waterborne!$B:$B,'Emissions Data'!$B43,Waterborne!$C:$C,'Emissions Data'!$F43,Waterborne!$D:$D,'Emissions Data'!$C43)</f>
        <v>0</v>
      </c>
      <c r="J43" s="279"/>
      <c r="K43" s="279"/>
      <c r="L43" s="279"/>
      <c r="M43" s="279"/>
      <c r="N43" s="280">
        <f t="shared" si="0"/>
        <v>0</v>
      </c>
      <c r="O43" s="279"/>
    </row>
    <row r="44" spans="1:15" x14ac:dyDescent="0.15">
      <c r="A44" s="265">
        <v>37</v>
      </c>
      <c r="B44" s="44">
        <v>2010</v>
      </c>
      <c r="C44" s="41" t="s">
        <v>61</v>
      </c>
      <c r="D44" s="41" t="s">
        <v>90</v>
      </c>
      <c r="E44" s="41" t="s">
        <v>23</v>
      </c>
      <c r="F44" s="264">
        <v>1</v>
      </c>
      <c r="G44" s="279">
        <f>SUMIFS(Aviation!N:N,Aviation!$B:$B,'Emissions Data'!$B44,Aviation!$C:$C,'Emissions Data'!$F44,Aviation!$D:$D,'Emissions Data'!$C44)</f>
        <v>0</v>
      </c>
      <c r="H44" s="279">
        <f>SUMIFS(Aviation!O:O,Aviation!$B:$B,'Emissions Data'!$B44,Aviation!$C:$C,'Emissions Data'!$F44,Aviation!$D:$D,'Emissions Data'!$C44)</f>
        <v>0</v>
      </c>
      <c r="I44" s="279">
        <f>SUMIFS(Aviation!P:P,Aviation!$B:$B,'Emissions Data'!$B44,Aviation!$C:$C,'Emissions Data'!$F44,Aviation!$D:$D,'Emissions Data'!$C44)</f>
        <v>0</v>
      </c>
      <c r="J44" s="279"/>
      <c r="K44" s="279"/>
      <c r="L44" s="279"/>
      <c r="M44" s="279"/>
      <c r="N44" s="280">
        <f t="shared" si="0"/>
        <v>0</v>
      </c>
      <c r="O44" s="279"/>
    </row>
    <row r="45" spans="1:15" x14ac:dyDescent="0.15">
      <c r="A45" s="265">
        <v>38</v>
      </c>
      <c r="B45" s="44">
        <v>2010</v>
      </c>
      <c r="C45" s="41" t="s">
        <v>61</v>
      </c>
      <c r="D45" s="41" t="s">
        <v>90</v>
      </c>
      <c r="E45" s="41" t="s">
        <v>23</v>
      </c>
      <c r="F45" s="264">
        <v>2</v>
      </c>
      <c r="G45" s="279">
        <f>SUMIFS(Aviation!N:N,Aviation!$B:$B,'Emissions Data'!$B45,Aviation!$C:$C,'Emissions Data'!$F45,Aviation!$D:$D,'Emissions Data'!$C45)</f>
        <v>0</v>
      </c>
      <c r="H45" s="279">
        <f>SUMIFS(Aviation!O:O,Aviation!$B:$B,'Emissions Data'!$B45,Aviation!$C:$C,'Emissions Data'!$F45,Aviation!$D:$D,'Emissions Data'!$C45)</f>
        <v>0</v>
      </c>
      <c r="I45" s="279">
        <f>SUMIFS(Aviation!P:P,Aviation!$B:$B,'Emissions Data'!$B45,Aviation!$C:$C,'Emissions Data'!$F45,Aviation!$D:$D,'Emissions Data'!$C45)</f>
        <v>0</v>
      </c>
      <c r="J45" s="279"/>
      <c r="K45" s="279"/>
      <c r="L45" s="279"/>
      <c r="M45" s="279"/>
      <c r="N45" s="280">
        <f t="shared" si="0"/>
        <v>0</v>
      </c>
      <c r="O45" s="279"/>
    </row>
    <row r="46" spans="1:15" x14ac:dyDescent="0.15">
      <c r="A46" s="265">
        <v>39</v>
      </c>
      <c r="B46" s="44">
        <v>2010</v>
      </c>
      <c r="C46" s="41" t="s">
        <v>61</v>
      </c>
      <c r="D46" s="41" t="s">
        <v>90</v>
      </c>
      <c r="E46" s="41" t="s">
        <v>25</v>
      </c>
      <c r="F46" s="264">
        <v>1</v>
      </c>
      <c r="G46" s="279">
        <f>SUMIFS('Off-road'!O:O,'Off-road'!$B:$B,'Emissions Data'!$B46,'Off-road'!$C:$C,'Emissions Data'!$F46,'Off-road'!$D:$D,'Emissions Data'!$C46)</f>
        <v>8.0706601958696417E-2</v>
      </c>
      <c r="H46" s="279">
        <f>SUMIFS('Off-road'!P:P,'Off-road'!$B:$B,'Emissions Data'!$B46,'Off-road'!$C:$C,'Emissions Data'!$F46,'Off-road'!$D:$D,'Emissions Data'!$C46)</f>
        <v>8.9937992316003698E-4</v>
      </c>
      <c r="I46" s="279">
        <f>SUMIFS('Off-road'!Q:Q,'Off-road'!$B:$B,'Emissions Data'!$B46,'Off-road'!$C:$C,'Emissions Data'!$F46,'Off-road'!$D:$D,'Emissions Data'!$C46)</f>
        <v>1.9517923711965019E-3</v>
      </c>
      <c r="J46" s="279"/>
      <c r="K46" s="279"/>
      <c r="L46" s="279"/>
      <c r="M46" s="279"/>
      <c r="N46" s="280">
        <f t="shared" si="0"/>
        <v>8.3557774253052955E-2</v>
      </c>
      <c r="O46" s="279"/>
    </row>
    <row r="47" spans="1:15" x14ac:dyDescent="0.15">
      <c r="A47" s="265">
        <v>40</v>
      </c>
      <c r="B47" s="44">
        <v>2010</v>
      </c>
      <c r="C47" s="41" t="s">
        <v>61</v>
      </c>
      <c r="D47" s="41" t="s">
        <v>90</v>
      </c>
      <c r="E47" s="41" t="s">
        <v>25</v>
      </c>
      <c r="F47" s="264">
        <v>2</v>
      </c>
      <c r="G47" s="279">
        <f>SUMIFS('Off-road'!O:O,'Off-road'!$B:$B,'Emissions Data'!$B47,'Off-road'!$C:$C,'Emissions Data'!$F47,'Off-road'!$D:$D,'Emissions Data'!$C47)</f>
        <v>0</v>
      </c>
      <c r="H47" s="279">
        <f>SUMIFS('Off-road'!P:P,'Off-road'!$B:$B,'Emissions Data'!$B47,'Off-road'!$C:$C,'Emissions Data'!$F47,'Off-road'!$D:$D,'Emissions Data'!$C47)</f>
        <v>0</v>
      </c>
      <c r="I47" s="279">
        <f>SUMIFS('Off-road'!Q:Q,'Off-road'!$B:$B,'Emissions Data'!$B47,'Off-road'!$C:$C,'Emissions Data'!$F47,'Off-road'!$D:$D,'Emissions Data'!$C47)</f>
        <v>0</v>
      </c>
      <c r="J47" s="279"/>
      <c r="K47" s="279"/>
      <c r="L47" s="279"/>
      <c r="M47" s="279"/>
      <c r="N47" s="280">
        <f t="shared" si="0"/>
        <v>0</v>
      </c>
      <c r="O47" s="279"/>
    </row>
    <row r="48" spans="1:15" x14ac:dyDescent="0.15">
      <c r="A48" s="265">
        <v>41</v>
      </c>
      <c r="B48" s="44">
        <v>2010</v>
      </c>
      <c r="C48" s="41" t="s">
        <v>62</v>
      </c>
      <c r="D48" s="41" t="s">
        <v>90</v>
      </c>
      <c r="E48" s="41" t="s">
        <v>17</v>
      </c>
      <c r="F48" s="264">
        <v>1</v>
      </c>
      <c r="G48" s="279">
        <f>SUMIFS('On-road'!N:N,'On-road'!$B:$B,'Emissions Data'!$B48,'On-road'!$C:$C,'Emissions Data'!$F48,'On-road'!$D:$D,'Emissions Data'!$C48)</f>
        <v>1.9694679516073861</v>
      </c>
      <c r="H48" s="279">
        <f>SUMIFS('On-road'!O:O,'On-road'!$B:$B,'Emissions Data'!$B48,'On-road'!$C:$C,'Emissions Data'!$F48,'On-road'!$D:$D,'Emissions Data'!$C48)</f>
        <v>2.9446636700537266E-3</v>
      </c>
      <c r="I48" s="279">
        <f>SUMIFS('On-road'!P:P,'On-road'!$B:$B,'Emissions Data'!$B48,'On-road'!$C:$C,'Emissions Data'!$F48,'On-road'!$D:$D,'Emissions Data'!$C48)</f>
        <v>2.6592826017307756E-2</v>
      </c>
      <c r="J48" s="279"/>
      <c r="K48" s="279"/>
      <c r="L48" s="279"/>
      <c r="M48" s="279"/>
      <c r="N48" s="280">
        <f t="shared" si="0"/>
        <v>1.9990054412947476</v>
      </c>
      <c r="O48" s="279"/>
    </row>
    <row r="49" spans="1:15" x14ac:dyDescent="0.15">
      <c r="A49" s="265">
        <v>42</v>
      </c>
      <c r="B49" s="44">
        <v>2010</v>
      </c>
      <c r="C49" s="41" t="s">
        <v>62</v>
      </c>
      <c r="D49" s="41" t="s">
        <v>90</v>
      </c>
      <c r="E49" s="41" t="s">
        <v>17</v>
      </c>
      <c r="F49" s="264">
        <v>2</v>
      </c>
      <c r="G49" s="279">
        <f>SUMIFS('On-road'!N:N,'On-road'!$B:$B,'Emissions Data'!$B49,'On-road'!$C:$C,'Emissions Data'!$F49,'On-road'!$D:$D,'Emissions Data'!$C49)</f>
        <v>6.4380479184523846E-6</v>
      </c>
      <c r="H49" s="279">
        <f>SUMIFS('On-road'!O:O,'On-road'!$B:$B,'Emissions Data'!$B49,'On-road'!$C:$C,'Emissions Data'!$F49,'On-road'!$D:$D,'Emissions Data'!$C49)</f>
        <v>2.8896055269496255E-9</v>
      </c>
      <c r="I49" s="279">
        <f>SUMIFS('On-road'!P:P,'On-road'!$B:$B,'Emissions Data'!$B49,'On-road'!$C:$C,'Emissions Data'!$F49,'On-road'!$D:$D,'Emissions Data'!$C49)</f>
        <v>3.719034585926385E-8</v>
      </c>
      <c r="J49" s="279"/>
      <c r="K49" s="279"/>
      <c r="L49" s="279"/>
      <c r="M49" s="279"/>
      <c r="N49" s="280">
        <f t="shared" si="0"/>
        <v>6.4781278698385974E-6</v>
      </c>
      <c r="O49" s="279"/>
    </row>
    <row r="50" spans="1:15" x14ac:dyDescent="0.15">
      <c r="A50" s="265">
        <v>43</v>
      </c>
      <c r="B50" s="44">
        <v>2010</v>
      </c>
      <c r="C50" s="41" t="s">
        <v>62</v>
      </c>
      <c r="D50" s="41" t="s">
        <v>90</v>
      </c>
      <c r="E50" s="41" t="s">
        <v>68</v>
      </c>
      <c r="F50" s="264">
        <v>1</v>
      </c>
      <c r="G50" s="279">
        <f>SUMIFS(Rail!S:S,Rail!$B:$B,'Emissions Data'!$B50,Rail!$C:$C,'Emissions Data'!$F50,Rail!$D:$D,'Emissions Data'!$C50)</f>
        <v>3.192201135654868E-2</v>
      </c>
      <c r="H50" s="279">
        <f>SUMIFS(Rail!T:T,Rail!$B:$B,'Emissions Data'!$B50,Rail!$C:$C,'Emissions Data'!$F50,Rail!$D:$D,'Emissions Data'!$C50)</f>
        <v>7.0034579273916785E-5</v>
      </c>
      <c r="I50" s="279">
        <f>SUMIFS(Rail!U:U,Rail!$B:$B,'Emissions Data'!$B50,Rail!$C:$C,'Emissions Data'!$F50,Rail!$D:$D,'Emissions Data'!$C50)</f>
        <v>2.1541886214164585E-4</v>
      </c>
      <c r="J50" s="279"/>
      <c r="K50" s="279"/>
      <c r="L50" s="279"/>
      <c r="M50" s="279"/>
      <c r="N50" s="280">
        <f t="shared" si="0"/>
        <v>3.2207464797964241E-2</v>
      </c>
      <c r="O50" s="279"/>
    </row>
    <row r="51" spans="1:15" x14ac:dyDescent="0.15">
      <c r="A51" s="265">
        <v>44</v>
      </c>
      <c r="B51" s="44">
        <v>2010</v>
      </c>
      <c r="C51" s="41" t="s">
        <v>62</v>
      </c>
      <c r="D51" s="41" t="s">
        <v>90</v>
      </c>
      <c r="E51" s="41" t="s">
        <v>68</v>
      </c>
      <c r="F51" s="264">
        <v>2</v>
      </c>
      <c r="G51" s="279">
        <f>SUMIFS(Rail!S:S,Rail!$B:$B,'Emissions Data'!$B51,Rail!$C:$C,'Emissions Data'!$F51,Rail!$D:$D,'Emissions Data'!$C51)</f>
        <v>1.2543277441517265E-3</v>
      </c>
      <c r="H51" s="279">
        <f>SUMIFS(Rail!T:T,Rail!$B:$B,'Emissions Data'!$B51,Rail!$C:$C,'Emissions Data'!$F51,Rail!$D:$D,'Emissions Data'!$C51)</f>
        <v>5.6298313215698555E-7</v>
      </c>
      <c r="I51" s="279">
        <f>SUMIFS(Rail!U:U,Rail!$B:$B,'Emissions Data'!$B51,Rail!$C:$C,'Emissions Data'!$F51,Rail!$D:$D,'Emissions Data'!$C51)</f>
        <v>7.2458116523442482E-6</v>
      </c>
      <c r="J51" s="279"/>
      <c r="K51" s="279"/>
      <c r="L51" s="279"/>
      <c r="M51" s="279"/>
      <c r="N51" s="280">
        <f t="shared" si="0"/>
        <v>1.2621365389362278E-3</v>
      </c>
      <c r="O51" s="279"/>
    </row>
    <row r="52" spans="1:15" x14ac:dyDescent="0.15">
      <c r="A52" s="265">
        <v>45</v>
      </c>
      <c r="B52" s="44">
        <v>2010</v>
      </c>
      <c r="C52" s="41" t="s">
        <v>62</v>
      </c>
      <c r="D52" s="41" t="s">
        <v>90</v>
      </c>
      <c r="E52" s="41" t="s">
        <v>91</v>
      </c>
      <c r="F52" s="264">
        <v>1</v>
      </c>
      <c r="G52" s="279">
        <f>SUMIFS(Waterborne!Q:Q,Waterborne!$B:$B,'Emissions Data'!$B52,Waterborne!$C:$C,'Emissions Data'!$F52,Waterborne!$D:$D,'Emissions Data'!$C52)</f>
        <v>1.4984432878853821E-3</v>
      </c>
      <c r="H52" s="279">
        <f>SUMIFS(Waterborne!R:R,Waterborne!$B:$B,'Emissions Data'!$B52,Waterborne!$C:$C,'Emissions Data'!$F52,Waterborne!$D:$D,'Emissions Data'!$C52)</f>
        <v>1.9594031413520025E-5</v>
      </c>
      <c r="I52" s="279">
        <f>SUMIFS(Waterborne!S:S,Waterborne!$B:$B,'Emissions Data'!$B52,Waterborne!$C:$C,'Emissions Data'!$F52,Waterborne!$D:$D,'Emissions Data'!$C52)</f>
        <v>1.1930473125402946E-5</v>
      </c>
      <c r="J52" s="279"/>
      <c r="K52" s="279"/>
      <c r="L52" s="279"/>
      <c r="M52" s="279"/>
      <c r="N52" s="280">
        <f t="shared" si="0"/>
        <v>1.5299677924243049E-3</v>
      </c>
      <c r="O52" s="279"/>
    </row>
    <row r="53" spans="1:15" x14ac:dyDescent="0.15">
      <c r="A53" s="265">
        <v>46</v>
      </c>
      <c r="B53" s="44">
        <v>2010</v>
      </c>
      <c r="C53" s="41" t="s">
        <v>62</v>
      </c>
      <c r="D53" s="41" t="s">
        <v>90</v>
      </c>
      <c r="E53" s="41" t="s">
        <v>91</v>
      </c>
      <c r="F53" s="264">
        <v>2</v>
      </c>
      <c r="G53" s="279">
        <f>SUMIFS(Waterborne!Q:Q,Waterborne!$B:$B,'Emissions Data'!$B53,Waterborne!$C:$C,'Emissions Data'!$F53,Waterborne!$D:$D,'Emissions Data'!$C53)</f>
        <v>0</v>
      </c>
      <c r="H53" s="279">
        <f>SUMIFS(Waterborne!R:R,Waterborne!$B:$B,'Emissions Data'!$B53,Waterborne!$C:$C,'Emissions Data'!$F53,Waterborne!$D:$D,'Emissions Data'!$C53)</f>
        <v>0</v>
      </c>
      <c r="I53" s="279">
        <f>SUMIFS(Waterborne!S:S,Waterborne!$B:$B,'Emissions Data'!$B53,Waterborne!$C:$C,'Emissions Data'!$F53,Waterborne!$D:$D,'Emissions Data'!$C53)</f>
        <v>0</v>
      </c>
      <c r="J53" s="279"/>
      <c r="K53" s="279"/>
      <c r="L53" s="279"/>
      <c r="M53" s="279"/>
      <c r="N53" s="280">
        <f t="shared" si="0"/>
        <v>0</v>
      </c>
      <c r="O53" s="279"/>
    </row>
    <row r="54" spans="1:15" x14ac:dyDescent="0.15">
      <c r="A54" s="265">
        <v>47</v>
      </c>
      <c r="B54" s="44">
        <v>2010</v>
      </c>
      <c r="C54" s="41" t="s">
        <v>62</v>
      </c>
      <c r="D54" s="41" t="s">
        <v>90</v>
      </c>
      <c r="E54" s="41" t="s">
        <v>23</v>
      </c>
      <c r="F54" s="264">
        <v>1</v>
      </c>
      <c r="G54" s="279">
        <f>SUMIFS(Aviation!N:N,Aviation!$B:$B,'Emissions Data'!$B54,Aviation!$C:$C,'Emissions Data'!$F54,Aviation!$D:$D,'Emissions Data'!$C54)</f>
        <v>0</v>
      </c>
      <c r="H54" s="279">
        <f>SUMIFS(Aviation!O:O,Aviation!$B:$B,'Emissions Data'!$B54,Aviation!$C:$C,'Emissions Data'!$F54,Aviation!$D:$D,'Emissions Data'!$C54)</f>
        <v>0</v>
      </c>
      <c r="I54" s="279">
        <f>SUMIFS(Aviation!P:P,Aviation!$B:$B,'Emissions Data'!$B54,Aviation!$C:$C,'Emissions Data'!$F54,Aviation!$D:$D,'Emissions Data'!$C54)</f>
        <v>0</v>
      </c>
      <c r="J54" s="279"/>
      <c r="K54" s="279"/>
      <c r="L54" s="279"/>
      <c r="M54" s="279"/>
      <c r="N54" s="280">
        <f t="shared" si="0"/>
        <v>0</v>
      </c>
      <c r="O54" s="279"/>
    </row>
    <row r="55" spans="1:15" x14ac:dyDescent="0.15">
      <c r="A55" s="265">
        <v>48</v>
      </c>
      <c r="B55" s="44">
        <v>2010</v>
      </c>
      <c r="C55" s="41" t="s">
        <v>62</v>
      </c>
      <c r="D55" s="41" t="s">
        <v>90</v>
      </c>
      <c r="E55" s="41" t="s">
        <v>23</v>
      </c>
      <c r="F55" s="264">
        <v>2</v>
      </c>
      <c r="G55" s="279">
        <f>SUMIFS(Aviation!N:N,Aviation!$B:$B,'Emissions Data'!$B55,Aviation!$C:$C,'Emissions Data'!$F55,Aviation!$D:$D,'Emissions Data'!$C55)</f>
        <v>0</v>
      </c>
      <c r="H55" s="279">
        <f>SUMIFS(Aviation!O:O,Aviation!$B:$B,'Emissions Data'!$B55,Aviation!$C:$C,'Emissions Data'!$F55,Aviation!$D:$D,'Emissions Data'!$C55)</f>
        <v>0</v>
      </c>
      <c r="I55" s="279">
        <f>SUMIFS(Aviation!P:P,Aviation!$B:$B,'Emissions Data'!$B55,Aviation!$C:$C,'Emissions Data'!$F55,Aviation!$D:$D,'Emissions Data'!$C55)</f>
        <v>0</v>
      </c>
      <c r="J55" s="279"/>
      <c r="K55" s="279"/>
      <c r="L55" s="279"/>
      <c r="M55" s="279"/>
      <c r="N55" s="280">
        <f t="shared" si="0"/>
        <v>0</v>
      </c>
      <c r="O55" s="279"/>
    </row>
    <row r="56" spans="1:15" x14ac:dyDescent="0.15">
      <c r="A56" s="265">
        <v>49</v>
      </c>
      <c r="B56" s="44">
        <v>2010</v>
      </c>
      <c r="C56" s="41" t="s">
        <v>62</v>
      </c>
      <c r="D56" s="41" t="s">
        <v>90</v>
      </c>
      <c r="E56" s="41" t="s">
        <v>25</v>
      </c>
      <c r="F56" s="264">
        <v>1</v>
      </c>
      <c r="G56" s="279">
        <f>SUMIFS('Off-road'!O:O,'Off-road'!$B:$B,'Emissions Data'!$B56,'Off-road'!$C:$C,'Emissions Data'!$F56,'Off-road'!$D:$D,'Emissions Data'!$C56)</f>
        <v>0.3211253691757911</v>
      </c>
      <c r="H56" s="279">
        <f>SUMIFS('Off-road'!P:P,'Off-road'!$B:$B,'Emissions Data'!$B56,'Off-road'!$C:$C,'Emissions Data'!$F56,'Off-road'!$D:$D,'Emissions Data'!$C56)</f>
        <v>5.9205950034786079E-3</v>
      </c>
      <c r="I56" s="279">
        <f>SUMIFS('Off-road'!Q:Q,'Off-road'!$B:$B,'Emissions Data'!$B56,'Off-road'!$C:$C,'Emissions Data'!$F56,'Off-road'!$D:$D,'Emissions Data'!$C56)</f>
        <v>9.2736689793675876E-3</v>
      </c>
      <c r="J56" s="279"/>
      <c r="K56" s="279"/>
      <c r="L56" s="279"/>
      <c r="M56" s="279"/>
      <c r="N56" s="280">
        <f t="shared" si="0"/>
        <v>0.33631963315863733</v>
      </c>
      <c r="O56" s="279"/>
    </row>
    <row r="57" spans="1:15" x14ac:dyDescent="0.15">
      <c r="A57" s="265">
        <v>50</v>
      </c>
      <c r="B57" s="44">
        <v>2010</v>
      </c>
      <c r="C57" s="41" t="s">
        <v>62</v>
      </c>
      <c r="D57" s="41" t="s">
        <v>90</v>
      </c>
      <c r="E57" s="41" t="s">
        <v>25</v>
      </c>
      <c r="F57" s="264">
        <v>2</v>
      </c>
      <c r="G57" s="279">
        <f>SUMIFS('Off-road'!O:O,'Off-road'!$B:$B,'Emissions Data'!$B57,'Off-road'!$C:$C,'Emissions Data'!$F57,'Off-road'!$D:$D,'Emissions Data'!$C57)</f>
        <v>0</v>
      </c>
      <c r="H57" s="279">
        <f>SUMIFS('Off-road'!P:P,'Off-road'!$B:$B,'Emissions Data'!$B57,'Off-road'!$C:$C,'Emissions Data'!$F57,'Off-road'!$D:$D,'Emissions Data'!$C57)</f>
        <v>0</v>
      </c>
      <c r="I57" s="279">
        <f>SUMIFS('Off-road'!Q:Q,'Off-road'!$B:$B,'Emissions Data'!$B57,'Off-road'!$C:$C,'Emissions Data'!$F57,'Off-road'!$D:$D,'Emissions Data'!$C57)</f>
        <v>0</v>
      </c>
      <c r="J57" s="279"/>
      <c r="K57" s="279"/>
      <c r="L57" s="279"/>
      <c r="M57" s="279"/>
      <c r="N57" s="280">
        <f t="shared" si="0"/>
        <v>0</v>
      </c>
      <c r="O57" s="279"/>
    </row>
    <row r="58" spans="1:15" x14ac:dyDescent="0.15">
      <c r="A58" s="265">
        <v>51</v>
      </c>
      <c r="B58" s="44">
        <v>2010</v>
      </c>
      <c r="C58" s="41" t="s">
        <v>63</v>
      </c>
      <c r="D58" s="41" t="s">
        <v>90</v>
      </c>
      <c r="E58" s="41" t="s">
        <v>17</v>
      </c>
      <c r="F58" s="264">
        <v>1</v>
      </c>
      <c r="G58" s="279">
        <f>SUMIFS('On-road'!N:N,'On-road'!$B:$B,'Emissions Data'!$B58,'On-road'!$C:$C,'Emissions Data'!$F58,'On-road'!$D:$D,'Emissions Data'!$C58)</f>
        <v>3.1270866766530494</v>
      </c>
      <c r="H58" s="279">
        <f>SUMIFS('On-road'!O:O,'On-road'!$B:$B,'Emissions Data'!$B58,'On-road'!$C:$C,'Emissions Data'!$F58,'On-road'!$D:$D,'Emissions Data'!$C58)</f>
        <v>4.6132362079814321E-3</v>
      </c>
      <c r="I58" s="279">
        <f>SUMIFS('On-road'!P:P,'On-road'!$B:$B,'Emissions Data'!$B58,'On-road'!$C:$C,'Emissions Data'!$F58,'On-road'!$D:$D,'Emissions Data'!$C58)</f>
        <v>4.1687200179072022E-2</v>
      </c>
      <c r="J58" s="279"/>
      <c r="K58" s="279"/>
      <c r="L58" s="279"/>
      <c r="M58" s="279"/>
      <c r="N58" s="280">
        <f t="shared" si="0"/>
        <v>3.173387113040103</v>
      </c>
      <c r="O58" s="279"/>
    </row>
    <row r="59" spans="1:15" x14ac:dyDescent="0.15">
      <c r="A59" s="265">
        <v>52</v>
      </c>
      <c r="B59" s="44">
        <v>2010</v>
      </c>
      <c r="C59" s="41" t="s">
        <v>63</v>
      </c>
      <c r="D59" s="41" t="s">
        <v>90</v>
      </c>
      <c r="E59" s="41" t="s">
        <v>17</v>
      </c>
      <c r="F59" s="264">
        <v>2</v>
      </c>
      <c r="G59" s="279">
        <f>SUMIFS('On-road'!N:N,'On-road'!$B:$B,'Emissions Data'!$B59,'On-road'!$C:$C,'Emissions Data'!$F59,'On-road'!$D:$D,'Emissions Data'!$C59)</f>
        <v>2.0623305318951584E-5</v>
      </c>
      <c r="H59" s="279">
        <f>SUMIFS('On-road'!O:O,'On-road'!$B:$B,'Emissions Data'!$B59,'On-road'!$C:$C,'Emissions Data'!$F59,'On-road'!$D:$D,'Emissions Data'!$C59)</f>
        <v>9.2564109165464964E-9</v>
      </c>
      <c r="I59" s="279">
        <f>SUMIFS('On-road'!P:P,'On-road'!$B:$B,'Emissions Data'!$B59,'On-road'!$C:$C,'Emissions Data'!$F59,'On-road'!$D:$D,'Emissions Data'!$C59)</f>
        <v>1.1913360498214155E-7</v>
      </c>
      <c r="J59" s="279"/>
      <c r="K59" s="279"/>
      <c r="L59" s="279"/>
      <c r="M59" s="279"/>
      <c r="N59" s="280">
        <f t="shared" si="0"/>
        <v>2.0751695334850274E-5</v>
      </c>
      <c r="O59" s="279"/>
    </row>
    <row r="60" spans="1:15" x14ac:dyDescent="0.15">
      <c r="A60" s="265">
        <v>53</v>
      </c>
      <c r="B60" s="44">
        <v>2010</v>
      </c>
      <c r="C60" s="41" t="s">
        <v>63</v>
      </c>
      <c r="D60" s="41" t="s">
        <v>90</v>
      </c>
      <c r="E60" s="41" t="s">
        <v>68</v>
      </c>
      <c r="F60" s="264">
        <v>1</v>
      </c>
      <c r="G60" s="279">
        <f>SUMIFS(Rail!S:S,Rail!$B:$B,'Emissions Data'!$B60,Rail!$C:$C,'Emissions Data'!$F60,Rail!$D:$D,'Emissions Data'!$C60)</f>
        <v>5.4453601782621833E-2</v>
      </c>
      <c r="H60" s="279">
        <f>SUMIFS(Rail!T:T,Rail!$B:$B,'Emissions Data'!$B60,Rail!$C:$C,'Emissions Data'!$F60,Rail!$D:$D,'Emissions Data'!$C60)</f>
        <v>1.1946725562494901E-4</v>
      </c>
      <c r="I60" s="279">
        <f>SUMIFS(Rail!U:U,Rail!$B:$B,'Emissions Data'!$B60,Rail!$C:$C,'Emissions Data'!$F60,Rail!$D:$D,'Emissions Data'!$C60)</f>
        <v>3.6746847823924044E-4</v>
      </c>
      <c r="J60" s="279"/>
      <c r="K60" s="279"/>
      <c r="L60" s="279"/>
      <c r="M60" s="279"/>
      <c r="N60" s="280">
        <f t="shared" si="0"/>
        <v>5.4940537516486025E-2</v>
      </c>
      <c r="O60" s="279"/>
    </row>
    <row r="61" spans="1:15" x14ac:dyDescent="0.15">
      <c r="A61" s="265">
        <v>54</v>
      </c>
      <c r="B61" s="44">
        <v>2010</v>
      </c>
      <c r="C61" s="41" t="s">
        <v>63</v>
      </c>
      <c r="D61" s="41" t="s">
        <v>90</v>
      </c>
      <c r="E61" s="41" t="s">
        <v>68</v>
      </c>
      <c r="F61" s="264">
        <v>2</v>
      </c>
      <c r="G61" s="279">
        <f>SUMIFS(Rail!S:S,Rail!$B:$B,'Emissions Data'!$B61,Rail!$C:$C,'Emissions Data'!$F61,Rail!$D:$D,'Emissions Data'!$C61)</f>
        <v>6.9906304728939361E-3</v>
      </c>
      <c r="H61" s="279">
        <f>SUMIFS(Rail!T:T,Rail!$B:$B,'Emissions Data'!$B61,Rail!$C:$C,'Emissions Data'!$F61,Rail!$D:$D,'Emissions Data'!$C61)</f>
        <v>3.1376225693257382E-6</v>
      </c>
      <c r="I61" s="279">
        <f>SUMIFS(Rail!U:U,Rail!$B:$B,'Emissions Data'!$B61,Rail!$C:$C,'Emissions Data'!$F61,Rail!$D:$D,'Emissions Data'!$C61)</f>
        <v>4.0382421559193844E-5</v>
      </c>
      <c r="J61" s="279"/>
      <c r="K61" s="279"/>
      <c r="L61" s="279"/>
      <c r="M61" s="279"/>
      <c r="N61" s="280">
        <f t="shared" si="0"/>
        <v>7.0341505170224555E-3</v>
      </c>
      <c r="O61" s="279"/>
    </row>
    <row r="62" spans="1:15" x14ac:dyDescent="0.15">
      <c r="A62" s="265">
        <v>55</v>
      </c>
      <c r="B62" s="44">
        <v>2010</v>
      </c>
      <c r="C62" s="41" t="s">
        <v>63</v>
      </c>
      <c r="D62" s="41" t="s">
        <v>90</v>
      </c>
      <c r="E62" s="41" t="s">
        <v>91</v>
      </c>
      <c r="F62" s="264">
        <v>1</v>
      </c>
      <c r="G62" s="279">
        <f>SUMIFS(Waterborne!Q:Q,Waterborne!$B:$B,'Emissions Data'!$B62,Waterborne!$C:$C,'Emissions Data'!$F62,Waterborne!$D:$D,'Emissions Data'!$C62)</f>
        <v>1.9761035648559522E-2</v>
      </c>
      <c r="H62" s="279">
        <f>SUMIFS(Waterborne!R:R,Waterborne!$B:$B,'Emissions Data'!$B62,Waterborne!$C:$C,'Emissions Data'!$F62,Waterborne!$D:$D,'Emissions Data'!$C62)</f>
        <v>2.3072709420369017E-4</v>
      </c>
      <c r="I62" s="279">
        <f>SUMIFS(Waterborne!S:S,Waterborne!$B:$B,'Emissions Data'!$B62,Waterborne!$C:$C,'Emissions Data'!$F62,Waterborne!$D:$D,'Emissions Data'!$C62)</f>
        <v>1.6868814214279564E-4</v>
      </c>
      <c r="J62" s="279"/>
      <c r="K62" s="279"/>
      <c r="L62" s="279"/>
      <c r="M62" s="279"/>
      <c r="N62" s="280">
        <f t="shared" si="0"/>
        <v>2.0160450884906006E-2</v>
      </c>
      <c r="O62" s="279"/>
    </row>
    <row r="63" spans="1:15" x14ac:dyDescent="0.15">
      <c r="A63" s="265">
        <v>56</v>
      </c>
      <c r="B63" s="44">
        <v>2010</v>
      </c>
      <c r="C63" s="41" t="s">
        <v>63</v>
      </c>
      <c r="D63" s="41" t="s">
        <v>90</v>
      </c>
      <c r="E63" s="41" t="s">
        <v>91</v>
      </c>
      <c r="F63" s="264">
        <v>2</v>
      </c>
      <c r="G63" s="279">
        <f>SUMIFS(Waterborne!Q:Q,Waterborne!$B:$B,'Emissions Data'!$B63,Waterborne!$C:$C,'Emissions Data'!$F63,Waterborne!$D:$D,'Emissions Data'!$C63)</f>
        <v>0</v>
      </c>
      <c r="H63" s="279">
        <f>SUMIFS(Waterborne!R:R,Waterborne!$B:$B,'Emissions Data'!$B63,Waterborne!$C:$C,'Emissions Data'!$F63,Waterborne!$D:$D,'Emissions Data'!$C63)</f>
        <v>0</v>
      </c>
      <c r="I63" s="279">
        <f>SUMIFS(Waterborne!S:S,Waterborne!$B:$B,'Emissions Data'!$B63,Waterborne!$C:$C,'Emissions Data'!$F63,Waterborne!$D:$D,'Emissions Data'!$C63)</f>
        <v>0</v>
      </c>
      <c r="J63" s="279"/>
      <c r="K63" s="279"/>
      <c r="L63" s="279"/>
      <c r="M63" s="279"/>
      <c r="N63" s="280">
        <f t="shared" si="0"/>
        <v>0</v>
      </c>
      <c r="O63" s="279"/>
    </row>
    <row r="64" spans="1:15" x14ac:dyDescent="0.15">
      <c r="A64" s="265">
        <v>57</v>
      </c>
      <c r="B64" s="44">
        <v>2010</v>
      </c>
      <c r="C64" s="41" t="s">
        <v>63</v>
      </c>
      <c r="D64" s="41" t="s">
        <v>90</v>
      </c>
      <c r="E64" s="41" t="s">
        <v>23</v>
      </c>
      <c r="F64" s="264">
        <v>1</v>
      </c>
      <c r="G64" s="279">
        <f>SUMIFS(Aviation!N:N,Aviation!$B:$B,'Emissions Data'!$B64,Aviation!$C:$C,'Emissions Data'!$F64,Aviation!$D:$D,'Emissions Data'!$C64)</f>
        <v>0</v>
      </c>
      <c r="H64" s="279">
        <f>SUMIFS(Aviation!O:O,Aviation!$B:$B,'Emissions Data'!$B64,Aviation!$C:$C,'Emissions Data'!$F64,Aviation!$D:$D,'Emissions Data'!$C64)</f>
        <v>0</v>
      </c>
      <c r="I64" s="279">
        <f>SUMIFS(Aviation!P:P,Aviation!$B:$B,'Emissions Data'!$B64,Aviation!$C:$C,'Emissions Data'!$F64,Aviation!$D:$D,'Emissions Data'!$C64)</f>
        <v>0</v>
      </c>
      <c r="J64" s="279"/>
      <c r="K64" s="279"/>
      <c r="L64" s="279"/>
      <c r="M64" s="279"/>
      <c r="N64" s="280">
        <f t="shared" si="0"/>
        <v>0</v>
      </c>
      <c r="O64" s="279"/>
    </row>
    <row r="65" spans="1:15" x14ac:dyDescent="0.15">
      <c r="A65" s="265">
        <v>58</v>
      </c>
      <c r="B65" s="44">
        <v>2010</v>
      </c>
      <c r="C65" s="41" t="s">
        <v>63</v>
      </c>
      <c r="D65" s="41" t="s">
        <v>90</v>
      </c>
      <c r="E65" s="41" t="s">
        <v>23</v>
      </c>
      <c r="F65" s="264">
        <v>2</v>
      </c>
      <c r="G65" s="279">
        <f>SUMIFS(Aviation!N:N,Aviation!$B:$B,'Emissions Data'!$B65,Aviation!$C:$C,'Emissions Data'!$F65,Aviation!$D:$D,'Emissions Data'!$C65)</f>
        <v>0</v>
      </c>
      <c r="H65" s="279">
        <f>SUMIFS(Aviation!O:O,Aviation!$B:$B,'Emissions Data'!$B65,Aviation!$C:$C,'Emissions Data'!$F65,Aviation!$D:$D,'Emissions Data'!$C65)</f>
        <v>0</v>
      </c>
      <c r="I65" s="279">
        <f>SUMIFS(Aviation!P:P,Aviation!$B:$B,'Emissions Data'!$B65,Aviation!$C:$C,'Emissions Data'!$F65,Aviation!$D:$D,'Emissions Data'!$C65)</f>
        <v>0</v>
      </c>
      <c r="J65" s="279"/>
      <c r="K65" s="279"/>
      <c r="L65" s="279"/>
      <c r="M65" s="279"/>
      <c r="N65" s="280">
        <f t="shared" si="0"/>
        <v>0</v>
      </c>
      <c r="O65" s="279"/>
    </row>
    <row r="66" spans="1:15" x14ac:dyDescent="0.15">
      <c r="A66" s="265">
        <v>59</v>
      </c>
      <c r="B66" s="44">
        <v>2010</v>
      </c>
      <c r="C66" s="41" t="s">
        <v>63</v>
      </c>
      <c r="D66" s="41" t="s">
        <v>90</v>
      </c>
      <c r="E66" s="41" t="s">
        <v>25</v>
      </c>
      <c r="F66" s="264">
        <v>1</v>
      </c>
      <c r="G66" s="279">
        <f>SUMIFS('Off-road'!O:O,'Off-road'!$B:$B,'Emissions Data'!$B66,'Off-road'!$C:$C,'Emissions Data'!$F66,'Off-road'!$D:$D,'Emissions Data'!$C66)</f>
        <v>0.35852603922623044</v>
      </c>
      <c r="H66" s="279">
        <f>SUMIFS('Off-road'!P:P,'Off-road'!$B:$B,'Emissions Data'!$B66,'Off-road'!$C:$C,'Emissions Data'!$F66,'Off-road'!$D:$D,'Emissions Data'!$C66)</f>
        <v>9.384891804103514E-3</v>
      </c>
      <c r="I66" s="279">
        <f>SUMIFS('Off-road'!Q:Q,'Off-road'!$B:$B,'Emissions Data'!$B66,'Off-road'!$C:$C,'Emissions Data'!$F66,'Off-road'!$D:$D,'Emissions Data'!$C66)</f>
        <v>1.1502194380834019E-2</v>
      </c>
      <c r="J66" s="279"/>
      <c r="K66" s="279"/>
      <c r="L66" s="279"/>
      <c r="M66" s="279"/>
      <c r="N66" s="280">
        <f t="shared" si="0"/>
        <v>0.37941312541116795</v>
      </c>
      <c r="O66" s="279"/>
    </row>
    <row r="67" spans="1:15" x14ac:dyDescent="0.15">
      <c r="A67" s="265">
        <v>60</v>
      </c>
      <c r="B67" s="44">
        <v>2010</v>
      </c>
      <c r="C67" s="41" t="s">
        <v>63</v>
      </c>
      <c r="D67" s="41" t="s">
        <v>90</v>
      </c>
      <c r="E67" s="41" t="s">
        <v>25</v>
      </c>
      <c r="F67" s="264">
        <v>2</v>
      </c>
      <c r="G67" s="279">
        <f>SUMIFS('Off-road'!O:O,'Off-road'!$B:$B,'Emissions Data'!$B67,'Off-road'!$C:$C,'Emissions Data'!$F67,'Off-road'!$D:$D,'Emissions Data'!$C67)</f>
        <v>0</v>
      </c>
      <c r="H67" s="279">
        <f>SUMIFS('Off-road'!P:P,'Off-road'!$B:$B,'Emissions Data'!$B67,'Off-road'!$C:$C,'Emissions Data'!$F67,'Off-road'!$D:$D,'Emissions Data'!$C67)</f>
        <v>0</v>
      </c>
      <c r="I67" s="279">
        <f>SUMIFS('Off-road'!Q:Q,'Off-road'!$B:$B,'Emissions Data'!$B67,'Off-road'!$C:$C,'Emissions Data'!$F67,'Off-road'!$D:$D,'Emissions Data'!$C67)</f>
        <v>0</v>
      </c>
      <c r="J67" s="279"/>
      <c r="K67" s="279"/>
      <c r="L67" s="279"/>
      <c r="M67" s="279"/>
      <c r="N67" s="280">
        <f t="shared" si="0"/>
        <v>0</v>
      </c>
      <c r="O67" s="279"/>
    </row>
    <row r="68" spans="1:15" x14ac:dyDescent="0.15">
      <c r="A68" s="265">
        <v>61</v>
      </c>
      <c r="B68" s="44">
        <v>2010</v>
      </c>
      <c r="C68" s="41" t="s">
        <v>64</v>
      </c>
      <c r="D68" s="41" t="s">
        <v>90</v>
      </c>
      <c r="E68" s="41" t="s">
        <v>17</v>
      </c>
      <c r="F68" s="264">
        <v>1</v>
      </c>
      <c r="G68" s="279">
        <f>SUMIFS('On-road'!N:N,'On-road'!$B:$B,'Emissions Data'!$B68,'On-road'!$C:$C,'Emissions Data'!$F68,'On-road'!$D:$D,'Emissions Data'!$C68)</f>
        <v>1.1615953402128869</v>
      </c>
      <c r="H68" s="279">
        <f>SUMIFS('On-road'!O:O,'On-road'!$B:$B,'Emissions Data'!$B68,'On-road'!$C:$C,'Emissions Data'!$F68,'On-road'!$D:$D,'Emissions Data'!$C68)</f>
        <v>1.7546039352365989E-3</v>
      </c>
      <c r="I68" s="279">
        <f>SUMIFS('On-road'!P:P,'On-road'!$B:$B,'Emissions Data'!$B68,'On-road'!$C:$C,'Emissions Data'!$F68,'On-road'!$D:$D,'Emissions Data'!$C68)</f>
        <v>1.5878685681898843E-2</v>
      </c>
      <c r="J68" s="279"/>
      <c r="K68" s="279"/>
      <c r="L68" s="279"/>
      <c r="M68" s="279"/>
      <c r="N68" s="280">
        <f t="shared" si="0"/>
        <v>1.1792286298300223</v>
      </c>
      <c r="O68" s="279"/>
    </row>
    <row r="69" spans="1:15" x14ac:dyDescent="0.15">
      <c r="A69" s="265">
        <v>62</v>
      </c>
      <c r="B69" s="44">
        <v>2010</v>
      </c>
      <c r="C69" s="41" t="s">
        <v>64</v>
      </c>
      <c r="D69" s="41" t="s">
        <v>90</v>
      </c>
      <c r="E69" s="41" t="s">
        <v>17</v>
      </c>
      <c r="F69" s="264">
        <v>2</v>
      </c>
      <c r="G69" s="279">
        <f>SUMIFS('On-road'!N:N,'On-road'!$B:$B,'Emissions Data'!$B69,'On-road'!$C:$C,'Emissions Data'!$F69,'On-road'!$D:$D,'Emissions Data'!$C69)</f>
        <v>8.4399772300844681E-6</v>
      </c>
      <c r="H69" s="279">
        <f>SUMIFS('On-road'!O:O,'On-road'!$B:$B,'Emissions Data'!$B69,'On-road'!$C:$C,'Emissions Data'!$F69,'On-road'!$D:$D,'Emissions Data'!$C69)</f>
        <v>3.7881365843023498E-9</v>
      </c>
      <c r="I69" s="279">
        <f>SUMIFS('On-road'!P:P,'On-road'!$B:$B,'Emissions Data'!$B69,'On-road'!$C:$C,'Emissions Data'!$F69,'On-road'!$D:$D,'Emissions Data'!$C69)</f>
        <v>4.8754789682678642E-8</v>
      </c>
      <c r="J69" s="279"/>
      <c r="K69" s="279"/>
      <c r="L69" s="279"/>
      <c r="M69" s="279"/>
      <c r="N69" s="280">
        <f t="shared" si="0"/>
        <v>8.4925201563514486E-6</v>
      </c>
      <c r="O69" s="279"/>
    </row>
    <row r="70" spans="1:15" x14ac:dyDescent="0.15">
      <c r="A70" s="265">
        <v>63</v>
      </c>
      <c r="B70" s="44">
        <v>2010</v>
      </c>
      <c r="C70" s="41" t="s">
        <v>64</v>
      </c>
      <c r="D70" s="41" t="s">
        <v>90</v>
      </c>
      <c r="E70" s="41" t="s">
        <v>68</v>
      </c>
      <c r="F70" s="264">
        <v>1</v>
      </c>
      <c r="G70" s="279">
        <f>SUMIFS(Rail!S:S,Rail!$B:$B,'Emissions Data'!$B70,Rail!$C:$C,'Emissions Data'!$F70,Rail!$D:$D,'Emissions Data'!$C70)</f>
        <v>8.9958900807991637E-3</v>
      </c>
      <c r="H70" s="279">
        <f>SUMIFS(Rail!T:T,Rail!$B:$B,'Emissions Data'!$B70,Rail!$C:$C,'Emissions Data'!$F70,Rail!$D:$D,'Emissions Data'!$C70)</f>
        <v>1.9736330833486903E-5</v>
      </c>
      <c r="I70" s="279">
        <f>SUMIFS(Rail!U:U,Rail!$B:$B,'Emissions Data'!$B70,Rail!$C:$C,'Emissions Data'!$F70,Rail!$D:$D,'Emissions Data'!$C70)</f>
        <v>6.0706839036930704E-5</v>
      </c>
      <c r="J70" s="279"/>
      <c r="K70" s="279"/>
      <c r="L70" s="279"/>
      <c r="M70" s="279"/>
      <c r="N70" s="280">
        <f t="shared" si="0"/>
        <v>9.0763332506695812E-3</v>
      </c>
      <c r="O70" s="279"/>
    </row>
    <row r="71" spans="1:15" x14ac:dyDescent="0.15">
      <c r="A71" s="265">
        <v>64</v>
      </c>
      <c r="B71" s="44">
        <v>2010</v>
      </c>
      <c r="C71" s="41" t="s">
        <v>64</v>
      </c>
      <c r="D71" s="41" t="s">
        <v>90</v>
      </c>
      <c r="E71" s="41" t="s">
        <v>68</v>
      </c>
      <c r="F71" s="264">
        <v>2</v>
      </c>
      <c r="G71" s="279">
        <f>SUMIFS(Rail!S:S,Rail!$B:$B,'Emissions Data'!$B71,Rail!$C:$C,'Emissions Data'!$F71,Rail!$D:$D,'Emissions Data'!$C71)</f>
        <v>1.7967667076175802E-3</v>
      </c>
      <c r="H71" s="279">
        <f>SUMIFS(Rail!T:T,Rail!$B:$B,'Emissions Data'!$B71,Rail!$C:$C,'Emissions Data'!$F71,Rail!$D:$D,'Emissions Data'!$C71)</f>
        <v>8.0644740063054892E-7</v>
      </c>
      <c r="I71" s="279">
        <f>SUMIFS(Rail!U:U,Rail!$B:$B,'Emissions Data'!$B71,Rail!$C:$C,'Emissions Data'!$F71,Rail!$D:$D,'Emissions Data'!$C71)</f>
        <v>1.0379291383213524E-5</v>
      </c>
      <c r="J71" s="279"/>
      <c r="K71" s="279"/>
      <c r="L71" s="279"/>
      <c r="M71" s="279"/>
      <c r="N71" s="280">
        <f t="shared" si="0"/>
        <v>1.8079524464014243E-3</v>
      </c>
      <c r="O71" s="279"/>
    </row>
    <row r="72" spans="1:15" x14ac:dyDescent="0.15">
      <c r="A72" s="265">
        <v>65</v>
      </c>
      <c r="B72" s="44">
        <v>2010</v>
      </c>
      <c r="C72" s="41" t="s">
        <v>64</v>
      </c>
      <c r="D72" s="41" t="s">
        <v>90</v>
      </c>
      <c r="E72" s="41" t="s">
        <v>91</v>
      </c>
      <c r="F72" s="264">
        <v>1</v>
      </c>
      <c r="G72" s="279">
        <f>SUMIFS(Waterborne!Q:Q,Waterborne!$B:$B,'Emissions Data'!$B72,Waterborne!$C:$C,'Emissions Data'!$F72,Waterborne!$D:$D,'Emissions Data'!$C72)</f>
        <v>2.9968845497840794E-3</v>
      </c>
      <c r="H72" s="279">
        <f>SUMIFS(Waterborne!R:R,Waterborne!$B:$B,'Emissions Data'!$B72,Waterborne!$C:$C,'Emissions Data'!$F72,Waterborne!$D:$D,'Emissions Data'!$C72)</f>
        <v>3.9188034199784557E-5</v>
      </c>
      <c r="I72" s="279">
        <f>SUMIFS(Waterborne!S:S,Waterborne!$B:$B,'Emissions Data'!$B72,Waterborne!$C:$C,'Emissions Data'!$F72,Waterborne!$D:$D,'Emissions Data'!$C72)</f>
        <v>2.3860930995898953E-5</v>
      </c>
      <c r="J72" s="279"/>
      <c r="K72" s="279"/>
      <c r="L72" s="279"/>
      <c r="M72" s="279"/>
      <c r="N72" s="280">
        <f t="shared" si="0"/>
        <v>3.0599335149797628E-3</v>
      </c>
      <c r="O72" s="279"/>
    </row>
    <row r="73" spans="1:15" x14ac:dyDescent="0.15">
      <c r="A73" s="265">
        <v>66</v>
      </c>
      <c r="B73" s="44">
        <v>2010</v>
      </c>
      <c r="C73" s="41" t="s">
        <v>64</v>
      </c>
      <c r="D73" s="41" t="s">
        <v>90</v>
      </c>
      <c r="E73" s="41" t="s">
        <v>91</v>
      </c>
      <c r="F73" s="264">
        <v>2</v>
      </c>
      <c r="G73" s="279">
        <f>SUMIFS(Waterborne!Q:Q,Waterborne!$B:$B,'Emissions Data'!$B73,Waterborne!$C:$C,'Emissions Data'!$F73,Waterborne!$D:$D,'Emissions Data'!$C73)</f>
        <v>0</v>
      </c>
      <c r="H73" s="279">
        <f>SUMIFS(Waterborne!R:R,Waterborne!$B:$B,'Emissions Data'!$B73,Waterborne!$C:$C,'Emissions Data'!$F73,Waterborne!$D:$D,'Emissions Data'!$C73)</f>
        <v>0</v>
      </c>
      <c r="I73" s="279">
        <f>SUMIFS(Waterborne!S:S,Waterborne!$B:$B,'Emissions Data'!$B73,Waterborne!$C:$C,'Emissions Data'!$F73,Waterborne!$D:$D,'Emissions Data'!$C73)</f>
        <v>0</v>
      </c>
      <c r="J73" s="279"/>
      <c r="K73" s="279"/>
      <c r="L73" s="279"/>
      <c r="M73" s="279"/>
      <c r="N73" s="280">
        <f t="shared" ref="N73:N136" si="1">SUM(G73:M73)</f>
        <v>0</v>
      </c>
      <c r="O73" s="279"/>
    </row>
    <row r="74" spans="1:15" x14ac:dyDescent="0.15">
      <c r="A74" s="265">
        <v>67</v>
      </c>
      <c r="B74" s="44">
        <v>2010</v>
      </c>
      <c r="C74" s="41" t="s">
        <v>64</v>
      </c>
      <c r="D74" s="41" t="s">
        <v>90</v>
      </c>
      <c r="E74" s="41" t="s">
        <v>23</v>
      </c>
      <c r="F74" s="264">
        <v>1</v>
      </c>
      <c r="G74" s="279">
        <f>SUMIFS(Aviation!N:N,Aviation!$B:$B,'Emissions Data'!$B74,Aviation!$C:$C,'Emissions Data'!$F74,Aviation!$D:$D,'Emissions Data'!$C74)</f>
        <v>0</v>
      </c>
      <c r="H74" s="279">
        <f>SUMIFS(Aviation!O:O,Aviation!$B:$B,'Emissions Data'!$B74,Aviation!$C:$C,'Emissions Data'!$F74,Aviation!$D:$D,'Emissions Data'!$C74)</f>
        <v>0</v>
      </c>
      <c r="I74" s="279">
        <f>SUMIFS(Aviation!P:P,Aviation!$B:$B,'Emissions Data'!$B74,Aviation!$C:$C,'Emissions Data'!$F74,Aviation!$D:$D,'Emissions Data'!$C74)</f>
        <v>0</v>
      </c>
      <c r="J74" s="279"/>
      <c r="K74" s="279"/>
      <c r="L74" s="279"/>
      <c r="M74" s="279"/>
      <c r="N74" s="280">
        <f t="shared" si="1"/>
        <v>0</v>
      </c>
      <c r="O74" s="279"/>
    </row>
    <row r="75" spans="1:15" x14ac:dyDescent="0.15">
      <c r="A75" s="265">
        <v>68</v>
      </c>
      <c r="B75" s="44">
        <v>2010</v>
      </c>
      <c r="C75" s="41" t="s">
        <v>64</v>
      </c>
      <c r="D75" s="41" t="s">
        <v>90</v>
      </c>
      <c r="E75" s="41" t="s">
        <v>23</v>
      </c>
      <c r="F75" s="264">
        <v>2</v>
      </c>
      <c r="G75" s="279">
        <f>SUMIFS(Aviation!N:N,Aviation!$B:$B,'Emissions Data'!$B75,Aviation!$C:$C,'Emissions Data'!$F75,Aviation!$D:$D,'Emissions Data'!$C75)</f>
        <v>0</v>
      </c>
      <c r="H75" s="279">
        <f>SUMIFS(Aviation!O:O,Aviation!$B:$B,'Emissions Data'!$B75,Aviation!$C:$C,'Emissions Data'!$F75,Aviation!$D:$D,'Emissions Data'!$C75)</f>
        <v>0</v>
      </c>
      <c r="I75" s="279">
        <f>SUMIFS(Aviation!P:P,Aviation!$B:$B,'Emissions Data'!$B75,Aviation!$C:$C,'Emissions Data'!$F75,Aviation!$D:$D,'Emissions Data'!$C75)</f>
        <v>0</v>
      </c>
      <c r="J75" s="279"/>
      <c r="K75" s="279"/>
      <c r="L75" s="279"/>
      <c r="M75" s="279"/>
      <c r="N75" s="280">
        <f t="shared" si="1"/>
        <v>0</v>
      </c>
      <c r="O75" s="279"/>
    </row>
    <row r="76" spans="1:15" x14ac:dyDescent="0.15">
      <c r="A76" s="265">
        <v>69</v>
      </c>
      <c r="B76" s="44">
        <v>2010</v>
      </c>
      <c r="C76" s="41" t="s">
        <v>64</v>
      </c>
      <c r="D76" s="41" t="s">
        <v>90</v>
      </c>
      <c r="E76" s="41" t="s">
        <v>25</v>
      </c>
      <c r="F76" s="264">
        <v>1</v>
      </c>
      <c r="G76" s="279">
        <f>SUMIFS('Off-road'!O:O,'Off-road'!$B:$B,'Emissions Data'!$B76,'Off-road'!$C:$C,'Emissions Data'!$F76,'Off-road'!$D:$D,'Emissions Data'!$C76)</f>
        <v>0.20420578961051206</v>
      </c>
      <c r="H76" s="279">
        <f>SUMIFS('Off-road'!P:P,'Off-road'!$B:$B,'Emissions Data'!$B76,'Off-road'!$C:$C,'Emissions Data'!$F76,'Off-road'!$D:$D,'Emissions Data'!$C76)</f>
        <v>3.6501518545216279E-3</v>
      </c>
      <c r="I76" s="279">
        <f>SUMIFS('Off-road'!Q:Q,'Off-road'!$B:$B,'Emissions Data'!$B76,'Off-road'!$C:$C,'Emissions Data'!$F76,'Off-road'!$D:$D,'Emissions Data'!$C76)</f>
        <v>5.7517824524890848E-3</v>
      </c>
      <c r="J76" s="279"/>
      <c r="K76" s="279"/>
      <c r="L76" s="279"/>
      <c r="M76" s="279"/>
      <c r="N76" s="280">
        <f t="shared" si="1"/>
        <v>0.21360772391752278</v>
      </c>
      <c r="O76" s="279"/>
    </row>
    <row r="77" spans="1:15" x14ac:dyDescent="0.15">
      <c r="A77" s="265">
        <v>70</v>
      </c>
      <c r="B77" s="44">
        <v>2010</v>
      </c>
      <c r="C77" s="41" t="s">
        <v>64</v>
      </c>
      <c r="D77" s="41" t="s">
        <v>90</v>
      </c>
      <c r="E77" s="41" t="s">
        <v>25</v>
      </c>
      <c r="F77" s="264">
        <v>2</v>
      </c>
      <c r="G77" s="279">
        <f>SUMIFS('Off-road'!O:O,'Off-road'!$B:$B,'Emissions Data'!$B77,'Off-road'!$C:$C,'Emissions Data'!$F77,'Off-road'!$D:$D,'Emissions Data'!$C77)</f>
        <v>0</v>
      </c>
      <c r="H77" s="279">
        <f>SUMIFS('Off-road'!P:P,'Off-road'!$B:$B,'Emissions Data'!$B77,'Off-road'!$C:$C,'Emissions Data'!$F77,'Off-road'!$D:$D,'Emissions Data'!$C77)</f>
        <v>0</v>
      </c>
      <c r="I77" s="279">
        <f>SUMIFS('Off-road'!Q:Q,'Off-road'!$B:$B,'Emissions Data'!$B77,'Off-road'!$C:$C,'Emissions Data'!$F77,'Off-road'!$D:$D,'Emissions Data'!$C77)</f>
        <v>0</v>
      </c>
      <c r="J77" s="279"/>
      <c r="K77" s="279"/>
      <c r="L77" s="279"/>
      <c r="M77" s="279"/>
      <c r="N77" s="280">
        <f t="shared" si="1"/>
        <v>0</v>
      </c>
      <c r="O77" s="279"/>
    </row>
    <row r="78" spans="1:15" x14ac:dyDescent="0.15">
      <c r="A78" s="265">
        <v>71</v>
      </c>
      <c r="B78" s="44">
        <v>2010</v>
      </c>
      <c r="C78" s="41" t="s">
        <v>65</v>
      </c>
      <c r="D78" s="41" t="s">
        <v>90</v>
      </c>
      <c r="E78" s="41" t="s">
        <v>17</v>
      </c>
      <c r="F78" s="264">
        <v>1</v>
      </c>
      <c r="G78" s="279">
        <f>SUMIFS('On-road'!N:N,'On-road'!$B:$B,'Emissions Data'!$B78,'On-road'!$C:$C,'Emissions Data'!$F78,'On-road'!$D:$D,'Emissions Data'!$C78)</f>
        <v>2.8956863281103633</v>
      </c>
      <c r="H78" s="279">
        <f>SUMIFS('On-road'!O:O,'On-road'!$B:$B,'Emissions Data'!$B78,'On-road'!$C:$C,'Emissions Data'!$F78,'On-road'!$D:$D,'Emissions Data'!$C78)</f>
        <v>4.1780445787386565E-3</v>
      </c>
      <c r="I78" s="279">
        <f>SUMIFS('On-road'!P:P,'On-road'!$B:$B,'Emissions Data'!$B78,'On-road'!$C:$C,'Emissions Data'!$F78,'On-road'!$D:$D,'Emissions Data'!$C78)</f>
        <v>3.777124451804377E-2</v>
      </c>
      <c r="J78" s="279"/>
      <c r="K78" s="279"/>
      <c r="L78" s="279"/>
      <c r="M78" s="279"/>
      <c r="N78" s="280">
        <f t="shared" si="1"/>
        <v>2.9376356172071456</v>
      </c>
      <c r="O78" s="279"/>
    </row>
    <row r="79" spans="1:15" x14ac:dyDescent="0.15">
      <c r="A79" s="265">
        <v>72</v>
      </c>
      <c r="B79" s="44">
        <v>2010</v>
      </c>
      <c r="C79" s="41" t="s">
        <v>65</v>
      </c>
      <c r="D79" s="41" t="s">
        <v>90</v>
      </c>
      <c r="E79" s="41" t="s">
        <v>17</v>
      </c>
      <c r="F79" s="264">
        <v>2</v>
      </c>
      <c r="G79" s="279">
        <f>SUMIFS('On-road'!N:N,'On-road'!$B:$B,'Emissions Data'!$B79,'On-road'!$C:$C,'Emissions Data'!$F79,'On-road'!$D:$D,'Emissions Data'!$C79)</f>
        <v>3.7571163484908463E-6</v>
      </c>
      <c r="H79" s="279">
        <f>SUMIFS('On-road'!O:O,'On-road'!$B:$B,'Emissions Data'!$B79,'On-road'!$C:$C,'Emissions Data'!$F79,'On-road'!$D:$D,'Emissions Data'!$C79)</f>
        <v>1.6863161479235637E-9</v>
      </c>
      <c r="I79" s="279">
        <f>SUMIFS('On-road'!P:P,'On-road'!$B:$B,'Emissions Data'!$B79,'On-road'!$C:$C,'Emissions Data'!$F79,'On-road'!$D:$D,'Emissions Data'!$C79)</f>
        <v>2.1703544025105326E-8</v>
      </c>
      <c r="J79" s="279"/>
      <c r="K79" s="279"/>
      <c r="L79" s="279"/>
      <c r="M79" s="279"/>
      <c r="N79" s="280">
        <f t="shared" si="1"/>
        <v>3.7805062086638753E-6</v>
      </c>
      <c r="O79" s="279"/>
    </row>
    <row r="80" spans="1:15" x14ac:dyDescent="0.15">
      <c r="A80" s="265">
        <v>73</v>
      </c>
      <c r="B80" s="44">
        <v>2010</v>
      </c>
      <c r="C80" s="41" t="s">
        <v>65</v>
      </c>
      <c r="D80" s="41" t="s">
        <v>90</v>
      </c>
      <c r="E80" s="41" t="s">
        <v>68</v>
      </c>
      <c r="F80" s="264">
        <v>1</v>
      </c>
      <c r="G80" s="279">
        <f>SUMIFS(Rail!S:S,Rail!$B:$B,'Emissions Data'!$B80,Rail!$C:$C,'Emissions Data'!$F80,Rail!$D:$D,'Emissions Data'!$C80)</f>
        <v>4.1330078274733735E-2</v>
      </c>
      <c r="H80" s="279">
        <f>SUMIFS(Rail!T:T,Rail!$B:$B,'Emissions Data'!$B80,Rail!$C:$C,'Emissions Data'!$F80,Rail!$D:$D,'Emissions Data'!$C80)</f>
        <v>9.0675196214890861E-5</v>
      </c>
      <c r="I80" s="279">
        <f>SUMIFS(Rail!U:U,Rail!$B:$B,'Emissions Data'!$B80,Rail!$C:$C,'Emissions Data'!$F80,Rail!$D:$D,'Emissions Data'!$C80)</f>
        <v>2.7890718835740991E-4</v>
      </c>
      <c r="J80" s="279"/>
      <c r="K80" s="279"/>
      <c r="L80" s="279"/>
      <c r="M80" s="279"/>
      <c r="N80" s="280">
        <f t="shared" si="1"/>
        <v>4.1699660659306033E-2</v>
      </c>
      <c r="O80" s="279"/>
    </row>
    <row r="81" spans="1:15" x14ac:dyDescent="0.15">
      <c r="A81" s="265">
        <v>74</v>
      </c>
      <c r="B81" s="44">
        <v>2010</v>
      </c>
      <c r="C81" s="41" t="s">
        <v>65</v>
      </c>
      <c r="D81" s="41" t="s">
        <v>90</v>
      </c>
      <c r="E81" s="41" t="s">
        <v>68</v>
      </c>
      <c r="F81" s="264">
        <v>2</v>
      </c>
      <c r="G81" s="279">
        <f>SUMIFS(Rail!S:S,Rail!$B:$B,'Emissions Data'!$B81,Rail!$C:$C,'Emissions Data'!$F81,Rail!$D:$D,'Emissions Data'!$C81)</f>
        <v>2.0535664446354428E-3</v>
      </c>
      <c r="H81" s="279">
        <f>SUMIFS(Rail!T:T,Rail!$B:$B,'Emissions Data'!$B81,Rail!$C:$C,'Emissions Data'!$F81,Rail!$D:$D,'Emissions Data'!$C81)</f>
        <v>9.2170748393611131E-7</v>
      </c>
      <c r="I81" s="279">
        <f>SUMIFS(Rail!U:U,Rail!$B:$B,'Emissions Data'!$B81,Rail!$C:$C,'Emissions Data'!$F81,Rail!$D:$D,'Emissions Data'!$C81)</f>
        <v>1.1862733438512502E-5</v>
      </c>
      <c r="J81" s="279"/>
      <c r="K81" s="279"/>
      <c r="L81" s="279"/>
      <c r="M81" s="279"/>
      <c r="N81" s="280">
        <f t="shared" si="1"/>
        <v>2.0663508855578916E-3</v>
      </c>
      <c r="O81" s="279"/>
    </row>
    <row r="82" spans="1:15" x14ac:dyDescent="0.15">
      <c r="A82" s="265">
        <v>75</v>
      </c>
      <c r="B82" s="44">
        <v>2010</v>
      </c>
      <c r="C82" s="41" t="s">
        <v>65</v>
      </c>
      <c r="D82" s="41" t="s">
        <v>90</v>
      </c>
      <c r="E82" s="41" t="s">
        <v>91</v>
      </c>
      <c r="F82" s="264">
        <v>1</v>
      </c>
      <c r="G82" s="279">
        <f>SUMIFS(Waterborne!Q:Q,Waterborne!$B:$B,'Emissions Data'!$B82,Waterborne!$C:$C,'Emissions Data'!$F82,Waterborne!$D:$D,'Emissions Data'!$C82)</f>
        <v>5.3277953390245226E-3</v>
      </c>
      <c r="H82" s="279">
        <f>SUMIFS(Waterborne!R:R,Waterborne!$B:$B,'Emissions Data'!$B82,Waterborne!$C:$C,'Emissions Data'!$F82,Waterborne!$D:$D,'Emissions Data'!$C82)</f>
        <v>6.966763189989635E-5</v>
      </c>
      <c r="I82" s="279">
        <f>SUMIFS(Waterborne!S:S,Waterborne!$B:$B,'Emissions Data'!$B82,Waterborne!$C:$C,'Emissions Data'!$F82,Waterborne!$D:$D,'Emissions Data'!$C82)</f>
        <v>4.241943428518865E-5</v>
      </c>
      <c r="J82" s="279"/>
      <c r="K82" s="279"/>
      <c r="L82" s="279"/>
      <c r="M82" s="279"/>
      <c r="N82" s="280">
        <f t="shared" si="1"/>
        <v>5.4398824052096072E-3</v>
      </c>
      <c r="O82" s="279"/>
    </row>
    <row r="83" spans="1:15" x14ac:dyDescent="0.15">
      <c r="A83" s="265">
        <v>76</v>
      </c>
      <c r="B83" s="44">
        <v>2010</v>
      </c>
      <c r="C83" s="41" t="s">
        <v>65</v>
      </c>
      <c r="D83" s="41" t="s">
        <v>90</v>
      </c>
      <c r="E83" s="41" t="s">
        <v>91</v>
      </c>
      <c r="F83" s="264">
        <v>2</v>
      </c>
      <c r="G83" s="279">
        <f>SUMIFS(Waterborne!Q:Q,Waterborne!$B:$B,'Emissions Data'!$B83,Waterborne!$C:$C,'Emissions Data'!$F83,Waterborne!$D:$D,'Emissions Data'!$C83)</f>
        <v>0</v>
      </c>
      <c r="H83" s="279">
        <f>SUMIFS(Waterborne!R:R,Waterborne!$B:$B,'Emissions Data'!$B83,Waterborne!$C:$C,'Emissions Data'!$F83,Waterborne!$D:$D,'Emissions Data'!$C83)</f>
        <v>0</v>
      </c>
      <c r="I83" s="279">
        <f>SUMIFS(Waterborne!S:S,Waterborne!$B:$B,'Emissions Data'!$B83,Waterborne!$C:$C,'Emissions Data'!$F83,Waterborne!$D:$D,'Emissions Data'!$C83)</f>
        <v>0</v>
      </c>
      <c r="J83" s="279"/>
      <c r="K83" s="279"/>
      <c r="L83" s="279"/>
      <c r="M83" s="279"/>
      <c r="N83" s="280">
        <f t="shared" si="1"/>
        <v>0</v>
      </c>
      <c r="O83" s="279"/>
    </row>
    <row r="84" spans="1:15" x14ac:dyDescent="0.15">
      <c r="A84" s="265">
        <v>77</v>
      </c>
      <c r="B84" s="44">
        <v>2010</v>
      </c>
      <c r="C84" s="41" t="s">
        <v>65</v>
      </c>
      <c r="D84" s="41" t="s">
        <v>90</v>
      </c>
      <c r="E84" s="41" t="s">
        <v>23</v>
      </c>
      <c r="F84" s="264">
        <v>1</v>
      </c>
      <c r="G84" s="279">
        <f>SUMIFS(Aviation!N:N,Aviation!$B:$B,'Emissions Data'!$B84,Aviation!$C:$C,'Emissions Data'!$F84,Aviation!$D:$D,'Emissions Data'!$C84)</f>
        <v>0</v>
      </c>
      <c r="H84" s="279">
        <f>SUMIFS(Aviation!O:O,Aviation!$B:$B,'Emissions Data'!$B84,Aviation!$C:$C,'Emissions Data'!$F84,Aviation!$D:$D,'Emissions Data'!$C84)</f>
        <v>0</v>
      </c>
      <c r="I84" s="279">
        <f>SUMIFS(Aviation!P:P,Aviation!$B:$B,'Emissions Data'!$B84,Aviation!$C:$C,'Emissions Data'!$F84,Aviation!$D:$D,'Emissions Data'!$C84)</f>
        <v>0</v>
      </c>
      <c r="J84" s="279"/>
      <c r="K84" s="279"/>
      <c r="L84" s="279"/>
      <c r="M84" s="279"/>
      <c r="N84" s="280">
        <f t="shared" si="1"/>
        <v>0</v>
      </c>
      <c r="O84" s="279"/>
    </row>
    <row r="85" spans="1:15" x14ac:dyDescent="0.15">
      <c r="A85" s="265">
        <v>78</v>
      </c>
      <c r="B85" s="44">
        <v>2010</v>
      </c>
      <c r="C85" s="41" t="s">
        <v>65</v>
      </c>
      <c r="D85" s="41" t="s">
        <v>90</v>
      </c>
      <c r="E85" s="41" t="s">
        <v>23</v>
      </c>
      <c r="F85" s="264">
        <v>2</v>
      </c>
      <c r="G85" s="279">
        <f>SUMIFS(Aviation!N:N,Aviation!$B:$B,'Emissions Data'!$B85,Aviation!$C:$C,'Emissions Data'!$F85,Aviation!$D:$D,'Emissions Data'!$C85)</f>
        <v>0</v>
      </c>
      <c r="H85" s="279">
        <f>SUMIFS(Aviation!O:O,Aviation!$B:$B,'Emissions Data'!$B85,Aviation!$C:$C,'Emissions Data'!$F85,Aviation!$D:$D,'Emissions Data'!$C85)</f>
        <v>0</v>
      </c>
      <c r="I85" s="279">
        <f>SUMIFS(Aviation!P:P,Aviation!$B:$B,'Emissions Data'!$B85,Aviation!$C:$C,'Emissions Data'!$F85,Aviation!$D:$D,'Emissions Data'!$C85)</f>
        <v>0</v>
      </c>
      <c r="J85" s="279"/>
      <c r="K85" s="279"/>
      <c r="L85" s="279"/>
      <c r="M85" s="279"/>
      <c r="N85" s="280">
        <f t="shared" si="1"/>
        <v>0</v>
      </c>
      <c r="O85" s="279"/>
    </row>
    <row r="86" spans="1:15" x14ac:dyDescent="0.15">
      <c r="A86" s="265">
        <v>79</v>
      </c>
      <c r="B86" s="44">
        <v>2010</v>
      </c>
      <c r="C86" s="41" t="s">
        <v>65</v>
      </c>
      <c r="D86" s="41" t="s">
        <v>90</v>
      </c>
      <c r="E86" s="41" t="s">
        <v>25</v>
      </c>
      <c r="F86" s="264">
        <v>1</v>
      </c>
      <c r="G86" s="279">
        <f>SUMIFS('Off-road'!O:O,'Off-road'!$B:$B,'Emissions Data'!$B86,'Off-road'!$C:$C,'Emissions Data'!$F86,'Off-road'!$D:$D,'Emissions Data'!$C86)</f>
        <v>0.37950054566692887</v>
      </c>
      <c r="H86" s="279">
        <f>SUMIFS('Off-road'!P:P,'Off-road'!$B:$B,'Emissions Data'!$B86,'Off-road'!$C:$C,'Emissions Data'!$F86,'Off-road'!$D:$D,'Emissions Data'!$C86)</f>
        <v>4.8707172348292534E-3</v>
      </c>
      <c r="I86" s="279">
        <f>SUMIFS('Off-road'!Q:Q,'Off-road'!$B:$B,'Emissions Data'!$B86,'Off-road'!$C:$C,'Emissions Data'!$F86,'Off-road'!$D:$D,'Emissions Data'!$C86)</f>
        <v>1.0333098200449E-2</v>
      </c>
      <c r="J86" s="279"/>
      <c r="K86" s="279"/>
      <c r="L86" s="279"/>
      <c r="M86" s="279"/>
      <c r="N86" s="280">
        <f t="shared" si="1"/>
        <v>0.39470436110220708</v>
      </c>
      <c r="O86" s="279"/>
    </row>
    <row r="87" spans="1:15" x14ac:dyDescent="0.15">
      <c r="A87" s="265">
        <v>80</v>
      </c>
      <c r="B87" s="44">
        <v>2010</v>
      </c>
      <c r="C87" s="41" t="s">
        <v>65</v>
      </c>
      <c r="D87" s="41" t="s">
        <v>90</v>
      </c>
      <c r="E87" s="41" t="s">
        <v>25</v>
      </c>
      <c r="F87" s="264">
        <v>2</v>
      </c>
      <c r="G87" s="279">
        <f>SUMIFS('Off-road'!O:O,'Off-road'!$B:$B,'Emissions Data'!$B87,'Off-road'!$C:$C,'Emissions Data'!$F87,'Off-road'!$D:$D,'Emissions Data'!$C87)</f>
        <v>0</v>
      </c>
      <c r="H87" s="279">
        <f>SUMIFS('Off-road'!P:P,'Off-road'!$B:$B,'Emissions Data'!$B87,'Off-road'!$C:$C,'Emissions Data'!$F87,'Off-road'!$D:$D,'Emissions Data'!$C87)</f>
        <v>0</v>
      </c>
      <c r="I87" s="279">
        <f>SUMIFS('Off-road'!Q:Q,'Off-road'!$B:$B,'Emissions Data'!$B87,'Off-road'!$C:$C,'Emissions Data'!$F87,'Off-road'!$D:$D,'Emissions Data'!$C87)</f>
        <v>0</v>
      </c>
      <c r="J87" s="279"/>
      <c r="K87" s="279"/>
      <c r="L87" s="279"/>
      <c r="M87" s="279"/>
      <c r="N87" s="280">
        <f t="shared" si="1"/>
        <v>0</v>
      </c>
      <c r="O87" s="279"/>
    </row>
    <row r="88" spans="1:15" x14ac:dyDescent="0.15">
      <c r="A88" s="265">
        <v>81</v>
      </c>
      <c r="B88" s="263">
        <v>2015</v>
      </c>
      <c r="C88" s="41" t="s">
        <v>58</v>
      </c>
      <c r="D88" s="41" t="s">
        <v>90</v>
      </c>
      <c r="E88" s="41" t="s">
        <v>17</v>
      </c>
      <c r="F88" s="264">
        <v>1</v>
      </c>
      <c r="G88" s="279">
        <f>SUMIFS('On-road'!N:N,'On-road'!$B:$B,'Emissions Data'!$B88,'On-road'!$C:$C,'Emissions Data'!$F88,'On-road'!$D:$D,'Emissions Data'!$C88)</f>
        <v>5.0802515355032094</v>
      </c>
      <c r="H88" s="279">
        <f>SUMIFS('On-road'!O:O,'On-road'!$B:$B,'Emissions Data'!$B88,'On-road'!$C:$C,'Emissions Data'!$F88,'On-road'!$D:$D,'Emissions Data'!$C88)</f>
        <v>6.7600485463259578E-3</v>
      </c>
      <c r="I88" s="279">
        <f>SUMIFS('On-road'!P:P,'On-road'!$B:$B,'Emissions Data'!$B88,'On-road'!$C:$C,'Emissions Data'!$F88,'On-road'!$D:$D,'Emissions Data'!$C88)</f>
        <v>4.0052609699785295E-2</v>
      </c>
      <c r="J88" s="279"/>
      <c r="K88" s="279"/>
      <c r="L88" s="279"/>
      <c r="M88" s="279"/>
      <c r="N88" s="280">
        <f t="shared" si="1"/>
        <v>5.1270641937493204</v>
      </c>
      <c r="O88" s="279"/>
    </row>
    <row r="89" spans="1:15" x14ac:dyDescent="0.15">
      <c r="A89" s="265">
        <v>82</v>
      </c>
      <c r="B89" s="263">
        <v>2015</v>
      </c>
      <c r="C89" s="41" t="s">
        <v>58</v>
      </c>
      <c r="D89" s="41" t="s">
        <v>90</v>
      </c>
      <c r="E89" s="41" t="s">
        <v>17</v>
      </c>
      <c r="F89" s="264">
        <v>2</v>
      </c>
      <c r="G89" s="279">
        <f>SUMIFS('On-road'!N:N,'On-road'!$B:$B,'Emissions Data'!$B89,'On-road'!$C:$C,'Emissions Data'!$F89,'On-road'!$D:$D,'Emissions Data'!$C89)</f>
        <v>1.9365423091396523E-3</v>
      </c>
      <c r="H89" s="279">
        <f>SUMIFS('On-road'!O:O,'On-road'!$B:$B,'Emissions Data'!$B89,'On-road'!$C:$C,'Emissions Data'!$F89,'On-road'!$D:$D,'Emissions Data'!$C89)</f>
        <v>9.0105415795953639E-6</v>
      </c>
      <c r="I89" s="279">
        <f>SUMIFS('On-road'!P:P,'On-road'!$B:$B,'Emissions Data'!$B89,'On-road'!$C:$C,'Emissions Data'!$F89,'On-road'!$D:$D,'Emissions Data'!$C89)</f>
        <v>1.2510222720874384E-5</v>
      </c>
      <c r="J89" s="279"/>
      <c r="K89" s="279"/>
      <c r="L89" s="279"/>
      <c r="M89" s="279"/>
      <c r="N89" s="280">
        <f t="shared" si="1"/>
        <v>1.9580630734401224E-3</v>
      </c>
      <c r="O89" s="279"/>
    </row>
    <row r="90" spans="1:15" x14ac:dyDescent="0.15">
      <c r="A90" s="265">
        <v>83</v>
      </c>
      <c r="B90" s="263">
        <v>2015</v>
      </c>
      <c r="C90" s="41" t="s">
        <v>58</v>
      </c>
      <c r="D90" s="41" t="s">
        <v>90</v>
      </c>
      <c r="E90" s="41" t="s">
        <v>68</v>
      </c>
      <c r="F90" s="264">
        <v>1</v>
      </c>
      <c r="G90" s="279">
        <f>SUMIFS(Rail!S:S,Rail!$B:$B,'Emissions Data'!$B90,Rail!$C:$C,'Emissions Data'!$F90,Rail!$D:$D,'Emissions Data'!$C90)</f>
        <v>0.31016194235655137</v>
      </c>
      <c r="H90" s="279">
        <f>SUMIFS(Rail!T:T,Rail!$B:$B,'Emissions Data'!$B90,Rail!$C:$C,'Emissions Data'!$F90,Rail!$D:$D,'Emissions Data'!$C90)</f>
        <v>6.804728216245594E-4</v>
      </c>
      <c r="I90" s="279">
        <f>SUMIFS(Rail!U:U,Rail!$B:$B,'Emissions Data'!$B90,Rail!$C:$C,'Emissions Data'!$F90,Rail!$D:$D,'Emissions Data'!$C90)</f>
        <v>2.0930614915148278E-3</v>
      </c>
      <c r="J90" s="279"/>
      <c r="K90" s="279"/>
      <c r="L90" s="279"/>
      <c r="M90" s="279"/>
      <c r="N90" s="280">
        <f t="shared" si="1"/>
        <v>0.31293547666969074</v>
      </c>
      <c r="O90" s="279"/>
    </row>
    <row r="91" spans="1:15" x14ac:dyDescent="0.15">
      <c r="A91" s="265">
        <v>84</v>
      </c>
      <c r="B91" s="263">
        <v>2015</v>
      </c>
      <c r="C91" s="41" t="s">
        <v>58</v>
      </c>
      <c r="D91" s="41" t="s">
        <v>90</v>
      </c>
      <c r="E91" s="41" t="s">
        <v>68</v>
      </c>
      <c r="F91" s="264">
        <v>2</v>
      </c>
      <c r="G91" s="279">
        <f>SUMIFS(Rail!S:S,Rail!$B:$B,'Emissions Data'!$B91,Rail!$C:$C,'Emissions Data'!$F91,Rail!$D:$D,'Emissions Data'!$C91)</f>
        <v>0.17499976179505597</v>
      </c>
      <c r="H91" s="279">
        <f>SUMIFS(Rail!T:T,Rail!$B:$B,'Emissions Data'!$B91,Rail!$C:$C,'Emissions Data'!$F91,Rail!$D:$D,'Emissions Data'!$C91)</f>
        <v>8.1425674132272366E-4</v>
      </c>
      <c r="I91" s="279">
        <f>SUMIFS(Rail!U:U,Rail!$B:$B,'Emissions Data'!$B91,Rail!$C:$C,'Emissions Data'!$F91,Rail!$D:$D,'Emissions Data'!$C91)</f>
        <v>1.1305128660621662E-3</v>
      </c>
      <c r="J91" s="279"/>
      <c r="K91" s="279"/>
      <c r="L91" s="279"/>
      <c r="M91" s="279"/>
      <c r="N91" s="280">
        <f t="shared" si="1"/>
        <v>0.17694453140244085</v>
      </c>
      <c r="O91" s="279"/>
    </row>
    <row r="92" spans="1:15" x14ac:dyDescent="0.15">
      <c r="A92" s="265">
        <v>85</v>
      </c>
      <c r="B92" s="263">
        <v>2015</v>
      </c>
      <c r="C92" s="41" t="s">
        <v>58</v>
      </c>
      <c r="D92" s="41" t="s">
        <v>90</v>
      </c>
      <c r="E92" s="41" t="s">
        <v>91</v>
      </c>
      <c r="F92" s="264">
        <v>1</v>
      </c>
      <c r="G92" s="279">
        <f>SUMIFS(Waterborne!Q:Q,Waterborne!$B:$B,'Emissions Data'!$B92,Waterborne!$C:$C,'Emissions Data'!$F92,Waterborne!$D:$D,'Emissions Data'!$C92)</f>
        <v>4.4551723757973926E-3</v>
      </c>
      <c r="H92" s="279">
        <f>SUMIFS(Waterborne!R:R,Waterborne!$B:$B,'Emissions Data'!$B92,Waterborne!$C:$C,'Emissions Data'!$F92,Waterborne!$D:$D,'Emissions Data'!$C92)</f>
        <v>5.370539024529104E-6</v>
      </c>
      <c r="I92" s="279">
        <f>SUMIFS(Waterborne!S:S,Waterborne!$B:$B,'Emissions Data'!$B92,Waterborne!$C:$C,'Emissions Data'!$F92,Waterborne!$D:$D,'Emissions Data'!$C92)</f>
        <v>5.7167484691693529E-5</v>
      </c>
      <c r="J92" s="279"/>
      <c r="K92" s="279"/>
      <c r="L92" s="279"/>
      <c r="M92" s="279"/>
      <c r="N92" s="280">
        <f t="shared" si="1"/>
        <v>4.5177103995136152E-3</v>
      </c>
      <c r="O92" s="279"/>
    </row>
    <row r="93" spans="1:15" x14ac:dyDescent="0.15">
      <c r="A93" s="265">
        <v>86</v>
      </c>
      <c r="B93" s="263">
        <v>2015</v>
      </c>
      <c r="C93" s="41" t="s">
        <v>58</v>
      </c>
      <c r="D93" s="41" t="s">
        <v>90</v>
      </c>
      <c r="E93" s="41" t="s">
        <v>91</v>
      </c>
      <c r="F93" s="264">
        <v>2</v>
      </c>
      <c r="G93" s="279">
        <f>SUMIFS(Waterborne!Q:Q,Waterborne!$B:$B,'Emissions Data'!$B93,Waterborne!$C:$C,'Emissions Data'!$F93,Waterborne!$D:$D,'Emissions Data'!$C93)</f>
        <v>0</v>
      </c>
      <c r="H93" s="279">
        <f>SUMIFS(Waterborne!R:R,Waterborne!$B:$B,'Emissions Data'!$B93,Waterborne!$C:$C,'Emissions Data'!$F93,Waterborne!$D:$D,'Emissions Data'!$C93)</f>
        <v>0</v>
      </c>
      <c r="I93" s="279">
        <f>SUMIFS(Waterborne!S:S,Waterborne!$B:$B,'Emissions Data'!$B93,Waterborne!$C:$C,'Emissions Data'!$F93,Waterborne!$D:$D,'Emissions Data'!$C93)</f>
        <v>0</v>
      </c>
      <c r="J93" s="279"/>
      <c r="K93" s="279"/>
      <c r="L93" s="279"/>
      <c r="M93" s="279"/>
      <c r="N93" s="280">
        <f t="shared" si="1"/>
        <v>0</v>
      </c>
      <c r="O93" s="279"/>
    </row>
    <row r="94" spans="1:15" x14ac:dyDescent="0.15">
      <c r="A94" s="265">
        <v>87</v>
      </c>
      <c r="B94" s="263">
        <v>2015</v>
      </c>
      <c r="C94" s="41" t="s">
        <v>58</v>
      </c>
      <c r="D94" s="41" t="s">
        <v>90</v>
      </c>
      <c r="E94" s="41" t="s">
        <v>23</v>
      </c>
      <c r="F94" s="264">
        <v>1</v>
      </c>
      <c r="G94" s="279">
        <f>SUMIFS(Aviation!N:N,Aviation!$B:$B,'Emissions Data'!$B94,Aviation!$C:$C,'Emissions Data'!$F94,Aviation!$D:$D,'Emissions Data'!$C94)</f>
        <v>1.5709697290941966</v>
      </c>
      <c r="H94" s="279">
        <f>SUMIFS(Aviation!O:O,Aviation!$B:$B,'Emissions Data'!$B94,Aviation!$C:$C,'Emissions Data'!$F94,Aviation!$D:$D,'Emissions Data'!$C94)</f>
        <v>0</v>
      </c>
      <c r="I94" s="279">
        <f>SUMIFS(Aviation!P:P,Aviation!$B:$B,'Emissions Data'!$B94,Aviation!$C:$C,'Emissions Data'!$F94,Aviation!$D:$D,'Emissions Data'!$C94)</f>
        <v>1.2809445483383445E-2</v>
      </c>
      <c r="J94" s="279"/>
      <c r="K94" s="279"/>
      <c r="L94" s="279"/>
      <c r="M94" s="279"/>
      <c r="N94" s="280">
        <f t="shared" si="1"/>
        <v>1.58377917457758</v>
      </c>
      <c r="O94" s="279"/>
    </row>
    <row r="95" spans="1:15" x14ac:dyDescent="0.15">
      <c r="A95" s="265">
        <v>88</v>
      </c>
      <c r="B95" s="263">
        <v>2015</v>
      </c>
      <c r="C95" s="41" t="s">
        <v>58</v>
      </c>
      <c r="D95" s="41" t="s">
        <v>90</v>
      </c>
      <c r="E95" s="41" t="s">
        <v>23</v>
      </c>
      <c r="F95" s="264">
        <v>2</v>
      </c>
      <c r="G95" s="279">
        <f>SUMIFS(Aviation!N:N,Aviation!$B:$B,'Emissions Data'!$B95,Aviation!$C:$C,'Emissions Data'!$F95,Aviation!$D:$D,'Emissions Data'!$C95)</f>
        <v>0</v>
      </c>
      <c r="H95" s="279">
        <f>SUMIFS(Aviation!O:O,Aviation!$B:$B,'Emissions Data'!$B95,Aviation!$C:$C,'Emissions Data'!$F95,Aviation!$D:$D,'Emissions Data'!$C95)</f>
        <v>0</v>
      </c>
      <c r="I95" s="279">
        <f>SUMIFS(Aviation!P:P,Aviation!$B:$B,'Emissions Data'!$B95,Aviation!$C:$C,'Emissions Data'!$F95,Aviation!$D:$D,'Emissions Data'!$C95)</f>
        <v>0</v>
      </c>
      <c r="J95" s="279"/>
      <c r="K95" s="279"/>
      <c r="L95" s="279"/>
      <c r="M95" s="279"/>
      <c r="N95" s="280">
        <f t="shared" si="1"/>
        <v>0</v>
      </c>
      <c r="O95" s="279"/>
    </row>
    <row r="96" spans="1:15" x14ac:dyDescent="0.15">
      <c r="A96" s="265">
        <v>89</v>
      </c>
      <c r="B96" s="263">
        <v>2015</v>
      </c>
      <c r="C96" s="41" t="s">
        <v>58</v>
      </c>
      <c r="D96" s="41" t="s">
        <v>90</v>
      </c>
      <c r="E96" s="41" t="s">
        <v>25</v>
      </c>
      <c r="F96" s="264">
        <v>1</v>
      </c>
      <c r="G96" s="279">
        <f>SUMIFS('Off-road'!O:O,'Off-road'!$B:$B,'Emissions Data'!$B96,'Off-road'!$C:$C,'Emissions Data'!$F96,'Off-road'!$D:$D,'Emissions Data'!$C96)</f>
        <v>0.4959088960892159</v>
      </c>
      <c r="H96" s="279">
        <f>SUMIFS('Off-road'!P:P,'Off-road'!$B:$B,'Emissions Data'!$B96,'Off-road'!$C:$C,'Emissions Data'!$F96,'Off-road'!$D:$D,'Emissions Data'!$C96)</f>
        <v>5.9043931045366883E-3</v>
      </c>
      <c r="I96" s="279">
        <f>SUMIFS('Off-road'!Q:Q,'Off-road'!$B:$B,'Emissions Data'!$B96,'Off-road'!$C:$C,'Emissions Data'!$F96,'Off-road'!$D:$D,'Emissions Data'!$C96)</f>
        <v>1.4675467340966135E-2</v>
      </c>
      <c r="J96" s="279"/>
      <c r="K96" s="279"/>
      <c r="L96" s="279"/>
      <c r="M96" s="279"/>
      <c r="N96" s="280">
        <f t="shared" si="1"/>
        <v>0.51648875653471871</v>
      </c>
      <c r="O96" s="279"/>
    </row>
    <row r="97" spans="1:15" x14ac:dyDescent="0.15">
      <c r="A97" s="265">
        <v>90</v>
      </c>
      <c r="B97" s="263">
        <v>2015</v>
      </c>
      <c r="C97" s="41" t="s">
        <v>58</v>
      </c>
      <c r="D97" s="41" t="s">
        <v>90</v>
      </c>
      <c r="E97" s="41" t="s">
        <v>25</v>
      </c>
      <c r="F97" s="264">
        <v>2</v>
      </c>
      <c r="G97" s="279">
        <f>SUMIFS('Off-road'!O:O,'Off-road'!$B:$B,'Emissions Data'!$B97,'Off-road'!$C:$C,'Emissions Data'!$F97,'Off-road'!$D:$D,'Emissions Data'!$C97)</f>
        <v>0</v>
      </c>
      <c r="H97" s="279">
        <f>SUMIFS('Off-road'!P:P,'Off-road'!$B:$B,'Emissions Data'!$B97,'Off-road'!$C:$C,'Emissions Data'!$F97,'Off-road'!$D:$D,'Emissions Data'!$C97)</f>
        <v>0</v>
      </c>
      <c r="I97" s="279">
        <f>SUMIFS('Off-road'!Q:Q,'Off-road'!$B:$B,'Emissions Data'!$B97,'Off-road'!$C:$C,'Emissions Data'!$F97,'Off-road'!$D:$D,'Emissions Data'!$C97)</f>
        <v>0</v>
      </c>
      <c r="J97" s="279"/>
      <c r="K97" s="279"/>
      <c r="L97" s="279"/>
      <c r="M97" s="279"/>
      <c r="N97" s="280">
        <f t="shared" si="1"/>
        <v>0</v>
      </c>
      <c r="O97" s="279"/>
    </row>
    <row r="98" spans="1:15" x14ac:dyDescent="0.15">
      <c r="A98" s="265">
        <v>91</v>
      </c>
      <c r="B98" s="263">
        <v>2015</v>
      </c>
      <c r="C98" s="41" t="s">
        <v>59</v>
      </c>
      <c r="D98" s="41" t="s">
        <v>90</v>
      </c>
      <c r="E98" s="41" t="s">
        <v>17</v>
      </c>
      <c r="F98" s="264">
        <v>1</v>
      </c>
      <c r="G98" s="279">
        <f>SUMIFS('On-road'!N:N,'On-road'!$B:$B,'Emissions Data'!$B98,'On-road'!$C:$C,'Emissions Data'!$F98,'On-road'!$D:$D,'Emissions Data'!$C98)</f>
        <v>14.421195702448147</v>
      </c>
      <c r="H98" s="279">
        <f>SUMIFS('On-road'!O:O,'On-road'!$B:$B,'Emissions Data'!$B98,'On-road'!$C:$C,'Emissions Data'!$F98,'On-road'!$D:$D,'Emissions Data'!$C98)</f>
        <v>1.7486452145404188E-2</v>
      </c>
      <c r="I98" s="279">
        <f>SUMIFS('On-road'!P:P,'On-road'!$B:$B,'Emissions Data'!$B98,'On-road'!$C:$C,'Emissions Data'!$F98,'On-road'!$D:$D,'Emissions Data'!$C98)</f>
        <v>0.10542423816732192</v>
      </c>
      <c r="J98" s="279"/>
      <c r="K98" s="279"/>
      <c r="L98" s="279"/>
      <c r="M98" s="279"/>
      <c r="N98" s="280">
        <f t="shared" si="1"/>
        <v>14.544106392760872</v>
      </c>
      <c r="O98" s="279"/>
    </row>
    <row r="99" spans="1:15" x14ac:dyDescent="0.15">
      <c r="A99" s="265">
        <v>92</v>
      </c>
      <c r="B99" s="263">
        <v>2015</v>
      </c>
      <c r="C99" s="41" t="s">
        <v>59</v>
      </c>
      <c r="D99" s="41" t="s">
        <v>90</v>
      </c>
      <c r="E99" s="41" t="s">
        <v>17</v>
      </c>
      <c r="F99" s="264">
        <v>2</v>
      </c>
      <c r="G99" s="279">
        <f>SUMIFS('On-road'!N:N,'On-road'!$B:$B,'Emissions Data'!$B99,'On-road'!$C:$C,'Emissions Data'!$F99,'On-road'!$D:$D,'Emissions Data'!$C99)</f>
        <v>4.2616573149143067E-3</v>
      </c>
      <c r="H99" s="279">
        <f>SUMIFS('On-road'!O:O,'On-road'!$B:$B,'Emissions Data'!$B99,'On-road'!$C:$C,'Emissions Data'!$F99,'On-road'!$D:$D,'Emissions Data'!$C99)</f>
        <v>1.9829073835769695E-5</v>
      </c>
      <c r="I99" s="279">
        <f>SUMIFS('On-road'!P:P,'On-road'!$B:$B,'Emissions Data'!$B99,'On-road'!$C:$C,'Emissions Data'!$F99,'On-road'!$D:$D,'Emissions Data'!$C99)</f>
        <v>2.7530657046841091E-5</v>
      </c>
      <c r="J99" s="279"/>
      <c r="K99" s="279"/>
      <c r="L99" s="279"/>
      <c r="M99" s="279"/>
      <c r="N99" s="280">
        <f t="shared" si="1"/>
        <v>4.3090170457969175E-3</v>
      </c>
      <c r="O99" s="279"/>
    </row>
    <row r="100" spans="1:15" x14ac:dyDescent="0.15">
      <c r="A100" s="265">
        <v>93</v>
      </c>
      <c r="B100" s="263">
        <v>2015</v>
      </c>
      <c r="C100" s="41" t="s">
        <v>59</v>
      </c>
      <c r="D100" s="41" t="s">
        <v>90</v>
      </c>
      <c r="E100" s="41" t="s">
        <v>68</v>
      </c>
      <c r="F100" s="264">
        <v>1</v>
      </c>
      <c r="G100" s="279">
        <f>SUMIFS(Rail!S:S,Rail!$B:$B,'Emissions Data'!$B100,Rail!$C:$C,'Emissions Data'!$F100,Rail!$D:$D,'Emissions Data'!$C100)</f>
        <v>0.46007460103837866</v>
      </c>
      <c r="H100" s="279">
        <f>SUMIFS(Rail!T:T,Rail!$B:$B,'Emissions Data'!$B100,Rail!$C:$C,'Emissions Data'!$F100,Rail!$D:$D,'Emissions Data'!$C100)</f>
        <v>1.0093703294083917E-3</v>
      </c>
      <c r="I100" s="279">
        <f>SUMIFS(Rail!U:U,Rail!$B:$B,'Emissions Data'!$B100,Rail!$C:$C,'Emissions Data'!$F100,Rail!$D:$D,'Emissions Data'!$C100)</f>
        <v>3.1047149864392052E-3</v>
      </c>
      <c r="J100" s="279"/>
      <c r="K100" s="279"/>
      <c r="L100" s="279"/>
      <c r="M100" s="279"/>
      <c r="N100" s="280">
        <f t="shared" si="1"/>
        <v>0.46418868635422628</v>
      </c>
      <c r="O100" s="279"/>
    </row>
    <row r="101" spans="1:15" x14ac:dyDescent="0.15">
      <c r="A101" s="265">
        <v>94</v>
      </c>
      <c r="B101" s="263">
        <v>2015</v>
      </c>
      <c r="C101" s="41" t="s">
        <v>59</v>
      </c>
      <c r="D101" s="41" t="s">
        <v>90</v>
      </c>
      <c r="E101" s="41" t="s">
        <v>68</v>
      </c>
      <c r="F101" s="264">
        <v>2</v>
      </c>
      <c r="G101" s="279">
        <f>SUMIFS(Rail!S:S,Rail!$B:$B,'Emissions Data'!$B101,Rail!$C:$C,'Emissions Data'!$F101,Rail!$D:$D,'Emissions Data'!$C101)</f>
        <v>0.1979912324699826</v>
      </c>
      <c r="H101" s="279">
        <f>SUMIFS(Rail!T:T,Rail!$B:$B,'Emissions Data'!$B101,Rail!$C:$C,'Emissions Data'!$F101,Rail!$D:$D,'Emissions Data'!$C101)</f>
        <v>9.2123380116527955E-4</v>
      </c>
      <c r="I101" s="279">
        <f>SUMIFS(Rail!U:U,Rail!$B:$B,'Emissions Data'!$B101,Rail!$C:$C,'Emissions Data'!$F101,Rail!$D:$D,'Emissions Data'!$C101)</f>
        <v>1.2790396591336635E-3</v>
      </c>
      <c r="J101" s="279"/>
      <c r="K101" s="279"/>
      <c r="L101" s="279"/>
      <c r="M101" s="279"/>
      <c r="N101" s="280">
        <f t="shared" si="1"/>
        <v>0.20019150593028154</v>
      </c>
      <c r="O101" s="279"/>
    </row>
    <row r="102" spans="1:15" x14ac:dyDescent="0.15">
      <c r="A102" s="265">
        <v>95</v>
      </c>
      <c r="B102" s="263">
        <v>2015</v>
      </c>
      <c r="C102" s="41" t="s">
        <v>59</v>
      </c>
      <c r="D102" s="41" t="s">
        <v>90</v>
      </c>
      <c r="E102" s="41" t="s">
        <v>91</v>
      </c>
      <c r="F102" s="264">
        <v>1</v>
      </c>
      <c r="G102" s="279">
        <f>SUMIFS(Waterborne!Q:Q,Waterborne!$B:$B,'Emissions Data'!$B102,Waterborne!$C:$C,'Emissions Data'!$F102,Waterborne!$D:$D,'Emissions Data'!$C102)</f>
        <v>1.9982733899739182E-2</v>
      </c>
      <c r="H102" s="279">
        <f>SUMIFS(Waterborne!R:R,Waterborne!$B:$B,'Emissions Data'!$B102,Waterborne!$C:$C,'Emissions Data'!$F102,Waterborne!$D:$D,'Emissions Data'!$C102)</f>
        <v>1.7528705701291025E-4</v>
      </c>
      <c r="I102" s="279">
        <f>SUMIFS(Waterborne!S:S,Waterborne!$B:$B,'Emissions Data'!$B102,Waterborne!$C:$C,'Emissions Data'!$F102,Waterborne!$D:$D,'Emissions Data'!$C102)</f>
        <v>1.9438590916935297E-4</v>
      </c>
      <c r="J102" s="279"/>
      <c r="K102" s="279"/>
      <c r="L102" s="279"/>
      <c r="M102" s="279"/>
      <c r="N102" s="280">
        <f t="shared" si="1"/>
        <v>2.0352406865921446E-2</v>
      </c>
      <c r="O102" s="279"/>
    </row>
    <row r="103" spans="1:15" x14ac:dyDescent="0.15">
      <c r="A103" s="265">
        <v>96</v>
      </c>
      <c r="B103" s="263">
        <v>2015</v>
      </c>
      <c r="C103" s="41" t="s">
        <v>59</v>
      </c>
      <c r="D103" s="41" t="s">
        <v>90</v>
      </c>
      <c r="E103" s="41" t="s">
        <v>91</v>
      </c>
      <c r="F103" s="264">
        <v>2</v>
      </c>
      <c r="G103" s="279">
        <f>SUMIFS(Waterborne!Q:Q,Waterborne!$B:$B,'Emissions Data'!$B103,Waterborne!$C:$C,'Emissions Data'!$F103,Waterborne!$D:$D,'Emissions Data'!$C103)</f>
        <v>0</v>
      </c>
      <c r="H103" s="279">
        <f>SUMIFS(Waterborne!R:R,Waterborne!$B:$B,'Emissions Data'!$B103,Waterborne!$C:$C,'Emissions Data'!$F103,Waterborne!$D:$D,'Emissions Data'!$C103)</f>
        <v>0</v>
      </c>
      <c r="I103" s="279">
        <f>SUMIFS(Waterborne!S:S,Waterborne!$B:$B,'Emissions Data'!$B103,Waterborne!$C:$C,'Emissions Data'!$F103,Waterborne!$D:$D,'Emissions Data'!$C103)</f>
        <v>0</v>
      </c>
      <c r="J103" s="279"/>
      <c r="K103" s="279"/>
      <c r="L103" s="279"/>
      <c r="M103" s="279"/>
      <c r="N103" s="280">
        <f t="shared" si="1"/>
        <v>0</v>
      </c>
      <c r="O103" s="279"/>
    </row>
    <row r="104" spans="1:15" x14ac:dyDescent="0.15">
      <c r="A104" s="265">
        <v>97</v>
      </c>
      <c r="B104" s="263">
        <v>2015</v>
      </c>
      <c r="C104" s="41" t="s">
        <v>59</v>
      </c>
      <c r="D104" s="41" t="s">
        <v>90</v>
      </c>
      <c r="E104" s="41" t="s">
        <v>23</v>
      </c>
      <c r="F104" s="264">
        <v>1</v>
      </c>
      <c r="G104" s="279">
        <f>SUMIFS(Aviation!N:N,Aviation!$B:$B,'Emissions Data'!$B104,Aviation!$C:$C,'Emissions Data'!$F104,Aviation!$D:$D,'Emissions Data'!$C104)</f>
        <v>1.5709803100941966</v>
      </c>
      <c r="H104" s="279">
        <f>SUMIFS(Aviation!O:O,Aviation!$B:$B,'Emissions Data'!$B104,Aviation!$C:$C,'Emissions Data'!$F104,Aviation!$D:$D,'Emissions Data'!$C104)</f>
        <v>1.9768000000000002E-8</v>
      </c>
      <c r="I104" s="279">
        <f>SUMIFS(Aviation!P:P,Aviation!$B:$B,'Emissions Data'!$B104,Aviation!$C:$C,'Emissions Data'!$F104,Aviation!$D:$D,'Emissions Data'!$C104)</f>
        <v>1.2809527898383449E-2</v>
      </c>
      <c r="J104" s="279"/>
      <c r="K104" s="279"/>
      <c r="L104" s="279"/>
      <c r="M104" s="279"/>
      <c r="N104" s="280">
        <f t="shared" si="1"/>
        <v>1.58378985776058</v>
      </c>
      <c r="O104" s="279"/>
    </row>
    <row r="105" spans="1:15" x14ac:dyDescent="0.15">
      <c r="A105" s="265">
        <v>98</v>
      </c>
      <c r="B105" s="263">
        <v>2015</v>
      </c>
      <c r="C105" s="41" t="s">
        <v>59</v>
      </c>
      <c r="D105" s="41" t="s">
        <v>90</v>
      </c>
      <c r="E105" s="41" t="s">
        <v>23</v>
      </c>
      <c r="F105" s="264">
        <v>2</v>
      </c>
      <c r="G105" s="279">
        <f>SUMIFS(Aviation!N:N,Aviation!$B:$B,'Emissions Data'!$B105,Aviation!$C:$C,'Emissions Data'!$F105,Aviation!$D:$D,'Emissions Data'!$C105)</f>
        <v>0</v>
      </c>
      <c r="H105" s="279">
        <f>SUMIFS(Aviation!O:O,Aviation!$B:$B,'Emissions Data'!$B105,Aviation!$C:$C,'Emissions Data'!$F105,Aviation!$D:$D,'Emissions Data'!$C105)</f>
        <v>0</v>
      </c>
      <c r="I105" s="279">
        <f>SUMIFS(Aviation!P:P,Aviation!$B:$B,'Emissions Data'!$B105,Aviation!$C:$C,'Emissions Data'!$F105,Aviation!$D:$D,'Emissions Data'!$C105)</f>
        <v>0</v>
      </c>
      <c r="J105" s="279"/>
      <c r="K105" s="279"/>
      <c r="L105" s="279"/>
      <c r="M105" s="279"/>
      <c r="N105" s="280">
        <f t="shared" si="1"/>
        <v>0</v>
      </c>
      <c r="O105" s="279"/>
    </row>
    <row r="106" spans="1:15" x14ac:dyDescent="0.15">
      <c r="A106" s="265">
        <v>99</v>
      </c>
      <c r="B106" s="263">
        <v>2015</v>
      </c>
      <c r="C106" s="41" t="s">
        <v>59</v>
      </c>
      <c r="D106" s="41" t="s">
        <v>90</v>
      </c>
      <c r="E106" s="41" t="s">
        <v>25</v>
      </c>
      <c r="F106" s="264">
        <v>1</v>
      </c>
      <c r="G106" s="279">
        <f>SUMIFS('Off-road'!O:O,'Off-road'!$B:$B,'Emissions Data'!$B106,'Off-road'!$C:$C,'Emissions Data'!$F106,'Off-road'!$D:$D,'Emissions Data'!$C106)</f>
        <v>1.4769724503369404</v>
      </c>
      <c r="H106" s="279">
        <f>SUMIFS('Off-road'!P:P,'Off-road'!$B:$B,'Emissions Data'!$B106,'Off-road'!$C:$C,'Emissions Data'!$F106,'Off-road'!$D:$D,'Emissions Data'!$C106)</f>
        <v>1.9331097728877339E-2</v>
      </c>
      <c r="I106" s="279">
        <f>SUMIFS('Off-road'!Q:Q,'Off-road'!$B:$B,'Emissions Data'!$B106,'Off-road'!$C:$C,'Emissions Data'!$F106,'Off-road'!$D:$D,'Emissions Data'!$C106)</f>
        <v>4.502894229719695E-2</v>
      </c>
      <c r="J106" s="279"/>
      <c r="K106" s="279"/>
      <c r="L106" s="279"/>
      <c r="M106" s="279"/>
      <c r="N106" s="280">
        <f t="shared" si="1"/>
        <v>1.5413324903630148</v>
      </c>
      <c r="O106" s="279"/>
    </row>
    <row r="107" spans="1:15" x14ac:dyDescent="0.15">
      <c r="A107" s="265">
        <v>100</v>
      </c>
      <c r="B107" s="263">
        <v>2015</v>
      </c>
      <c r="C107" s="41" t="s">
        <v>59</v>
      </c>
      <c r="D107" s="41" t="s">
        <v>90</v>
      </c>
      <c r="E107" s="41" t="s">
        <v>25</v>
      </c>
      <c r="F107" s="264">
        <v>2</v>
      </c>
      <c r="G107" s="279">
        <f>SUMIFS('Off-road'!O:O,'Off-road'!$B:$B,'Emissions Data'!$B107,'Off-road'!$C:$C,'Emissions Data'!$F107,'Off-road'!$D:$D,'Emissions Data'!$C107)</f>
        <v>0</v>
      </c>
      <c r="H107" s="279">
        <f>SUMIFS('Off-road'!P:P,'Off-road'!$B:$B,'Emissions Data'!$B107,'Off-road'!$C:$C,'Emissions Data'!$F107,'Off-road'!$D:$D,'Emissions Data'!$C107)</f>
        <v>0</v>
      </c>
      <c r="I107" s="279">
        <f>SUMIFS('Off-road'!Q:Q,'Off-road'!$B:$B,'Emissions Data'!$B107,'Off-road'!$C:$C,'Emissions Data'!$F107,'Off-road'!$D:$D,'Emissions Data'!$C107)</f>
        <v>0</v>
      </c>
      <c r="J107" s="279"/>
      <c r="K107" s="279"/>
      <c r="L107" s="279"/>
      <c r="M107" s="279"/>
      <c r="N107" s="280">
        <f t="shared" si="1"/>
        <v>0</v>
      </c>
      <c r="O107" s="279"/>
    </row>
    <row r="108" spans="1:15" x14ac:dyDescent="0.15">
      <c r="A108" s="265">
        <v>101</v>
      </c>
      <c r="B108" s="263">
        <v>2015</v>
      </c>
      <c r="C108" s="41" t="s">
        <v>60</v>
      </c>
      <c r="D108" s="41" t="s">
        <v>90</v>
      </c>
      <c r="E108" s="41" t="s">
        <v>17</v>
      </c>
      <c r="F108" s="264">
        <v>1</v>
      </c>
      <c r="G108" s="279">
        <f>SUMIFS('On-road'!N:N,'On-road'!$B:$B,'Emissions Data'!$B108,'On-road'!$C:$C,'Emissions Data'!$F108,'On-road'!$D:$D,'Emissions Data'!$C108)</f>
        <v>4.0927419848934692</v>
      </c>
      <c r="H108" s="279">
        <f>SUMIFS('On-road'!O:O,'On-road'!$B:$B,'Emissions Data'!$B108,'On-road'!$C:$C,'Emissions Data'!$F108,'On-road'!$D:$D,'Emissions Data'!$C108)</f>
        <v>5.1430840364489602E-3</v>
      </c>
      <c r="I108" s="279">
        <f>SUMIFS('On-road'!P:P,'On-road'!$B:$B,'Emissions Data'!$B108,'On-road'!$C:$C,'Emissions Data'!$F108,'On-road'!$D:$D,'Emissions Data'!$C108)</f>
        <v>3.121165291431767E-2</v>
      </c>
      <c r="J108" s="279"/>
      <c r="K108" s="279"/>
      <c r="L108" s="279"/>
      <c r="M108" s="279"/>
      <c r="N108" s="280">
        <f t="shared" si="1"/>
        <v>4.1290967218442365</v>
      </c>
      <c r="O108" s="279"/>
    </row>
    <row r="109" spans="1:15" x14ac:dyDescent="0.15">
      <c r="A109" s="265">
        <v>102</v>
      </c>
      <c r="B109" s="263">
        <v>2015</v>
      </c>
      <c r="C109" s="41" t="s">
        <v>60</v>
      </c>
      <c r="D109" s="41" t="s">
        <v>90</v>
      </c>
      <c r="E109" s="41" t="s">
        <v>17</v>
      </c>
      <c r="F109" s="264">
        <v>2</v>
      </c>
      <c r="G109" s="279">
        <f>SUMIFS('On-road'!N:N,'On-road'!$B:$B,'Emissions Data'!$B109,'On-road'!$C:$C,'Emissions Data'!$F109,'On-road'!$D:$D,'Emissions Data'!$C109)</f>
        <v>2.0542524745605301E-3</v>
      </c>
      <c r="H109" s="279">
        <f>SUMIFS('On-road'!O:O,'On-road'!$B:$B,'Emissions Data'!$B109,'On-road'!$C:$C,'Emissions Data'!$F109,'On-road'!$D:$D,'Emissions Data'!$C109)</f>
        <v>9.5582354434785009E-6</v>
      </c>
      <c r="I109" s="279">
        <f>SUMIFS('On-road'!P:P,'On-road'!$B:$B,'Emissions Data'!$B109,'On-road'!$C:$C,'Emissions Data'!$F109,'On-road'!$D:$D,'Emissions Data'!$C109)</f>
        <v>1.327064007864457E-5</v>
      </c>
      <c r="J109" s="279"/>
      <c r="K109" s="279"/>
      <c r="L109" s="279"/>
      <c r="M109" s="279"/>
      <c r="N109" s="280">
        <f t="shared" si="1"/>
        <v>2.0770813500826531E-3</v>
      </c>
      <c r="O109" s="279"/>
    </row>
    <row r="110" spans="1:15" x14ac:dyDescent="0.15">
      <c r="A110" s="265">
        <v>103</v>
      </c>
      <c r="B110" s="263">
        <v>2015</v>
      </c>
      <c r="C110" s="41" t="s">
        <v>60</v>
      </c>
      <c r="D110" s="41" t="s">
        <v>90</v>
      </c>
      <c r="E110" s="41" t="s">
        <v>68</v>
      </c>
      <c r="F110" s="264">
        <v>1</v>
      </c>
      <c r="G110" s="279">
        <f>SUMIFS(Rail!S:S,Rail!$B:$B,'Emissions Data'!$B110,Rail!$C:$C,'Emissions Data'!$F110,Rail!$D:$D,'Emissions Data'!$C110)</f>
        <v>7.678575391706377E-2</v>
      </c>
      <c r="H110" s="279">
        <f>SUMIFS(Rail!T:T,Rail!$B:$B,'Emissions Data'!$B110,Rail!$C:$C,'Emissions Data'!$F110,Rail!$D:$D,'Emissions Data'!$C110)</f>
        <v>1.6846237881902338E-4</v>
      </c>
      <c r="I110" s="279">
        <f>SUMIFS(Rail!U:U,Rail!$B:$B,'Emissions Data'!$B110,Rail!$C:$C,'Emissions Data'!$F110,Rail!$D:$D,'Emissions Data'!$C110)</f>
        <v>5.1817222770672827E-4</v>
      </c>
      <c r="J110" s="279"/>
      <c r="K110" s="279"/>
      <c r="L110" s="279"/>
      <c r="M110" s="279"/>
      <c r="N110" s="280">
        <f t="shared" si="1"/>
        <v>7.7472388523589522E-2</v>
      </c>
      <c r="O110" s="279"/>
    </row>
    <row r="111" spans="1:15" x14ac:dyDescent="0.15">
      <c r="A111" s="265">
        <v>104</v>
      </c>
      <c r="B111" s="263">
        <v>2015</v>
      </c>
      <c r="C111" s="41" t="s">
        <v>60</v>
      </c>
      <c r="D111" s="41" t="s">
        <v>90</v>
      </c>
      <c r="E111" s="41" t="s">
        <v>68</v>
      </c>
      <c r="F111" s="264">
        <v>2</v>
      </c>
      <c r="G111" s="279">
        <f>SUMIFS(Rail!S:S,Rail!$B:$B,'Emissions Data'!$B111,Rail!$C:$C,'Emissions Data'!$F111,Rail!$D:$D,'Emissions Data'!$C111)</f>
        <v>4.4600821682821293E-3</v>
      </c>
      <c r="H111" s="279">
        <f>SUMIFS(Rail!T:T,Rail!$B:$B,'Emissions Data'!$B111,Rail!$C:$C,'Emissions Data'!$F111,Rail!$D:$D,'Emissions Data'!$C111)</f>
        <v>2.0752325232476943E-5</v>
      </c>
      <c r="I111" s="279">
        <f>SUMIFS(Rail!U:U,Rail!$B:$B,'Emissions Data'!$B111,Rail!$C:$C,'Emissions Data'!$F111,Rail!$D:$D,'Emissions Data'!$C111)</f>
        <v>2.8812497932667711E-5</v>
      </c>
      <c r="J111" s="279"/>
      <c r="K111" s="279"/>
      <c r="L111" s="279"/>
      <c r="M111" s="279"/>
      <c r="N111" s="280">
        <f t="shared" si="1"/>
        <v>4.5096469914472741E-3</v>
      </c>
      <c r="O111" s="279"/>
    </row>
    <row r="112" spans="1:15" x14ac:dyDescent="0.15">
      <c r="A112" s="265">
        <v>105</v>
      </c>
      <c r="B112" s="263">
        <v>2015</v>
      </c>
      <c r="C112" s="41" t="s">
        <v>60</v>
      </c>
      <c r="D112" s="41" t="s">
        <v>90</v>
      </c>
      <c r="E112" s="41" t="s">
        <v>91</v>
      </c>
      <c r="F112" s="264">
        <v>1</v>
      </c>
      <c r="G112" s="279">
        <f>SUMIFS(Waterborne!Q:Q,Waterborne!$B:$B,'Emissions Data'!$B112,Waterborne!$C:$C,'Emissions Data'!$F112,Waterborne!$D:$D,'Emissions Data'!$C112)</f>
        <v>7.8296230397797127E-4</v>
      </c>
      <c r="H112" s="279">
        <f>SUMIFS(Waterborne!R:R,Waterborne!$B:$B,'Emissions Data'!$B112,Waterborne!$C:$C,'Emissions Data'!$F112,Waterborne!$D:$D,'Emissions Data'!$C112)</f>
        <v>1.0098511239425323E-5</v>
      </c>
      <c r="I112" s="279">
        <f>SUMIFS(Waterborne!S:S,Waterborne!$B:$B,'Emissions Data'!$B112,Waterborne!$C:$C,'Emissions Data'!$F112,Waterborne!$D:$D,'Emissions Data'!$C112)</f>
        <v>6.2911888313478322E-6</v>
      </c>
      <c r="J112" s="279"/>
      <c r="K112" s="279"/>
      <c r="L112" s="279"/>
      <c r="M112" s="279"/>
      <c r="N112" s="280">
        <f t="shared" si="1"/>
        <v>7.9935200404874444E-4</v>
      </c>
      <c r="O112" s="279"/>
    </row>
    <row r="113" spans="1:15" x14ac:dyDescent="0.15">
      <c r="A113" s="265">
        <v>106</v>
      </c>
      <c r="B113" s="263">
        <v>2015</v>
      </c>
      <c r="C113" s="41" t="s">
        <v>60</v>
      </c>
      <c r="D113" s="41" t="s">
        <v>90</v>
      </c>
      <c r="E113" s="41" t="s">
        <v>91</v>
      </c>
      <c r="F113" s="264">
        <v>2</v>
      </c>
      <c r="G113" s="279">
        <f>SUMIFS(Waterborne!Q:Q,Waterborne!$B:$B,'Emissions Data'!$B113,Waterborne!$C:$C,'Emissions Data'!$F113,Waterborne!$D:$D,'Emissions Data'!$C113)</f>
        <v>0</v>
      </c>
      <c r="H113" s="279">
        <f>SUMIFS(Waterborne!R:R,Waterborne!$B:$B,'Emissions Data'!$B113,Waterborne!$C:$C,'Emissions Data'!$F113,Waterborne!$D:$D,'Emissions Data'!$C113)</f>
        <v>0</v>
      </c>
      <c r="I113" s="279">
        <f>SUMIFS(Waterborne!S:S,Waterborne!$B:$B,'Emissions Data'!$B113,Waterborne!$C:$C,'Emissions Data'!$F113,Waterborne!$D:$D,'Emissions Data'!$C113)</f>
        <v>0</v>
      </c>
      <c r="J113" s="279"/>
      <c r="K113" s="279"/>
      <c r="L113" s="279"/>
      <c r="M113" s="279"/>
      <c r="N113" s="280">
        <f t="shared" si="1"/>
        <v>0</v>
      </c>
      <c r="O113" s="279"/>
    </row>
    <row r="114" spans="1:15" x14ac:dyDescent="0.15">
      <c r="A114" s="265">
        <v>107</v>
      </c>
      <c r="B114" s="263">
        <v>2015</v>
      </c>
      <c r="C114" s="41" t="s">
        <v>60</v>
      </c>
      <c r="D114" s="41" t="s">
        <v>90</v>
      </c>
      <c r="E114" s="41" t="s">
        <v>23</v>
      </c>
      <c r="F114" s="264">
        <v>1</v>
      </c>
      <c r="G114" s="279">
        <f>SUMIFS(Aviation!N:N,Aviation!$B:$B,'Emissions Data'!$B114,Aviation!$C:$C,'Emissions Data'!$F114,Aviation!$D:$D,'Emissions Data'!$C114)</f>
        <v>0</v>
      </c>
      <c r="H114" s="279">
        <f>SUMIFS(Aviation!O:O,Aviation!$B:$B,'Emissions Data'!$B114,Aviation!$C:$C,'Emissions Data'!$F114,Aviation!$D:$D,'Emissions Data'!$C114)</f>
        <v>0</v>
      </c>
      <c r="I114" s="279">
        <f>SUMIFS(Aviation!P:P,Aviation!$B:$B,'Emissions Data'!$B114,Aviation!$C:$C,'Emissions Data'!$F114,Aviation!$D:$D,'Emissions Data'!$C114)</f>
        <v>0</v>
      </c>
      <c r="J114" s="279"/>
      <c r="K114" s="279"/>
      <c r="L114" s="279"/>
      <c r="M114" s="279"/>
      <c r="N114" s="280">
        <f t="shared" si="1"/>
        <v>0</v>
      </c>
      <c r="O114" s="279"/>
    </row>
    <row r="115" spans="1:15" x14ac:dyDescent="0.15">
      <c r="A115" s="265">
        <v>108</v>
      </c>
      <c r="B115" s="263">
        <v>2015</v>
      </c>
      <c r="C115" s="41" t="s">
        <v>60</v>
      </c>
      <c r="D115" s="41" t="s">
        <v>90</v>
      </c>
      <c r="E115" s="41" t="s">
        <v>23</v>
      </c>
      <c r="F115" s="264">
        <v>2</v>
      </c>
      <c r="G115" s="279">
        <f>SUMIFS(Aviation!N:N,Aviation!$B:$B,'Emissions Data'!$B115,Aviation!$C:$C,'Emissions Data'!$F115,Aviation!$D:$D,'Emissions Data'!$C115)</f>
        <v>0</v>
      </c>
      <c r="H115" s="279">
        <f>SUMIFS(Aviation!O:O,Aviation!$B:$B,'Emissions Data'!$B115,Aviation!$C:$C,'Emissions Data'!$F115,Aviation!$D:$D,'Emissions Data'!$C115)</f>
        <v>0</v>
      </c>
      <c r="I115" s="279">
        <f>SUMIFS(Aviation!P:P,Aviation!$B:$B,'Emissions Data'!$B115,Aviation!$C:$C,'Emissions Data'!$F115,Aviation!$D:$D,'Emissions Data'!$C115)</f>
        <v>0</v>
      </c>
      <c r="J115" s="279"/>
      <c r="K115" s="279"/>
      <c r="L115" s="279"/>
      <c r="M115" s="279"/>
      <c r="N115" s="280">
        <f t="shared" si="1"/>
        <v>0</v>
      </c>
      <c r="O115" s="279"/>
    </row>
    <row r="116" spans="1:15" x14ac:dyDescent="0.15">
      <c r="A116" s="265">
        <v>109</v>
      </c>
      <c r="B116" s="263">
        <v>2015</v>
      </c>
      <c r="C116" s="41" t="s">
        <v>60</v>
      </c>
      <c r="D116" s="41" t="s">
        <v>90</v>
      </c>
      <c r="E116" s="41" t="s">
        <v>25</v>
      </c>
      <c r="F116" s="264">
        <v>1</v>
      </c>
      <c r="G116" s="279">
        <f>SUMIFS('Off-road'!O:O,'Off-road'!$B:$B,'Emissions Data'!$B116,'Off-road'!$C:$C,'Emissions Data'!$F116,'Off-road'!$D:$D,'Emissions Data'!$C116)</f>
        <v>0.4578877667852706</v>
      </c>
      <c r="H116" s="279">
        <f>SUMIFS('Off-road'!P:P,'Off-road'!$B:$B,'Emissions Data'!$B116,'Off-road'!$C:$C,'Emissions Data'!$F116,'Off-road'!$D:$D,'Emissions Data'!$C116)</f>
        <v>6.9849731601551992E-3</v>
      </c>
      <c r="I116" s="279">
        <f>SUMIFS('Off-road'!Q:Q,'Off-road'!$B:$B,'Emissions Data'!$B116,'Off-road'!$C:$C,'Emissions Data'!$F116,'Off-road'!$D:$D,'Emissions Data'!$C116)</f>
        <v>1.4920753037495288E-2</v>
      </c>
      <c r="J116" s="279"/>
      <c r="K116" s="279"/>
      <c r="L116" s="279"/>
      <c r="M116" s="279"/>
      <c r="N116" s="280">
        <f t="shared" si="1"/>
        <v>0.47979349298292107</v>
      </c>
      <c r="O116" s="279"/>
    </row>
    <row r="117" spans="1:15" x14ac:dyDescent="0.15">
      <c r="A117" s="265">
        <v>110</v>
      </c>
      <c r="B117" s="263">
        <v>2015</v>
      </c>
      <c r="C117" s="41" t="s">
        <v>60</v>
      </c>
      <c r="D117" s="41" t="s">
        <v>90</v>
      </c>
      <c r="E117" s="41" t="s">
        <v>25</v>
      </c>
      <c r="F117" s="264">
        <v>2</v>
      </c>
      <c r="G117" s="279">
        <f>SUMIFS('Off-road'!O:O,'Off-road'!$B:$B,'Emissions Data'!$B117,'Off-road'!$C:$C,'Emissions Data'!$F117,'Off-road'!$D:$D,'Emissions Data'!$C117)</f>
        <v>0</v>
      </c>
      <c r="H117" s="279">
        <f>SUMIFS('Off-road'!P:P,'Off-road'!$B:$B,'Emissions Data'!$B117,'Off-road'!$C:$C,'Emissions Data'!$F117,'Off-road'!$D:$D,'Emissions Data'!$C117)</f>
        <v>0</v>
      </c>
      <c r="I117" s="279">
        <f>SUMIFS('Off-road'!Q:Q,'Off-road'!$B:$B,'Emissions Data'!$B117,'Off-road'!$C:$C,'Emissions Data'!$F117,'Off-road'!$D:$D,'Emissions Data'!$C117)</f>
        <v>0</v>
      </c>
      <c r="J117" s="279"/>
      <c r="K117" s="279"/>
      <c r="L117" s="279"/>
      <c r="M117" s="279"/>
      <c r="N117" s="280">
        <f t="shared" si="1"/>
        <v>0</v>
      </c>
      <c r="O117" s="279"/>
    </row>
    <row r="118" spans="1:15" x14ac:dyDescent="0.15">
      <c r="A118" s="265">
        <v>111</v>
      </c>
      <c r="B118" s="263">
        <v>2015</v>
      </c>
      <c r="C118" s="41" t="s">
        <v>61</v>
      </c>
      <c r="D118" s="41" t="s">
        <v>90</v>
      </c>
      <c r="E118" s="41" t="s">
        <v>17</v>
      </c>
      <c r="F118" s="264">
        <v>1</v>
      </c>
      <c r="G118" s="279">
        <f>SUMIFS('On-road'!N:N,'On-road'!$B:$B,'Emissions Data'!$B118,'On-road'!$C:$C,'Emissions Data'!$F118,'On-road'!$D:$D,'Emissions Data'!$C118)</f>
        <v>0.45191151942824231</v>
      </c>
      <c r="H118" s="279">
        <f>SUMIFS('On-road'!O:O,'On-road'!$B:$B,'Emissions Data'!$B118,'On-road'!$C:$C,'Emissions Data'!$F118,'On-road'!$D:$D,'Emissions Data'!$C118)</f>
        <v>5.8653860650341981E-4</v>
      </c>
      <c r="I118" s="279">
        <f>SUMIFS('On-road'!P:P,'On-road'!$B:$B,'Emissions Data'!$B118,'On-road'!$C:$C,'Emissions Data'!$F118,'On-road'!$D:$D,'Emissions Data'!$C118)</f>
        <v>3.5515402934797875E-3</v>
      </c>
      <c r="J118" s="279"/>
      <c r="K118" s="279"/>
      <c r="L118" s="279"/>
      <c r="M118" s="279"/>
      <c r="N118" s="280">
        <f t="shared" si="1"/>
        <v>0.4560495983282255</v>
      </c>
      <c r="O118" s="279"/>
    </row>
    <row r="119" spans="1:15" x14ac:dyDescent="0.15">
      <c r="A119" s="265">
        <v>112</v>
      </c>
      <c r="B119" s="263">
        <v>2015</v>
      </c>
      <c r="C119" s="41" t="s">
        <v>61</v>
      </c>
      <c r="D119" s="41" t="s">
        <v>90</v>
      </c>
      <c r="E119" s="41" t="s">
        <v>17</v>
      </c>
      <c r="F119" s="264">
        <v>2</v>
      </c>
      <c r="G119" s="279">
        <f>SUMIFS('On-road'!N:N,'On-road'!$B:$B,'Emissions Data'!$B119,'On-road'!$C:$C,'Emissions Data'!$F119,'On-road'!$D:$D,'Emissions Data'!$C119)</f>
        <v>6.147137438502375E-5</v>
      </c>
      <c r="H119" s="279">
        <f>SUMIFS('On-road'!O:O,'On-road'!$B:$B,'Emissions Data'!$B119,'On-road'!$C:$C,'Emissions Data'!$F119,'On-road'!$D:$D,'Emissions Data'!$C119)</f>
        <v>2.8602028070184883E-7</v>
      </c>
      <c r="I119" s="279">
        <f>SUMIFS('On-road'!P:P,'On-road'!$B:$B,'Emissions Data'!$B119,'On-road'!$C:$C,'Emissions Data'!$F119,'On-road'!$D:$D,'Emissions Data'!$C119)</f>
        <v>3.9711013845938256E-7</v>
      </c>
      <c r="J119" s="279"/>
      <c r="K119" s="279"/>
      <c r="L119" s="279"/>
      <c r="M119" s="279"/>
      <c r="N119" s="280">
        <f t="shared" si="1"/>
        <v>6.2154504804184973E-5</v>
      </c>
      <c r="O119" s="279"/>
    </row>
    <row r="120" spans="1:15" x14ac:dyDescent="0.15">
      <c r="A120" s="265">
        <v>113</v>
      </c>
      <c r="B120" s="263">
        <v>2015</v>
      </c>
      <c r="C120" s="41" t="s">
        <v>61</v>
      </c>
      <c r="D120" s="41" t="s">
        <v>90</v>
      </c>
      <c r="E120" s="41" t="s">
        <v>68</v>
      </c>
      <c r="F120" s="264">
        <v>1</v>
      </c>
      <c r="G120" s="279">
        <f>SUMIFS(Rail!S:S,Rail!$B:$B,'Emissions Data'!$B120,Rail!$C:$C,'Emissions Data'!$F120,Rail!$D:$D,'Emissions Data'!$C120)</f>
        <v>9.6593964027791475E-3</v>
      </c>
      <c r="H120" s="279">
        <f>SUMIFS(Rail!T:T,Rail!$B:$B,'Emissions Data'!$B120,Rail!$C:$C,'Emissions Data'!$F120,Rail!$D:$D,'Emissions Data'!$C120)</f>
        <v>2.1192015614324479E-5</v>
      </c>
      <c r="I120" s="279">
        <f>SUMIFS(Rail!U:U,Rail!$B:$B,'Emissions Data'!$B120,Rail!$C:$C,'Emissions Data'!$F120,Rail!$D:$D,'Emissions Data'!$C120)</f>
        <v>6.5184369456560565E-5</v>
      </c>
      <c r="J120" s="279"/>
      <c r="K120" s="279"/>
      <c r="L120" s="279"/>
      <c r="M120" s="279"/>
      <c r="N120" s="280">
        <f t="shared" si="1"/>
        <v>9.7457727878500315E-3</v>
      </c>
      <c r="O120" s="279"/>
    </row>
    <row r="121" spans="1:15" x14ac:dyDescent="0.15">
      <c r="A121" s="265">
        <v>114</v>
      </c>
      <c r="B121" s="263">
        <v>2015</v>
      </c>
      <c r="C121" s="41" t="s">
        <v>61</v>
      </c>
      <c r="D121" s="41" t="s">
        <v>90</v>
      </c>
      <c r="E121" s="41" t="s">
        <v>68</v>
      </c>
      <c r="F121" s="264">
        <v>2</v>
      </c>
      <c r="G121" s="279">
        <f>SUMIFS(Rail!S:S,Rail!$B:$B,'Emissions Data'!$B121,Rail!$C:$C,'Emissions Data'!$F121,Rail!$D:$D,'Emissions Data'!$C121)</f>
        <v>0</v>
      </c>
      <c r="H121" s="279">
        <f>SUMIFS(Rail!T:T,Rail!$B:$B,'Emissions Data'!$B121,Rail!$C:$C,'Emissions Data'!$F121,Rail!$D:$D,'Emissions Data'!$C121)</f>
        <v>0</v>
      </c>
      <c r="I121" s="279">
        <f>SUMIFS(Rail!U:U,Rail!$B:$B,'Emissions Data'!$B121,Rail!$C:$C,'Emissions Data'!$F121,Rail!$D:$D,'Emissions Data'!$C121)</f>
        <v>0</v>
      </c>
      <c r="J121" s="279"/>
      <c r="K121" s="279"/>
      <c r="L121" s="279"/>
      <c r="M121" s="279"/>
      <c r="N121" s="280">
        <f t="shared" si="1"/>
        <v>0</v>
      </c>
      <c r="O121" s="279"/>
    </row>
    <row r="122" spans="1:15" x14ac:dyDescent="0.15">
      <c r="A122" s="265">
        <v>115</v>
      </c>
      <c r="B122" s="263">
        <v>2015</v>
      </c>
      <c r="C122" s="41" t="s">
        <v>61</v>
      </c>
      <c r="D122" s="41" t="s">
        <v>90</v>
      </c>
      <c r="E122" s="41" t="s">
        <v>91</v>
      </c>
      <c r="F122" s="264">
        <v>1</v>
      </c>
      <c r="G122" s="279">
        <f>SUMIFS(Waterborne!Q:Q,Waterborne!$B:$B,'Emissions Data'!$B122,Waterborne!$C:$C,'Emissions Data'!$F122,Waterborne!$D:$D,'Emissions Data'!$C122)</f>
        <v>6.5246856373514896E-4</v>
      </c>
      <c r="H122" s="279">
        <f>SUMIFS(Waterborne!R:R,Waterborne!$B:$B,'Emissions Data'!$B122,Waterborne!$C:$C,'Emissions Data'!$F122,Waterborne!$D:$D,'Emissions Data'!$C122)</f>
        <v>8.4154254188414896E-6</v>
      </c>
      <c r="I122" s="279">
        <f>SUMIFS(Waterborne!S:S,Waterborne!$B:$B,'Emissions Data'!$B122,Waterborne!$C:$C,'Emissions Data'!$F122,Waterborne!$D:$D,'Emissions Data'!$C122)</f>
        <v>5.2426573059991637E-6</v>
      </c>
      <c r="J122" s="279"/>
      <c r="K122" s="279"/>
      <c r="L122" s="279"/>
      <c r="M122" s="279"/>
      <c r="N122" s="280">
        <f t="shared" si="1"/>
        <v>6.6612664645998956E-4</v>
      </c>
      <c r="O122" s="279"/>
    </row>
    <row r="123" spans="1:15" x14ac:dyDescent="0.15">
      <c r="A123" s="265">
        <v>116</v>
      </c>
      <c r="B123" s="263">
        <v>2015</v>
      </c>
      <c r="C123" s="41" t="s">
        <v>61</v>
      </c>
      <c r="D123" s="41" t="s">
        <v>90</v>
      </c>
      <c r="E123" s="41" t="s">
        <v>91</v>
      </c>
      <c r="F123" s="264">
        <v>2</v>
      </c>
      <c r="G123" s="279">
        <f>SUMIFS(Waterborne!Q:Q,Waterborne!$B:$B,'Emissions Data'!$B123,Waterborne!$C:$C,'Emissions Data'!$F123,Waterborne!$D:$D,'Emissions Data'!$C123)</f>
        <v>0</v>
      </c>
      <c r="H123" s="279">
        <f>SUMIFS(Waterborne!R:R,Waterborne!$B:$B,'Emissions Data'!$B123,Waterborne!$C:$C,'Emissions Data'!$F123,Waterborne!$D:$D,'Emissions Data'!$C123)</f>
        <v>0</v>
      </c>
      <c r="I123" s="279">
        <f>SUMIFS(Waterborne!S:S,Waterborne!$B:$B,'Emissions Data'!$B123,Waterborne!$C:$C,'Emissions Data'!$F123,Waterborne!$D:$D,'Emissions Data'!$C123)</f>
        <v>0</v>
      </c>
      <c r="J123" s="279"/>
      <c r="K123" s="279"/>
      <c r="L123" s="279"/>
      <c r="M123" s="279"/>
      <c r="N123" s="280">
        <f t="shared" si="1"/>
        <v>0</v>
      </c>
      <c r="O123" s="279"/>
    </row>
    <row r="124" spans="1:15" x14ac:dyDescent="0.15">
      <c r="A124" s="265">
        <v>117</v>
      </c>
      <c r="B124" s="263">
        <v>2015</v>
      </c>
      <c r="C124" s="41" t="s">
        <v>61</v>
      </c>
      <c r="D124" s="41" t="s">
        <v>90</v>
      </c>
      <c r="E124" s="41" t="s">
        <v>23</v>
      </c>
      <c r="F124" s="264">
        <v>1</v>
      </c>
      <c r="G124" s="279">
        <f>SUMIFS(Aviation!N:N,Aviation!$B:$B,'Emissions Data'!$B124,Aviation!$C:$C,'Emissions Data'!$F124,Aviation!$D:$D,'Emissions Data'!$C124)</f>
        <v>0</v>
      </c>
      <c r="H124" s="279">
        <f>SUMIFS(Aviation!O:O,Aviation!$B:$B,'Emissions Data'!$B124,Aviation!$C:$C,'Emissions Data'!$F124,Aviation!$D:$D,'Emissions Data'!$C124)</f>
        <v>0</v>
      </c>
      <c r="I124" s="279">
        <f>SUMIFS(Aviation!P:P,Aviation!$B:$B,'Emissions Data'!$B124,Aviation!$C:$C,'Emissions Data'!$F124,Aviation!$D:$D,'Emissions Data'!$C124)</f>
        <v>0</v>
      </c>
      <c r="J124" s="279"/>
      <c r="K124" s="279"/>
      <c r="L124" s="279"/>
      <c r="M124" s="279"/>
      <c r="N124" s="280">
        <f t="shared" si="1"/>
        <v>0</v>
      </c>
      <c r="O124" s="279"/>
    </row>
    <row r="125" spans="1:15" x14ac:dyDescent="0.15">
      <c r="A125" s="265">
        <v>118</v>
      </c>
      <c r="B125" s="263">
        <v>2015</v>
      </c>
      <c r="C125" s="41" t="s">
        <v>61</v>
      </c>
      <c r="D125" s="41" t="s">
        <v>90</v>
      </c>
      <c r="E125" s="41" t="s">
        <v>23</v>
      </c>
      <c r="F125" s="264">
        <v>2</v>
      </c>
      <c r="G125" s="279">
        <f>SUMIFS(Aviation!N:N,Aviation!$B:$B,'Emissions Data'!$B125,Aviation!$C:$C,'Emissions Data'!$F125,Aviation!$D:$D,'Emissions Data'!$C125)</f>
        <v>0</v>
      </c>
      <c r="H125" s="279">
        <f>SUMIFS(Aviation!O:O,Aviation!$B:$B,'Emissions Data'!$B125,Aviation!$C:$C,'Emissions Data'!$F125,Aviation!$D:$D,'Emissions Data'!$C125)</f>
        <v>0</v>
      </c>
      <c r="I125" s="279">
        <f>SUMIFS(Aviation!P:P,Aviation!$B:$B,'Emissions Data'!$B125,Aviation!$C:$C,'Emissions Data'!$F125,Aviation!$D:$D,'Emissions Data'!$C125)</f>
        <v>0</v>
      </c>
      <c r="J125" s="279"/>
      <c r="K125" s="279"/>
      <c r="L125" s="279"/>
      <c r="M125" s="279"/>
      <c r="N125" s="280">
        <f t="shared" si="1"/>
        <v>0</v>
      </c>
      <c r="O125" s="279"/>
    </row>
    <row r="126" spans="1:15" x14ac:dyDescent="0.15">
      <c r="A126" s="265">
        <v>119</v>
      </c>
      <c r="B126" s="263">
        <v>2015</v>
      </c>
      <c r="C126" s="41" t="s">
        <v>61</v>
      </c>
      <c r="D126" s="41" t="s">
        <v>90</v>
      </c>
      <c r="E126" s="41" t="s">
        <v>25</v>
      </c>
      <c r="F126" s="264">
        <v>1</v>
      </c>
      <c r="G126" s="279">
        <f>SUMIFS('Off-road'!O:O,'Off-road'!$B:$B,'Emissions Data'!$B126,'Off-road'!$C:$C,'Emissions Data'!$F126,'Off-road'!$D:$D,'Emissions Data'!$C126)</f>
        <v>7.5163887654968453E-2</v>
      </c>
      <c r="H126" s="279">
        <f>SUMIFS('Off-road'!P:P,'Off-road'!$B:$B,'Emissions Data'!$B126,'Off-road'!$C:$C,'Emissions Data'!$F126,'Off-road'!$D:$D,'Emissions Data'!$C126)</f>
        <v>5.9010988039977295E-4</v>
      </c>
      <c r="I126" s="279">
        <f>SUMIFS('Off-road'!Q:Q,'Off-road'!$B:$B,'Emissions Data'!$B126,'Off-road'!$C:$C,'Emissions Data'!$F126,'Off-road'!$D:$D,'Emissions Data'!$C126)</f>
        <v>1.83793122738791E-3</v>
      </c>
      <c r="J126" s="279"/>
      <c r="K126" s="279"/>
      <c r="L126" s="279"/>
      <c r="M126" s="279"/>
      <c r="N126" s="280">
        <f t="shared" si="1"/>
        <v>7.759192876275614E-2</v>
      </c>
      <c r="O126" s="279"/>
    </row>
    <row r="127" spans="1:15" x14ac:dyDescent="0.15">
      <c r="A127" s="265">
        <v>120</v>
      </c>
      <c r="B127" s="263">
        <v>2015</v>
      </c>
      <c r="C127" s="41" t="s">
        <v>61</v>
      </c>
      <c r="D127" s="41" t="s">
        <v>90</v>
      </c>
      <c r="E127" s="41" t="s">
        <v>25</v>
      </c>
      <c r="F127" s="264">
        <v>2</v>
      </c>
      <c r="G127" s="279">
        <f>SUMIFS('Off-road'!O:O,'Off-road'!$B:$B,'Emissions Data'!$B127,'Off-road'!$C:$C,'Emissions Data'!$F127,'Off-road'!$D:$D,'Emissions Data'!$C127)</f>
        <v>0</v>
      </c>
      <c r="H127" s="279">
        <f>SUMIFS('Off-road'!P:P,'Off-road'!$B:$B,'Emissions Data'!$B127,'Off-road'!$C:$C,'Emissions Data'!$F127,'Off-road'!$D:$D,'Emissions Data'!$C127)</f>
        <v>0</v>
      </c>
      <c r="I127" s="279">
        <f>SUMIFS('Off-road'!Q:Q,'Off-road'!$B:$B,'Emissions Data'!$B127,'Off-road'!$C:$C,'Emissions Data'!$F127,'Off-road'!$D:$D,'Emissions Data'!$C127)</f>
        <v>0</v>
      </c>
      <c r="J127" s="279"/>
      <c r="K127" s="279"/>
      <c r="L127" s="279"/>
      <c r="M127" s="279"/>
      <c r="N127" s="280">
        <f t="shared" si="1"/>
        <v>0</v>
      </c>
      <c r="O127" s="279"/>
    </row>
    <row r="128" spans="1:15" x14ac:dyDescent="0.15">
      <c r="A128" s="265">
        <v>121</v>
      </c>
      <c r="B128" s="263">
        <v>2015</v>
      </c>
      <c r="C128" s="41" t="s">
        <v>62</v>
      </c>
      <c r="D128" s="41" t="s">
        <v>90</v>
      </c>
      <c r="E128" s="41" t="s">
        <v>17</v>
      </c>
      <c r="F128" s="264">
        <v>1</v>
      </c>
      <c r="G128" s="279">
        <f>SUMIFS('On-road'!N:N,'On-road'!$B:$B,'Emissions Data'!$B128,'On-road'!$C:$C,'Emissions Data'!$F128,'On-road'!$D:$D,'Emissions Data'!$C128)</f>
        <v>2.0538678277288986</v>
      </c>
      <c r="H128" s="279">
        <f>SUMIFS('On-road'!O:O,'On-road'!$B:$B,'Emissions Data'!$B128,'On-road'!$C:$C,'Emissions Data'!$F128,'On-road'!$D:$D,'Emissions Data'!$C128)</f>
        <v>2.5765144259302943E-3</v>
      </c>
      <c r="I128" s="279">
        <f>SUMIFS('On-road'!P:P,'On-road'!$B:$B,'Emissions Data'!$B128,'On-road'!$C:$C,'Emissions Data'!$F128,'On-road'!$D:$D,'Emissions Data'!$C128)</f>
        <v>1.5602771259468714E-2</v>
      </c>
      <c r="J128" s="279"/>
      <c r="K128" s="279"/>
      <c r="L128" s="279"/>
      <c r="M128" s="279"/>
      <c r="N128" s="280">
        <f t="shared" si="1"/>
        <v>2.0720471134142975</v>
      </c>
      <c r="O128" s="279"/>
    </row>
    <row r="129" spans="1:15" x14ac:dyDescent="0.15">
      <c r="A129" s="265">
        <v>122</v>
      </c>
      <c r="B129" s="263">
        <v>2015</v>
      </c>
      <c r="C129" s="41" t="s">
        <v>62</v>
      </c>
      <c r="D129" s="41" t="s">
        <v>90</v>
      </c>
      <c r="E129" s="41" t="s">
        <v>17</v>
      </c>
      <c r="F129" s="264">
        <v>2</v>
      </c>
      <c r="G129" s="279">
        <f>SUMIFS('On-road'!N:N,'On-road'!$B:$B,'Emissions Data'!$B129,'On-road'!$C:$C,'Emissions Data'!$F129,'On-road'!$D:$D,'Emissions Data'!$C129)</f>
        <v>3.6212953855380142E-4</v>
      </c>
      <c r="H129" s="279">
        <f>SUMIFS('On-road'!O:O,'On-road'!$B:$B,'Emissions Data'!$B129,'On-road'!$C:$C,'Emissions Data'!$F129,'On-road'!$D:$D,'Emissions Data'!$C129)</f>
        <v>1.6849532535069455E-6</v>
      </c>
      <c r="I129" s="279">
        <f>SUMIFS('On-road'!P:P,'On-road'!$B:$B,'Emissions Data'!$B129,'On-road'!$C:$C,'Emissions Data'!$F129,'On-road'!$D:$D,'Emissions Data'!$C129)</f>
        <v>2.3393866272553625E-6</v>
      </c>
      <c r="J129" s="279"/>
      <c r="K129" s="279"/>
      <c r="L129" s="279"/>
      <c r="M129" s="279"/>
      <c r="N129" s="280">
        <f t="shared" si="1"/>
        <v>3.6615387843456373E-4</v>
      </c>
      <c r="O129" s="279"/>
    </row>
    <row r="130" spans="1:15" x14ac:dyDescent="0.15">
      <c r="A130" s="265">
        <v>123</v>
      </c>
      <c r="B130" s="263">
        <v>2015</v>
      </c>
      <c r="C130" s="41" t="s">
        <v>62</v>
      </c>
      <c r="D130" s="41" t="s">
        <v>90</v>
      </c>
      <c r="E130" s="41" t="s">
        <v>68</v>
      </c>
      <c r="F130" s="264">
        <v>1</v>
      </c>
      <c r="G130" s="279">
        <f>SUMIFS(Rail!S:S,Rail!$B:$B,'Emissions Data'!$B130,Rail!$C:$C,'Emissions Data'!$F130,Rail!$D:$D,'Emissions Data'!$C130)</f>
        <v>3.6728395775991698E-2</v>
      </c>
      <c r="H130" s="279">
        <f>SUMIFS(Rail!T:T,Rail!$B:$B,'Emissions Data'!$B130,Rail!$C:$C,'Emissions Data'!$F130,Rail!$D:$D,'Emissions Data'!$C130)</f>
        <v>8.0579438333223724E-5</v>
      </c>
      <c r="I130" s="279">
        <f>SUMIFS(Rail!U:U,Rail!$B:$B,'Emissions Data'!$B130,Rail!$C:$C,'Emissions Data'!$F130,Rail!$D:$D,'Emissions Data'!$C130)</f>
        <v>2.4785371880174612E-4</v>
      </c>
      <c r="J130" s="279"/>
      <c r="K130" s="279"/>
      <c r="L130" s="279"/>
      <c r="M130" s="279"/>
      <c r="N130" s="280">
        <f t="shared" si="1"/>
        <v>3.7056828933126666E-2</v>
      </c>
      <c r="O130" s="279"/>
    </row>
    <row r="131" spans="1:15" x14ac:dyDescent="0.15">
      <c r="A131" s="265">
        <v>124</v>
      </c>
      <c r="B131" s="263">
        <v>2015</v>
      </c>
      <c r="C131" s="41" t="s">
        <v>62</v>
      </c>
      <c r="D131" s="41" t="s">
        <v>90</v>
      </c>
      <c r="E131" s="41" t="s">
        <v>68</v>
      </c>
      <c r="F131" s="264">
        <v>2</v>
      </c>
      <c r="G131" s="279">
        <f>SUMIFS(Rail!S:S,Rail!$B:$B,'Emissions Data'!$B131,Rail!$C:$C,'Emissions Data'!$F131,Rail!$D:$D,'Emissions Data'!$C131)</f>
        <v>7.5062568471209604E-4</v>
      </c>
      <c r="H131" s="279">
        <f>SUMIFS(Rail!T:T,Rail!$B:$B,'Emissions Data'!$B131,Rail!$C:$C,'Emissions Data'!$F131,Rail!$D:$D,'Emissions Data'!$C131)</f>
        <v>3.4925877482198777E-6</v>
      </c>
      <c r="I131" s="279">
        <f>SUMIFS(Rail!U:U,Rail!$B:$B,'Emissions Data'!$B131,Rail!$C:$C,'Emissions Data'!$F131,Rail!$D:$D,'Emissions Data'!$C131)</f>
        <v>4.8491037099670038E-6</v>
      </c>
      <c r="J131" s="279"/>
      <c r="K131" s="279"/>
      <c r="L131" s="279"/>
      <c r="M131" s="279"/>
      <c r="N131" s="280">
        <f t="shared" si="1"/>
        <v>7.589673761702829E-4</v>
      </c>
      <c r="O131" s="279"/>
    </row>
    <row r="132" spans="1:15" x14ac:dyDescent="0.15">
      <c r="A132" s="265">
        <v>125</v>
      </c>
      <c r="B132" s="263">
        <v>2015</v>
      </c>
      <c r="C132" s="41" t="s">
        <v>62</v>
      </c>
      <c r="D132" s="41" t="s">
        <v>90</v>
      </c>
      <c r="E132" s="41" t="s">
        <v>91</v>
      </c>
      <c r="F132" s="264">
        <v>1</v>
      </c>
      <c r="G132" s="279">
        <f>SUMIFS(Waterborne!Q:Q,Waterborne!$B:$B,'Emissions Data'!$B132,Waterborne!$C:$C,'Emissions Data'!$F132,Waterborne!$D:$D,'Emissions Data'!$C132)</f>
        <v>1.1744433149692922E-3</v>
      </c>
      <c r="H132" s="279">
        <f>SUMIFS(Waterborne!R:R,Waterborne!$B:$B,'Emissions Data'!$B132,Waterborne!$C:$C,'Emissions Data'!$F132,Waterborne!$D:$D,'Emissions Data'!$C132)</f>
        <v>1.514776790065365E-5</v>
      </c>
      <c r="I132" s="279">
        <f>SUMIFS(Waterborne!S:S,Waterborne!$B:$B,'Emissions Data'!$B132,Waterborne!$C:$C,'Emissions Data'!$F132,Waterborne!$D:$D,'Emissions Data'!$C132)</f>
        <v>9.436780940789477E-6</v>
      </c>
      <c r="J132" s="279"/>
      <c r="K132" s="279"/>
      <c r="L132" s="279"/>
      <c r="M132" s="279"/>
      <c r="N132" s="280">
        <f t="shared" si="1"/>
        <v>1.1990278638107355E-3</v>
      </c>
      <c r="O132" s="279"/>
    </row>
    <row r="133" spans="1:15" x14ac:dyDescent="0.15">
      <c r="A133" s="265">
        <v>126</v>
      </c>
      <c r="B133" s="263">
        <v>2015</v>
      </c>
      <c r="C133" s="41" t="s">
        <v>62</v>
      </c>
      <c r="D133" s="41" t="s">
        <v>90</v>
      </c>
      <c r="E133" s="41" t="s">
        <v>91</v>
      </c>
      <c r="F133" s="264">
        <v>2</v>
      </c>
      <c r="G133" s="279">
        <f>SUMIFS(Waterborne!Q:Q,Waterborne!$B:$B,'Emissions Data'!$B133,Waterborne!$C:$C,'Emissions Data'!$F133,Waterborne!$D:$D,'Emissions Data'!$C133)</f>
        <v>0</v>
      </c>
      <c r="H133" s="279">
        <f>SUMIFS(Waterborne!R:R,Waterborne!$B:$B,'Emissions Data'!$B133,Waterborne!$C:$C,'Emissions Data'!$F133,Waterborne!$D:$D,'Emissions Data'!$C133)</f>
        <v>0</v>
      </c>
      <c r="I133" s="279">
        <f>SUMIFS(Waterborne!S:S,Waterborne!$B:$B,'Emissions Data'!$B133,Waterborne!$C:$C,'Emissions Data'!$F133,Waterborne!$D:$D,'Emissions Data'!$C133)</f>
        <v>0</v>
      </c>
      <c r="J133" s="279"/>
      <c r="K133" s="279"/>
      <c r="L133" s="279"/>
      <c r="M133" s="279"/>
      <c r="N133" s="280">
        <f t="shared" si="1"/>
        <v>0</v>
      </c>
      <c r="O133" s="279"/>
    </row>
    <row r="134" spans="1:15" x14ac:dyDescent="0.15">
      <c r="A134" s="265">
        <v>127</v>
      </c>
      <c r="B134" s="263">
        <v>2015</v>
      </c>
      <c r="C134" s="41" t="s">
        <v>62</v>
      </c>
      <c r="D134" s="41" t="s">
        <v>90</v>
      </c>
      <c r="E134" s="41" t="s">
        <v>23</v>
      </c>
      <c r="F134" s="264">
        <v>1</v>
      </c>
      <c r="G134" s="279">
        <f>SUMIFS(Aviation!N:N,Aviation!$B:$B,'Emissions Data'!$B134,Aviation!$C:$C,'Emissions Data'!$F134,Aviation!$D:$D,'Emissions Data'!$C134)</f>
        <v>0</v>
      </c>
      <c r="H134" s="279">
        <f>SUMIFS(Aviation!O:O,Aviation!$B:$B,'Emissions Data'!$B134,Aviation!$C:$C,'Emissions Data'!$F134,Aviation!$D:$D,'Emissions Data'!$C134)</f>
        <v>0</v>
      </c>
      <c r="I134" s="279">
        <f>SUMIFS(Aviation!P:P,Aviation!$B:$B,'Emissions Data'!$B134,Aviation!$C:$C,'Emissions Data'!$F134,Aviation!$D:$D,'Emissions Data'!$C134)</f>
        <v>0</v>
      </c>
      <c r="J134" s="279"/>
      <c r="K134" s="279"/>
      <c r="L134" s="279"/>
      <c r="M134" s="279"/>
      <c r="N134" s="280">
        <f t="shared" si="1"/>
        <v>0</v>
      </c>
      <c r="O134" s="279"/>
    </row>
    <row r="135" spans="1:15" x14ac:dyDescent="0.15">
      <c r="A135" s="265">
        <v>128</v>
      </c>
      <c r="B135" s="263">
        <v>2015</v>
      </c>
      <c r="C135" s="41" t="s">
        <v>62</v>
      </c>
      <c r="D135" s="41" t="s">
        <v>90</v>
      </c>
      <c r="E135" s="41" t="s">
        <v>23</v>
      </c>
      <c r="F135" s="264">
        <v>2</v>
      </c>
      <c r="G135" s="279">
        <f>SUMIFS(Aviation!N:N,Aviation!$B:$B,'Emissions Data'!$B135,Aviation!$C:$C,'Emissions Data'!$F135,Aviation!$D:$D,'Emissions Data'!$C135)</f>
        <v>0</v>
      </c>
      <c r="H135" s="279">
        <f>SUMIFS(Aviation!O:O,Aviation!$B:$B,'Emissions Data'!$B135,Aviation!$C:$C,'Emissions Data'!$F135,Aviation!$D:$D,'Emissions Data'!$C135)</f>
        <v>0</v>
      </c>
      <c r="I135" s="279">
        <f>SUMIFS(Aviation!P:P,Aviation!$B:$B,'Emissions Data'!$B135,Aviation!$C:$C,'Emissions Data'!$F135,Aviation!$D:$D,'Emissions Data'!$C135)</f>
        <v>0</v>
      </c>
      <c r="J135" s="279"/>
      <c r="K135" s="279"/>
      <c r="L135" s="279"/>
      <c r="M135" s="279"/>
      <c r="N135" s="280">
        <f t="shared" si="1"/>
        <v>0</v>
      </c>
      <c r="O135" s="279"/>
    </row>
    <row r="136" spans="1:15" x14ac:dyDescent="0.15">
      <c r="A136" s="265">
        <v>129</v>
      </c>
      <c r="B136" s="263">
        <v>2015</v>
      </c>
      <c r="C136" s="41" t="s">
        <v>62</v>
      </c>
      <c r="D136" s="41" t="s">
        <v>90</v>
      </c>
      <c r="E136" s="41" t="s">
        <v>25</v>
      </c>
      <c r="F136" s="264">
        <v>1</v>
      </c>
      <c r="G136" s="279">
        <f>SUMIFS('Off-road'!O:O,'Off-road'!$B:$B,'Emissions Data'!$B136,'Off-road'!$C:$C,'Emissions Data'!$F136,'Off-road'!$D:$D,'Emissions Data'!$C136)</f>
        <v>0.29652942366847457</v>
      </c>
      <c r="H136" s="279">
        <f>SUMIFS('Off-road'!P:P,'Off-road'!$B:$B,'Emissions Data'!$B136,'Off-road'!$C:$C,'Emissions Data'!$F136,'Off-road'!$D:$D,'Emissions Data'!$C136)</f>
        <v>3.2114853685537605E-3</v>
      </c>
      <c r="I136" s="279">
        <f>SUMIFS('Off-road'!Q:Q,'Off-road'!$B:$B,'Emissions Data'!$B136,'Off-road'!$C:$C,'Emissions Data'!$F136,'Off-road'!$D:$D,'Emissions Data'!$C136)</f>
        <v>8.8176741457084255E-3</v>
      </c>
      <c r="J136" s="279"/>
      <c r="K136" s="279"/>
      <c r="L136" s="279"/>
      <c r="M136" s="279"/>
      <c r="N136" s="280">
        <f t="shared" si="1"/>
        <v>0.30855858318273677</v>
      </c>
      <c r="O136" s="279"/>
    </row>
    <row r="137" spans="1:15" x14ac:dyDescent="0.15">
      <c r="A137" s="265">
        <v>130</v>
      </c>
      <c r="B137" s="263">
        <v>2015</v>
      </c>
      <c r="C137" s="41" t="s">
        <v>62</v>
      </c>
      <c r="D137" s="41" t="s">
        <v>90</v>
      </c>
      <c r="E137" s="41" t="s">
        <v>25</v>
      </c>
      <c r="F137" s="264">
        <v>2</v>
      </c>
      <c r="G137" s="279">
        <f>SUMIFS('Off-road'!O:O,'Off-road'!$B:$B,'Emissions Data'!$B137,'Off-road'!$C:$C,'Emissions Data'!$F137,'Off-road'!$D:$D,'Emissions Data'!$C137)</f>
        <v>0</v>
      </c>
      <c r="H137" s="279">
        <f>SUMIFS('Off-road'!P:P,'Off-road'!$B:$B,'Emissions Data'!$B137,'Off-road'!$C:$C,'Emissions Data'!$F137,'Off-road'!$D:$D,'Emissions Data'!$C137)</f>
        <v>0</v>
      </c>
      <c r="I137" s="279">
        <f>SUMIFS('Off-road'!Q:Q,'Off-road'!$B:$B,'Emissions Data'!$B137,'Off-road'!$C:$C,'Emissions Data'!$F137,'Off-road'!$D:$D,'Emissions Data'!$C137)</f>
        <v>0</v>
      </c>
      <c r="J137" s="279"/>
      <c r="K137" s="279"/>
      <c r="L137" s="279"/>
      <c r="M137" s="279"/>
      <c r="N137" s="280">
        <f t="shared" ref="N137:N200" si="2">SUM(G137:M137)</f>
        <v>0</v>
      </c>
      <c r="O137" s="279"/>
    </row>
    <row r="138" spans="1:15" x14ac:dyDescent="0.15">
      <c r="A138" s="265">
        <v>131</v>
      </c>
      <c r="B138" s="263">
        <v>2015</v>
      </c>
      <c r="C138" s="41" t="s">
        <v>63</v>
      </c>
      <c r="D138" s="41" t="s">
        <v>90</v>
      </c>
      <c r="E138" s="41" t="s">
        <v>17</v>
      </c>
      <c r="F138" s="264">
        <v>1</v>
      </c>
      <c r="G138" s="279">
        <f>SUMIFS('On-road'!N:N,'On-road'!$B:$B,'Emissions Data'!$B138,'On-road'!$C:$C,'Emissions Data'!$F138,'On-road'!$D:$D,'Emissions Data'!$C138)</f>
        <v>3.1861508516087791</v>
      </c>
      <c r="H138" s="279">
        <f>SUMIFS('On-road'!O:O,'On-road'!$B:$B,'Emissions Data'!$B138,'On-road'!$C:$C,'Emissions Data'!$F138,'On-road'!$D:$D,'Emissions Data'!$C138)</f>
        <v>3.9463671290040567E-3</v>
      </c>
      <c r="I138" s="279">
        <f>SUMIFS('On-road'!P:P,'On-road'!$B:$B,'Emissions Data'!$B138,'On-road'!$C:$C,'Emissions Data'!$F138,'On-road'!$D:$D,'Emissions Data'!$C138)</f>
        <v>2.3926341838816836E-2</v>
      </c>
      <c r="J138" s="279"/>
      <c r="K138" s="279"/>
      <c r="L138" s="279"/>
      <c r="M138" s="279"/>
      <c r="N138" s="280">
        <f t="shared" si="2"/>
        <v>3.2140235605765999</v>
      </c>
      <c r="O138" s="279"/>
    </row>
    <row r="139" spans="1:15" x14ac:dyDescent="0.15">
      <c r="A139" s="265">
        <v>132</v>
      </c>
      <c r="B139" s="263">
        <v>2015</v>
      </c>
      <c r="C139" s="41" t="s">
        <v>63</v>
      </c>
      <c r="D139" s="41" t="s">
        <v>90</v>
      </c>
      <c r="E139" s="41" t="s">
        <v>17</v>
      </c>
      <c r="F139" s="264">
        <v>2</v>
      </c>
      <c r="G139" s="279">
        <f>SUMIFS('On-road'!N:N,'On-road'!$B:$B,'Emissions Data'!$B139,'On-road'!$C:$C,'Emissions Data'!$F139,'On-road'!$D:$D,'Emissions Data'!$C139)</f>
        <v>1.4935865418175957E-3</v>
      </c>
      <c r="H139" s="279">
        <f>SUMIFS('On-road'!O:O,'On-road'!$B:$B,'Emissions Data'!$B139,'On-road'!$C:$C,'Emissions Data'!$F139,'On-road'!$D:$D,'Emissions Data'!$C139)</f>
        <v>6.9495118047539535E-6</v>
      </c>
      <c r="I139" s="279">
        <f>SUMIFS('On-road'!P:P,'On-road'!$B:$B,'Emissions Data'!$B139,'On-road'!$C:$C,'Emissions Data'!$F139,'On-road'!$D:$D,'Emissions Data'!$C139)</f>
        <v>9.6486920026755884E-6</v>
      </c>
      <c r="J139" s="279"/>
      <c r="K139" s="279"/>
      <c r="L139" s="279"/>
      <c r="M139" s="279"/>
      <c r="N139" s="280">
        <f t="shared" si="2"/>
        <v>1.5101847456250252E-3</v>
      </c>
      <c r="O139" s="279"/>
    </row>
    <row r="140" spans="1:15" x14ac:dyDescent="0.15">
      <c r="A140" s="265">
        <v>133</v>
      </c>
      <c r="B140" s="263">
        <v>2015</v>
      </c>
      <c r="C140" s="41" t="s">
        <v>63</v>
      </c>
      <c r="D140" s="41" t="s">
        <v>90</v>
      </c>
      <c r="E140" s="41" t="s">
        <v>68</v>
      </c>
      <c r="F140" s="264">
        <v>1</v>
      </c>
      <c r="G140" s="279">
        <f>SUMIFS(Rail!S:S,Rail!$B:$B,'Emissions Data'!$B140,Rail!$C:$C,'Emissions Data'!$F140,Rail!$D:$D,'Emissions Data'!$C140)</f>
        <v>6.1958621770679817E-2</v>
      </c>
      <c r="H140" s="279">
        <f>SUMIFS(Rail!T:T,Rail!$B:$B,'Emissions Data'!$B140,Rail!$C:$C,'Emissions Data'!$F140,Rail!$D:$D,'Emissions Data'!$C140)</f>
        <v>1.3593272553018884E-4</v>
      </c>
      <c r="I140" s="279">
        <f>SUMIFS(Rail!U:U,Rail!$B:$B,'Emissions Data'!$B140,Rail!$C:$C,'Emissions Data'!$F140,Rail!$D:$D,'Emissions Data'!$C140)</f>
        <v>4.1811449951026836E-4</v>
      </c>
      <c r="J140" s="279"/>
      <c r="K140" s="279"/>
      <c r="L140" s="279"/>
      <c r="M140" s="279"/>
      <c r="N140" s="280">
        <f t="shared" si="2"/>
        <v>6.2512668995720277E-2</v>
      </c>
      <c r="O140" s="279"/>
    </row>
    <row r="141" spans="1:15" x14ac:dyDescent="0.15">
      <c r="A141" s="265">
        <v>134</v>
      </c>
      <c r="B141" s="263">
        <v>2015</v>
      </c>
      <c r="C141" s="41" t="s">
        <v>63</v>
      </c>
      <c r="D141" s="41" t="s">
        <v>90</v>
      </c>
      <c r="E141" s="41" t="s">
        <v>68</v>
      </c>
      <c r="F141" s="264">
        <v>2</v>
      </c>
      <c r="G141" s="279">
        <f>SUMIFS(Rail!S:S,Rail!$B:$B,'Emissions Data'!$B141,Rail!$C:$C,'Emissions Data'!$F141,Rail!$D:$D,'Emissions Data'!$C141)</f>
        <v>4.1833937021252092E-3</v>
      </c>
      <c r="H141" s="279">
        <f>SUMIFS(Rail!T:T,Rail!$B:$B,'Emissions Data'!$B141,Rail!$C:$C,'Emissions Data'!$F141,Rail!$D:$D,'Emissions Data'!$C141)</f>
        <v>1.9464920915445002E-5</v>
      </c>
      <c r="I141" s="279">
        <f>SUMIFS(Rail!U:U,Rail!$B:$B,'Emissions Data'!$B141,Rail!$C:$C,'Emissions Data'!$F141,Rail!$D:$D,'Emissions Data'!$C141)</f>
        <v>2.7025067666061247E-5</v>
      </c>
      <c r="J141" s="279"/>
      <c r="K141" s="279"/>
      <c r="L141" s="279"/>
      <c r="M141" s="279"/>
      <c r="N141" s="280">
        <f t="shared" si="2"/>
        <v>4.2298836907067152E-3</v>
      </c>
      <c r="O141" s="279"/>
    </row>
    <row r="142" spans="1:15" x14ac:dyDescent="0.15">
      <c r="A142" s="265">
        <v>135</v>
      </c>
      <c r="B142" s="263">
        <v>2015</v>
      </c>
      <c r="C142" s="41" t="s">
        <v>63</v>
      </c>
      <c r="D142" s="41" t="s">
        <v>90</v>
      </c>
      <c r="E142" s="41" t="s">
        <v>91</v>
      </c>
      <c r="F142" s="264">
        <v>1</v>
      </c>
      <c r="G142" s="279">
        <f>SUMIFS(Waterborne!Q:Q,Waterborne!$B:$B,'Emissions Data'!$B142,Waterborne!$C:$C,'Emissions Data'!$F142,Waterborne!$D:$D,'Emissions Data'!$C142)</f>
        <v>1.5823229368280713E-2</v>
      </c>
      <c r="H142" s="279">
        <f>SUMIFS(Waterborne!R:R,Waterborne!$B:$B,'Emissions Data'!$B142,Waterborne!$C:$C,'Emissions Data'!$F142,Waterborne!$D:$D,'Emissions Data'!$C142)</f>
        <v>1.8173172954684733E-4</v>
      </c>
      <c r="I142" s="279">
        <f>SUMIFS(Waterborne!S:S,Waterborne!$B:$B,'Emissions Data'!$B142,Waterborne!$C:$C,'Emissions Data'!$F142,Waterborne!$D:$D,'Emissions Data'!$C142)</f>
        <v>1.3631156623728145E-4</v>
      </c>
      <c r="J142" s="279"/>
      <c r="K142" s="279"/>
      <c r="L142" s="279"/>
      <c r="M142" s="279"/>
      <c r="N142" s="280">
        <f t="shared" si="2"/>
        <v>1.6141272664064843E-2</v>
      </c>
      <c r="O142" s="279"/>
    </row>
    <row r="143" spans="1:15" x14ac:dyDescent="0.15">
      <c r="A143" s="265">
        <v>136</v>
      </c>
      <c r="B143" s="263">
        <v>2015</v>
      </c>
      <c r="C143" s="41" t="s">
        <v>63</v>
      </c>
      <c r="D143" s="41" t="s">
        <v>90</v>
      </c>
      <c r="E143" s="41" t="s">
        <v>91</v>
      </c>
      <c r="F143" s="264">
        <v>2</v>
      </c>
      <c r="G143" s="279">
        <f>SUMIFS(Waterborne!Q:Q,Waterborne!$B:$B,'Emissions Data'!$B143,Waterborne!$C:$C,'Emissions Data'!$F143,Waterborne!$D:$D,'Emissions Data'!$C143)</f>
        <v>0</v>
      </c>
      <c r="H143" s="279">
        <f>SUMIFS(Waterborne!R:R,Waterborne!$B:$B,'Emissions Data'!$B143,Waterborne!$C:$C,'Emissions Data'!$F143,Waterborne!$D:$D,'Emissions Data'!$C143)</f>
        <v>0</v>
      </c>
      <c r="I143" s="279">
        <f>SUMIFS(Waterborne!S:S,Waterborne!$B:$B,'Emissions Data'!$B143,Waterborne!$C:$C,'Emissions Data'!$F143,Waterborne!$D:$D,'Emissions Data'!$C143)</f>
        <v>0</v>
      </c>
      <c r="J143" s="279"/>
      <c r="K143" s="279"/>
      <c r="L143" s="279"/>
      <c r="M143" s="279"/>
      <c r="N143" s="280">
        <f t="shared" si="2"/>
        <v>0</v>
      </c>
      <c r="O143" s="279"/>
    </row>
    <row r="144" spans="1:15" x14ac:dyDescent="0.15">
      <c r="A144" s="265">
        <v>137</v>
      </c>
      <c r="B144" s="263">
        <v>2015</v>
      </c>
      <c r="C144" s="41" t="s">
        <v>63</v>
      </c>
      <c r="D144" s="41" t="s">
        <v>90</v>
      </c>
      <c r="E144" s="41" t="s">
        <v>23</v>
      </c>
      <c r="F144" s="264">
        <v>1</v>
      </c>
      <c r="G144" s="279">
        <f>SUMIFS(Aviation!N:N,Aviation!$B:$B,'Emissions Data'!$B144,Aviation!$C:$C,'Emissions Data'!$F144,Aviation!$D:$D,'Emissions Data'!$C144)</f>
        <v>0</v>
      </c>
      <c r="H144" s="279">
        <f>SUMIFS(Aviation!O:O,Aviation!$B:$B,'Emissions Data'!$B144,Aviation!$C:$C,'Emissions Data'!$F144,Aviation!$D:$D,'Emissions Data'!$C144)</f>
        <v>0</v>
      </c>
      <c r="I144" s="279">
        <f>SUMIFS(Aviation!P:P,Aviation!$B:$B,'Emissions Data'!$B144,Aviation!$C:$C,'Emissions Data'!$F144,Aviation!$D:$D,'Emissions Data'!$C144)</f>
        <v>0</v>
      </c>
      <c r="J144" s="279"/>
      <c r="K144" s="279"/>
      <c r="L144" s="279"/>
      <c r="M144" s="279"/>
      <c r="N144" s="280">
        <f t="shared" si="2"/>
        <v>0</v>
      </c>
      <c r="O144" s="279"/>
    </row>
    <row r="145" spans="1:15" x14ac:dyDescent="0.15">
      <c r="A145" s="265">
        <v>138</v>
      </c>
      <c r="B145" s="263">
        <v>2015</v>
      </c>
      <c r="C145" s="41" t="s">
        <v>63</v>
      </c>
      <c r="D145" s="41" t="s">
        <v>90</v>
      </c>
      <c r="E145" s="41" t="s">
        <v>23</v>
      </c>
      <c r="F145" s="264">
        <v>2</v>
      </c>
      <c r="G145" s="279">
        <f>SUMIFS(Aviation!N:N,Aviation!$B:$B,'Emissions Data'!$B145,Aviation!$C:$C,'Emissions Data'!$F145,Aviation!$D:$D,'Emissions Data'!$C145)</f>
        <v>0</v>
      </c>
      <c r="H145" s="279">
        <f>SUMIFS(Aviation!O:O,Aviation!$B:$B,'Emissions Data'!$B145,Aviation!$C:$C,'Emissions Data'!$F145,Aviation!$D:$D,'Emissions Data'!$C145)</f>
        <v>0</v>
      </c>
      <c r="I145" s="279">
        <f>SUMIFS(Aviation!P:P,Aviation!$B:$B,'Emissions Data'!$B145,Aviation!$C:$C,'Emissions Data'!$F145,Aviation!$D:$D,'Emissions Data'!$C145)</f>
        <v>0</v>
      </c>
      <c r="J145" s="279"/>
      <c r="K145" s="279"/>
      <c r="L145" s="279"/>
      <c r="M145" s="279"/>
      <c r="N145" s="280">
        <f t="shared" si="2"/>
        <v>0</v>
      </c>
      <c r="O145" s="279"/>
    </row>
    <row r="146" spans="1:15" x14ac:dyDescent="0.15">
      <c r="A146" s="265">
        <v>139</v>
      </c>
      <c r="B146" s="263">
        <v>2015</v>
      </c>
      <c r="C146" s="41" t="s">
        <v>63</v>
      </c>
      <c r="D146" s="41" t="s">
        <v>90</v>
      </c>
      <c r="E146" s="41" t="s">
        <v>25</v>
      </c>
      <c r="F146" s="264">
        <v>1</v>
      </c>
      <c r="G146" s="279">
        <f>SUMIFS('Off-road'!O:O,'Off-road'!$B:$B,'Emissions Data'!$B146,'Off-road'!$C:$C,'Emissions Data'!$F146,'Off-road'!$D:$D,'Emissions Data'!$C146)</f>
        <v>0.34503669689712446</v>
      </c>
      <c r="H146" s="279">
        <f>SUMIFS('Off-road'!P:P,'Off-road'!$B:$B,'Emissions Data'!$B146,'Off-road'!$C:$C,'Emissions Data'!$F146,'Off-road'!$D:$D,'Emissions Data'!$C146)</f>
        <v>5.2719036188125686E-3</v>
      </c>
      <c r="I146" s="279">
        <f>SUMIFS('Off-road'!Q:Q,'Off-road'!$B:$B,'Emissions Data'!$B146,'Off-road'!$C:$C,'Emissions Data'!$F146,'Off-road'!$D:$D,'Emissions Data'!$C146)</f>
        <v>1.1375863950054554E-2</v>
      </c>
      <c r="J146" s="279"/>
      <c r="K146" s="279"/>
      <c r="L146" s="279"/>
      <c r="M146" s="279"/>
      <c r="N146" s="280">
        <f t="shared" si="2"/>
        <v>0.36168446446599162</v>
      </c>
      <c r="O146" s="279"/>
    </row>
    <row r="147" spans="1:15" x14ac:dyDescent="0.15">
      <c r="A147" s="265">
        <v>140</v>
      </c>
      <c r="B147" s="263">
        <v>2015</v>
      </c>
      <c r="C147" s="41" t="s">
        <v>63</v>
      </c>
      <c r="D147" s="41" t="s">
        <v>90</v>
      </c>
      <c r="E147" s="41" t="s">
        <v>25</v>
      </c>
      <c r="F147" s="264">
        <v>2</v>
      </c>
      <c r="G147" s="279">
        <f>SUMIFS('Off-road'!O:O,'Off-road'!$B:$B,'Emissions Data'!$B147,'Off-road'!$C:$C,'Emissions Data'!$F147,'Off-road'!$D:$D,'Emissions Data'!$C147)</f>
        <v>0</v>
      </c>
      <c r="H147" s="279">
        <f>SUMIFS('Off-road'!P:P,'Off-road'!$B:$B,'Emissions Data'!$B147,'Off-road'!$C:$C,'Emissions Data'!$F147,'Off-road'!$D:$D,'Emissions Data'!$C147)</f>
        <v>0</v>
      </c>
      <c r="I147" s="279">
        <f>SUMIFS('Off-road'!Q:Q,'Off-road'!$B:$B,'Emissions Data'!$B147,'Off-road'!$C:$C,'Emissions Data'!$F147,'Off-road'!$D:$D,'Emissions Data'!$C147)</f>
        <v>0</v>
      </c>
      <c r="J147" s="279"/>
      <c r="K147" s="279"/>
      <c r="L147" s="279"/>
      <c r="M147" s="279"/>
      <c r="N147" s="280">
        <f t="shared" si="2"/>
        <v>0</v>
      </c>
      <c r="O147" s="279"/>
    </row>
    <row r="148" spans="1:15" x14ac:dyDescent="0.15">
      <c r="A148" s="265">
        <v>141</v>
      </c>
      <c r="B148" s="263">
        <v>2015</v>
      </c>
      <c r="C148" s="41" t="s">
        <v>64</v>
      </c>
      <c r="D148" s="41" t="s">
        <v>90</v>
      </c>
      <c r="E148" s="41" t="s">
        <v>17</v>
      </c>
      <c r="F148" s="264">
        <v>1</v>
      </c>
      <c r="G148" s="279">
        <f>SUMIFS('On-road'!N:N,'On-road'!$B:$B,'Emissions Data'!$B148,'On-road'!$C:$C,'Emissions Data'!$F148,'On-road'!$D:$D,'Emissions Data'!$C148)</f>
        <v>1.2547961460975818</v>
      </c>
      <c r="H148" s="279">
        <f>SUMIFS('On-road'!O:O,'On-road'!$B:$B,'Emissions Data'!$B148,'On-road'!$C:$C,'Emissions Data'!$F148,'On-road'!$D:$D,'Emissions Data'!$C148)</f>
        <v>1.5964950328355588E-3</v>
      </c>
      <c r="I148" s="279">
        <f>SUMIFS('On-road'!P:P,'On-road'!$B:$B,'Emissions Data'!$B148,'On-road'!$C:$C,'Emissions Data'!$F148,'On-road'!$D:$D,'Emissions Data'!$C148)</f>
        <v>9.6750651501020506E-3</v>
      </c>
      <c r="J148" s="279"/>
      <c r="K148" s="279"/>
      <c r="L148" s="279"/>
      <c r="M148" s="279"/>
      <c r="N148" s="280">
        <f t="shared" si="2"/>
        <v>1.2660677062805195</v>
      </c>
      <c r="O148" s="279"/>
    </row>
    <row r="149" spans="1:15" x14ac:dyDescent="0.15">
      <c r="A149" s="265">
        <v>142</v>
      </c>
      <c r="B149" s="263">
        <v>2015</v>
      </c>
      <c r="C149" s="41" t="s">
        <v>64</v>
      </c>
      <c r="D149" s="41" t="s">
        <v>90</v>
      </c>
      <c r="E149" s="41" t="s">
        <v>17</v>
      </c>
      <c r="F149" s="264">
        <v>2</v>
      </c>
      <c r="G149" s="279">
        <f>SUMIFS('On-road'!N:N,'On-road'!$B:$B,'Emissions Data'!$B149,'On-road'!$C:$C,'Emissions Data'!$F149,'On-road'!$D:$D,'Emissions Data'!$C149)</f>
        <v>1.9360597314281306E-4</v>
      </c>
      <c r="H149" s="279">
        <f>SUMIFS('On-road'!O:O,'On-road'!$B:$B,'Emissions Data'!$B149,'On-road'!$C:$C,'Emissions Data'!$F149,'On-road'!$D:$D,'Emissions Data'!$C149)</f>
        <v>9.0082961927971907E-7</v>
      </c>
      <c r="I149" s="279">
        <f>SUMIFS('On-road'!P:P,'On-road'!$B:$B,'Emissions Data'!$B149,'On-road'!$C:$C,'Emissions Data'!$F149,'On-road'!$D:$D,'Emissions Data'!$C149)</f>
        <v>1.2507105229135231E-6</v>
      </c>
      <c r="J149" s="279"/>
      <c r="K149" s="279"/>
      <c r="L149" s="279"/>
      <c r="M149" s="279"/>
      <c r="N149" s="280">
        <f t="shared" si="2"/>
        <v>1.9575751328500628E-4</v>
      </c>
      <c r="O149" s="279"/>
    </row>
    <row r="150" spans="1:15" x14ac:dyDescent="0.15">
      <c r="A150" s="265">
        <v>143</v>
      </c>
      <c r="B150" s="263">
        <v>2015</v>
      </c>
      <c r="C150" s="41" t="s">
        <v>64</v>
      </c>
      <c r="D150" s="41" t="s">
        <v>90</v>
      </c>
      <c r="E150" s="41" t="s">
        <v>68</v>
      </c>
      <c r="F150" s="264">
        <v>1</v>
      </c>
      <c r="G150" s="279">
        <f>SUMIFS(Rail!S:S,Rail!$B:$B,'Emissions Data'!$B150,Rail!$C:$C,'Emissions Data'!$F150,Rail!$D:$D,'Emissions Data'!$C150)</f>
        <v>9.8919017420638824E-3</v>
      </c>
      <c r="H150" s="279">
        <f>SUMIFS(Rail!T:T,Rail!$B:$B,'Emissions Data'!$B150,Rail!$C:$C,'Emissions Data'!$F150,Rail!$D:$D,'Emissions Data'!$C150)</f>
        <v>2.170211547720186E-5</v>
      </c>
      <c r="I150" s="279">
        <f>SUMIFS(Rail!U:U,Rail!$B:$B,'Emissions Data'!$B150,Rail!$C:$C,'Emissions Data'!$F150,Rail!$D:$D,'Emissions Data'!$C150)</f>
        <v>6.675338198121466E-5</v>
      </c>
      <c r="J150" s="279"/>
      <c r="K150" s="279"/>
      <c r="L150" s="279"/>
      <c r="M150" s="279"/>
      <c r="N150" s="280">
        <f t="shared" si="2"/>
        <v>9.9803572395223E-3</v>
      </c>
      <c r="O150" s="279"/>
    </row>
    <row r="151" spans="1:15" x14ac:dyDescent="0.15">
      <c r="A151" s="265">
        <v>144</v>
      </c>
      <c r="B151" s="263">
        <v>2015</v>
      </c>
      <c r="C151" s="41" t="s">
        <v>64</v>
      </c>
      <c r="D151" s="41" t="s">
        <v>90</v>
      </c>
      <c r="E151" s="41" t="s">
        <v>68</v>
      </c>
      <c r="F151" s="264">
        <v>2</v>
      </c>
      <c r="G151" s="279">
        <f>SUMIFS(Rail!S:S,Rail!$B:$B,'Emissions Data'!$B151,Rail!$C:$C,'Emissions Data'!$F151,Rail!$D:$D,'Emissions Data'!$C151)</f>
        <v>1.0752367126228553E-3</v>
      </c>
      <c r="H151" s="279">
        <f>SUMIFS(Rail!T:T,Rail!$B:$B,'Emissions Data'!$B151,Rail!$C:$C,'Emissions Data'!$F151,Rail!$D:$D,'Emissions Data'!$C151)</f>
        <v>5.0029710485901874E-6</v>
      </c>
      <c r="I151" s="279">
        <f>SUMIFS(Rail!U:U,Rail!$B:$B,'Emissions Data'!$B151,Rail!$C:$C,'Emissions Data'!$F151,Rail!$D:$D,'Emissions Data'!$C151)</f>
        <v>6.9461176701834108E-6</v>
      </c>
      <c r="J151" s="279"/>
      <c r="K151" s="279"/>
      <c r="L151" s="279"/>
      <c r="M151" s="279"/>
      <c r="N151" s="280">
        <f t="shared" si="2"/>
        <v>1.0871858013416287E-3</v>
      </c>
      <c r="O151" s="279"/>
    </row>
    <row r="152" spans="1:15" x14ac:dyDescent="0.15">
      <c r="A152" s="265">
        <v>145</v>
      </c>
      <c r="B152" s="263">
        <v>2015</v>
      </c>
      <c r="C152" s="41" t="s">
        <v>64</v>
      </c>
      <c r="D152" s="41" t="s">
        <v>90</v>
      </c>
      <c r="E152" s="41" t="s">
        <v>91</v>
      </c>
      <c r="F152" s="264">
        <v>1</v>
      </c>
      <c r="G152" s="279">
        <f>SUMIFS(Waterborne!Q:Q,Waterborne!$B:$B,'Emissions Data'!$B152,Waterborne!$C:$C,'Emissions Data'!$F152,Waterborne!$D:$D,'Emissions Data'!$C152)</f>
        <v>2.3488863579761293E-3</v>
      </c>
      <c r="H152" s="279">
        <f>SUMIFS(Waterborne!R:R,Waterborne!$B:$B,'Emissions Data'!$B152,Waterborne!$C:$C,'Emissions Data'!$F152,Waterborne!$D:$D,'Emissions Data'!$C152)</f>
        <v>3.0295524080632306E-5</v>
      </c>
      <c r="I152" s="279">
        <f>SUMIFS(Waterborne!S:S,Waterborne!$B:$B,'Emissions Data'!$B152,Waterborne!$C:$C,'Emissions Data'!$F152,Waterborne!$D:$D,'Emissions Data'!$C152)</f>
        <v>1.8873563065558643E-5</v>
      </c>
      <c r="J152" s="279"/>
      <c r="K152" s="279"/>
      <c r="L152" s="279"/>
      <c r="M152" s="279"/>
      <c r="N152" s="280">
        <f t="shared" si="2"/>
        <v>2.3980554451223201E-3</v>
      </c>
      <c r="O152" s="279"/>
    </row>
    <row r="153" spans="1:15" x14ac:dyDescent="0.15">
      <c r="A153" s="265">
        <v>146</v>
      </c>
      <c r="B153" s="263">
        <v>2015</v>
      </c>
      <c r="C153" s="41" t="s">
        <v>64</v>
      </c>
      <c r="D153" s="41" t="s">
        <v>90</v>
      </c>
      <c r="E153" s="41" t="s">
        <v>91</v>
      </c>
      <c r="F153" s="264">
        <v>2</v>
      </c>
      <c r="G153" s="279">
        <f>SUMIFS(Waterborne!Q:Q,Waterborne!$B:$B,'Emissions Data'!$B153,Waterborne!$C:$C,'Emissions Data'!$F153,Waterborne!$D:$D,'Emissions Data'!$C153)</f>
        <v>0</v>
      </c>
      <c r="H153" s="279">
        <f>SUMIFS(Waterborne!R:R,Waterborne!$B:$B,'Emissions Data'!$B153,Waterborne!$C:$C,'Emissions Data'!$F153,Waterborne!$D:$D,'Emissions Data'!$C153)</f>
        <v>0</v>
      </c>
      <c r="I153" s="279">
        <f>SUMIFS(Waterborne!S:S,Waterborne!$B:$B,'Emissions Data'!$B153,Waterborne!$C:$C,'Emissions Data'!$F153,Waterborne!$D:$D,'Emissions Data'!$C153)</f>
        <v>0</v>
      </c>
      <c r="J153" s="279"/>
      <c r="K153" s="279"/>
      <c r="L153" s="279"/>
      <c r="M153" s="279"/>
      <c r="N153" s="280">
        <f t="shared" si="2"/>
        <v>0</v>
      </c>
      <c r="O153" s="279"/>
    </row>
    <row r="154" spans="1:15" x14ac:dyDescent="0.15">
      <c r="A154" s="265">
        <v>147</v>
      </c>
      <c r="B154" s="263">
        <v>2015</v>
      </c>
      <c r="C154" s="41" t="s">
        <v>64</v>
      </c>
      <c r="D154" s="41" t="s">
        <v>90</v>
      </c>
      <c r="E154" s="41" t="s">
        <v>23</v>
      </c>
      <c r="F154" s="264">
        <v>1</v>
      </c>
      <c r="G154" s="279">
        <f>SUMIFS(Aviation!N:N,Aviation!$B:$B,'Emissions Data'!$B154,Aviation!$C:$C,'Emissions Data'!$F154,Aviation!$D:$D,'Emissions Data'!$C154)</f>
        <v>0</v>
      </c>
      <c r="H154" s="279">
        <f>SUMIFS(Aviation!O:O,Aviation!$B:$B,'Emissions Data'!$B154,Aviation!$C:$C,'Emissions Data'!$F154,Aviation!$D:$D,'Emissions Data'!$C154)</f>
        <v>0</v>
      </c>
      <c r="I154" s="279">
        <f>SUMIFS(Aviation!P:P,Aviation!$B:$B,'Emissions Data'!$B154,Aviation!$C:$C,'Emissions Data'!$F154,Aviation!$D:$D,'Emissions Data'!$C154)</f>
        <v>0</v>
      </c>
      <c r="J154" s="279"/>
      <c r="K154" s="279"/>
      <c r="L154" s="279"/>
      <c r="M154" s="279"/>
      <c r="N154" s="280">
        <f t="shared" si="2"/>
        <v>0</v>
      </c>
      <c r="O154" s="279"/>
    </row>
    <row r="155" spans="1:15" x14ac:dyDescent="0.15">
      <c r="A155" s="265">
        <v>148</v>
      </c>
      <c r="B155" s="263">
        <v>2015</v>
      </c>
      <c r="C155" s="41" t="s">
        <v>64</v>
      </c>
      <c r="D155" s="41" t="s">
        <v>90</v>
      </c>
      <c r="E155" s="41" t="s">
        <v>23</v>
      </c>
      <c r="F155" s="264">
        <v>2</v>
      </c>
      <c r="G155" s="279">
        <f>SUMIFS(Aviation!N:N,Aviation!$B:$B,'Emissions Data'!$B155,Aviation!$C:$C,'Emissions Data'!$F155,Aviation!$D:$D,'Emissions Data'!$C155)</f>
        <v>0</v>
      </c>
      <c r="H155" s="279">
        <f>SUMIFS(Aviation!O:O,Aviation!$B:$B,'Emissions Data'!$B155,Aviation!$C:$C,'Emissions Data'!$F155,Aviation!$D:$D,'Emissions Data'!$C155)</f>
        <v>0</v>
      </c>
      <c r="I155" s="279">
        <f>SUMIFS(Aviation!P:P,Aviation!$B:$B,'Emissions Data'!$B155,Aviation!$C:$C,'Emissions Data'!$F155,Aviation!$D:$D,'Emissions Data'!$C155)</f>
        <v>0</v>
      </c>
      <c r="J155" s="279"/>
      <c r="K155" s="279"/>
      <c r="L155" s="279"/>
      <c r="M155" s="279"/>
      <c r="N155" s="280">
        <f t="shared" si="2"/>
        <v>0</v>
      </c>
      <c r="O155" s="279"/>
    </row>
    <row r="156" spans="1:15" x14ac:dyDescent="0.15">
      <c r="A156" s="265">
        <v>149</v>
      </c>
      <c r="B156" s="263">
        <v>2015</v>
      </c>
      <c r="C156" s="41" t="s">
        <v>64</v>
      </c>
      <c r="D156" s="41" t="s">
        <v>90</v>
      </c>
      <c r="E156" s="41" t="s">
        <v>25</v>
      </c>
      <c r="F156" s="264">
        <v>1</v>
      </c>
      <c r="G156" s="279">
        <f>SUMIFS('Off-road'!O:O,'Off-road'!$B:$B,'Emissions Data'!$B156,'Off-road'!$C:$C,'Emissions Data'!$F156,'Off-road'!$D:$D,'Emissions Data'!$C156)</f>
        <v>0.18999697316604547</v>
      </c>
      <c r="H156" s="279">
        <f>SUMIFS('Off-road'!P:P,'Off-road'!$B:$B,'Emissions Data'!$B156,'Off-road'!$C:$C,'Emissions Data'!$F156,'Off-road'!$D:$D,'Emissions Data'!$C156)</f>
        <v>1.8774178786087968E-3</v>
      </c>
      <c r="I156" s="279">
        <f>SUMIFS('Off-road'!Q:Q,'Off-road'!$B:$B,'Emissions Data'!$B156,'Off-road'!$C:$C,'Emissions Data'!$F156,'Off-road'!$D:$D,'Emissions Data'!$C156)</f>
        <v>5.482063560609182E-3</v>
      </c>
      <c r="J156" s="279"/>
      <c r="K156" s="279"/>
      <c r="L156" s="279"/>
      <c r="M156" s="279"/>
      <c r="N156" s="280">
        <f t="shared" si="2"/>
        <v>0.19735645460526344</v>
      </c>
      <c r="O156" s="279"/>
    </row>
    <row r="157" spans="1:15" x14ac:dyDescent="0.15">
      <c r="A157" s="265">
        <v>150</v>
      </c>
      <c r="B157" s="263">
        <v>2015</v>
      </c>
      <c r="C157" s="41" t="s">
        <v>64</v>
      </c>
      <c r="D157" s="41" t="s">
        <v>90</v>
      </c>
      <c r="E157" s="41" t="s">
        <v>25</v>
      </c>
      <c r="F157" s="264">
        <v>2</v>
      </c>
      <c r="G157" s="279">
        <f>SUMIFS('Off-road'!O:O,'Off-road'!$B:$B,'Emissions Data'!$B157,'Off-road'!$C:$C,'Emissions Data'!$F157,'Off-road'!$D:$D,'Emissions Data'!$C157)</f>
        <v>0</v>
      </c>
      <c r="H157" s="279">
        <f>SUMIFS('Off-road'!P:P,'Off-road'!$B:$B,'Emissions Data'!$B157,'Off-road'!$C:$C,'Emissions Data'!$F157,'Off-road'!$D:$D,'Emissions Data'!$C157)</f>
        <v>0</v>
      </c>
      <c r="I157" s="279">
        <f>SUMIFS('Off-road'!Q:Q,'Off-road'!$B:$B,'Emissions Data'!$B157,'Off-road'!$C:$C,'Emissions Data'!$F157,'Off-road'!$D:$D,'Emissions Data'!$C157)</f>
        <v>0</v>
      </c>
      <c r="J157" s="279"/>
      <c r="K157" s="279"/>
      <c r="L157" s="279"/>
      <c r="M157" s="279"/>
      <c r="N157" s="280">
        <f t="shared" si="2"/>
        <v>0</v>
      </c>
      <c r="O157" s="279"/>
    </row>
    <row r="158" spans="1:15" x14ac:dyDescent="0.15">
      <c r="A158" s="265">
        <v>151</v>
      </c>
      <c r="B158" s="263">
        <v>2015</v>
      </c>
      <c r="C158" s="41" t="s">
        <v>65</v>
      </c>
      <c r="D158" s="41" t="s">
        <v>90</v>
      </c>
      <c r="E158" s="41" t="s">
        <v>17</v>
      </c>
      <c r="F158" s="264">
        <v>1</v>
      </c>
      <c r="G158" s="279">
        <f>SUMIFS('On-road'!N:N,'On-road'!$B:$B,'Emissions Data'!$B158,'On-road'!$C:$C,'Emissions Data'!$F158,'On-road'!$D:$D,'Emissions Data'!$C158)</f>
        <v>2.9385388052510466</v>
      </c>
      <c r="H158" s="279">
        <f>SUMIFS('On-road'!O:O,'On-road'!$B:$B,'Emissions Data'!$B158,'On-road'!$C:$C,'Emissions Data'!$F158,'On-road'!$D:$D,'Emissions Data'!$C158)</f>
        <v>3.5381167506085094E-3</v>
      </c>
      <c r="I158" s="279">
        <f>SUMIFS('On-road'!P:P,'On-road'!$B:$B,'Emissions Data'!$B158,'On-road'!$C:$C,'Emissions Data'!$F158,'On-road'!$D:$D,'Emissions Data'!$C158)</f>
        <v>2.152087309531947E-2</v>
      </c>
      <c r="J158" s="279"/>
      <c r="K158" s="279"/>
      <c r="L158" s="279"/>
      <c r="M158" s="279"/>
      <c r="N158" s="280">
        <f t="shared" si="2"/>
        <v>2.9635977950969745</v>
      </c>
      <c r="O158" s="279"/>
    </row>
    <row r="159" spans="1:15" x14ac:dyDescent="0.15">
      <c r="A159" s="265">
        <v>152</v>
      </c>
      <c r="B159" s="263">
        <v>2015</v>
      </c>
      <c r="C159" s="41" t="s">
        <v>65</v>
      </c>
      <c r="D159" s="41" t="s">
        <v>90</v>
      </c>
      <c r="E159" s="41" t="s">
        <v>17</v>
      </c>
      <c r="F159" s="264">
        <v>2</v>
      </c>
      <c r="G159" s="279">
        <f>SUMIFS('On-road'!N:N,'On-road'!$B:$B,'Emissions Data'!$B159,'On-road'!$C:$C,'Emissions Data'!$F159,'On-road'!$D:$D,'Emissions Data'!$C159)</f>
        <v>5.1247890273106408E-4</v>
      </c>
      <c r="H159" s="279">
        <f>SUMIFS('On-road'!O:O,'On-road'!$B:$B,'Emissions Data'!$B159,'On-road'!$C:$C,'Emissions Data'!$F159,'On-road'!$D:$D,'Emissions Data'!$C159)</f>
        <v>2.3845141104999518E-6</v>
      </c>
      <c r="I159" s="279">
        <f>SUMIFS('On-road'!P:P,'On-road'!$B:$B,'Emissions Data'!$B159,'On-road'!$C:$C,'Emissions Data'!$F159,'On-road'!$D:$D,'Emissions Data'!$C159)</f>
        <v>3.3106558956428105E-6</v>
      </c>
      <c r="J159" s="279"/>
      <c r="K159" s="279"/>
      <c r="L159" s="279"/>
      <c r="M159" s="279"/>
      <c r="N159" s="280">
        <f t="shared" si="2"/>
        <v>5.1817407273720682E-4</v>
      </c>
      <c r="O159" s="279"/>
    </row>
    <row r="160" spans="1:15" x14ac:dyDescent="0.15">
      <c r="A160" s="265">
        <v>153</v>
      </c>
      <c r="B160" s="263">
        <v>2015</v>
      </c>
      <c r="C160" s="41" t="s">
        <v>65</v>
      </c>
      <c r="D160" s="41" t="s">
        <v>90</v>
      </c>
      <c r="E160" s="41" t="s">
        <v>68</v>
      </c>
      <c r="F160" s="264">
        <v>1</v>
      </c>
      <c r="G160" s="279">
        <f>SUMIFS(Rail!S:S,Rail!$B:$B,'Emissions Data'!$B160,Rail!$C:$C,'Emissions Data'!$F160,Rail!$D:$D,'Emissions Data'!$C160)</f>
        <v>3.5907925642729183E-2</v>
      </c>
      <c r="H160" s="279">
        <f>SUMIFS(Rail!T:T,Rail!$B:$B,'Emissions Data'!$B160,Rail!$C:$C,'Emissions Data'!$F160,Rail!$D:$D,'Emissions Data'!$C160)</f>
        <v>7.8779386326849552E-5</v>
      </c>
      <c r="I160" s="279">
        <f>SUMIFS(Rail!U:U,Rail!$B:$B,'Emissions Data'!$B160,Rail!$C:$C,'Emissions Data'!$F160,Rail!$D:$D,'Emissions Data'!$C160)</f>
        <v>2.4231695169285418E-4</v>
      </c>
      <c r="J160" s="279"/>
      <c r="K160" s="279"/>
      <c r="L160" s="279"/>
      <c r="M160" s="279"/>
      <c r="N160" s="280">
        <f t="shared" si="2"/>
        <v>3.6229021980748885E-2</v>
      </c>
      <c r="O160" s="279"/>
    </row>
    <row r="161" spans="1:15" x14ac:dyDescent="0.15">
      <c r="A161" s="265">
        <v>154</v>
      </c>
      <c r="B161" s="263">
        <v>2015</v>
      </c>
      <c r="C161" s="41" t="s">
        <v>65</v>
      </c>
      <c r="D161" s="41" t="s">
        <v>90</v>
      </c>
      <c r="E161" s="41" t="s">
        <v>68</v>
      </c>
      <c r="F161" s="264">
        <v>2</v>
      </c>
      <c r="G161" s="279">
        <f>SUMIFS(Rail!S:S,Rail!$B:$B,'Emissions Data'!$B161,Rail!$C:$C,'Emissions Data'!$F161,Rail!$D:$D,'Emissions Data'!$C161)</f>
        <v>1.228913037914758E-3</v>
      </c>
      <c r="H161" s="279">
        <f>SUMIFS(Rail!T:T,Rail!$B:$B,'Emissions Data'!$B161,Rail!$C:$C,'Emissions Data'!$F161,Rail!$D:$D,'Emissions Data'!$C161)</f>
        <v>5.7180119296010949E-6</v>
      </c>
      <c r="I161" s="279">
        <f>SUMIFS(Rail!U:U,Rail!$B:$B,'Emissions Data'!$B161,Rail!$C:$C,'Emissions Data'!$F161,Rail!$D:$D,'Emissions Data'!$C161)</f>
        <v>7.9388793812256877E-6</v>
      </c>
      <c r="J161" s="279"/>
      <c r="K161" s="279"/>
      <c r="L161" s="279"/>
      <c r="M161" s="279"/>
      <c r="N161" s="280">
        <f t="shared" si="2"/>
        <v>1.2425699292255847E-3</v>
      </c>
      <c r="O161" s="279"/>
    </row>
    <row r="162" spans="1:15" x14ac:dyDescent="0.15">
      <c r="A162" s="265">
        <v>155</v>
      </c>
      <c r="B162" s="263">
        <v>2015</v>
      </c>
      <c r="C162" s="41" t="s">
        <v>65</v>
      </c>
      <c r="D162" s="41" t="s">
        <v>90</v>
      </c>
      <c r="E162" s="41" t="s">
        <v>91</v>
      </c>
      <c r="F162" s="264">
        <v>1</v>
      </c>
      <c r="G162" s="279">
        <f>SUMIFS(Waterborne!Q:Q,Waterborne!$B:$B,'Emissions Data'!$B162,Waterborne!$C:$C,'Emissions Data'!$F162,Waterborne!$D:$D,'Emissions Data'!$C162)</f>
        <v>4.1757970759816387E-3</v>
      </c>
      <c r="H162" s="279">
        <f>SUMIFS(Waterborne!R:R,Waterborne!$B:$B,'Emissions Data'!$B162,Waterborne!$C:$C,'Emissions Data'!$F162,Waterborne!$D:$D,'Emissions Data'!$C162)</f>
        <v>5.3858692716235601E-5</v>
      </c>
      <c r="I162" s="279">
        <f>SUMIFS(Waterborne!S:S,Waterborne!$B:$B,'Emissions Data'!$B162,Waterborne!$C:$C,'Emissions Data'!$F162,Waterborne!$D:$D,'Emissions Data'!$C162)</f>
        <v>3.3552995970765415E-5</v>
      </c>
      <c r="J162" s="279"/>
      <c r="K162" s="279"/>
      <c r="L162" s="279"/>
      <c r="M162" s="279"/>
      <c r="N162" s="280">
        <f t="shared" si="2"/>
        <v>4.2632087646686393E-3</v>
      </c>
      <c r="O162" s="279"/>
    </row>
    <row r="163" spans="1:15" x14ac:dyDescent="0.15">
      <c r="A163" s="265">
        <v>156</v>
      </c>
      <c r="B163" s="263">
        <v>2015</v>
      </c>
      <c r="C163" s="41" t="s">
        <v>65</v>
      </c>
      <c r="D163" s="41" t="s">
        <v>90</v>
      </c>
      <c r="E163" s="41" t="s">
        <v>91</v>
      </c>
      <c r="F163" s="264">
        <v>2</v>
      </c>
      <c r="G163" s="279">
        <f>SUMIFS(Waterborne!Q:Q,Waterborne!$B:$B,'Emissions Data'!$B163,Waterborne!$C:$C,'Emissions Data'!$F163,Waterborne!$D:$D,'Emissions Data'!$C163)</f>
        <v>0</v>
      </c>
      <c r="H163" s="279">
        <f>SUMIFS(Waterborne!R:R,Waterborne!$B:$B,'Emissions Data'!$B163,Waterborne!$C:$C,'Emissions Data'!$F163,Waterborne!$D:$D,'Emissions Data'!$C163)</f>
        <v>0</v>
      </c>
      <c r="I163" s="279">
        <f>SUMIFS(Waterborne!S:S,Waterborne!$B:$B,'Emissions Data'!$B163,Waterborne!$C:$C,'Emissions Data'!$F163,Waterborne!$D:$D,'Emissions Data'!$C163)</f>
        <v>0</v>
      </c>
      <c r="J163" s="279"/>
      <c r="K163" s="279"/>
      <c r="L163" s="279"/>
      <c r="M163" s="279"/>
      <c r="N163" s="280">
        <f t="shared" si="2"/>
        <v>0</v>
      </c>
      <c r="O163" s="279"/>
    </row>
    <row r="164" spans="1:15" x14ac:dyDescent="0.15">
      <c r="A164" s="265">
        <v>157</v>
      </c>
      <c r="B164" s="263">
        <v>2015</v>
      </c>
      <c r="C164" s="41" t="s">
        <v>65</v>
      </c>
      <c r="D164" s="41" t="s">
        <v>90</v>
      </c>
      <c r="E164" s="41" t="s">
        <v>23</v>
      </c>
      <c r="F164" s="264">
        <v>1</v>
      </c>
      <c r="G164" s="279">
        <f>SUMIFS(Aviation!N:N,Aviation!$B:$B,'Emissions Data'!$B164,Aviation!$C:$C,'Emissions Data'!$F164,Aviation!$D:$D,'Emissions Data'!$C164)</f>
        <v>0</v>
      </c>
      <c r="H164" s="279">
        <f>SUMIFS(Aviation!O:O,Aviation!$B:$B,'Emissions Data'!$B164,Aviation!$C:$C,'Emissions Data'!$F164,Aviation!$D:$D,'Emissions Data'!$C164)</f>
        <v>0</v>
      </c>
      <c r="I164" s="279">
        <f>SUMIFS(Aviation!P:P,Aviation!$B:$B,'Emissions Data'!$B164,Aviation!$C:$C,'Emissions Data'!$F164,Aviation!$D:$D,'Emissions Data'!$C164)</f>
        <v>0</v>
      </c>
      <c r="J164" s="279"/>
      <c r="K164" s="279"/>
      <c r="L164" s="279"/>
      <c r="M164" s="279"/>
      <c r="N164" s="280">
        <f t="shared" si="2"/>
        <v>0</v>
      </c>
      <c r="O164" s="279"/>
    </row>
    <row r="165" spans="1:15" x14ac:dyDescent="0.15">
      <c r="A165" s="265">
        <v>158</v>
      </c>
      <c r="B165" s="263">
        <v>2015</v>
      </c>
      <c r="C165" s="41" t="s">
        <v>65</v>
      </c>
      <c r="D165" s="41" t="s">
        <v>90</v>
      </c>
      <c r="E165" s="41" t="s">
        <v>23</v>
      </c>
      <c r="F165" s="264">
        <v>2</v>
      </c>
      <c r="G165" s="279">
        <f>SUMIFS(Aviation!N:N,Aviation!$B:$B,'Emissions Data'!$B165,Aviation!$C:$C,'Emissions Data'!$F165,Aviation!$D:$D,'Emissions Data'!$C165)</f>
        <v>0</v>
      </c>
      <c r="H165" s="279">
        <f>SUMIFS(Aviation!O:O,Aviation!$B:$B,'Emissions Data'!$B165,Aviation!$C:$C,'Emissions Data'!$F165,Aviation!$D:$D,'Emissions Data'!$C165)</f>
        <v>0</v>
      </c>
      <c r="I165" s="279">
        <f>SUMIFS(Aviation!P:P,Aviation!$B:$B,'Emissions Data'!$B165,Aviation!$C:$C,'Emissions Data'!$F165,Aviation!$D:$D,'Emissions Data'!$C165)</f>
        <v>0</v>
      </c>
      <c r="J165" s="279"/>
      <c r="K165" s="279"/>
      <c r="L165" s="279"/>
      <c r="M165" s="279"/>
      <c r="N165" s="280">
        <f t="shared" si="2"/>
        <v>0</v>
      </c>
      <c r="O165" s="279"/>
    </row>
    <row r="166" spans="1:15" x14ac:dyDescent="0.15">
      <c r="A166" s="265">
        <v>159</v>
      </c>
      <c r="B166" s="263">
        <v>2015</v>
      </c>
      <c r="C166" s="41" t="s">
        <v>65</v>
      </c>
      <c r="D166" s="41" t="s">
        <v>90</v>
      </c>
      <c r="E166" s="41" t="s">
        <v>25</v>
      </c>
      <c r="F166" s="264">
        <v>1</v>
      </c>
      <c r="G166" s="279">
        <f>SUMIFS('Off-road'!O:O,'Off-road'!$B:$B,'Emissions Data'!$B166,'Off-road'!$C:$C,'Emissions Data'!$F166,'Off-road'!$D:$D,'Emissions Data'!$C166)</f>
        <v>0.33820236297808054</v>
      </c>
      <c r="H166" s="279">
        <f>SUMIFS('Off-road'!P:P,'Off-road'!$B:$B,'Emissions Data'!$B166,'Off-road'!$C:$C,'Emissions Data'!$F166,'Off-road'!$D:$D,'Emissions Data'!$C166)</f>
        <v>2.7561327127163626E-3</v>
      </c>
      <c r="I166" s="279">
        <f>SUMIFS('Off-road'!Q:Q,'Off-road'!$B:$B,'Emissions Data'!$B166,'Off-road'!$C:$C,'Emissions Data'!$F166,'Off-road'!$D:$D,'Emissions Data'!$C166)</f>
        <v>9.4657116596467052E-3</v>
      </c>
      <c r="J166" s="279"/>
      <c r="K166" s="279"/>
      <c r="L166" s="279"/>
      <c r="M166" s="279"/>
      <c r="N166" s="280">
        <f t="shared" si="2"/>
        <v>0.35042420735044361</v>
      </c>
      <c r="O166" s="279"/>
    </row>
    <row r="167" spans="1:15" x14ac:dyDescent="0.15">
      <c r="A167" s="265">
        <v>160</v>
      </c>
      <c r="B167" s="263">
        <v>2015</v>
      </c>
      <c r="C167" s="41" t="s">
        <v>65</v>
      </c>
      <c r="D167" s="41" t="s">
        <v>90</v>
      </c>
      <c r="E167" s="41" t="s">
        <v>25</v>
      </c>
      <c r="F167" s="264">
        <v>2</v>
      </c>
      <c r="G167" s="279">
        <f>SUMIFS('Off-road'!O:O,'Off-road'!$B:$B,'Emissions Data'!$B167,'Off-road'!$C:$C,'Emissions Data'!$F167,'Off-road'!$D:$D,'Emissions Data'!$C167)</f>
        <v>0</v>
      </c>
      <c r="H167" s="279">
        <f>SUMIFS('Off-road'!P:P,'Off-road'!$B:$B,'Emissions Data'!$B167,'Off-road'!$C:$C,'Emissions Data'!$F167,'Off-road'!$D:$D,'Emissions Data'!$C167)</f>
        <v>0</v>
      </c>
      <c r="I167" s="279">
        <f>SUMIFS('Off-road'!Q:Q,'Off-road'!$B:$B,'Emissions Data'!$B167,'Off-road'!$C:$C,'Emissions Data'!$F167,'Off-road'!$D:$D,'Emissions Data'!$C167)</f>
        <v>0</v>
      </c>
      <c r="J167" s="279"/>
      <c r="K167" s="279"/>
      <c r="L167" s="279"/>
      <c r="M167" s="279"/>
      <c r="N167" s="280">
        <f t="shared" si="2"/>
        <v>0</v>
      </c>
      <c r="O167" s="279"/>
    </row>
    <row r="168" spans="1:15" x14ac:dyDescent="0.15">
      <c r="A168" s="265">
        <v>161</v>
      </c>
      <c r="B168" s="263">
        <v>2019</v>
      </c>
      <c r="C168" s="41" t="s">
        <v>58</v>
      </c>
      <c r="D168" s="41" t="s">
        <v>90</v>
      </c>
      <c r="E168" s="41" t="s">
        <v>17</v>
      </c>
      <c r="F168" s="264">
        <v>1</v>
      </c>
      <c r="G168" s="279">
        <f>SUMIFS('On-road'!N:N,'On-road'!$B:$B,'Emissions Data'!$B168,'On-road'!$C:$C,'Emissions Data'!$F168,'On-road'!$D:$D,'Emissions Data'!$C168)</f>
        <v>5.0617247364932272</v>
      </c>
      <c r="H168" s="279">
        <f>SUMIFS('On-road'!O:O,'On-road'!$B:$B,'Emissions Data'!$B168,'On-road'!$C:$C,'Emissions Data'!$F168,'On-road'!$D:$D,'Emissions Data'!$C168)</f>
        <v>1.0905226602709454E-2</v>
      </c>
      <c r="I168" s="279">
        <f>SUMIFS('On-road'!P:P,'On-road'!$B:$B,'Emissions Data'!$B168,'On-road'!$C:$C,'Emissions Data'!$F168,'On-road'!$D:$D,'Emissions Data'!$C168)</f>
        <v>2.6915210525312882E-2</v>
      </c>
      <c r="J168" s="279"/>
      <c r="K168" s="279"/>
      <c r="L168" s="279"/>
      <c r="M168" s="279"/>
      <c r="N168" s="280">
        <f t="shared" si="2"/>
        <v>5.0995451736212489</v>
      </c>
      <c r="O168" s="279"/>
    </row>
    <row r="169" spans="1:15" x14ac:dyDescent="0.15">
      <c r="A169" s="265">
        <v>162</v>
      </c>
      <c r="B169" s="263">
        <v>2019</v>
      </c>
      <c r="C169" s="41" t="s">
        <v>58</v>
      </c>
      <c r="D169" s="41" t="s">
        <v>90</v>
      </c>
      <c r="E169" s="41" t="s">
        <v>17</v>
      </c>
      <c r="F169" s="264">
        <v>2</v>
      </c>
      <c r="G169" s="279">
        <f>SUMIFS('On-road'!N:N,'On-road'!$B:$B,'Emissions Data'!$B169,'On-road'!$C:$C,'Emissions Data'!$F169,'On-road'!$D:$D,'Emissions Data'!$C169)</f>
        <v>6.8085971364563449E-3</v>
      </c>
      <c r="H169" s="279">
        <f>SUMIFS('On-road'!O:O,'On-road'!$B:$B,'Emissions Data'!$B169,'On-road'!$C:$C,'Emissions Data'!$F169,'On-road'!$D:$D,'Emissions Data'!$C169)</f>
        <v>2.2172994586704482E-5</v>
      </c>
      <c r="I169" s="279">
        <f>SUMIFS('On-road'!P:P,'On-road'!$B:$B,'Emissions Data'!$B169,'On-road'!$C:$C,'Emissions Data'!$F169,'On-road'!$D:$D,'Emissions Data'!$C169)</f>
        <v>2.9675977603417614E-5</v>
      </c>
      <c r="J169" s="279"/>
      <c r="K169" s="279"/>
      <c r="L169" s="279"/>
      <c r="M169" s="279"/>
      <c r="N169" s="280">
        <f t="shared" si="2"/>
        <v>6.8604461086464669E-3</v>
      </c>
      <c r="O169" s="279"/>
    </row>
    <row r="170" spans="1:15" x14ac:dyDescent="0.15">
      <c r="A170" s="265">
        <v>163</v>
      </c>
      <c r="B170" s="263">
        <v>2019</v>
      </c>
      <c r="C170" s="41" t="s">
        <v>58</v>
      </c>
      <c r="D170" s="41" t="s">
        <v>90</v>
      </c>
      <c r="E170" s="41" t="s">
        <v>68</v>
      </c>
      <c r="F170" s="264">
        <v>1</v>
      </c>
      <c r="G170" s="279">
        <f>SUMIFS(Rail!S:S,Rail!$B:$B,'Emissions Data'!$B170,Rail!$C:$C,'Emissions Data'!$F170,Rail!$D:$D,'Emissions Data'!$C170)</f>
        <v>0.28597515832330378</v>
      </c>
      <c r="H170" s="279">
        <f>SUMIFS(Rail!T:T,Rail!$B:$B,'Emissions Data'!$B170,Rail!$C:$C,'Emissions Data'!$F170,Rail!$D:$D,'Emissions Data'!$C170)</f>
        <v>6.27408770464447E-4</v>
      </c>
      <c r="I170" s="279">
        <f>SUMIFS(Rail!U:U,Rail!$B:$B,'Emissions Data'!$B170,Rail!$C:$C,'Emissions Data'!$F170,Rail!$D:$D,'Emissions Data'!$C170)</f>
        <v>1.9298421555803749E-3</v>
      </c>
      <c r="J170" s="279"/>
      <c r="K170" s="279"/>
      <c r="L170" s="279"/>
      <c r="M170" s="279"/>
      <c r="N170" s="280">
        <f t="shared" si="2"/>
        <v>0.28853240924934864</v>
      </c>
      <c r="O170" s="279"/>
    </row>
    <row r="171" spans="1:15" x14ac:dyDescent="0.15">
      <c r="A171" s="265">
        <v>164</v>
      </c>
      <c r="B171" s="263">
        <v>2019</v>
      </c>
      <c r="C171" s="41" t="s">
        <v>58</v>
      </c>
      <c r="D171" s="41" t="s">
        <v>90</v>
      </c>
      <c r="E171" s="41" t="s">
        <v>68</v>
      </c>
      <c r="F171" s="264">
        <v>2</v>
      </c>
      <c r="G171" s="279">
        <f>SUMIFS(Rail!S:S,Rail!$B:$B,'Emissions Data'!$B171,Rail!$C:$C,'Emissions Data'!$F171,Rail!$D:$D,'Emissions Data'!$C171)</f>
        <v>0.16702825209645475</v>
      </c>
      <c r="H171" s="279">
        <f>SUMIFS(Rail!T:T,Rail!$B:$B,'Emissions Data'!$B171,Rail!$C:$C,'Emissions Data'!$F171,Rail!$D:$D,'Emissions Data'!$C171)</f>
        <v>5.4394707974878996E-4</v>
      </c>
      <c r="I171" s="279">
        <f>SUMIFS(Rail!U:U,Rail!$B:$B,'Emissions Data'!$B171,Rail!$C:$C,'Emissions Data'!$F171,Rail!$D:$D,'Emissions Data'!$C171)</f>
        <v>7.2800998047186543E-4</v>
      </c>
      <c r="J171" s="279"/>
      <c r="K171" s="279"/>
      <c r="L171" s="279"/>
      <c r="M171" s="279"/>
      <c r="N171" s="280">
        <f t="shared" si="2"/>
        <v>0.1683002091566754</v>
      </c>
      <c r="O171" s="279"/>
    </row>
    <row r="172" spans="1:15" x14ac:dyDescent="0.15">
      <c r="A172" s="265">
        <v>165</v>
      </c>
      <c r="B172" s="263">
        <v>2019</v>
      </c>
      <c r="C172" s="41" t="s">
        <v>58</v>
      </c>
      <c r="D172" s="41" t="s">
        <v>90</v>
      </c>
      <c r="E172" s="41" t="s">
        <v>91</v>
      </c>
      <c r="F172" s="264">
        <v>1</v>
      </c>
      <c r="G172" s="279">
        <f>SUMIFS(Waterborne!Q:Q,Waterborne!$B:$B,'Emissions Data'!$B172,Waterborne!$C:$C,'Emissions Data'!$F172,Waterborne!$D:$D,'Emissions Data'!$C172)</f>
        <v>5.2352915755128175E-3</v>
      </c>
      <c r="H172" s="279">
        <f>SUMIFS(Waterborne!R:R,Waterborne!$B:$B,'Emissions Data'!$B172,Waterborne!$C:$C,'Emissions Data'!$F172,Waterborne!$D:$D,'Emissions Data'!$C172)</f>
        <v>6.0077692550071425E-6</v>
      </c>
      <c r="I172" s="279">
        <f>SUMIFS(Waterborne!S:S,Waterborne!$B:$B,'Emissions Data'!$B172,Waterborne!$C:$C,'Emissions Data'!$F172,Waterborne!$D:$D,'Emissions Data'!$C172)</f>
        <v>6.7302120800752363E-5</v>
      </c>
      <c r="J172" s="279"/>
      <c r="K172" s="279"/>
      <c r="L172" s="279"/>
      <c r="M172" s="279"/>
      <c r="N172" s="280">
        <f t="shared" si="2"/>
        <v>5.3086014655685772E-3</v>
      </c>
      <c r="O172" s="279"/>
    </row>
    <row r="173" spans="1:15" x14ac:dyDescent="0.15">
      <c r="A173" s="265">
        <v>166</v>
      </c>
      <c r="B173" s="263">
        <v>2019</v>
      </c>
      <c r="C173" s="41" t="s">
        <v>58</v>
      </c>
      <c r="D173" s="41" t="s">
        <v>90</v>
      </c>
      <c r="E173" s="41" t="s">
        <v>91</v>
      </c>
      <c r="F173" s="264">
        <v>2</v>
      </c>
      <c r="G173" s="279">
        <f>SUMIFS(Waterborne!Q:Q,Waterborne!$B:$B,'Emissions Data'!$B173,Waterborne!$C:$C,'Emissions Data'!$F173,Waterborne!$D:$D,'Emissions Data'!$C173)</f>
        <v>0</v>
      </c>
      <c r="H173" s="279">
        <f>SUMIFS(Waterborne!R:R,Waterborne!$B:$B,'Emissions Data'!$B173,Waterborne!$C:$C,'Emissions Data'!$F173,Waterborne!$D:$D,'Emissions Data'!$C173)</f>
        <v>0</v>
      </c>
      <c r="I173" s="279">
        <f>SUMIFS(Waterborne!S:S,Waterborne!$B:$B,'Emissions Data'!$B173,Waterborne!$C:$C,'Emissions Data'!$F173,Waterborne!$D:$D,'Emissions Data'!$C173)</f>
        <v>0</v>
      </c>
      <c r="J173" s="279"/>
      <c r="K173" s="279"/>
      <c r="L173" s="279"/>
      <c r="M173" s="279"/>
      <c r="N173" s="280">
        <f t="shared" si="2"/>
        <v>0</v>
      </c>
      <c r="O173" s="279"/>
    </row>
    <row r="174" spans="1:15" x14ac:dyDescent="0.15">
      <c r="A174" s="265">
        <v>167</v>
      </c>
      <c r="B174" s="263">
        <v>2019</v>
      </c>
      <c r="C174" s="41" t="s">
        <v>58</v>
      </c>
      <c r="D174" s="41" t="s">
        <v>90</v>
      </c>
      <c r="E174" s="41" t="s">
        <v>23</v>
      </c>
      <c r="F174" s="264">
        <v>1</v>
      </c>
      <c r="G174" s="279">
        <f>SUMIFS(Aviation!N:N,Aviation!$B:$B,'Emissions Data'!$B174,Aviation!$C:$C,'Emissions Data'!$F174,Aviation!$D:$D,'Emissions Data'!$C174)</f>
        <v>1.6031684459236404</v>
      </c>
      <c r="H174" s="279">
        <f>SUMIFS(Aviation!O:O,Aviation!$B:$B,'Emissions Data'!$B174,Aviation!$C:$C,'Emissions Data'!$F174,Aviation!$D:$D,'Emissions Data'!$C174)</f>
        <v>0</v>
      </c>
      <c r="I174" s="279">
        <f>SUMIFS(Aviation!P:P,Aviation!$B:$B,'Emissions Data'!$B174,Aviation!$C:$C,'Emissions Data'!$F174,Aviation!$D:$D,'Emissions Data'!$C174)</f>
        <v>1.3071988866761992E-2</v>
      </c>
      <c r="J174" s="279"/>
      <c r="K174" s="279"/>
      <c r="L174" s="279"/>
      <c r="M174" s="279"/>
      <c r="N174" s="280">
        <f t="shared" si="2"/>
        <v>1.6162404347904025</v>
      </c>
      <c r="O174" s="279"/>
    </row>
    <row r="175" spans="1:15" x14ac:dyDescent="0.15">
      <c r="A175" s="265">
        <v>168</v>
      </c>
      <c r="B175" s="263">
        <v>2019</v>
      </c>
      <c r="C175" s="41" t="s">
        <v>58</v>
      </c>
      <c r="D175" s="41" t="s">
        <v>90</v>
      </c>
      <c r="E175" s="41" t="s">
        <v>23</v>
      </c>
      <c r="F175" s="264">
        <v>2</v>
      </c>
      <c r="G175" s="279">
        <f>SUMIFS(Aviation!N:N,Aviation!$B:$B,'Emissions Data'!$B175,Aviation!$C:$C,'Emissions Data'!$F175,Aviation!$D:$D,'Emissions Data'!$C175)</f>
        <v>0</v>
      </c>
      <c r="H175" s="279">
        <f>SUMIFS(Aviation!O:O,Aviation!$B:$B,'Emissions Data'!$B175,Aviation!$C:$C,'Emissions Data'!$F175,Aviation!$D:$D,'Emissions Data'!$C175)</f>
        <v>0</v>
      </c>
      <c r="I175" s="279">
        <f>SUMIFS(Aviation!P:P,Aviation!$B:$B,'Emissions Data'!$B175,Aviation!$C:$C,'Emissions Data'!$F175,Aviation!$D:$D,'Emissions Data'!$C175)</f>
        <v>0</v>
      </c>
      <c r="J175" s="279"/>
      <c r="K175" s="279"/>
      <c r="L175" s="279"/>
      <c r="M175" s="279"/>
      <c r="N175" s="280">
        <f t="shared" si="2"/>
        <v>0</v>
      </c>
      <c r="O175" s="279"/>
    </row>
    <row r="176" spans="1:15" x14ac:dyDescent="0.15">
      <c r="A176" s="265">
        <v>169</v>
      </c>
      <c r="B176" s="263">
        <v>2019</v>
      </c>
      <c r="C176" s="41" t="s">
        <v>58</v>
      </c>
      <c r="D176" s="41" t="s">
        <v>90</v>
      </c>
      <c r="E176" s="41" t="s">
        <v>25</v>
      </c>
      <c r="F176" s="264">
        <v>1</v>
      </c>
      <c r="G176" s="279">
        <f>SUMIFS('Off-road'!O:O,'Off-road'!$B:$B,'Emissions Data'!$B176,'Off-road'!$C:$C,'Emissions Data'!$F176,'Off-road'!$D:$D,'Emissions Data'!$C176)</f>
        <v>0.55175194228154012</v>
      </c>
      <c r="H176" s="279">
        <f>SUMIFS('Off-road'!P:P,'Off-road'!$B:$B,'Emissions Data'!$B176,'Off-road'!$C:$C,'Emissions Data'!$F176,'Off-road'!$D:$D,'Emissions Data'!$C176)</f>
        <v>4.8943131872581525E-3</v>
      </c>
      <c r="I176" s="279">
        <f>SUMIFS('Off-road'!Q:Q,'Off-road'!$B:$B,'Emissions Data'!$B176,'Off-road'!$C:$C,'Emissions Data'!$F176,'Off-road'!$D:$D,'Emissions Data'!$C176)</f>
        <v>1.6109372087204147E-2</v>
      </c>
      <c r="J176" s="279"/>
      <c r="K176" s="279"/>
      <c r="L176" s="279"/>
      <c r="M176" s="279"/>
      <c r="N176" s="280">
        <f t="shared" si="2"/>
        <v>0.57275562755600251</v>
      </c>
      <c r="O176" s="279"/>
    </row>
    <row r="177" spans="1:15" x14ac:dyDescent="0.15">
      <c r="A177" s="265">
        <v>170</v>
      </c>
      <c r="B177" s="263">
        <v>2019</v>
      </c>
      <c r="C177" s="41" t="s">
        <v>58</v>
      </c>
      <c r="D177" s="41" t="s">
        <v>90</v>
      </c>
      <c r="E177" s="41" t="s">
        <v>25</v>
      </c>
      <c r="F177" s="264">
        <v>2</v>
      </c>
      <c r="G177" s="279">
        <f>SUMIFS('Off-road'!O:O,'Off-road'!$B:$B,'Emissions Data'!$B177,'Off-road'!$C:$C,'Emissions Data'!$F177,'Off-road'!$D:$D,'Emissions Data'!$C177)</f>
        <v>0</v>
      </c>
      <c r="H177" s="279">
        <f>SUMIFS('Off-road'!P:P,'Off-road'!$B:$B,'Emissions Data'!$B177,'Off-road'!$C:$C,'Emissions Data'!$F177,'Off-road'!$D:$D,'Emissions Data'!$C177)</f>
        <v>0</v>
      </c>
      <c r="I177" s="279">
        <f>SUMIFS('Off-road'!Q:Q,'Off-road'!$B:$B,'Emissions Data'!$B177,'Off-road'!$C:$C,'Emissions Data'!$F177,'Off-road'!$D:$D,'Emissions Data'!$C177)</f>
        <v>0</v>
      </c>
      <c r="J177" s="279"/>
      <c r="K177" s="279"/>
      <c r="L177" s="279"/>
      <c r="M177" s="279"/>
      <c r="N177" s="280">
        <f t="shared" si="2"/>
        <v>0</v>
      </c>
      <c r="O177" s="279"/>
    </row>
    <row r="178" spans="1:15" x14ac:dyDescent="0.15">
      <c r="A178" s="265">
        <v>171</v>
      </c>
      <c r="B178" s="263">
        <v>2019</v>
      </c>
      <c r="C178" s="41" t="s">
        <v>59</v>
      </c>
      <c r="D178" s="41" t="s">
        <v>90</v>
      </c>
      <c r="E178" s="41" t="s">
        <v>17</v>
      </c>
      <c r="F178" s="264">
        <v>1</v>
      </c>
      <c r="G178" s="279">
        <f>SUMIFS('On-road'!N:N,'On-road'!$B:$B,'Emissions Data'!$B178,'On-road'!$C:$C,'Emissions Data'!$F178,'On-road'!$D:$D,'Emissions Data'!$C178)</f>
        <v>14.117884314888006</v>
      </c>
      <c r="H178" s="279">
        <f>SUMIFS('On-road'!O:O,'On-road'!$B:$B,'Emissions Data'!$B178,'On-road'!$C:$C,'Emissions Data'!$F178,'On-road'!$D:$D,'Emissions Data'!$C178)</f>
        <v>2.5406878004028938E-2</v>
      </c>
      <c r="I178" s="279">
        <f>SUMIFS('On-road'!P:P,'On-road'!$B:$B,'Emissions Data'!$B178,'On-road'!$C:$C,'Emissions Data'!$F178,'On-road'!$D:$D,'Emissions Data'!$C178)</f>
        <v>6.6671105224433314E-2</v>
      </c>
      <c r="J178" s="279"/>
      <c r="K178" s="279"/>
      <c r="L178" s="279"/>
      <c r="M178" s="279"/>
      <c r="N178" s="280">
        <f t="shared" si="2"/>
        <v>14.209962298116467</v>
      </c>
      <c r="O178" s="279"/>
    </row>
    <row r="179" spans="1:15" x14ac:dyDescent="0.15">
      <c r="A179" s="265">
        <v>172</v>
      </c>
      <c r="B179" s="263">
        <v>2019</v>
      </c>
      <c r="C179" s="41" t="s">
        <v>59</v>
      </c>
      <c r="D179" s="41" t="s">
        <v>90</v>
      </c>
      <c r="E179" s="41" t="s">
        <v>17</v>
      </c>
      <c r="F179" s="264">
        <v>2</v>
      </c>
      <c r="G179" s="279">
        <f>SUMIFS('On-road'!N:N,'On-road'!$B:$B,'Emissions Data'!$B179,'On-road'!$C:$C,'Emissions Data'!$F179,'On-road'!$D:$D,'Emissions Data'!$C179)</f>
        <v>1.4222468757132001E-2</v>
      </c>
      <c r="H179" s="279">
        <f>SUMIFS('On-road'!O:O,'On-road'!$B:$B,'Emissions Data'!$B179,'On-road'!$C:$C,'Emissions Data'!$F179,'On-road'!$D:$D,'Emissions Data'!$C179)</f>
        <v>4.631713647337247E-5</v>
      </c>
      <c r="I179" s="279">
        <f>SUMIFS('On-road'!P:P,'On-road'!$B:$B,'Emissions Data'!$B179,'On-road'!$C:$C,'Emissions Data'!$F179,'On-road'!$D:$D,'Emissions Data'!$C179)</f>
        <v>6.1990106896180311E-5</v>
      </c>
      <c r="J179" s="279"/>
      <c r="K179" s="279"/>
      <c r="L179" s="279"/>
      <c r="M179" s="279"/>
      <c r="N179" s="280">
        <f t="shared" si="2"/>
        <v>1.4330776000501555E-2</v>
      </c>
      <c r="O179" s="279"/>
    </row>
    <row r="180" spans="1:15" x14ac:dyDescent="0.15">
      <c r="A180" s="265">
        <v>173</v>
      </c>
      <c r="B180" s="263">
        <v>2019</v>
      </c>
      <c r="C180" s="41" t="s">
        <v>59</v>
      </c>
      <c r="D180" s="41" t="s">
        <v>90</v>
      </c>
      <c r="E180" s="41" t="s">
        <v>68</v>
      </c>
      <c r="F180" s="264">
        <v>1</v>
      </c>
      <c r="G180" s="279">
        <f>SUMIFS(Rail!S:S,Rail!$B:$B,'Emissions Data'!$B180,Rail!$C:$C,'Emissions Data'!$F180,Rail!$D:$D,'Emissions Data'!$C180)</f>
        <v>0.42705671322071459</v>
      </c>
      <c r="H180" s="279">
        <f>SUMIFS(Rail!T:T,Rail!$B:$B,'Emissions Data'!$B180,Rail!$C:$C,'Emissions Data'!$F180,Rail!$D:$D,'Emissions Data'!$C180)</f>
        <v>9.3693147660568147E-4</v>
      </c>
      <c r="I180" s="279">
        <f>SUMIFS(Rail!U:U,Rail!$B:$B,'Emissions Data'!$B180,Rail!$C:$C,'Emissions Data'!$F180,Rail!$D:$D,'Emissions Data'!$C180)</f>
        <v>2.8819008365237255E-3</v>
      </c>
      <c r="J180" s="279"/>
      <c r="K180" s="279"/>
      <c r="L180" s="279"/>
      <c r="M180" s="279"/>
      <c r="N180" s="280">
        <f t="shared" si="2"/>
        <v>0.430875545533844</v>
      </c>
      <c r="O180" s="279"/>
    </row>
    <row r="181" spans="1:15" x14ac:dyDescent="0.15">
      <c r="A181" s="265">
        <v>174</v>
      </c>
      <c r="B181" s="263">
        <v>2019</v>
      </c>
      <c r="C181" s="41" t="s">
        <v>59</v>
      </c>
      <c r="D181" s="41" t="s">
        <v>90</v>
      </c>
      <c r="E181" s="41" t="s">
        <v>68</v>
      </c>
      <c r="F181" s="264">
        <v>2</v>
      </c>
      <c r="G181" s="279">
        <f>SUMIFS(Rail!S:S,Rail!$B:$B,'Emissions Data'!$B181,Rail!$C:$C,'Emissions Data'!$F181,Rail!$D:$D,'Emissions Data'!$C181)</f>
        <v>0.1915727216782056</v>
      </c>
      <c r="H181" s="279">
        <f>SUMIFS(Rail!T:T,Rail!$B:$B,'Emissions Data'!$B181,Rail!$C:$C,'Emissions Data'!$F181,Rail!$D:$D,'Emissions Data'!$C181)</f>
        <v>6.2387902171311452E-4</v>
      </c>
      <c r="I181" s="279">
        <f>SUMIFS(Rail!U:U,Rail!$B:$B,'Emissions Data'!$B181,Rail!$C:$C,'Emissions Data'!$F181,Rail!$D:$D,'Emissions Data'!$C181)</f>
        <v>8.3498959976755209E-4</v>
      </c>
      <c r="J181" s="279"/>
      <c r="K181" s="279"/>
      <c r="L181" s="279"/>
      <c r="M181" s="279"/>
      <c r="N181" s="280">
        <f t="shared" si="2"/>
        <v>0.19303159029968628</v>
      </c>
      <c r="O181" s="279"/>
    </row>
    <row r="182" spans="1:15" x14ac:dyDescent="0.15">
      <c r="A182" s="265">
        <v>175</v>
      </c>
      <c r="B182" s="263">
        <v>2019</v>
      </c>
      <c r="C182" s="41" t="s">
        <v>59</v>
      </c>
      <c r="D182" s="41" t="s">
        <v>90</v>
      </c>
      <c r="E182" s="41" t="s">
        <v>91</v>
      </c>
      <c r="F182" s="264">
        <v>1</v>
      </c>
      <c r="G182" s="279">
        <f>SUMIFS(Waterborne!Q:Q,Waterborne!$B:$B,'Emissions Data'!$B182,Waterborne!$C:$C,'Emissions Data'!$F182,Waterborne!$D:$D,'Emissions Data'!$C182)</f>
        <v>2.0968360424766144E-2</v>
      </c>
      <c r="H182" s="279">
        <f>SUMIFS(Waterborne!R:R,Waterborne!$B:$B,'Emissions Data'!$B182,Waterborne!$C:$C,'Emissions Data'!$F182,Waterborne!$D:$D,'Emissions Data'!$C182)</f>
        <v>1.7352641432949424E-4</v>
      </c>
      <c r="I182" s="279">
        <f>SUMIFS(Waterborne!S:S,Waterborne!$B:$B,'Emissions Data'!$B182,Waterborne!$C:$C,'Emissions Data'!$F182,Waterborne!$D:$D,'Emissions Data'!$C182)</f>
        <v>2.0824287152838703E-4</v>
      </c>
      <c r="J182" s="279"/>
      <c r="K182" s="279"/>
      <c r="L182" s="279"/>
      <c r="M182" s="279"/>
      <c r="N182" s="280">
        <f t="shared" si="2"/>
        <v>2.1350129710624027E-2</v>
      </c>
      <c r="O182" s="279"/>
    </row>
    <row r="183" spans="1:15" x14ac:dyDescent="0.15">
      <c r="A183" s="265">
        <v>176</v>
      </c>
      <c r="B183" s="263">
        <v>2019</v>
      </c>
      <c r="C183" s="41" t="s">
        <v>59</v>
      </c>
      <c r="D183" s="41" t="s">
        <v>90</v>
      </c>
      <c r="E183" s="41" t="s">
        <v>91</v>
      </c>
      <c r="F183" s="264">
        <v>2</v>
      </c>
      <c r="G183" s="279">
        <f>SUMIFS(Waterborne!Q:Q,Waterborne!$B:$B,'Emissions Data'!$B183,Waterborne!$C:$C,'Emissions Data'!$F183,Waterborne!$D:$D,'Emissions Data'!$C183)</f>
        <v>0</v>
      </c>
      <c r="H183" s="279">
        <f>SUMIFS(Waterborne!R:R,Waterborne!$B:$B,'Emissions Data'!$B183,Waterborne!$C:$C,'Emissions Data'!$F183,Waterborne!$D:$D,'Emissions Data'!$C183)</f>
        <v>0</v>
      </c>
      <c r="I183" s="279">
        <f>SUMIFS(Waterborne!S:S,Waterborne!$B:$B,'Emissions Data'!$B183,Waterborne!$C:$C,'Emissions Data'!$F183,Waterborne!$D:$D,'Emissions Data'!$C183)</f>
        <v>0</v>
      </c>
      <c r="J183" s="279"/>
      <c r="K183" s="279"/>
      <c r="L183" s="279"/>
      <c r="M183" s="279"/>
      <c r="N183" s="280">
        <f t="shared" si="2"/>
        <v>0</v>
      </c>
      <c r="O183" s="279"/>
    </row>
    <row r="184" spans="1:15" x14ac:dyDescent="0.15">
      <c r="A184" s="265">
        <v>177</v>
      </c>
      <c r="B184" s="263">
        <v>2019</v>
      </c>
      <c r="C184" s="41" t="s">
        <v>59</v>
      </c>
      <c r="D184" s="41" t="s">
        <v>90</v>
      </c>
      <c r="E184" s="41" t="s">
        <v>23</v>
      </c>
      <c r="F184" s="264">
        <v>1</v>
      </c>
      <c r="G184" s="279">
        <f>SUMIFS(Aviation!N:N,Aviation!$B:$B,'Emissions Data'!$B184,Aviation!$C:$C,'Emissions Data'!$F184,Aviation!$D:$D,'Emissions Data'!$C184)</f>
        <v>1.6031795546452865</v>
      </c>
      <c r="H184" s="279">
        <f>SUMIFS(Aviation!O:O,Aviation!$B:$B,'Emissions Data'!$B184,Aviation!$C:$C,'Emissions Data'!$F184,Aviation!$D:$D,'Emissions Data'!$C184)</f>
        <v>2.0753918297062417E-8</v>
      </c>
      <c r="I184" s="279">
        <f>SUMIFS(Aviation!P:P,Aviation!$B:$B,'Emissions Data'!$B184,Aviation!$C:$C,'Emissions Data'!$F184,Aviation!$D:$D,'Emissions Data'!$C184)</f>
        <v>1.3072075392165497E-2</v>
      </c>
      <c r="J184" s="279"/>
      <c r="K184" s="279"/>
      <c r="L184" s="279"/>
      <c r="M184" s="279"/>
      <c r="N184" s="280">
        <f t="shared" si="2"/>
        <v>1.6162516507913705</v>
      </c>
      <c r="O184" s="279"/>
    </row>
    <row r="185" spans="1:15" x14ac:dyDescent="0.15">
      <c r="A185" s="265">
        <v>178</v>
      </c>
      <c r="B185" s="263">
        <v>2019</v>
      </c>
      <c r="C185" s="41" t="s">
        <v>59</v>
      </c>
      <c r="D185" s="41" t="s">
        <v>90</v>
      </c>
      <c r="E185" s="41" t="s">
        <v>23</v>
      </c>
      <c r="F185" s="264">
        <v>2</v>
      </c>
      <c r="G185" s="279">
        <f>SUMIFS(Aviation!N:N,Aviation!$B:$B,'Emissions Data'!$B185,Aviation!$C:$C,'Emissions Data'!$F185,Aviation!$D:$D,'Emissions Data'!$C185)</f>
        <v>0</v>
      </c>
      <c r="H185" s="279">
        <f>SUMIFS(Aviation!O:O,Aviation!$B:$B,'Emissions Data'!$B185,Aviation!$C:$C,'Emissions Data'!$F185,Aviation!$D:$D,'Emissions Data'!$C185)</f>
        <v>0</v>
      </c>
      <c r="I185" s="279">
        <f>SUMIFS(Aviation!P:P,Aviation!$B:$B,'Emissions Data'!$B185,Aviation!$C:$C,'Emissions Data'!$F185,Aviation!$D:$D,'Emissions Data'!$C185)</f>
        <v>0</v>
      </c>
      <c r="J185" s="279"/>
      <c r="K185" s="279"/>
      <c r="L185" s="279"/>
      <c r="M185" s="279"/>
      <c r="N185" s="280">
        <f t="shared" si="2"/>
        <v>0</v>
      </c>
      <c r="O185" s="279"/>
    </row>
    <row r="186" spans="1:15" x14ac:dyDescent="0.15">
      <c r="A186" s="265">
        <v>179</v>
      </c>
      <c r="B186" s="263">
        <v>2019</v>
      </c>
      <c r="C186" s="41" t="s">
        <v>59</v>
      </c>
      <c r="D186" s="41" t="s">
        <v>90</v>
      </c>
      <c r="E186" s="41" t="s">
        <v>25</v>
      </c>
      <c r="F186" s="264">
        <v>1</v>
      </c>
      <c r="G186" s="279">
        <f>SUMIFS('Off-road'!O:O,'Off-road'!$B:$B,'Emissions Data'!$B186,'Off-road'!$C:$C,'Emissions Data'!$F186,'Off-road'!$D:$D,'Emissions Data'!$C186)</f>
        <v>1.6319832810494135</v>
      </c>
      <c r="H186" s="279">
        <f>SUMIFS('Off-road'!P:P,'Off-road'!$B:$B,'Emissions Data'!$B186,'Off-road'!$C:$C,'Emissions Data'!$F186,'Off-road'!$D:$D,'Emissions Data'!$C186)</f>
        <v>1.6153725564860392E-2</v>
      </c>
      <c r="I186" s="279">
        <f>SUMIFS('Off-road'!Q:Q,'Off-road'!$B:$B,'Emissions Data'!$B186,'Off-road'!$C:$C,'Emissions Data'!$F186,'Off-road'!$D:$D,'Emissions Data'!$C186)</f>
        <v>4.9041896469102945E-2</v>
      </c>
      <c r="J186" s="279"/>
      <c r="K186" s="279"/>
      <c r="L186" s="279"/>
      <c r="M186" s="279"/>
      <c r="N186" s="280">
        <f t="shared" si="2"/>
        <v>1.6971789030833768</v>
      </c>
      <c r="O186" s="279"/>
    </row>
    <row r="187" spans="1:15" x14ac:dyDescent="0.15">
      <c r="A187" s="265">
        <v>180</v>
      </c>
      <c r="B187" s="263">
        <v>2019</v>
      </c>
      <c r="C187" s="41" t="s">
        <v>59</v>
      </c>
      <c r="D187" s="41" t="s">
        <v>90</v>
      </c>
      <c r="E187" s="41" t="s">
        <v>25</v>
      </c>
      <c r="F187" s="264">
        <v>2</v>
      </c>
      <c r="G187" s="279">
        <f>SUMIFS('Off-road'!O:O,'Off-road'!$B:$B,'Emissions Data'!$B187,'Off-road'!$C:$C,'Emissions Data'!$F187,'Off-road'!$D:$D,'Emissions Data'!$C187)</f>
        <v>0</v>
      </c>
      <c r="H187" s="279">
        <f>SUMIFS('Off-road'!P:P,'Off-road'!$B:$B,'Emissions Data'!$B187,'Off-road'!$C:$C,'Emissions Data'!$F187,'Off-road'!$D:$D,'Emissions Data'!$C187)</f>
        <v>0</v>
      </c>
      <c r="I187" s="279">
        <f>SUMIFS('Off-road'!Q:Q,'Off-road'!$B:$B,'Emissions Data'!$B187,'Off-road'!$C:$C,'Emissions Data'!$F187,'Off-road'!$D:$D,'Emissions Data'!$C187)</f>
        <v>0</v>
      </c>
      <c r="J187" s="279"/>
      <c r="K187" s="279"/>
      <c r="L187" s="279"/>
      <c r="M187" s="279"/>
      <c r="N187" s="280">
        <f t="shared" si="2"/>
        <v>0</v>
      </c>
      <c r="O187" s="279"/>
    </row>
    <row r="188" spans="1:15" x14ac:dyDescent="0.15">
      <c r="A188" s="265">
        <v>181</v>
      </c>
      <c r="B188" s="263">
        <v>2019</v>
      </c>
      <c r="C188" s="41" t="s">
        <v>60</v>
      </c>
      <c r="D188" s="41" t="s">
        <v>90</v>
      </c>
      <c r="E188" s="41" t="s">
        <v>17</v>
      </c>
      <c r="F188" s="264">
        <v>1</v>
      </c>
      <c r="G188" s="279">
        <f>SUMIFS('On-road'!N:N,'On-road'!$B:$B,'Emissions Data'!$B188,'On-road'!$C:$C,'Emissions Data'!$F188,'On-road'!$D:$D,'Emissions Data'!$C188)</f>
        <v>4.0561439657219971</v>
      </c>
      <c r="H188" s="279">
        <f>SUMIFS('On-road'!O:O,'On-road'!$B:$B,'Emissions Data'!$B188,'On-road'!$C:$C,'Emissions Data'!$F188,'On-road'!$D:$D,'Emissions Data'!$C188)</f>
        <v>6.2435242373540022E-3</v>
      </c>
      <c r="I188" s="279">
        <f>SUMIFS('On-road'!P:P,'On-road'!$B:$B,'Emissions Data'!$B188,'On-road'!$C:$C,'Emissions Data'!$F188,'On-road'!$D:$D,'Emissions Data'!$C188)</f>
        <v>1.6267500586168198E-2</v>
      </c>
      <c r="J188" s="279"/>
      <c r="K188" s="279"/>
      <c r="L188" s="279"/>
      <c r="M188" s="279"/>
      <c r="N188" s="280">
        <f t="shared" si="2"/>
        <v>4.0786549905455196</v>
      </c>
      <c r="O188" s="279"/>
    </row>
    <row r="189" spans="1:15" x14ac:dyDescent="0.15">
      <c r="A189" s="265">
        <v>182</v>
      </c>
      <c r="B189" s="263">
        <v>2019</v>
      </c>
      <c r="C189" s="41" t="s">
        <v>60</v>
      </c>
      <c r="D189" s="41" t="s">
        <v>90</v>
      </c>
      <c r="E189" s="41" t="s">
        <v>17</v>
      </c>
      <c r="F189" s="264">
        <v>2</v>
      </c>
      <c r="G189" s="279">
        <f>SUMIFS('On-road'!N:N,'On-road'!$B:$B,'Emissions Data'!$B189,'On-road'!$C:$C,'Emissions Data'!$F189,'On-road'!$D:$D,'Emissions Data'!$C189)</f>
        <v>7.4286977394613747E-3</v>
      </c>
      <c r="H189" s="279">
        <f>SUMIFS('On-road'!O:O,'On-road'!$B:$B,'Emissions Data'!$B189,'On-road'!$C:$C,'Emissions Data'!$F189,'On-road'!$D:$D,'Emissions Data'!$C189)</f>
        <v>2.4192424880211158E-5</v>
      </c>
      <c r="I189" s="279">
        <f>SUMIFS('On-road'!P:P,'On-road'!$B:$B,'Emissions Data'!$B189,'On-road'!$C:$C,'Emissions Data'!$F189,'On-road'!$D:$D,'Emissions Data'!$C189)</f>
        <v>3.2378750470989674E-5</v>
      </c>
      <c r="J189" s="279"/>
      <c r="K189" s="279"/>
      <c r="L189" s="279"/>
      <c r="M189" s="279"/>
      <c r="N189" s="280">
        <f t="shared" si="2"/>
        <v>7.4852689148125753E-3</v>
      </c>
      <c r="O189" s="279"/>
    </row>
    <row r="190" spans="1:15" x14ac:dyDescent="0.15">
      <c r="A190" s="265">
        <v>183</v>
      </c>
      <c r="B190" s="263">
        <v>2019</v>
      </c>
      <c r="C190" s="41" t="s">
        <v>60</v>
      </c>
      <c r="D190" s="41" t="s">
        <v>90</v>
      </c>
      <c r="E190" s="41" t="s">
        <v>68</v>
      </c>
      <c r="F190" s="264">
        <v>1</v>
      </c>
      <c r="G190" s="279">
        <f>SUMIFS(Rail!S:S,Rail!$B:$B,'Emissions Data'!$B190,Rail!$C:$C,'Emissions Data'!$F190,Rail!$D:$D,'Emissions Data'!$C190)</f>
        <v>6.1067372109593489E-2</v>
      </c>
      <c r="H190" s="279">
        <f>SUMIFS(Rail!T:T,Rail!$B:$B,'Emissions Data'!$B190,Rail!$C:$C,'Emissions Data'!$F190,Rail!$D:$D,'Emissions Data'!$C190)</f>
        <v>1.3397738836972518E-4</v>
      </c>
      <c r="I190" s="279">
        <f>SUMIFS(Rail!U:U,Rail!$B:$B,'Emissions Data'!$B190,Rail!$C:$C,'Emissions Data'!$F190,Rail!$D:$D,'Emissions Data'!$C190)</f>
        <v>4.1210009190509219E-4</v>
      </c>
      <c r="J190" s="279"/>
      <c r="K190" s="279"/>
      <c r="L190" s="279"/>
      <c r="M190" s="279"/>
      <c r="N190" s="280">
        <f t="shared" si="2"/>
        <v>6.1613449589868308E-2</v>
      </c>
      <c r="O190" s="279"/>
    </row>
    <row r="191" spans="1:15" x14ac:dyDescent="0.15">
      <c r="A191" s="265">
        <v>184</v>
      </c>
      <c r="B191" s="263">
        <v>2019</v>
      </c>
      <c r="C191" s="41" t="s">
        <v>60</v>
      </c>
      <c r="D191" s="41" t="s">
        <v>90</v>
      </c>
      <c r="E191" s="41" t="s">
        <v>68</v>
      </c>
      <c r="F191" s="264">
        <v>2</v>
      </c>
      <c r="G191" s="279">
        <f>SUMIFS(Rail!S:S,Rail!$B:$B,'Emissions Data'!$B191,Rail!$C:$C,'Emissions Data'!$F191,Rail!$D:$D,'Emissions Data'!$C191)</f>
        <v>3.4353390638134627E-3</v>
      </c>
      <c r="H191" s="279">
        <f>SUMIFS(Rail!T:T,Rail!$B:$B,'Emissions Data'!$B191,Rail!$C:$C,'Emissions Data'!$F191,Rail!$D:$D,'Emissions Data'!$C191)</f>
        <v>1.1187584305373561E-5</v>
      </c>
      <c r="I191" s="279">
        <f>SUMIFS(Rail!U:U,Rail!$B:$B,'Emissions Data'!$B191,Rail!$C:$C,'Emissions Data'!$F191,Rail!$D:$D,'Emissions Data'!$C191)</f>
        <v>1.4973282024868652E-5</v>
      </c>
      <c r="J191" s="279"/>
      <c r="K191" s="279"/>
      <c r="L191" s="279"/>
      <c r="M191" s="279"/>
      <c r="N191" s="280">
        <f t="shared" si="2"/>
        <v>3.4614999301437045E-3</v>
      </c>
      <c r="O191" s="279"/>
    </row>
    <row r="192" spans="1:15" x14ac:dyDescent="0.15">
      <c r="A192" s="265">
        <v>185</v>
      </c>
      <c r="B192" s="263">
        <v>2019</v>
      </c>
      <c r="C192" s="41" t="s">
        <v>60</v>
      </c>
      <c r="D192" s="41" t="s">
        <v>90</v>
      </c>
      <c r="E192" s="41" t="s">
        <v>91</v>
      </c>
      <c r="F192" s="264">
        <v>1</v>
      </c>
      <c r="G192" s="279">
        <f>SUMIFS(Waterborne!Q:Q,Waterborne!$B:$B,'Emissions Data'!$B192,Waterborne!$C:$C,'Emissions Data'!$F192,Waterborne!$D:$D,'Emissions Data'!$C192)</f>
        <v>7.8828870558607486E-4</v>
      </c>
      <c r="H192" s="279">
        <f>SUMIFS(Waterborne!R:R,Waterborne!$B:$B,'Emissions Data'!$B192,Waterborne!$C:$C,'Emissions Data'!$F192,Waterborne!$D:$D,'Emissions Data'!$C192)</f>
        <v>1.0018634849848396E-5</v>
      </c>
      <c r="I192" s="279">
        <f>SUMIFS(Waterborne!S:S,Waterborne!$B:$B,'Emissions Data'!$B192,Waterborne!$C:$C,'Emissions Data'!$F192,Waterborne!$D:$D,'Emissions Data'!$C192)</f>
        <v>6.3949376711912333E-6</v>
      </c>
      <c r="J192" s="279"/>
      <c r="K192" s="279"/>
      <c r="L192" s="279"/>
      <c r="M192" s="279"/>
      <c r="N192" s="280">
        <f t="shared" si="2"/>
        <v>8.047022781071144E-4</v>
      </c>
      <c r="O192" s="279"/>
    </row>
    <row r="193" spans="1:15" x14ac:dyDescent="0.15">
      <c r="A193" s="265">
        <v>186</v>
      </c>
      <c r="B193" s="263">
        <v>2019</v>
      </c>
      <c r="C193" s="41" t="s">
        <v>60</v>
      </c>
      <c r="D193" s="41" t="s">
        <v>90</v>
      </c>
      <c r="E193" s="41" t="s">
        <v>91</v>
      </c>
      <c r="F193" s="264">
        <v>2</v>
      </c>
      <c r="G193" s="279">
        <f>SUMIFS(Waterborne!Q:Q,Waterborne!$B:$B,'Emissions Data'!$B193,Waterborne!$C:$C,'Emissions Data'!$F193,Waterborne!$D:$D,'Emissions Data'!$C193)</f>
        <v>0</v>
      </c>
      <c r="H193" s="279">
        <f>SUMIFS(Waterborne!R:R,Waterborne!$B:$B,'Emissions Data'!$B193,Waterborne!$C:$C,'Emissions Data'!$F193,Waterborne!$D:$D,'Emissions Data'!$C193)</f>
        <v>0</v>
      </c>
      <c r="I193" s="279">
        <f>SUMIFS(Waterborne!S:S,Waterborne!$B:$B,'Emissions Data'!$B193,Waterborne!$C:$C,'Emissions Data'!$F193,Waterborne!$D:$D,'Emissions Data'!$C193)</f>
        <v>0</v>
      </c>
      <c r="J193" s="279"/>
      <c r="K193" s="279"/>
      <c r="L193" s="279"/>
      <c r="M193" s="279"/>
      <c r="N193" s="280">
        <f t="shared" si="2"/>
        <v>0</v>
      </c>
      <c r="O193" s="279"/>
    </row>
    <row r="194" spans="1:15" x14ac:dyDescent="0.15">
      <c r="A194" s="265">
        <v>187</v>
      </c>
      <c r="B194" s="263">
        <v>2019</v>
      </c>
      <c r="C194" s="41" t="s">
        <v>60</v>
      </c>
      <c r="D194" s="41" t="s">
        <v>90</v>
      </c>
      <c r="E194" s="41" t="s">
        <v>23</v>
      </c>
      <c r="F194" s="264">
        <v>1</v>
      </c>
      <c r="G194" s="279">
        <f>SUMIFS(Aviation!N:N,Aviation!$B:$B,'Emissions Data'!$B194,Aviation!$C:$C,'Emissions Data'!$F194,Aviation!$D:$D,'Emissions Data'!$C194)</f>
        <v>0</v>
      </c>
      <c r="H194" s="279">
        <f>SUMIFS(Aviation!O:O,Aviation!$B:$B,'Emissions Data'!$B194,Aviation!$C:$C,'Emissions Data'!$F194,Aviation!$D:$D,'Emissions Data'!$C194)</f>
        <v>0</v>
      </c>
      <c r="I194" s="279">
        <f>SUMIFS(Aviation!P:P,Aviation!$B:$B,'Emissions Data'!$B194,Aviation!$C:$C,'Emissions Data'!$F194,Aviation!$D:$D,'Emissions Data'!$C194)</f>
        <v>0</v>
      </c>
      <c r="J194" s="279"/>
      <c r="K194" s="279"/>
      <c r="L194" s="279"/>
      <c r="M194" s="279"/>
      <c r="N194" s="280">
        <f t="shared" si="2"/>
        <v>0</v>
      </c>
      <c r="O194" s="279"/>
    </row>
    <row r="195" spans="1:15" x14ac:dyDescent="0.15">
      <c r="A195" s="265">
        <v>188</v>
      </c>
      <c r="B195" s="263">
        <v>2019</v>
      </c>
      <c r="C195" s="41" t="s">
        <v>60</v>
      </c>
      <c r="D195" s="41" t="s">
        <v>90</v>
      </c>
      <c r="E195" s="41" t="s">
        <v>23</v>
      </c>
      <c r="F195" s="264">
        <v>2</v>
      </c>
      <c r="G195" s="279">
        <f>SUMIFS(Aviation!N:N,Aviation!$B:$B,'Emissions Data'!$B195,Aviation!$C:$C,'Emissions Data'!$F195,Aviation!$D:$D,'Emissions Data'!$C195)</f>
        <v>0</v>
      </c>
      <c r="H195" s="279">
        <f>SUMIFS(Aviation!O:O,Aviation!$B:$B,'Emissions Data'!$B195,Aviation!$C:$C,'Emissions Data'!$F195,Aviation!$D:$D,'Emissions Data'!$C195)</f>
        <v>0</v>
      </c>
      <c r="I195" s="279">
        <f>SUMIFS(Aviation!P:P,Aviation!$B:$B,'Emissions Data'!$B195,Aviation!$C:$C,'Emissions Data'!$F195,Aviation!$D:$D,'Emissions Data'!$C195)</f>
        <v>0</v>
      </c>
      <c r="J195" s="279"/>
      <c r="K195" s="279"/>
      <c r="L195" s="279"/>
      <c r="M195" s="279"/>
      <c r="N195" s="280">
        <f t="shared" si="2"/>
        <v>0</v>
      </c>
      <c r="O195" s="279"/>
    </row>
    <row r="196" spans="1:15" x14ac:dyDescent="0.15">
      <c r="A196" s="265">
        <v>189</v>
      </c>
      <c r="B196" s="263">
        <v>2019</v>
      </c>
      <c r="C196" s="41" t="s">
        <v>60</v>
      </c>
      <c r="D196" s="41" t="s">
        <v>90</v>
      </c>
      <c r="E196" s="41" t="s">
        <v>25</v>
      </c>
      <c r="F196" s="264">
        <v>1</v>
      </c>
      <c r="G196" s="279">
        <f>SUMIFS('Off-road'!O:O,'Off-road'!$B:$B,'Emissions Data'!$B196,'Off-road'!$C:$C,'Emissions Data'!$F196,'Off-road'!$D:$D,'Emissions Data'!$C196)</f>
        <v>0.49779077374568403</v>
      </c>
      <c r="H196" s="279">
        <f>SUMIFS('Off-road'!P:P,'Off-road'!$B:$B,'Emissions Data'!$B196,'Off-road'!$C:$C,'Emissions Data'!$F196,'Off-road'!$D:$D,'Emissions Data'!$C196)</f>
        <v>6.1143628055164755E-3</v>
      </c>
      <c r="I196" s="279">
        <f>SUMIFS('Off-road'!Q:Q,'Off-road'!$B:$B,'Emissions Data'!$B196,'Off-road'!$C:$C,'Emissions Data'!$F196,'Off-road'!$D:$D,'Emissions Data'!$C196)</f>
        <v>1.6001031880926268E-2</v>
      </c>
      <c r="J196" s="279"/>
      <c r="K196" s="279"/>
      <c r="L196" s="279"/>
      <c r="M196" s="279"/>
      <c r="N196" s="280">
        <f t="shared" si="2"/>
        <v>0.51990616843212678</v>
      </c>
      <c r="O196" s="279"/>
    </row>
    <row r="197" spans="1:15" x14ac:dyDescent="0.15">
      <c r="A197" s="265">
        <v>190</v>
      </c>
      <c r="B197" s="263">
        <v>2019</v>
      </c>
      <c r="C197" s="41" t="s">
        <v>60</v>
      </c>
      <c r="D197" s="41" t="s">
        <v>90</v>
      </c>
      <c r="E197" s="41" t="s">
        <v>25</v>
      </c>
      <c r="F197" s="264">
        <v>2</v>
      </c>
      <c r="G197" s="279">
        <f>SUMIFS('Off-road'!O:O,'Off-road'!$B:$B,'Emissions Data'!$B197,'Off-road'!$C:$C,'Emissions Data'!$F197,'Off-road'!$D:$D,'Emissions Data'!$C197)</f>
        <v>0</v>
      </c>
      <c r="H197" s="279">
        <f>SUMIFS('Off-road'!P:P,'Off-road'!$B:$B,'Emissions Data'!$B197,'Off-road'!$C:$C,'Emissions Data'!$F197,'Off-road'!$D:$D,'Emissions Data'!$C197)</f>
        <v>0</v>
      </c>
      <c r="I197" s="279">
        <f>SUMIFS('Off-road'!Q:Q,'Off-road'!$B:$B,'Emissions Data'!$B197,'Off-road'!$C:$C,'Emissions Data'!$F197,'Off-road'!$D:$D,'Emissions Data'!$C197)</f>
        <v>0</v>
      </c>
      <c r="J197" s="279"/>
      <c r="K197" s="279"/>
      <c r="L197" s="279"/>
      <c r="M197" s="279"/>
      <c r="N197" s="280">
        <f t="shared" si="2"/>
        <v>0</v>
      </c>
      <c r="O197" s="279"/>
    </row>
    <row r="198" spans="1:15" x14ac:dyDescent="0.15">
      <c r="A198" s="265">
        <v>191</v>
      </c>
      <c r="B198" s="263">
        <v>2019</v>
      </c>
      <c r="C198" s="41" t="s">
        <v>61</v>
      </c>
      <c r="D198" s="41" t="s">
        <v>90</v>
      </c>
      <c r="E198" s="41" t="s">
        <v>17</v>
      </c>
      <c r="F198" s="264">
        <v>1</v>
      </c>
      <c r="G198" s="279">
        <f>SUMIFS('On-road'!N:N,'On-road'!$B:$B,'Emissions Data'!$B198,'On-road'!$C:$C,'Emissions Data'!$F198,'On-road'!$D:$D,'Emissions Data'!$C198)</f>
        <v>0.61238991921362196</v>
      </c>
      <c r="H198" s="279">
        <f>SUMIFS('On-road'!O:O,'On-road'!$B:$B,'Emissions Data'!$B198,'On-road'!$C:$C,'Emissions Data'!$F198,'On-road'!$D:$D,'Emissions Data'!$C198)</f>
        <v>8.9617771612654452E-4</v>
      </c>
      <c r="I198" s="279">
        <f>SUMIFS('On-road'!P:P,'On-road'!$B:$B,'Emissions Data'!$B198,'On-road'!$C:$C,'Emissions Data'!$F198,'On-road'!$D:$D,'Emissions Data'!$C198)</f>
        <v>2.1007000102146534E-3</v>
      </c>
      <c r="J198" s="279"/>
      <c r="K198" s="279"/>
      <c r="L198" s="279"/>
      <c r="M198" s="279"/>
      <c r="N198" s="280">
        <f t="shared" si="2"/>
        <v>0.61538679693996312</v>
      </c>
      <c r="O198" s="279"/>
    </row>
    <row r="199" spans="1:15" x14ac:dyDescent="0.15">
      <c r="A199" s="265">
        <v>192</v>
      </c>
      <c r="B199" s="263">
        <v>2019</v>
      </c>
      <c r="C199" s="41" t="s">
        <v>61</v>
      </c>
      <c r="D199" s="41" t="s">
        <v>90</v>
      </c>
      <c r="E199" s="41" t="s">
        <v>17</v>
      </c>
      <c r="F199" s="264">
        <v>2</v>
      </c>
      <c r="G199" s="279">
        <f>SUMIFS('On-road'!N:N,'On-road'!$B:$B,'Emissions Data'!$B199,'On-road'!$C:$C,'Emissions Data'!$F199,'On-road'!$D:$D,'Emissions Data'!$C199)</f>
        <v>2.3723157450396921E-4</v>
      </c>
      <c r="H199" s="279">
        <f>SUMIFS('On-road'!O:O,'On-road'!$B:$B,'Emissions Data'!$B199,'On-road'!$C:$C,'Emissions Data'!$F199,'On-road'!$D:$D,'Emissions Data'!$C199)</f>
        <v>7.7257242745450809E-7</v>
      </c>
      <c r="I199" s="279">
        <f>SUMIFS('On-road'!P:P,'On-road'!$B:$B,'Emissions Data'!$B199,'On-road'!$C:$C,'Emissions Data'!$F199,'On-road'!$D:$D,'Emissions Data'!$C199)</f>
        <v>1.0339984508860838E-6</v>
      </c>
      <c r="J199" s="279"/>
      <c r="K199" s="279"/>
      <c r="L199" s="279"/>
      <c r="M199" s="279"/>
      <c r="N199" s="280">
        <f t="shared" si="2"/>
        <v>2.390381453823098E-4</v>
      </c>
      <c r="O199" s="279"/>
    </row>
    <row r="200" spans="1:15" x14ac:dyDescent="0.15">
      <c r="A200" s="265">
        <v>193</v>
      </c>
      <c r="B200" s="263">
        <v>2019</v>
      </c>
      <c r="C200" s="41" t="s">
        <v>61</v>
      </c>
      <c r="D200" s="41" t="s">
        <v>90</v>
      </c>
      <c r="E200" s="41" t="s">
        <v>68</v>
      </c>
      <c r="F200" s="264">
        <v>1</v>
      </c>
      <c r="G200" s="279">
        <f>SUMIFS(Rail!S:S,Rail!$B:$B,'Emissions Data'!$B200,Rail!$C:$C,'Emissions Data'!$F200,Rail!$D:$D,'Emissions Data'!$C200)</f>
        <v>5.7572043899876716E-3</v>
      </c>
      <c r="H200" s="279">
        <f>SUMIFS(Rail!T:T,Rail!$B:$B,'Emissions Data'!$B200,Rail!$C:$C,'Emissions Data'!$F200,Rail!$D:$D,'Emissions Data'!$C200)</f>
        <v>1.2630889161187451E-5</v>
      </c>
      <c r="I200" s="279">
        <f>SUMIFS(Rail!U:U,Rail!$B:$B,'Emissions Data'!$B200,Rail!$C:$C,'Emissions Data'!$F200,Rail!$D:$D,'Emissions Data'!$C200)</f>
        <v>3.8851261750259608E-5</v>
      </c>
      <c r="J200" s="279"/>
      <c r="K200" s="279"/>
      <c r="L200" s="279"/>
      <c r="M200" s="279"/>
      <c r="N200" s="280">
        <f t="shared" si="2"/>
        <v>5.8086865408991193E-3</v>
      </c>
      <c r="O200" s="279"/>
    </row>
    <row r="201" spans="1:15" x14ac:dyDescent="0.15">
      <c r="A201" s="265">
        <v>194</v>
      </c>
      <c r="B201" s="263">
        <v>2019</v>
      </c>
      <c r="C201" s="41" t="s">
        <v>61</v>
      </c>
      <c r="D201" s="41" t="s">
        <v>90</v>
      </c>
      <c r="E201" s="41" t="s">
        <v>68</v>
      </c>
      <c r="F201" s="264">
        <v>2</v>
      </c>
      <c r="G201" s="279">
        <f>SUMIFS(Rail!S:S,Rail!$B:$B,'Emissions Data'!$B201,Rail!$C:$C,'Emissions Data'!$F201,Rail!$D:$D,'Emissions Data'!$C201)</f>
        <v>0</v>
      </c>
      <c r="H201" s="279">
        <f>SUMIFS(Rail!T:T,Rail!$B:$B,'Emissions Data'!$B201,Rail!$C:$C,'Emissions Data'!$F201,Rail!$D:$D,'Emissions Data'!$C201)</f>
        <v>0</v>
      </c>
      <c r="I201" s="279">
        <f>SUMIFS(Rail!U:U,Rail!$B:$B,'Emissions Data'!$B201,Rail!$C:$C,'Emissions Data'!$F201,Rail!$D:$D,'Emissions Data'!$C201)</f>
        <v>0</v>
      </c>
      <c r="J201" s="279"/>
      <c r="K201" s="279"/>
      <c r="L201" s="279"/>
      <c r="M201" s="279"/>
      <c r="N201" s="280">
        <f t="shared" ref="N201:N247" si="3">SUM(G201:M201)</f>
        <v>0</v>
      </c>
      <c r="O201" s="279"/>
    </row>
    <row r="202" spans="1:15" x14ac:dyDescent="0.15">
      <c r="A202" s="265">
        <v>195</v>
      </c>
      <c r="B202" s="263">
        <v>2019</v>
      </c>
      <c r="C202" s="41" t="s">
        <v>61</v>
      </c>
      <c r="D202" s="41" t="s">
        <v>90</v>
      </c>
      <c r="E202" s="41" t="s">
        <v>91</v>
      </c>
      <c r="F202" s="264">
        <v>1</v>
      </c>
      <c r="G202" s="279">
        <f>SUMIFS(Waterborne!Q:Q,Waterborne!$B:$B,'Emissions Data'!$B202,Waterborne!$C:$C,'Emissions Data'!$F202,Waterborne!$D:$D,'Emissions Data'!$C202)</f>
        <v>6.569075237625472E-4</v>
      </c>
      <c r="H202" s="279">
        <f>SUMIFS(Waterborne!R:R,Waterborne!$B:$B,'Emissions Data'!$B202,Waterborne!$C:$C,'Emissions Data'!$F202,Waterborne!$D:$D,'Emissions Data'!$C202)</f>
        <v>8.3488665478500659E-6</v>
      </c>
      <c r="I202" s="279">
        <f>SUMIFS(Waterborne!S:S,Waterborne!$B:$B,'Emissions Data'!$B202,Waterborne!$C:$C,'Emissions Data'!$F202,Waterborne!$D:$D,'Emissions Data'!$C202)</f>
        <v>5.3291166002864018E-6</v>
      </c>
      <c r="J202" s="279"/>
      <c r="K202" s="279"/>
      <c r="L202" s="279"/>
      <c r="M202" s="279"/>
      <c r="N202" s="280">
        <f t="shared" si="3"/>
        <v>6.7058550691068369E-4</v>
      </c>
      <c r="O202" s="279"/>
    </row>
    <row r="203" spans="1:15" x14ac:dyDescent="0.15">
      <c r="A203" s="265">
        <v>196</v>
      </c>
      <c r="B203" s="263">
        <v>2019</v>
      </c>
      <c r="C203" s="41" t="s">
        <v>61</v>
      </c>
      <c r="D203" s="41" t="s">
        <v>90</v>
      </c>
      <c r="E203" s="41" t="s">
        <v>91</v>
      </c>
      <c r="F203" s="264">
        <v>2</v>
      </c>
      <c r="G203" s="279">
        <f>SUMIFS(Waterborne!Q:Q,Waterborne!$B:$B,'Emissions Data'!$B203,Waterborne!$C:$C,'Emissions Data'!$F203,Waterborne!$D:$D,'Emissions Data'!$C203)</f>
        <v>0</v>
      </c>
      <c r="H203" s="279">
        <f>SUMIFS(Waterborne!R:R,Waterborne!$B:$B,'Emissions Data'!$B203,Waterborne!$C:$C,'Emissions Data'!$F203,Waterborne!$D:$D,'Emissions Data'!$C203)</f>
        <v>0</v>
      </c>
      <c r="I203" s="279">
        <f>SUMIFS(Waterborne!S:S,Waterborne!$B:$B,'Emissions Data'!$B203,Waterborne!$C:$C,'Emissions Data'!$F203,Waterborne!$D:$D,'Emissions Data'!$C203)</f>
        <v>0</v>
      </c>
      <c r="J203" s="279"/>
      <c r="K203" s="279"/>
      <c r="L203" s="279"/>
      <c r="M203" s="279"/>
      <c r="N203" s="280">
        <f t="shared" si="3"/>
        <v>0</v>
      </c>
      <c r="O203" s="279"/>
    </row>
    <row r="204" spans="1:15" x14ac:dyDescent="0.15">
      <c r="A204" s="265">
        <v>197</v>
      </c>
      <c r="B204" s="263">
        <v>2019</v>
      </c>
      <c r="C204" s="41" t="s">
        <v>61</v>
      </c>
      <c r="D204" s="41" t="s">
        <v>90</v>
      </c>
      <c r="E204" s="41" t="s">
        <v>23</v>
      </c>
      <c r="F204" s="264">
        <v>1</v>
      </c>
      <c r="G204" s="279">
        <f>SUMIFS(Aviation!N:N,Aviation!$B:$B,'Emissions Data'!$B204,Aviation!$C:$C,'Emissions Data'!$F204,Aviation!$D:$D,'Emissions Data'!$C204)</f>
        <v>0</v>
      </c>
      <c r="H204" s="279">
        <f>SUMIFS(Aviation!O:O,Aviation!$B:$B,'Emissions Data'!$B204,Aviation!$C:$C,'Emissions Data'!$F204,Aviation!$D:$D,'Emissions Data'!$C204)</f>
        <v>0</v>
      </c>
      <c r="I204" s="279">
        <f>SUMIFS(Aviation!P:P,Aviation!$B:$B,'Emissions Data'!$B204,Aviation!$C:$C,'Emissions Data'!$F204,Aviation!$D:$D,'Emissions Data'!$C204)</f>
        <v>0</v>
      </c>
      <c r="J204" s="279"/>
      <c r="K204" s="279"/>
      <c r="L204" s="279"/>
      <c r="M204" s="279"/>
      <c r="N204" s="280">
        <f t="shared" si="3"/>
        <v>0</v>
      </c>
      <c r="O204" s="279"/>
    </row>
    <row r="205" spans="1:15" x14ac:dyDescent="0.15">
      <c r="A205" s="265">
        <v>198</v>
      </c>
      <c r="B205" s="263">
        <v>2019</v>
      </c>
      <c r="C205" s="41" t="s">
        <v>61</v>
      </c>
      <c r="D205" s="41" t="s">
        <v>90</v>
      </c>
      <c r="E205" s="41" t="s">
        <v>23</v>
      </c>
      <c r="F205" s="264">
        <v>2</v>
      </c>
      <c r="G205" s="279">
        <f>SUMIFS(Aviation!N:N,Aviation!$B:$B,'Emissions Data'!$B205,Aviation!$C:$C,'Emissions Data'!$F205,Aviation!$D:$D,'Emissions Data'!$C205)</f>
        <v>0</v>
      </c>
      <c r="H205" s="279">
        <f>SUMIFS(Aviation!O:O,Aviation!$B:$B,'Emissions Data'!$B205,Aviation!$C:$C,'Emissions Data'!$F205,Aviation!$D:$D,'Emissions Data'!$C205)</f>
        <v>0</v>
      </c>
      <c r="I205" s="279">
        <f>SUMIFS(Aviation!P:P,Aviation!$B:$B,'Emissions Data'!$B205,Aviation!$C:$C,'Emissions Data'!$F205,Aviation!$D:$D,'Emissions Data'!$C205)</f>
        <v>0</v>
      </c>
      <c r="J205" s="279"/>
      <c r="K205" s="279"/>
      <c r="L205" s="279"/>
      <c r="M205" s="279"/>
      <c r="N205" s="280">
        <f t="shared" si="3"/>
        <v>0</v>
      </c>
      <c r="O205" s="279"/>
    </row>
    <row r="206" spans="1:15" x14ac:dyDescent="0.15">
      <c r="A206" s="265">
        <v>199</v>
      </c>
      <c r="B206" s="263">
        <v>2019</v>
      </c>
      <c r="C206" s="41" t="s">
        <v>61</v>
      </c>
      <c r="D206" s="41" t="s">
        <v>90</v>
      </c>
      <c r="E206" s="41" t="s">
        <v>25</v>
      </c>
      <c r="F206" s="264">
        <v>1</v>
      </c>
      <c r="G206" s="279">
        <f>SUMIFS('Off-road'!O:O,'Off-road'!$B:$B,'Emissions Data'!$B206,'Off-road'!$C:$C,'Emissions Data'!$F206,'Off-road'!$D:$D,'Emissions Data'!$C206)</f>
        <v>8.0012792931072899E-2</v>
      </c>
      <c r="H206" s="279">
        <f>SUMIFS('Off-road'!P:P,'Off-road'!$B:$B,'Emissions Data'!$B206,'Off-road'!$C:$C,'Emissions Data'!$F206,'Off-road'!$D:$D,'Emissions Data'!$C206)</f>
        <v>5.0045761485629755E-4</v>
      </c>
      <c r="I206" s="279">
        <f>SUMIFS('Off-road'!Q:Q,'Off-road'!$B:$B,'Emissions Data'!$B206,'Off-road'!$C:$C,'Emissions Data'!$F206,'Off-road'!$D:$D,'Emissions Data'!$C206)</f>
        <v>1.9577020767910136E-3</v>
      </c>
      <c r="J206" s="279"/>
      <c r="K206" s="279"/>
      <c r="L206" s="279"/>
      <c r="M206" s="279"/>
      <c r="N206" s="280">
        <f t="shared" si="3"/>
        <v>8.2470952622720209E-2</v>
      </c>
      <c r="O206" s="279"/>
    </row>
    <row r="207" spans="1:15" x14ac:dyDescent="0.15">
      <c r="A207" s="265">
        <v>200</v>
      </c>
      <c r="B207" s="263">
        <v>2019</v>
      </c>
      <c r="C207" s="41" t="s">
        <v>61</v>
      </c>
      <c r="D207" s="41" t="s">
        <v>90</v>
      </c>
      <c r="E207" s="41" t="s">
        <v>25</v>
      </c>
      <c r="F207" s="264">
        <v>2</v>
      </c>
      <c r="G207" s="279">
        <f>SUMIFS('Off-road'!O:O,'Off-road'!$B:$B,'Emissions Data'!$B207,'Off-road'!$C:$C,'Emissions Data'!$F207,'Off-road'!$D:$D,'Emissions Data'!$C207)</f>
        <v>0</v>
      </c>
      <c r="H207" s="279">
        <f>SUMIFS('Off-road'!P:P,'Off-road'!$B:$B,'Emissions Data'!$B207,'Off-road'!$C:$C,'Emissions Data'!$F207,'Off-road'!$D:$D,'Emissions Data'!$C207)</f>
        <v>0</v>
      </c>
      <c r="I207" s="279">
        <f>SUMIFS('Off-road'!Q:Q,'Off-road'!$B:$B,'Emissions Data'!$B207,'Off-road'!$C:$C,'Emissions Data'!$F207,'Off-road'!$D:$D,'Emissions Data'!$C207)</f>
        <v>0</v>
      </c>
      <c r="J207" s="279"/>
      <c r="K207" s="279"/>
      <c r="L207" s="279"/>
      <c r="M207" s="279"/>
      <c r="N207" s="280">
        <f t="shared" si="3"/>
        <v>0</v>
      </c>
      <c r="O207" s="279"/>
    </row>
    <row r="208" spans="1:15" x14ac:dyDescent="0.15">
      <c r="A208" s="265">
        <v>201</v>
      </c>
      <c r="B208" s="263">
        <v>2019</v>
      </c>
      <c r="C208" s="41" t="s">
        <v>62</v>
      </c>
      <c r="D208" s="41" t="s">
        <v>90</v>
      </c>
      <c r="E208" s="41" t="s">
        <v>17</v>
      </c>
      <c r="F208" s="264">
        <v>1</v>
      </c>
      <c r="G208" s="279">
        <f>SUMIFS('On-road'!N:N,'On-road'!$B:$B,'Emissions Data'!$B208,'On-road'!$C:$C,'Emissions Data'!$F208,'On-road'!$D:$D,'Emissions Data'!$C208)</f>
        <v>2.2088184373791537</v>
      </c>
      <c r="H208" s="279">
        <f>SUMIFS('On-road'!O:O,'On-road'!$B:$B,'Emissions Data'!$B208,'On-road'!$C:$C,'Emissions Data'!$F208,'On-road'!$D:$D,'Emissions Data'!$C208)</f>
        <v>3.4275069049270138E-3</v>
      </c>
      <c r="I208" s="279">
        <f>SUMIFS('On-road'!P:P,'On-road'!$B:$B,'Emissions Data'!$B208,'On-road'!$C:$C,'Emissions Data'!$F208,'On-road'!$D:$D,'Emissions Data'!$C208)</f>
        <v>9.2091139022422303E-3</v>
      </c>
      <c r="J208" s="279"/>
      <c r="K208" s="279"/>
      <c r="L208" s="279"/>
      <c r="M208" s="279"/>
      <c r="N208" s="280">
        <f t="shared" si="3"/>
        <v>2.2214550581863231</v>
      </c>
      <c r="O208" s="279"/>
    </row>
    <row r="209" spans="1:15" x14ac:dyDescent="0.15">
      <c r="A209" s="265">
        <v>202</v>
      </c>
      <c r="B209" s="263">
        <v>2019</v>
      </c>
      <c r="C209" s="41" t="s">
        <v>62</v>
      </c>
      <c r="D209" s="41" t="s">
        <v>90</v>
      </c>
      <c r="E209" s="41" t="s">
        <v>17</v>
      </c>
      <c r="F209" s="264">
        <v>2</v>
      </c>
      <c r="G209" s="279">
        <f>SUMIFS('On-road'!N:N,'On-road'!$B:$B,'Emissions Data'!$B209,'On-road'!$C:$C,'Emissions Data'!$F209,'On-road'!$D:$D,'Emissions Data'!$C209)</f>
        <v>1.3415287103655854E-3</v>
      </c>
      <c r="H209" s="279">
        <f>SUMIFS('On-road'!O:O,'On-road'!$B:$B,'Emissions Data'!$B209,'On-road'!$C:$C,'Emissions Data'!$F209,'On-road'!$D:$D,'Emissions Data'!$C209)</f>
        <v>4.3688454811891616E-6</v>
      </c>
      <c r="I209" s="279">
        <f>SUMIFS('On-road'!P:P,'On-road'!$B:$B,'Emissions Data'!$B209,'On-road'!$C:$C,'Emissions Data'!$F209,'On-road'!$D:$D,'Emissions Data'!$C209)</f>
        <v>5.8471921844198362E-6</v>
      </c>
      <c r="J209" s="279"/>
      <c r="K209" s="279"/>
      <c r="L209" s="279"/>
      <c r="M209" s="279"/>
      <c r="N209" s="280">
        <f t="shared" si="3"/>
        <v>1.3517447480311945E-3</v>
      </c>
      <c r="O209" s="279"/>
    </row>
    <row r="210" spans="1:15" x14ac:dyDescent="0.15">
      <c r="A210" s="265">
        <v>203</v>
      </c>
      <c r="B210" s="263">
        <v>2019</v>
      </c>
      <c r="C210" s="41" t="s">
        <v>62</v>
      </c>
      <c r="D210" s="41" t="s">
        <v>90</v>
      </c>
      <c r="E210" s="41" t="s">
        <v>68</v>
      </c>
      <c r="F210" s="264">
        <v>1</v>
      </c>
      <c r="G210" s="279">
        <f>SUMIFS(Rail!S:S,Rail!$B:$B,'Emissions Data'!$B210,Rail!$C:$C,'Emissions Data'!$F210,Rail!$D:$D,'Emissions Data'!$C210)</f>
        <v>3.28673725427834E-2</v>
      </c>
      <c r="H210" s="279">
        <f>SUMIFS(Rail!T:T,Rail!$B:$B,'Emissions Data'!$B210,Rail!$C:$C,'Emissions Data'!$F210,Rail!$D:$D,'Emissions Data'!$C210)</f>
        <v>7.2108633198662904E-5</v>
      </c>
      <c r="I210" s="279">
        <f>SUMIFS(Rail!U:U,Rail!$B:$B,'Emissions Data'!$B210,Rail!$C:$C,'Emissions Data'!$F210,Rail!$D:$D,'Emissions Data'!$C210)</f>
        <v>2.2179842979410148E-4</v>
      </c>
      <c r="J210" s="279"/>
      <c r="K210" s="279"/>
      <c r="L210" s="279"/>
      <c r="M210" s="279"/>
      <c r="N210" s="280">
        <f t="shared" si="3"/>
        <v>3.316127960577616E-2</v>
      </c>
      <c r="O210" s="279"/>
    </row>
    <row r="211" spans="1:15" x14ac:dyDescent="0.15">
      <c r="A211" s="265">
        <v>204</v>
      </c>
      <c r="B211" s="263">
        <v>2019</v>
      </c>
      <c r="C211" s="41" t="s">
        <v>62</v>
      </c>
      <c r="D211" s="41" t="s">
        <v>90</v>
      </c>
      <c r="E211" s="41" t="s">
        <v>68</v>
      </c>
      <c r="F211" s="264">
        <v>2</v>
      </c>
      <c r="G211" s="279">
        <f>SUMIFS(Rail!S:S,Rail!$B:$B,'Emissions Data'!$B211,Rail!$C:$C,'Emissions Data'!$F211,Rail!$D:$D,'Emissions Data'!$C211)</f>
        <v>1.0915553166177109E-3</v>
      </c>
      <c r="H211" s="279">
        <f>SUMIFS(Rail!T:T,Rail!$B:$B,'Emissions Data'!$B211,Rail!$C:$C,'Emissions Data'!$F211,Rail!$D:$D,'Emissions Data'!$C211)</f>
        <v>3.5547778259428512E-6</v>
      </c>
      <c r="I211" s="279">
        <f>SUMIFS(Rail!U:U,Rail!$B:$B,'Emissions Data'!$B211,Rail!$C:$C,'Emissions Data'!$F211,Rail!$D:$D,'Emissions Data'!$C211)</f>
        <v>4.7576571912871497E-6</v>
      </c>
      <c r="J211" s="279"/>
      <c r="K211" s="279"/>
      <c r="L211" s="279"/>
      <c r="M211" s="279"/>
      <c r="N211" s="280">
        <f t="shared" si="3"/>
        <v>1.0998677516349407E-3</v>
      </c>
      <c r="O211" s="279"/>
    </row>
    <row r="212" spans="1:15" x14ac:dyDescent="0.15">
      <c r="A212" s="265">
        <v>205</v>
      </c>
      <c r="B212" s="263">
        <v>2019</v>
      </c>
      <c r="C212" s="41" t="s">
        <v>62</v>
      </c>
      <c r="D212" s="41" t="s">
        <v>90</v>
      </c>
      <c r="E212" s="41" t="s">
        <v>91</v>
      </c>
      <c r="F212" s="264">
        <v>1</v>
      </c>
      <c r="G212" s="279">
        <f>SUMIFS(Waterborne!Q:Q,Waterborne!$B:$B,'Emissions Data'!$B212,Waterborne!$C:$C,'Emissions Data'!$F212,Waterborne!$D:$D,'Emissions Data'!$C212)</f>
        <v>1.1824333751206928E-3</v>
      </c>
      <c r="H212" s="279">
        <f>SUMIFS(Waterborne!R:R,Waterborne!$B:$B,'Emissions Data'!$B212,Waterborne!$C:$C,'Emissions Data'!$F212,Waterborne!$D:$D,'Emissions Data'!$C212)</f>
        <v>1.5027956243764817E-5</v>
      </c>
      <c r="I212" s="279">
        <f>SUMIFS(Waterborne!S:S,Waterborne!$B:$B,'Emissions Data'!$B212,Waterborne!$C:$C,'Emissions Data'!$F212,Waterborne!$D:$D,'Emissions Data'!$C212)</f>
        <v>9.5924090995447226E-6</v>
      </c>
      <c r="J212" s="279"/>
      <c r="K212" s="279"/>
      <c r="L212" s="279"/>
      <c r="M212" s="279"/>
      <c r="N212" s="280">
        <f t="shared" si="3"/>
        <v>1.2070537404640024E-3</v>
      </c>
      <c r="O212" s="279"/>
    </row>
    <row r="213" spans="1:15" x14ac:dyDescent="0.15">
      <c r="A213" s="265">
        <v>206</v>
      </c>
      <c r="B213" s="263">
        <v>2019</v>
      </c>
      <c r="C213" s="41" t="s">
        <v>62</v>
      </c>
      <c r="D213" s="41" t="s">
        <v>90</v>
      </c>
      <c r="E213" s="41" t="s">
        <v>91</v>
      </c>
      <c r="F213" s="264">
        <v>2</v>
      </c>
      <c r="G213" s="279">
        <f>SUMIFS(Waterborne!Q:Q,Waterborne!$B:$B,'Emissions Data'!$B213,Waterborne!$C:$C,'Emissions Data'!$F213,Waterborne!$D:$D,'Emissions Data'!$C213)</f>
        <v>0</v>
      </c>
      <c r="H213" s="279">
        <f>SUMIFS(Waterborne!R:R,Waterborne!$B:$B,'Emissions Data'!$B213,Waterborne!$C:$C,'Emissions Data'!$F213,Waterborne!$D:$D,'Emissions Data'!$C213)</f>
        <v>0</v>
      </c>
      <c r="I213" s="279">
        <f>SUMIFS(Waterborne!S:S,Waterborne!$B:$B,'Emissions Data'!$B213,Waterborne!$C:$C,'Emissions Data'!$F213,Waterborne!$D:$D,'Emissions Data'!$C213)</f>
        <v>0</v>
      </c>
      <c r="J213" s="279"/>
      <c r="K213" s="279"/>
      <c r="L213" s="279"/>
      <c r="M213" s="279"/>
      <c r="N213" s="280">
        <f t="shared" si="3"/>
        <v>0</v>
      </c>
      <c r="O213" s="279"/>
    </row>
    <row r="214" spans="1:15" x14ac:dyDescent="0.15">
      <c r="A214" s="265">
        <v>207</v>
      </c>
      <c r="B214" s="263">
        <v>2019</v>
      </c>
      <c r="C214" s="41" t="s">
        <v>62</v>
      </c>
      <c r="D214" s="41" t="s">
        <v>90</v>
      </c>
      <c r="E214" s="41" t="s">
        <v>23</v>
      </c>
      <c r="F214" s="264">
        <v>1</v>
      </c>
      <c r="G214" s="279">
        <f>SUMIFS(Aviation!N:N,Aviation!$B:$B,'Emissions Data'!$B214,Aviation!$C:$C,'Emissions Data'!$F214,Aviation!$D:$D,'Emissions Data'!$C214)</f>
        <v>0</v>
      </c>
      <c r="H214" s="279">
        <f>SUMIFS(Aviation!O:O,Aviation!$B:$B,'Emissions Data'!$B214,Aviation!$C:$C,'Emissions Data'!$F214,Aviation!$D:$D,'Emissions Data'!$C214)</f>
        <v>0</v>
      </c>
      <c r="I214" s="279">
        <f>SUMIFS(Aviation!P:P,Aviation!$B:$B,'Emissions Data'!$B214,Aviation!$C:$C,'Emissions Data'!$F214,Aviation!$D:$D,'Emissions Data'!$C214)</f>
        <v>0</v>
      </c>
      <c r="J214" s="279"/>
      <c r="K214" s="279"/>
      <c r="L214" s="279"/>
      <c r="M214" s="279"/>
      <c r="N214" s="280">
        <f t="shared" si="3"/>
        <v>0</v>
      </c>
      <c r="O214" s="279"/>
    </row>
    <row r="215" spans="1:15" x14ac:dyDescent="0.15">
      <c r="A215" s="265">
        <v>208</v>
      </c>
      <c r="B215" s="263">
        <v>2019</v>
      </c>
      <c r="C215" s="41" t="s">
        <v>62</v>
      </c>
      <c r="D215" s="41" t="s">
        <v>90</v>
      </c>
      <c r="E215" s="41" t="s">
        <v>23</v>
      </c>
      <c r="F215" s="264">
        <v>2</v>
      </c>
      <c r="G215" s="279">
        <f>SUMIFS(Aviation!N:N,Aviation!$B:$B,'Emissions Data'!$B215,Aviation!$C:$C,'Emissions Data'!$F215,Aviation!$D:$D,'Emissions Data'!$C215)</f>
        <v>0</v>
      </c>
      <c r="H215" s="279">
        <f>SUMIFS(Aviation!O:O,Aviation!$B:$B,'Emissions Data'!$B215,Aviation!$C:$C,'Emissions Data'!$F215,Aviation!$D:$D,'Emissions Data'!$C215)</f>
        <v>0</v>
      </c>
      <c r="I215" s="279">
        <f>SUMIFS(Aviation!P:P,Aviation!$B:$B,'Emissions Data'!$B215,Aviation!$C:$C,'Emissions Data'!$F215,Aviation!$D:$D,'Emissions Data'!$C215)</f>
        <v>0</v>
      </c>
      <c r="J215" s="279"/>
      <c r="K215" s="279"/>
      <c r="L215" s="279"/>
      <c r="M215" s="279"/>
      <c r="N215" s="280">
        <f t="shared" si="3"/>
        <v>0</v>
      </c>
      <c r="O215" s="279"/>
    </row>
    <row r="216" spans="1:15" x14ac:dyDescent="0.15">
      <c r="A216" s="265">
        <v>209</v>
      </c>
      <c r="B216" s="263">
        <v>2019</v>
      </c>
      <c r="C216" s="41" t="s">
        <v>62</v>
      </c>
      <c r="D216" s="41" t="s">
        <v>90</v>
      </c>
      <c r="E216" s="41" t="s">
        <v>25</v>
      </c>
      <c r="F216" s="264">
        <v>1</v>
      </c>
      <c r="G216" s="279">
        <f>SUMIFS('Off-road'!O:O,'Off-road'!$B:$B,'Emissions Data'!$B216,'Off-road'!$C:$C,'Emissions Data'!$F216,'Off-road'!$D:$D,'Emissions Data'!$C216)</f>
        <v>0.32413816576615062</v>
      </c>
      <c r="H216" s="279">
        <f>SUMIFS('Off-road'!P:P,'Off-road'!$B:$B,'Emissions Data'!$B216,'Off-road'!$C:$C,'Emissions Data'!$F216,'Off-road'!$D:$D,'Emissions Data'!$C216)</f>
        <v>2.7915777262097923E-3</v>
      </c>
      <c r="I216" s="279">
        <f>SUMIFS('Off-road'!Q:Q,'Off-road'!$B:$B,'Emissions Data'!$B216,'Off-road'!$C:$C,'Emissions Data'!$F216,'Off-road'!$D:$D,'Emissions Data'!$C216)</f>
        <v>9.5176937228090841E-3</v>
      </c>
      <c r="J216" s="279"/>
      <c r="K216" s="279"/>
      <c r="L216" s="279"/>
      <c r="M216" s="279"/>
      <c r="N216" s="280">
        <f t="shared" si="3"/>
        <v>0.33644743721516951</v>
      </c>
      <c r="O216" s="279"/>
    </row>
    <row r="217" spans="1:15" x14ac:dyDescent="0.15">
      <c r="A217" s="265">
        <v>210</v>
      </c>
      <c r="B217" s="263">
        <v>2019</v>
      </c>
      <c r="C217" s="41" t="s">
        <v>62</v>
      </c>
      <c r="D217" s="41" t="s">
        <v>90</v>
      </c>
      <c r="E217" s="41" t="s">
        <v>25</v>
      </c>
      <c r="F217" s="264">
        <v>2</v>
      </c>
      <c r="G217" s="279">
        <f>SUMIFS('Off-road'!O:O,'Off-road'!$B:$B,'Emissions Data'!$B217,'Off-road'!$C:$C,'Emissions Data'!$F217,'Off-road'!$D:$D,'Emissions Data'!$C217)</f>
        <v>0</v>
      </c>
      <c r="H217" s="279">
        <f>SUMIFS('Off-road'!P:P,'Off-road'!$B:$B,'Emissions Data'!$B217,'Off-road'!$C:$C,'Emissions Data'!$F217,'Off-road'!$D:$D,'Emissions Data'!$C217)</f>
        <v>0</v>
      </c>
      <c r="I217" s="279">
        <f>SUMIFS('Off-road'!Q:Q,'Off-road'!$B:$B,'Emissions Data'!$B217,'Off-road'!$C:$C,'Emissions Data'!$F217,'Off-road'!$D:$D,'Emissions Data'!$C217)</f>
        <v>0</v>
      </c>
      <c r="J217" s="279"/>
      <c r="K217" s="279"/>
      <c r="L217" s="279"/>
      <c r="M217" s="279"/>
      <c r="N217" s="280">
        <f t="shared" si="3"/>
        <v>0</v>
      </c>
      <c r="O217" s="279"/>
    </row>
    <row r="218" spans="1:15" x14ac:dyDescent="0.15">
      <c r="A218" s="265">
        <v>211</v>
      </c>
      <c r="B218" s="263">
        <v>2019</v>
      </c>
      <c r="C218" s="41" t="s">
        <v>63</v>
      </c>
      <c r="D218" s="41" t="s">
        <v>90</v>
      </c>
      <c r="E218" s="41" t="s">
        <v>17</v>
      </c>
      <c r="F218" s="264">
        <v>1</v>
      </c>
      <c r="G218" s="279">
        <f>SUMIFS('On-road'!N:N,'On-road'!$B:$B,'Emissions Data'!$B218,'On-road'!$C:$C,'Emissions Data'!$F218,'On-road'!$D:$D,'Emissions Data'!$C218)</f>
        <v>3.2064912894361388</v>
      </c>
      <c r="H218" s="279">
        <f>SUMIFS('On-road'!O:O,'On-road'!$B:$B,'Emissions Data'!$B218,'On-road'!$C:$C,'Emissions Data'!$F218,'On-road'!$D:$D,'Emissions Data'!$C218)</f>
        <v>4.8085846828891943E-3</v>
      </c>
      <c r="I218" s="279">
        <f>SUMIFS('On-road'!P:P,'On-road'!$B:$B,'Emissions Data'!$B218,'On-road'!$C:$C,'Emissions Data'!$F218,'On-road'!$D:$D,'Emissions Data'!$C218)</f>
        <v>1.2679785038102735E-2</v>
      </c>
      <c r="J218" s="279"/>
      <c r="K218" s="279"/>
      <c r="L218" s="279"/>
      <c r="M218" s="279"/>
      <c r="N218" s="280">
        <f t="shared" si="3"/>
        <v>3.223979659157131</v>
      </c>
      <c r="O218" s="279"/>
    </row>
    <row r="219" spans="1:15" x14ac:dyDescent="0.15">
      <c r="A219" s="265">
        <v>212</v>
      </c>
      <c r="B219" s="263">
        <v>2019</v>
      </c>
      <c r="C219" s="41" t="s">
        <v>63</v>
      </c>
      <c r="D219" s="41" t="s">
        <v>90</v>
      </c>
      <c r="E219" s="41" t="s">
        <v>17</v>
      </c>
      <c r="F219" s="264">
        <v>2</v>
      </c>
      <c r="G219" s="279">
        <f>SUMIFS('On-road'!N:N,'On-road'!$B:$B,'Emissions Data'!$B219,'On-road'!$C:$C,'Emissions Data'!$F219,'On-road'!$D:$D,'Emissions Data'!$C219)</f>
        <v>5.0083867776144651E-3</v>
      </c>
      <c r="H219" s="279">
        <f>SUMIFS('On-road'!O:O,'On-road'!$B:$B,'Emissions Data'!$B219,'On-road'!$C:$C,'Emissions Data'!$F219,'On-road'!$D:$D,'Emissions Data'!$C219)</f>
        <v>1.6310398556782038E-5</v>
      </c>
      <c r="I219" s="279">
        <f>SUMIFS('On-road'!P:P,'On-road'!$B:$B,'Emissions Data'!$B219,'On-road'!$C:$C,'Emissions Data'!$F219,'On-road'!$D:$D,'Emissions Data'!$C219)</f>
        <v>2.1829573825996157E-5</v>
      </c>
      <c r="J219" s="279"/>
      <c r="K219" s="279"/>
      <c r="L219" s="279"/>
      <c r="M219" s="279"/>
      <c r="N219" s="280">
        <f t="shared" si="3"/>
        <v>5.0465267499972431E-3</v>
      </c>
      <c r="O219" s="279"/>
    </row>
    <row r="220" spans="1:15" x14ac:dyDescent="0.15">
      <c r="A220" s="265">
        <v>213</v>
      </c>
      <c r="B220" s="263">
        <v>2019</v>
      </c>
      <c r="C220" s="41" t="s">
        <v>63</v>
      </c>
      <c r="D220" s="41" t="s">
        <v>90</v>
      </c>
      <c r="E220" s="41" t="s">
        <v>68</v>
      </c>
      <c r="F220" s="264">
        <v>1</v>
      </c>
      <c r="G220" s="279">
        <f>SUMIFS(Rail!S:S,Rail!$B:$B,'Emissions Data'!$B220,Rail!$C:$C,'Emissions Data'!$F220,Rail!$D:$D,'Emissions Data'!$C220)</f>
        <v>6.5214067411260054E-2</v>
      </c>
      <c r="H220" s="279">
        <f>SUMIFS(Rail!T:T,Rail!$B:$B,'Emissions Data'!$B220,Rail!$C:$C,'Emissions Data'!$F220,Rail!$D:$D,'Emissions Data'!$C220)</f>
        <v>1.430749373175539E-4</v>
      </c>
      <c r="I220" s="279">
        <f>SUMIFS(Rail!U:U,Rail!$B:$B,'Emissions Data'!$B220,Rail!$C:$C,'Emissions Data'!$F220,Rail!$D:$D,'Emissions Data'!$C220)</f>
        <v>4.4008317773122597E-4</v>
      </c>
      <c r="J220" s="279"/>
      <c r="K220" s="279"/>
      <c r="L220" s="279"/>
      <c r="M220" s="279"/>
      <c r="N220" s="280">
        <f t="shared" si="3"/>
        <v>6.5797225526308831E-2</v>
      </c>
      <c r="O220" s="279"/>
    </row>
    <row r="221" spans="1:15" x14ac:dyDescent="0.15">
      <c r="A221" s="265">
        <v>214</v>
      </c>
      <c r="B221" s="263">
        <v>2019</v>
      </c>
      <c r="C221" s="41" t="s">
        <v>63</v>
      </c>
      <c r="D221" s="41" t="s">
        <v>90</v>
      </c>
      <c r="E221" s="41" t="s">
        <v>68</v>
      </c>
      <c r="F221" s="264">
        <v>2</v>
      </c>
      <c r="G221" s="279">
        <f>SUMIFS(Rail!S:S,Rail!$B:$B,'Emissions Data'!$B221,Rail!$C:$C,'Emissions Data'!$F221,Rail!$D:$D,'Emissions Data'!$C221)</f>
        <v>4.1548212094640541E-3</v>
      </c>
      <c r="H221" s="279">
        <f>SUMIFS(Rail!T:T,Rail!$B:$B,'Emissions Data'!$B221,Rail!$C:$C,'Emissions Data'!$F221,Rail!$D:$D,'Emissions Data'!$C221)</f>
        <v>1.3530662240668193E-5</v>
      </c>
      <c r="I221" s="279">
        <f>SUMIFS(Rail!U:U,Rail!$B:$B,'Emissions Data'!$B221,Rail!$C:$C,'Emissions Data'!$F221,Rail!$D:$D,'Emissions Data'!$C221)</f>
        <v>1.8109219665540764E-5</v>
      </c>
      <c r="J221" s="279"/>
      <c r="K221" s="279"/>
      <c r="L221" s="279"/>
      <c r="M221" s="279"/>
      <c r="N221" s="280">
        <f t="shared" si="3"/>
        <v>4.1864610913702627E-3</v>
      </c>
      <c r="O221" s="279"/>
    </row>
    <row r="222" spans="1:15" x14ac:dyDescent="0.15">
      <c r="A222" s="265">
        <v>215</v>
      </c>
      <c r="B222" s="263">
        <v>2019</v>
      </c>
      <c r="C222" s="41" t="s">
        <v>63</v>
      </c>
      <c r="D222" s="41" t="s">
        <v>90</v>
      </c>
      <c r="E222" s="41" t="s">
        <v>91</v>
      </c>
      <c r="F222" s="264">
        <v>1</v>
      </c>
      <c r="G222" s="279">
        <f>SUMIFS(Waterborne!Q:Q,Waterborne!$B:$B,'Emissions Data'!$B222,Waterborne!$C:$C,'Emissions Data'!$F222,Waterborne!$D:$D,'Emissions Data'!$C222)</f>
        <v>1.600442399427492E-2</v>
      </c>
      <c r="H222" s="279">
        <f>SUMIFS(Waterborne!R:R,Waterborne!$B:$B,'Emissions Data'!$B222,Waterborne!$C:$C,'Emissions Data'!$F222,Waterborne!$D:$D,'Emissions Data'!$C222)</f>
        <v>1.7951823014303263E-4</v>
      </c>
      <c r="I222" s="279">
        <f>SUMIFS(Waterborne!S:S,Waterborne!$B:$B,'Emissions Data'!$B222,Waterborne!$C:$C,'Emissions Data'!$F222,Waterborne!$D:$D,'Emissions Data'!$C222)</f>
        <v>1.3963425961424243E-4</v>
      </c>
      <c r="J222" s="279"/>
      <c r="K222" s="279"/>
      <c r="L222" s="279"/>
      <c r="M222" s="279"/>
      <c r="N222" s="280">
        <f t="shared" si="3"/>
        <v>1.6323576484032196E-2</v>
      </c>
      <c r="O222" s="279"/>
    </row>
    <row r="223" spans="1:15" x14ac:dyDescent="0.15">
      <c r="A223" s="265">
        <v>216</v>
      </c>
      <c r="B223" s="263">
        <v>2019</v>
      </c>
      <c r="C223" s="41" t="s">
        <v>63</v>
      </c>
      <c r="D223" s="41" t="s">
        <v>90</v>
      </c>
      <c r="E223" s="41" t="s">
        <v>91</v>
      </c>
      <c r="F223" s="264">
        <v>2</v>
      </c>
      <c r="G223" s="279">
        <f>SUMIFS(Waterborne!Q:Q,Waterborne!$B:$B,'Emissions Data'!$B223,Waterborne!$C:$C,'Emissions Data'!$F223,Waterborne!$D:$D,'Emissions Data'!$C223)</f>
        <v>0</v>
      </c>
      <c r="H223" s="279">
        <f>SUMIFS(Waterborne!R:R,Waterborne!$B:$B,'Emissions Data'!$B223,Waterborne!$C:$C,'Emissions Data'!$F223,Waterborne!$D:$D,'Emissions Data'!$C223)</f>
        <v>0</v>
      </c>
      <c r="I223" s="279">
        <f>SUMIFS(Waterborne!S:S,Waterborne!$B:$B,'Emissions Data'!$B223,Waterborne!$C:$C,'Emissions Data'!$F223,Waterborne!$D:$D,'Emissions Data'!$C223)</f>
        <v>0</v>
      </c>
      <c r="J223" s="279"/>
      <c r="K223" s="279"/>
      <c r="L223" s="279"/>
      <c r="M223" s="279"/>
      <c r="N223" s="280">
        <f t="shared" si="3"/>
        <v>0</v>
      </c>
      <c r="O223" s="279"/>
    </row>
    <row r="224" spans="1:15" x14ac:dyDescent="0.15">
      <c r="A224" s="265">
        <v>217</v>
      </c>
      <c r="B224" s="263">
        <v>2019</v>
      </c>
      <c r="C224" s="41" t="s">
        <v>63</v>
      </c>
      <c r="D224" s="41" t="s">
        <v>90</v>
      </c>
      <c r="E224" s="41" t="s">
        <v>23</v>
      </c>
      <c r="F224" s="264">
        <v>1</v>
      </c>
      <c r="G224" s="279">
        <f>SUMIFS(Aviation!N:N,Aviation!$B:$B,'Emissions Data'!$B224,Aviation!$C:$C,'Emissions Data'!$F224,Aviation!$D:$D,'Emissions Data'!$C224)</f>
        <v>0</v>
      </c>
      <c r="H224" s="279">
        <f>SUMIFS(Aviation!O:O,Aviation!$B:$B,'Emissions Data'!$B224,Aviation!$C:$C,'Emissions Data'!$F224,Aviation!$D:$D,'Emissions Data'!$C224)</f>
        <v>0</v>
      </c>
      <c r="I224" s="279">
        <f>SUMIFS(Aviation!P:P,Aviation!$B:$B,'Emissions Data'!$B224,Aviation!$C:$C,'Emissions Data'!$F224,Aviation!$D:$D,'Emissions Data'!$C224)</f>
        <v>0</v>
      </c>
      <c r="J224" s="279"/>
      <c r="K224" s="279"/>
      <c r="L224" s="279"/>
      <c r="M224" s="279"/>
      <c r="N224" s="280">
        <f t="shared" si="3"/>
        <v>0</v>
      </c>
      <c r="O224" s="279"/>
    </row>
    <row r="225" spans="1:15" x14ac:dyDescent="0.15">
      <c r="A225" s="265">
        <v>218</v>
      </c>
      <c r="B225" s="263">
        <v>2019</v>
      </c>
      <c r="C225" s="41" t="s">
        <v>63</v>
      </c>
      <c r="D225" s="41" t="s">
        <v>90</v>
      </c>
      <c r="E225" s="41" t="s">
        <v>23</v>
      </c>
      <c r="F225" s="264">
        <v>2</v>
      </c>
      <c r="G225" s="279">
        <f>SUMIFS(Aviation!N:N,Aviation!$B:$B,'Emissions Data'!$B225,Aviation!$C:$C,'Emissions Data'!$F225,Aviation!$D:$D,'Emissions Data'!$C225)</f>
        <v>0</v>
      </c>
      <c r="H225" s="279">
        <f>SUMIFS(Aviation!O:O,Aviation!$B:$B,'Emissions Data'!$B225,Aviation!$C:$C,'Emissions Data'!$F225,Aviation!$D:$D,'Emissions Data'!$C225)</f>
        <v>0</v>
      </c>
      <c r="I225" s="279">
        <f>SUMIFS(Aviation!P:P,Aviation!$B:$B,'Emissions Data'!$B225,Aviation!$C:$C,'Emissions Data'!$F225,Aviation!$D:$D,'Emissions Data'!$C225)</f>
        <v>0</v>
      </c>
      <c r="J225" s="279"/>
      <c r="K225" s="279"/>
      <c r="L225" s="279"/>
      <c r="M225" s="279"/>
      <c r="N225" s="280">
        <f t="shared" si="3"/>
        <v>0</v>
      </c>
      <c r="O225" s="279"/>
    </row>
    <row r="226" spans="1:15" x14ac:dyDescent="0.15">
      <c r="A226" s="265">
        <v>219</v>
      </c>
      <c r="B226" s="263">
        <v>2019</v>
      </c>
      <c r="C226" s="41" t="s">
        <v>63</v>
      </c>
      <c r="D226" s="41" t="s">
        <v>90</v>
      </c>
      <c r="E226" s="41" t="s">
        <v>25</v>
      </c>
      <c r="F226" s="264">
        <v>1</v>
      </c>
      <c r="G226" s="279">
        <f>SUMIFS('Off-road'!O:O,'Off-road'!$B:$B,'Emissions Data'!$B226,'Off-road'!$C:$C,'Emissions Data'!$F226,'Off-road'!$D:$D,'Emissions Data'!$C226)</f>
        <v>0.37332022666005871</v>
      </c>
      <c r="H226" s="279">
        <f>SUMIFS('Off-road'!P:P,'Off-road'!$B:$B,'Emissions Data'!$B226,'Off-road'!$C:$C,'Emissions Data'!$F226,'Off-road'!$D:$D,'Emissions Data'!$C226)</f>
        <v>4.635449404196957E-3</v>
      </c>
      <c r="I226" s="279">
        <f>SUMIFS('Off-road'!Q:Q,'Off-road'!$B:$B,'Emissions Data'!$B226,'Off-road'!$C:$C,'Emissions Data'!$F226,'Off-road'!$D:$D,'Emissions Data'!$C226)</f>
        <v>1.2129543408699338E-2</v>
      </c>
      <c r="J226" s="279"/>
      <c r="K226" s="279"/>
      <c r="L226" s="279"/>
      <c r="M226" s="279"/>
      <c r="N226" s="280">
        <f t="shared" si="3"/>
        <v>0.39008521947295499</v>
      </c>
      <c r="O226" s="279"/>
    </row>
    <row r="227" spans="1:15" x14ac:dyDescent="0.15">
      <c r="A227" s="265">
        <v>220</v>
      </c>
      <c r="B227" s="263">
        <v>2019</v>
      </c>
      <c r="C227" s="41" t="s">
        <v>63</v>
      </c>
      <c r="D227" s="41" t="s">
        <v>90</v>
      </c>
      <c r="E227" s="41" t="s">
        <v>25</v>
      </c>
      <c r="F227" s="264">
        <v>2</v>
      </c>
      <c r="G227" s="279">
        <f>SUMIFS('Off-road'!O:O,'Off-road'!$B:$B,'Emissions Data'!$B227,'Off-road'!$C:$C,'Emissions Data'!$F227,'Off-road'!$D:$D,'Emissions Data'!$C227)</f>
        <v>0</v>
      </c>
      <c r="H227" s="279">
        <f>SUMIFS('Off-road'!P:P,'Off-road'!$B:$B,'Emissions Data'!$B227,'Off-road'!$C:$C,'Emissions Data'!$F227,'Off-road'!$D:$D,'Emissions Data'!$C227)</f>
        <v>0</v>
      </c>
      <c r="I227" s="279">
        <f>SUMIFS('Off-road'!Q:Q,'Off-road'!$B:$B,'Emissions Data'!$B227,'Off-road'!$C:$C,'Emissions Data'!$F227,'Off-road'!$D:$D,'Emissions Data'!$C227)</f>
        <v>0</v>
      </c>
      <c r="J227" s="279"/>
      <c r="K227" s="279"/>
      <c r="L227" s="279"/>
      <c r="M227" s="279"/>
      <c r="N227" s="280">
        <f t="shared" si="3"/>
        <v>0</v>
      </c>
      <c r="O227" s="279"/>
    </row>
    <row r="228" spans="1:15" x14ac:dyDescent="0.15">
      <c r="A228" s="265">
        <v>221</v>
      </c>
      <c r="B228" s="263">
        <v>2019</v>
      </c>
      <c r="C228" s="41" t="s">
        <v>64</v>
      </c>
      <c r="D228" s="41" t="s">
        <v>90</v>
      </c>
      <c r="E228" s="41" t="s">
        <v>17</v>
      </c>
      <c r="F228" s="264">
        <v>1</v>
      </c>
      <c r="G228" s="279">
        <f>SUMIFS('On-road'!N:N,'On-road'!$B:$B,'Emissions Data'!$B228,'On-road'!$C:$C,'Emissions Data'!$F228,'On-road'!$D:$D,'Emissions Data'!$C228)</f>
        <v>1.2486177039125397</v>
      </c>
      <c r="H228" s="279">
        <f>SUMIFS('On-road'!O:O,'On-road'!$B:$B,'Emissions Data'!$B228,'On-road'!$C:$C,'Emissions Data'!$F228,'On-road'!$D:$D,'Emissions Data'!$C228)</f>
        <v>2.130526861945304E-3</v>
      </c>
      <c r="I228" s="279">
        <f>SUMIFS('On-road'!P:P,'On-road'!$B:$B,'Emissions Data'!$B228,'On-road'!$C:$C,'Emissions Data'!$F228,'On-road'!$D:$D,'Emissions Data'!$C228)</f>
        <v>5.6910006456549183E-3</v>
      </c>
      <c r="J228" s="279"/>
      <c r="K228" s="279"/>
      <c r="L228" s="279"/>
      <c r="M228" s="279"/>
      <c r="N228" s="280">
        <f t="shared" si="3"/>
        <v>1.25643923142014</v>
      </c>
      <c r="O228" s="279"/>
    </row>
    <row r="229" spans="1:15" x14ac:dyDescent="0.15">
      <c r="A229" s="265">
        <v>222</v>
      </c>
      <c r="B229" s="263">
        <v>2019</v>
      </c>
      <c r="C229" s="41" t="s">
        <v>64</v>
      </c>
      <c r="D229" s="41" t="s">
        <v>90</v>
      </c>
      <c r="E229" s="41" t="s">
        <v>17</v>
      </c>
      <c r="F229" s="264">
        <v>2</v>
      </c>
      <c r="G229" s="279">
        <f>SUMIFS('On-road'!N:N,'On-road'!$B:$B,'Emissions Data'!$B229,'On-road'!$C:$C,'Emissions Data'!$F229,'On-road'!$D:$D,'Emissions Data'!$C229)</f>
        <v>6.5193174733064172E-4</v>
      </c>
      <c r="H229" s="279">
        <f>SUMIFS('On-road'!O:O,'On-road'!$B:$B,'Emissions Data'!$B229,'On-road'!$C:$C,'Emissions Data'!$F229,'On-road'!$D:$D,'Emissions Data'!$C229)</f>
        <v>2.1230921458200158E-6</v>
      </c>
      <c r="I229" s="279">
        <f>SUMIFS('On-road'!P:P,'On-road'!$B:$B,'Emissions Data'!$B229,'On-road'!$C:$C,'Emissions Data'!$F229,'On-road'!$D:$D,'Emissions Data'!$C229)</f>
        <v>2.8415122153651722E-6</v>
      </c>
      <c r="J229" s="279"/>
      <c r="K229" s="279"/>
      <c r="L229" s="279"/>
      <c r="M229" s="279"/>
      <c r="N229" s="280">
        <f t="shared" si="3"/>
        <v>6.5689635169182683E-4</v>
      </c>
      <c r="O229" s="279"/>
    </row>
    <row r="230" spans="1:15" x14ac:dyDescent="0.15">
      <c r="A230" s="265">
        <v>223</v>
      </c>
      <c r="B230" s="263">
        <v>2019</v>
      </c>
      <c r="C230" s="41" t="s">
        <v>64</v>
      </c>
      <c r="D230" s="41" t="s">
        <v>90</v>
      </c>
      <c r="E230" s="41" t="s">
        <v>68</v>
      </c>
      <c r="F230" s="264">
        <v>1</v>
      </c>
      <c r="G230" s="279">
        <f>SUMIFS(Rail!S:S,Rail!$B:$B,'Emissions Data'!$B230,Rail!$C:$C,'Emissions Data'!$F230,Rail!$D:$D,'Emissions Data'!$C230)</f>
        <v>1.7005489248348125E-2</v>
      </c>
      <c r="H230" s="279">
        <f>SUMIFS(Rail!T:T,Rail!$B:$B,'Emissions Data'!$B230,Rail!$C:$C,'Emissions Data'!$F230,Rail!$D:$D,'Emissions Data'!$C230)</f>
        <v>3.7308810887658963E-5</v>
      </c>
      <c r="I230" s="279">
        <f>SUMIFS(Rail!U:U,Rail!$B:$B,'Emissions Data'!$B230,Rail!$C:$C,'Emissions Data'!$F230,Rail!$D:$D,'Emissions Data'!$C230)</f>
        <v>1.1475790491784388E-4</v>
      </c>
      <c r="J230" s="279"/>
      <c r="K230" s="279"/>
      <c r="L230" s="279"/>
      <c r="M230" s="279"/>
      <c r="N230" s="280">
        <f t="shared" si="3"/>
        <v>1.715755596415363E-2</v>
      </c>
      <c r="O230" s="279"/>
    </row>
    <row r="231" spans="1:15" x14ac:dyDescent="0.15">
      <c r="A231" s="265">
        <v>224</v>
      </c>
      <c r="B231" s="263">
        <v>2019</v>
      </c>
      <c r="C231" s="41" t="s">
        <v>64</v>
      </c>
      <c r="D231" s="41" t="s">
        <v>90</v>
      </c>
      <c r="E231" s="41" t="s">
        <v>68</v>
      </c>
      <c r="F231" s="264">
        <v>2</v>
      </c>
      <c r="G231" s="279">
        <f>SUMIFS(Rail!S:S,Rail!$B:$B,'Emissions Data'!$B231,Rail!$C:$C,'Emissions Data'!$F231,Rail!$D:$D,'Emissions Data'!$C231)</f>
        <v>1.7678587846334333E-3</v>
      </c>
      <c r="H231" s="279">
        <f>SUMIFS(Rail!T:T,Rail!$B:$B,'Emissions Data'!$B231,Rail!$C:$C,'Emissions Data'!$F231,Rail!$D:$D,'Emissions Data'!$C231)</f>
        <v>5.7572393366978892E-6</v>
      </c>
      <c r="I231" s="279">
        <f>SUMIFS(Rail!U:U,Rail!$B:$B,'Emissions Data'!$B231,Rail!$C:$C,'Emissions Data'!$F231,Rail!$D:$D,'Emissions Data'!$C231)</f>
        <v>7.7053960819441457E-6</v>
      </c>
      <c r="J231" s="279"/>
      <c r="K231" s="279"/>
      <c r="L231" s="279"/>
      <c r="M231" s="279"/>
      <c r="N231" s="280">
        <f t="shared" si="3"/>
        <v>1.7813214200520754E-3</v>
      </c>
      <c r="O231" s="279"/>
    </row>
    <row r="232" spans="1:15" x14ac:dyDescent="0.15">
      <c r="A232" s="265">
        <v>225</v>
      </c>
      <c r="B232" s="263">
        <v>2019</v>
      </c>
      <c r="C232" s="41" t="s">
        <v>64</v>
      </c>
      <c r="D232" s="41" t="s">
        <v>90</v>
      </c>
      <c r="E232" s="41" t="s">
        <v>91</v>
      </c>
      <c r="F232" s="264">
        <v>1</v>
      </c>
      <c r="G232" s="279">
        <f>SUMIFS(Waterborne!Q:Q,Waterborne!$B:$B,'Emissions Data'!$B232,Waterborne!$C:$C,'Emissions Data'!$F232,Waterborne!$D:$D,'Emissions Data'!$C232)</f>
        <v>2.3648662885948717E-3</v>
      </c>
      <c r="H232" s="279">
        <f>SUMIFS(Waterborne!R:R,Waterborne!$B:$B,'Emissions Data'!$B232,Waterborne!$C:$C,'Emissions Data'!$F232,Waterborne!$D:$D,'Emissions Data'!$C232)</f>
        <v>3.0055905153403533E-5</v>
      </c>
      <c r="I232" s="279">
        <f>SUMIFS(Waterborne!S:S,Waterborne!$B:$B,'Emissions Data'!$B232,Waterborne!$C:$C,'Emissions Data'!$F232,Waterborne!$D:$D,'Emissions Data'!$C232)</f>
        <v>1.9184815055785733E-5</v>
      </c>
      <c r="J232" s="279"/>
      <c r="K232" s="279"/>
      <c r="L232" s="279"/>
      <c r="M232" s="279"/>
      <c r="N232" s="280">
        <f t="shared" si="3"/>
        <v>2.4141070088040608E-3</v>
      </c>
      <c r="O232" s="279"/>
    </row>
    <row r="233" spans="1:15" x14ac:dyDescent="0.15">
      <c r="A233" s="265">
        <v>226</v>
      </c>
      <c r="B233" s="263">
        <v>2019</v>
      </c>
      <c r="C233" s="41" t="s">
        <v>64</v>
      </c>
      <c r="D233" s="41" t="s">
        <v>90</v>
      </c>
      <c r="E233" s="41" t="s">
        <v>91</v>
      </c>
      <c r="F233" s="264">
        <v>2</v>
      </c>
      <c r="G233" s="279">
        <f>SUMIFS(Waterborne!Q:Q,Waterborne!$B:$B,'Emissions Data'!$B233,Waterborne!$C:$C,'Emissions Data'!$F233,Waterborne!$D:$D,'Emissions Data'!$C233)</f>
        <v>0</v>
      </c>
      <c r="H233" s="279">
        <f>SUMIFS(Waterborne!R:R,Waterborne!$B:$B,'Emissions Data'!$B233,Waterborne!$C:$C,'Emissions Data'!$F233,Waterborne!$D:$D,'Emissions Data'!$C233)</f>
        <v>0</v>
      </c>
      <c r="I233" s="279">
        <f>SUMIFS(Waterborne!S:S,Waterborne!$B:$B,'Emissions Data'!$B233,Waterborne!$C:$C,'Emissions Data'!$F233,Waterborne!$D:$D,'Emissions Data'!$C233)</f>
        <v>0</v>
      </c>
      <c r="J233" s="279"/>
      <c r="K233" s="279"/>
      <c r="L233" s="279"/>
      <c r="M233" s="279"/>
      <c r="N233" s="280">
        <f t="shared" si="3"/>
        <v>0</v>
      </c>
      <c r="O233" s="279"/>
    </row>
    <row r="234" spans="1:15" x14ac:dyDescent="0.15">
      <c r="A234" s="265">
        <v>227</v>
      </c>
      <c r="B234" s="263">
        <v>2019</v>
      </c>
      <c r="C234" s="41" t="s">
        <v>64</v>
      </c>
      <c r="D234" s="41" t="s">
        <v>90</v>
      </c>
      <c r="E234" s="41" t="s">
        <v>23</v>
      </c>
      <c r="F234" s="264">
        <v>1</v>
      </c>
      <c r="G234" s="279">
        <f>SUMIFS(Aviation!N:N,Aviation!$B:$B,'Emissions Data'!$B234,Aviation!$C:$C,'Emissions Data'!$F234,Aviation!$D:$D,'Emissions Data'!$C234)</f>
        <v>0</v>
      </c>
      <c r="H234" s="279">
        <f>SUMIFS(Aviation!O:O,Aviation!$B:$B,'Emissions Data'!$B234,Aviation!$C:$C,'Emissions Data'!$F234,Aviation!$D:$D,'Emissions Data'!$C234)</f>
        <v>0</v>
      </c>
      <c r="I234" s="279">
        <f>SUMIFS(Aviation!P:P,Aviation!$B:$B,'Emissions Data'!$B234,Aviation!$C:$C,'Emissions Data'!$F234,Aviation!$D:$D,'Emissions Data'!$C234)</f>
        <v>0</v>
      </c>
      <c r="J234" s="279"/>
      <c r="K234" s="279"/>
      <c r="L234" s="279"/>
      <c r="M234" s="279"/>
      <c r="N234" s="280">
        <f t="shared" si="3"/>
        <v>0</v>
      </c>
      <c r="O234" s="279"/>
    </row>
    <row r="235" spans="1:15" x14ac:dyDescent="0.15">
      <c r="A235" s="265">
        <v>228</v>
      </c>
      <c r="B235" s="263">
        <v>2019</v>
      </c>
      <c r="C235" s="41" t="s">
        <v>64</v>
      </c>
      <c r="D235" s="41" t="s">
        <v>90</v>
      </c>
      <c r="E235" s="41" t="s">
        <v>23</v>
      </c>
      <c r="F235" s="264">
        <v>2</v>
      </c>
      <c r="G235" s="279">
        <f>SUMIFS(Aviation!N:N,Aviation!$B:$B,'Emissions Data'!$B235,Aviation!$C:$C,'Emissions Data'!$F235,Aviation!$D:$D,'Emissions Data'!$C235)</f>
        <v>0</v>
      </c>
      <c r="H235" s="279">
        <f>SUMIFS(Aviation!O:O,Aviation!$B:$B,'Emissions Data'!$B235,Aviation!$C:$C,'Emissions Data'!$F235,Aviation!$D:$D,'Emissions Data'!$C235)</f>
        <v>0</v>
      </c>
      <c r="I235" s="279">
        <f>SUMIFS(Aviation!P:P,Aviation!$B:$B,'Emissions Data'!$B235,Aviation!$C:$C,'Emissions Data'!$F235,Aviation!$D:$D,'Emissions Data'!$C235)</f>
        <v>0</v>
      </c>
      <c r="J235" s="279"/>
      <c r="K235" s="279"/>
      <c r="L235" s="279"/>
      <c r="M235" s="279"/>
      <c r="N235" s="280">
        <f t="shared" si="3"/>
        <v>0</v>
      </c>
      <c r="O235" s="279"/>
    </row>
    <row r="236" spans="1:15" x14ac:dyDescent="0.15">
      <c r="A236" s="265">
        <v>229</v>
      </c>
      <c r="B236" s="263">
        <v>2019</v>
      </c>
      <c r="C236" s="41" t="s">
        <v>64</v>
      </c>
      <c r="D236" s="41" t="s">
        <v>90</v>
      </c>
      <c r="E236" s="41" t="s">
        <v>25</v>
      </c>
      <c r="F236" s="264">
        <v>1</v>
      </c>
      <c r="G236" s="279">
        <f>SUMIFS('Off-road'!O:O,'Off-road'!$B:$B,'Emissions Data'!$B236,'Off-road'!$C:$C,'Emissions Data'!$F236,'Off-road'!$D:$D,'Emissions Data'!$C236)</f>
        <v>0.20679852148806865</v>
      </c>
      <c r="H236" s="279">
        <f>SUMIFS('Off-road'!P:P,'Off-road'!$B:$B,'Emissions Data'!$B236,'Off-road'!$C:$C,'Emissions Data'!$F236,'Off-road'!$D:$D,'Emissions Data'!$C236)</f>
        <v>1.5897556055380251E-3</v>
      </c>
      <c r="I236" s="279">
        <f>SUMIFS('Off-road'!Q:Q,'Off-road'!$B:$B,'Emissions Data'!$B236,'Off-road'!$C:$C,'Emissions Data'!$F236,'Off-road'!$D:$D,'Emissions Data'!$C236)</f>
        <v>5.9066471931091694E-3</v>
      </c>
      <c r="J236" s="279"/>
      <c r="K236" s="279"/>
      <c r="L236" s="279"/>
      <c r="M236" s="279"/>
      <c r="N236" s="280">
        <f t="shared" si="3"/>
        <v>0.21429492428671587</v>
      </c>
      <c r="O236" s="279"/>
    </row>
    <row r="237" spans="1:15" x14ac:dyDescent="0.15">
      <c r="A237" s="265">
        <v>230</v>
      </c>
      <c r="B237" s="263">
        <v>2019</v>
      </c>
      <c r="C237" s="41" t="s">
        <v>64</v>
      </c>
      <c r="D237" s="41" t="s">
        <v>90</v>
      </c>
      <c r="E237" s="41" t="s">
        <v>25</v>
      </c>
      <c r="F237" s="264">
        <v>2</v>
      </c>
      <c r="G237" s="279">
        <f>SUMIFS('Off-road'!O:O,'Off-road'!$B:$B,'Emissions Data'!$B237,'Off-road'!$C:$C,'Emissions Data'!$F237,'Off-road'!$D:$D,'Emissions Data'!$C237)</f>
        <v>0</v>
      </c>
      <c r="H237" s="279">
        <f>SUMIFS('Off-road'!P:P,'Off-road'!$B:$B,'Emissions Data'!$B237,'Off-road'!$C:$C,'Emissions Data'!$F237,'Off-road'!$D:$D,'Emissions Data'!$C237)</f>
        <v>0</v>
      </c>
      <c r="I237" s="279">
        <f>SUMIFS('Off-road'!Q:Q,'Off-road'!$B:$B,'Emissions Data'!$B237,'Off-road'!$C:$C,'Emissions Data'!$F237,'Off-road'!$D:$D,'Emissions Data'!$C237)</f>
        <v>0</v>
      </c>
      <c r="J237" s="279"/>
      <c r="K237" s="279"/>
      <c r="L237" s="279"/>
      <c r="M237" s="279"/>
      <c r="N237" s="280">
        <f t="shared" si="3"/>
        <v>0</v>
      </c>
      <c r="O237" s="279"/>
    </row>
    <row r="238" spans="1:15" x14ac:dyDescent="0.15">
      <c r="A238" s="265">
        <v>231</v>
      </c>
      <c r="B238" s="263">
        <v>2019</v>
      </c>
      <c r="C238" s="41" t="s">
        <v>65</v>
      </c>
      <c r="D238" s="41" t="s">
        <v>90</v>
      </c>
      <c r="E238" s="41" t="s">
        <v>17</v>
      </c>
      <c r="F238" s="264">
        <v>1</v>
      </c>
      <c r="G238" s="279">
        <f>SUMIFS('On-road'!N:N,'On-road'!$B:$B,'Emissions Data'!$B238,'On-road'!$C:$C,'Emissions Data'!$F238,'On-road'!$D:$D,'Emissions Data'!$C238)</f>
        <v>3.8522122905882337</v>
      </c>
      <c r="H238" s="279">
        <f>SUMIFS('On-road'!O:O,'On-road'!$B:$B,'Emissions Data'!$B238,'On-road'!$C:$C,'Emissions Data'!$F238,'On-road'!$D:$D,'Emissions Data'!$C238)</f>
        <v>5.2383623086983419E-3</v>
      </c>
      <c r="I238" s="279">
        <f>SUMIFS('On-road'!P:P,'On-road'!$B:$B,'Emissions Data'!$B238,'On-road'!$C:$C,'Emissions Data'!$F238,'On-road'!$D:$D,'Emissions Data'!$C238)</f>
        <v>1.1834679335417639E-2</v>
      </c>
      <c r="J238" s="279"/>
      <c r="K238" s="279"/>
      <c r="L238" s="279"/>
      <c r="M238" s="279"/>
      <c r="N238" s="280">
        <f t="shared" si="3"/>
        <v>3.8692853322323497</v>
      </c>
      <c r="O238" s="279"/>
    </row>
    <row r="239" spans="1:15" x14ac:dyDescent="0.15">
      <c r="A239" s="265">
        <v>232</v>
      </c>
      <c r="B239" s="263">
        <v>2019</v>
      </c>
      <c r="C239" s="41" t="s">
        <v>65</v>
      </c>
      <c r="D239" s="41" t="s">
        <v>90</v>
      </c>
      <c r="E239" s="41" t="s">
        <v>17</v>
      </c>
      <c r="F239" s="264">
        <v>2</v>
      </c>
      <c r="G239" s="279">
        <f>SUMIFS('On-road'!N:N,'On-road'!$B:$B,'Emissions Data'!$B239,'On-road'!$C:$C,'Emissions Data'!$F239,'On-road'!$D:$D,'Emissions Data'!$C239)</f>
        <v>1.8356090963098182E-3</v>
      </c>
      <c r="H239" s="279">
        <f>SUMIFS('On-road'!O:O,'On-road'!$B:$B,'Emissions Data'!$B239,'On-road'!$C:$C,'Emissions Data'!$F239,'On-road'!$D:$D,'Emissions Data'!$C239)</f>
        <v>5.9778761674488856E-6</v>
      </c>
      <c r="I239" s="279">
        <f>SUMIFS('On-road'!P:P,'On-road'!$B:$B,'Emissions Data'!$B239,'On-road'!$C:$C,'Emissions Data'!$F239,'On-road'!$D:$D,'Emissions Data'!$C239)</f>
        <v>8.0006928503735072E-6</v>
      </c>
      <c r="J239" s="279"/>
      <c r="K239" s="279"/>
      <c r="L239" s="279"/>
      <c r="M239" s="279"/>
      <c r="N239" s="280">
        <f t="shared" si="3"/>
        <v>1.8495876653276404E-3</v>
      </c>
      <c r="O239" s="279"/>
    </row>
    <row r="240" spans="1:15" x14ac:dyDescent="0.15">
      <c r="A240" s="265">
        <v>233</v>
      </c>
      <c r="B240" s="263">
        <v>2019</v>
      </c>
      <c r="C240" s="41" t="s">
        <v>65</v>
      </c>
      <c r="D240" s="41" t="s">
        <v>90</v>
      </c>
      <c r="E240" s="41" t="s">
        <v>68</v>
      </c>
      <c r="F240" s="264">
        <v>1</v>
      </c>
      <c r="G240" s="279">
        <f>SUMIFS(Rail!S:S,Rail!$B:$B,'Emissions Data'!$B240,Rail!$C:$C,'Emissions Data'!$F240,Rail!$D:$D,'Emissions Data'!$C240)</f>
        <v>4.5270461410808399E-2</v>
      </c>
      <c r="H240" s="279">
        <f>SUMIFS(Rail!T:T,Rail!$B:$B,'Emissions Data'!$B240,Rail!$C:$C,'Emissions Data'!$F240,Rail!$D:$D,'Emissions Data'!$C240)</f>
        <v>9.9320111224496387E-5</v>
      </c>
      <c r="I240" s="279">
        <f>SUMIFS(Rail!U:U,Rail!$B:$B,'Emissions Data'!$B240,Rail!$C:$C,'Emissions Data'!$F240,Rail!$D:$D,'Emissions Data'!$C240)</f>
        <v>3.0549802068606248E-4</v>
      </c>
      <c r="J240" s="279"/>
      <c r="K240" s="279"/>
      <c r="L240" s="279"/>
      <c r="M240" s="279"/>
      <c r="N240" s="280">
        <f t="shared" si="3"/>
        <v>4.5675279542718959E-2</v>
      </c>
      <c r="O240" s="279"/>
    </row>
    <row r="241" spans="1:15" x14ac:dyDescent="0.15">
      <c r="A241" s="265">
        <v>234</v>
      </c>
      <c r="B241" s="263">
        <v>2019</v>
      </c>
      <c r="C241" s="41" t="s">
        <v>65</v>
      </c>
      <c r="D241" s="41" t="s">
        <v>90</v>
      </c>
      <c r="E241" s="41" t="s">
        <v>68</v>
      </c>
      <c r="F241" s="264">
        <v>2</v>
      </c>
      <c r="G241" s="279">
        <f>SUMIFS(Rail!S:S,Rail!$B:$B,'Emissions Data'!$B241,Rail!$C:$C,'Emissions Data'!$F241,Rail!$D:$D,'Emissions Data'!$C241)</f>
        <v>1.5457115953602383E-3</v>
      </c>
      <c r="H241" s="279">
        <f>SUMIFS(Rail!T:T,Rail!$B:$B,'Emissions Data'!$B241,Rail!$C:$C,'Emissions Data'!$F241,Rail!$D:$D,'Emissions Data'!$C241)</f>
        <v>5.0337909777353836E-6</v>
      </c>
      <c r="I241" s="279">
        <f>SUMIFS(Rail!U:U,Rail!$B:$B,'Emissions Data'!$B241,Rail!$C:$C,'Emissions Data'!$F241,Rail!$D:$D,'Emissions Data'!$C241)</f>
        <v>6.737144490403416E-6</v>
      </c>
      <c r="J241" s="279"/>
      <c r="K241" s="279"/>
      <c r="L241" s="279"/>
      <c r="M241" s="279"/>
      <c r="N241" s="280">
        <f t="shared" si="3"/>
        <v>1.5574825308283771E-3</v>
      </c>
      <c r="O241" s="279"/>
    </row>
    <row r="242" spans="1:15" x14ac:dyDescent="0.15">
      <c r="A242" s="265">
        <v>235</v>
      </c>
      <c r="B242" s="263">
        <v>2019</v>
      </c>
      <c r="C242" s="41" t="s">
        <v>65</v>
      </c>
      <c r="D242" s="41" t="s">
        <v>90</v>
      </c>
      <c r="E242" s="41" t="s">
        <v>91</v>
      </c>
      <c r="F242" s="264">
        <v>1</v>
      </c>
      <c r="G242" s="279">
        <f>SUMIFS(Waterborne!Q:Q,Waterborne!$B:$B,'Emissions Data'!$B242,Waterborne!$C:$C,'Emissions Data'!$F242,Waterborne!$D:$D,'Emissions Data'!$C242)</f>
        <v>4.204210735371243E-3</v>
      </c>
      <c r="H242" s="279">
        <f>SUMIFS(Waterborne!R:R,Waterborne!$B:$B,'Emissions Data'!$B242,Waterborne!$C:$C,'Emissions Data'!$F242,Waterborne!$D:$D,'Emissions Data'!$C242)</f>
        <v>5.3432779279959253E-5</v>
      </c>
      <c r="I242" s="279">
        <f>SUMIFS(Waterborne!S:S,Waterborne!$B:$B,'Emissions Data'!$B242,Waterborne!$C:$C,'Emissions Data'!$F242,Waterborne!$D:$D,'Emissions Data'!$C242)</f>
        <v>3.4106366976347031E-5</v>
      </c>
      <c r="J242" s="279"/>
      <c r="K242" s="279"/>
      <c r="L242" s="279"/>
      <c r="M242" s="279"/>
      <c r="N242" s="280">
        <f t="shared" si="3"/>
        <v>4.2917498816275488E-3</v>
      </c>
      <c r="O242" s="279"/>
    </row>
    <row r="243" spans="1:15" x14ac:dyDescent="0.15">
      <c r="A243" s="265">
        <v>236</v>
      </c>
      <c r="B243" s="263">
        <v>2019</v>
      </c>
      <c r="C243" s="41" t="s">
        <v>65</v>
      </c>
      <c r="D243" s="41" t="s">
        <v>90</v>
      </c>
      <c r="E243" s="41" t="s">
        <v>91</v>
      </c>
      <c r="F243" s="264">
        <v>2</v>
      </c>
      <c r="G243" s="279">
        <f>SUMIFS(Waterborne!Q:Q,Waterborne!$B:$B,'Emissions Data'!$B243,Waterborne!$C:$C,'Emissions Data'!$F243,Waterborne!$D:$D,'Emissions Data'!$C243)</f>
        <v>0</v>
      </c>
      <c r="H243" s="279">
        <f>SUMIFS(Waterborne!R:R,Waterborne!$B:$B,'Emissions Data'!$B243,Waterborne!$C:$C,'Emissions Data'!$F243,Waterborne!$D:$D,'Emissions Data'!$C243)</f>
        <v>0</v>
      </c>
      <c r="I243" s="279">
        <f>SUMIFS(Waterborne!S:S,Waterborne!$B:$B,'Emissions Data'!$B243,Waterborne!$C:$C,'Emissions Data'!$F243,Waterborne!$D:$D,'Emissions Data'!$C243)</f>
        <v>0</v>
      </c>
      <c r="J243" s="279"/>
      <c r="K243" s="279"/>
      <c r="L243" s="279"/>
      <c r="M243" s="279"/>
      <c r="N243" s="280">
        <f t="shared" si="3"/>
        <v>0</v>
      </c>
      <c r="O243" s="279"/>
    </row>
    <row r="244" spans="1:15" x14ac:dyDescent="0.15">
      <c r="A244" s="265">
        <v>237</v>
      </c>
      <c r="B244" s="263">
        <v>2019</v>
      </c>
      <c r="C244" s="41" t="s">
        <v>65</v>
      </c>
      <c r="D244" s="41" t="s">
        <v>90</v>
      </c>
      <c r="E244" s="41" t="s">
        <v>23</v>
      </c>
      <c r="F244" s="264">
        <v>1</v>
      </c>
      <c r="G244" s="279">
        <f>SUMIFS(Aviation!N:N,Aviation!$B:$B,'Emissions Data'!$B244,Aviation!$C:$C,'Emissions Data'!$F244,Aviation!$D:$D,'Emissions Data'!$C244)</f>
        <v>0</v>
      </c>
      <c r="H244" s="279">
        <f>SUMIFS(Aviation!O:O,Aviation!$B:$B,'Emissions Data'!$B244,Aviation!$C:$C,'Emissions Data'!$F244,Aviation!$D:$D,'Emissions Data'!$C244)</f>
        <v>0</v>
      </c>
      <c r="I244" s="279">
        <f>SUMIFS(Aviation!P:P,Aviation!$B:$B,'Emissions Data'!$B244,Aviation!$C:$C,'Emissions Data'!$F244,Aviation!$D:$D,'Emissions Data'!$C244)</f>
        <v>0</v>
      </c>
      <c r="J244" s="279"/>
      <c r="K244" s="279"/>
      <c r="L244" s="279"/>
      <c r="M244" s="279"/>
      <c r="N244" s="280">
        <f t="shared" si="3"/>
        <v>0</v>
      </c>
      <c r="O244" s="279"/>
    </row>
    <row r="245" spans="1:15" x14ac:dyDescent="0.15">
      <c r="A245" s="265">
        <v>238</v>
      </c>
      <c r="B245" s="263">
        <v>2019</v>
      </c>
      <c r="C245" s="41" t="s">
        <v>65</v>
      </c>
      <c r="D245" s="41" t="s">
        <v>90</v>
      </c>
      <c r="E245" s="41" t="s">
        <v>23</v>
      </c>
      <c r="F245" s="264">
        <v>2</v>
      </c>
      <c r="G245" s="279">
        <f>SUMIFS(Aviation!N:N,Aviation!$B:$B,'Emissions Data'!$B245,Aviation!$C:$C,'Emissions Data'!$F245,Aviation!$D:$D,'Emissions Data'!$C245)</f>
        <v>0</v>
      </c>
      <c r="H245" s="279">
        <f>SUMIFS(Aviation!O:O,Aviation!$B:$B,'Emissions Data'!$B245,Aviation!$C:$C,'Emissions Data'!$F245,Aviation!$D:$D,'Emissions Data'!$C245)</f>
        <v>0</v>
      </c>
      <c r="I245" s="279">
        <f>SUMIFS(Aviation!P:P,Aviation!$B:$B,'Emissions Data'!$B245,Aviation!$C:$C,'Emissions Data'!$F245,Aviation!$D:$D,'Emissions Data'!$C245)</f>
        <v>0</v>
      </c>
      <c r="J245" s="279"/>
      <c r="K245" s="279"/>
      <c r="L245" s="279"/>
      <c r="M245" s="279"/>
      <c r="N245" s="280">
        <f t="shared" si="3"/>
        <v>0</v>
      </c>
      <c r="O245" s="279"/>
    </row>
    <row r="246" spans="1:15" x14ac:dyDescent="0.15">
      <c r="A246" s="265">
        <v>239</v>
      </c>
      <c r="B246" s="263">
        <v>2019</v>
      </c>
      <c r="C246" s="41" t="s">
        <v>65</v>
      </c>
      <c r="D246" s="41" t="s">
        <v>90</v>
      </c>
      <c r="E246" s="41" t="s">
        <v>25</v>
      </c>
      <c r="F246" s="264">
        <v>1</v>
      </c>
      <c r="G246" s="279">
        <f>SUMIFS('Off-road'!O:O,'Off-road'!$B:$B,'Emissions Data'!$B246,'Off-road'!$C:$C,'Emissions Data'!$F246,'Off-road'!$D:$D,'Emissions Data'!$C246)</f>
        <v>0.37316111727018447</v>
      </c>
      <c r="H246" s="279">
        <f>SUMIFS('Off-road'!P:P,'Off-road'!$B:$B,'Emissions Data'!$B246,'Off-road'!$C:$C,'Emissions Data'!$F246,'Off-road'!$D:$D,'Emissions Data'!$C246)</f>
        <v>2.39815104005789E-3</v>
      </c>
      <c r="I246" s="279">
        <f>SUMIFS('Off-road'!Q:Q,'Off-road'!$B:$B,'Emissions Data'!$B246,'Off-road'!$C:$C,'Emissions Data'!$F246,'Off-road'!$D:$D,'Emissions Data'!$C246)</f>
        <v>1.0325999227009573E-2</v>
      </c>
      <c r="J246" s="279"/>
      <c r="K246" s="279"/>
      <c r="L246" s="279"/>
      <c r="M246" s="279"/>
      <c r="N246" s="280">
        <f t="shared" si="3"/>
        <v>0.38588526753725194</v>
      </c>
      <c r="O246" s="279"/>
    </row>
    <row r="247" spans="1:15" x14ac:dyDescent="0.15">
      <c r="A247" s="265">
        <v>240</v>
      </c>
      <c r="B247" s="263">
        <v>2019</v>
      </c>
      <c r="C247" s="41" t="s">
        <v>65</v>
      </c>
      <c r="D247" s="41" t="s">
        <v>90</v>
      </c>
      <c r="E247" s="41" t="s">
        <v>25</v>
      </c>
      <c r="F247" s="264">
        <v>2</v>
      </c>
      <c r="G247" s="279">
        <f>SUMIFS('Off-road'!O:O,'Off-road'!$B:$B,'Emissions Data'!$B247,'Off-road'!$C:$C,'Emissions Data'!$F247,'Off-road'!$D:$D,'Emissions Data'!$C247)</f>
        <v>0</v>
      </c>
      <c r="H247" s="279">
        <f>SUMIFS('Off-road'!P:P,'Off-road'!$B:$B,'Emissions Data'!$B247,'Off-road'!$C:$C,'Emissions Data'!$F247,'Off-road'!$D:$D,'Emissions Data'!$C247)</f>
        <v>0</v>
      </c>
      <c r="I247" s="279">
        <f>SUMIFS('Off-road'!Q:Q,'Off-road'!$B:$B,'Emissions Data'!$B247,'Off-road'!$C:$C,'Emissions Data'!$F247,'Off-road'!$D:$D,'Emissions Data'!$C247)</f>
        <v>0</v>
      </c>
      <c r="J247" s="279"/>
      <c r="K247" s="279"/>
      <c r="L247" s="279"/>
      <c r="M247" s="279"/>
      <c r="N247" s="280">
        <f t="shared" si="3"/>
        <v>0</v>
      </c>
      <c r="O247" s="279"/>
    </row>
  </sheetData>
  <autoFilter ref="A7:O247" xr:uid="{F458CD68-26C5-4CA1-A62E-F7C539FDE72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D4E1D-25E5-4229-AF53-64943D9CBF04}">
  <sheetPr codeName="Sheet5">
    <tabColor theme="4" tint="0.79998168889431442"/>
    <outlinePr summaryBelow="0"/>
  </sheetPr>
  <dimension ref="A1:AC222"/>
  <sheetViews>
    <sheetView showGridLines="0" tabSelected="1" topLeftCell="A4" zoomScale="80" zoomScaleNormal="80" workbookViewId="0">
      <selection activeCell="B3" sqref="B3"/>
    </sheetView>
  </sheetViews>
  <sheetFormatPr baseColWidth="10" defaultColWidth="9" defaultRowHeight="14" outlineLevelRow="1" x14ac:dyDescent="0.15"/>
  <cols>
    <col min="1" max="1" width="4.1640625" customWidth="1"/>
    <col min="2" max="2" width="17.5" customWidth="1"/>
    <col min="3" max="3" width="16.1640625" customWidth="1"/>
    <col min="4" max="4" width="18.5" customWidth="1"/>
    <col min="5" max="11" width="16.1640625" customWidth="1"/>
    <col min="12" max="13" width="12.5" style="66" customWidth="1"/>
    <col min="14" max="17" width="9.33203125" customWidth="1"/>
    <col min="18" max="18" width="9" style="66"/>
    <col min="19" max="19" width="23.1640625" style="66" bestFit="1" customWidth="1"/>
    <col min="20" max="22" width="17.33203125" style="66" bestFit="1" customWidth="1"/>
    <col min="23" max="23" width="14.6640625" style="66" bestFit="1" customWidth="1"/>
    <col min="24" max="24" width="12.1640625" style="66" bestFit="1" customWidth="1"/>
    <col min="25" max="25" width="14.6640625" style="66" bestFit="1" customWidth="1"/>
    <col min="26" max="26" width="11.83203125" style="66" bestFit="1" customWidth="1"/>
    <col min="27" max="27" width="15.6640625" style="66" bestFit="1" customWidth="1"/>
    <col min="28" max="28" width="11.1640625" style="66" bestFit="1" customWidth="1"/>
    <col min="29" max="29" width="11.83203125" style="66" customWidth="1"/>
    <col min="30" max="16384" width="9" style="66"/>
  </cols>
  <sheetData>
    <row r="1" spans="1:28" ht="18" x14ac:dyDescent="0.2">
      <c r="A1" s="28" t="s">
        <v>92</v>
      </c>
      <c r="B1" s="29"/>
      <c r="C1" s="29"/>
      <c r="D1" s="29"/>
      <c r="E1" s="29"/>
      <c r="F1" s="29"/>
      <c r="G1" s="29"/>
      <c r="H1" s="29"/>
      <c r="I1" s="29"/>
      <c r="J1" s="29"/>
      <c r="K1" s="29"/>
      <c r="N1" s="680" t="s">
        <v>93</v>
      </c>
      <c r="O1" s="681"/>
      <c r="P1" s="681"/>
      <c r="Q1" s="681"/>
      <c r="R1" s="189"/>
    </row>
    <row r="2" spans="1:28" ht="16" x14ac:dyDescent="0.15">
      <c r="A2" s="66"/>
      <c r="B2" s="66"/>
      <c r="C2" s="66"/>
      <c r="D2" s="66"/>
      <c r="E2" s="66"/>
      <c r="F2" s="66"/>
      <c r="G2" s="66"/>
      <c r="H2" s="66"/>
      <c r="I2" s="66"/>
      <c r="J2" s="66"/>
      <c r="K2" s="66"/>
      <c r="N2" s="325" t="s">
        <v>94</v>
      </c>
      <c r="O2" s="325" t="s">
        <v>95</v>
      </c>
      <c r="P2" s="325" t="s">
        <v>96</v>
      </c>
      <c r="Q2" s="325" t="s">
        <v>89</v>
      </c>
    </row>
    <row r="3" spans="1:28" ht="18" x14ac:dyDescent="0.2">
      <c r="A3" s="300"/>
      <c r="B3" s="301">
        <v>2019</v>
      </c>
      <c r="C3" s="29"/>
      <c r="D3" s="29"/>
      <c r="E3" s="29"/>
      <c r="F3" s="29"/>
      <c r="G3" s="29"/>
      <c r="H3" s="29"/>
      <c r="I3" s="29"/>
      <c r="J3" s="29"/>
      <c r="K3" s="29"/>
      <c r="N3" s="302"/>
      <c r="O3" s="302"/>
      <c r="P3" s="302"/>
      <c r="Q3" s="302"/>
    </row>
    <row r="4" spans="1:28" s="119" customFormat="1" outlineLevel="1" x14ac:dyDescent="0.15">
      <c r="A4" s="141"/>
      <c r="B4" s="142"/>
      <c r="C4" s="142"/>
      <c r="D4" s="142"/>
      <c r="E4" s="142"/>
      <c r="F4" s="142"/>
      <c r="G4" s="142"/>
      <c r="H4" s="142"/>
      <c r="I4" s="142"/>
      <c r="J4" s="142"/>
      <c r="K4" s="142"/>
      <c r="L4" s="66"/>
      <c r="M4" s="66"/>
      <c r="N4" s="302"/>
      <c r="O4" s="302"/>
      <c r="P4" s="302"/>
      <c r="Q4" s="302"/>
    </row>
    <row r="5" spans="1:28" outlineLevel="1" x14ac:dyDescent="0.15">
      <c r="A5" s="66"/>
      <c r="B5" s="82" t="s">
        <v>97</v>
      </c>
      <c r="C5" s="66"/>
      <c r="D5" s="66"/>
      <c r="E5" s="66"/>
      <c r="F5" s="66"/>
      <c r="G5" s="66"/>
      <c r="H5" s="66"/>
      <c r="I5" s="66"/>
      <c r="J5" s="66"/>
      <c r="K5" s="66"/>
      <c r="N5" s="302"/>
      <c r="O5" s="302"/>
      <c r="P5" s="302"/>
      <c r="Q5" s="302"/>
      <c r="S5" s="66" t="s">
        <v>98</v>
      </c>
    </row>
    <row r="6" spans="1:28" outlineLevel="1" x14ac:dyDescent="0.15">
      <c r="A6" s="66"/>
      <c r="B6" s="109" t="s">
        <v>99</v>
      </c>
      <c r="C6" s="109" t="s">
        <v>58</v>
      </c>
      <c r="D6" s="109" t="s">
        <v>100</v>
      </c>
      <c r="E6" s="109" t="s">
        <v>59</v>
      </c>
      <c r="F6" s="109" t="s">
        <v>60</v>
      </c>
      <c r="G6" s="109" t="s">
        <v>62</v>
      </c>
      <c r="H6" s="109" t="s">
        <v>61</v>
      </c>
      <c r="I6" s="109" t="s">
        <v>63</v>
      </c>
      <c r="J6" s="109" t="s">
        <v>64</v>
      </c>
      <c r="K6" s="109" t="s">
        <v>65</v>
      </c>
      <c r="N6" s="302"/>
      <c r="O6" s="302"/>
      <c r="P6" s="302"/>
      <c r="Q6" s="302"/>
      <c r="S6" s="66" t="s">
        <v>94</v>
      </c>
      <c r="T6" s="109" t="s">
        <v>58</v>
      </c>
      <c r="U6" s="109" t="s">
        <v>100</v>
      </c>
      <c r="V6" s="109" t="s">
        <v>59</v>
      </c>
      <c r="W6" s="109" t="s">
        <v>60</v>
      </c>
      <c r="X6" s="109" t="s">
        <v>62</v>
      </c>
      <c r="Y6" s="109" t="s">
        <v>61</v>
      </c>
      <c r="Z6" s="109" t="s">
        <v>63</v>
      </c>
      <c r="AA6" s="109" t="s">
        <v>64</v>
      </c>
      <c r="AB6" s="109" t="s">
        <v>65</v>
      </c>
    </row>
    <row r="7" spans="1:28" outlineLevel="1" x14ac:dyDescent="0.15">
      <c r="A7" s="66"/>
      <c r="B7" s="72" t="s">
        <v>101</v>
      </c>
      <c r="C7" s="122">
        <f>'Onroad Data'!C21</f>
        <v>55560.594695</v>
      </c>
      <c r="D7" s="122">
        <f>'Onroad Data'!D21</f>
        <v>91159.479624000029</v>
      </c>
      <c r="E7" s="122">
        <f>'Onroad Data'!E21</f>
        <v>146720.07431900004</v>
      </c>
      <c r="F7" s="122">
        <f>'Onroad Data'!F21</f>
        <v>43891.966440000004</v>
      </c>
      <c r="G7" s="122">
        <f>'Onroad Data'!G21</f>
        <v>22149.338</v>
      </c>
      <c r="H7" s="122">
        <f>'Onroad Data'!H21</f>
        <v>4908.4687430000004</v>
      </c>
      <c r="I7" s="122">
        <f>'Onroad Data'!I21</f>
        <v>33182.329004000007</v>
      </c>
      <c r="J7" s="122">
        <f>'Onroad Data'!J21</f>
        <v>11957.940622000002</v>
      </c>
      <c r="K7" s="122">
        <f>'Onroad Data'!K21</f>
        <v>30066.305845000006</v>
      </c>
      <c r="N7" s="302"/>
      <c r="O7" s="302"/>
      <c r="P7" s="302"/>
      <c r="Q7" s="302"/>
      <c r="S7" s="66" t="s">
        <v>102</v>
      </c>
      <c r="T7" s="645">
        <f>C7+C8+C9+C16</f>
        <v>4042839.7928302269</v>
      </c>
      <c r="U7" s="645">
        <f t="shared" ref="U7:AB7" si="0">D7+D8+D9+D16</f>
        <v>6506226.6214951864</v>
      </c>
      <c r="V7" s="645">
        <f t="shared" si="0"/>
        <v>10549329.149867004</v>
      </c>
      <c r="W7" s="645">
        <f t="shared" si="0"/>
        <v>3052743.0797259966</v>
      </c>
      <c r="X7" s="645">
        <f t="shared" si="0"/>
        <v>1562225.609169154</v>
      </c>
      <c r="Y7" s="645">
        <f t="shared" si="0"/>
        <v>360606.10069762194</v>
      </c>
      <c r="Z7" s="645">
        <f t="shared" si="0"/>
        <v>2326228.9311821391</v>
      </c>
      <c r="AA7" s="645">
        <f t="shared" si="0"/>
        <v>874812.4872345397</v>
      </c>
      <c r="AB7" s="645">
        <f t="shared" si="0"/>
        <v>2098247.8029402341</v>
      </c>
    </row>
    <row r="8" spans="1:28" outlineLevel="1" x14ac:dyDescent="0.15">
      <c r="A8" s="66"/>
      <c r="B8" s="72" t="s">
        <v>103</v>
      </c>
      <c r="C8" s="650">
        <f>'Onroad Data'!C93</f>
        <v>1938176.510227225</v>
      </c>
      <c r="D8" s="650">
        <f>'Onroad Data'!D93</f>
        <v>2792715.3400095496</v>
      </c>
      <c r="E8" s="650">
        <f>'Onroad Data'!E93</f>
        <v>4730919.8161771083</v>
      </c>
      <c r="F8" s="650">
        <f>'Onroad Data'!F93</f>
        <v>1188152.4348852718</v>
      </c>
      <c r="G8" s="650">
        <f>'Onroad Data'!G93</f>
        <v>602769.32308705593</v>
      </c>
      <c r="H8" s="650">
        <f>'Onroad Data'!H93</f>
        <v>137736.35644596943</v>
      </c>
      <c r="I8" s="650">
        <f>'Onroad Data'!I93</f>
        <v>891910.07579995086</v>
      </c>
      <c r="J8" s="650">
        <f>'Onroad Data'!J93</f>
        <v>316569.01906346611</v>
      </c>
      <c r="K8" s="650">
        <f>'Onroad Data'!K93</f>
        <v>813991.21869155718</v>
      </c>
      <c r="N8" s="302"/>
      <c r="O8" s="302"/>
      <c r="P8" s="302"/>
      <c r="Q8" s="302"/>
      <c r="S8" s="66" t="s">
        <v>104</v>
      </c>
      <c r="T8" s="645">
        <f>C10+C12+C13+C14+C15+C17+C18</f>
        <v>929617.70039399993</v>
      </c>
      <c r="U8" s="645">
        <f t="shared" ref="U8:AB8" si="1">D10+D12+D13+D14+D15+D17+D18</f>
        <v>2521920.0408740002</v>
      </c>
      <c r="V8" s="645">
        <f t="shared" si="1"/>
        <v>3451537.7412680001</v>
      </c>
      <c r="W8" s="645">
        <f t="shared" si="1"/>
        <v>1000991.9685259999</v>
      </c>
      <c r="X8" s="645">
        <f t="shared" si="1"/>
        <v>645207.21448800003</v>
      </c>
      <c r="Y8" s="645">
        <f t="shared" si="1"/>
        <v>251775.19140400004</v>
      </c>
      <c r="Z8" s="645">
        <f t="shared" si="1"/>
        <v>878875.94789599977</v>
      </c>
      <c r="AA8" s="645">
        <f t="shared" si="1"/>
        <v>373576.23502900003</v>
      </c>
      <c r="AB8" s="645">
        <f t="shared" si="1"/>
        <v>1753207.6537129993</v>
      </c>
    </row>
    <row r="9" spans="1:28" outlineLevel="1" x14ac:dyDescent="0.15">
      <c r="A9" s="66"/>
      <c r="B9" s="72" t="s">
        <v>105</v>
      </c>
      <c r="C9" s="650">
        <f>'Onroad Data'!C94</f>
        <v>2046323.8689490019</v>
      </c>
      <c r="D9" s="650">
        <f>'Onroad Data'!D94</f>
        <v>3618898.6278896364</v>
      </c>
      <c r="E9" s="650">
        <f>'Onroad Data'!E94</f>
        <v>5665457.2664398942</v>
      </c>
      <c r="F9" s="650">
        <f>'Onroad Data'!F94</f>
        <v>1814626.7337307248</v>
      </c>
      <c r="G9" s="650">
        <f>'Onroad Data'!G94</f>
        <v>935456.37575309782</v>
      </c>
      <c r="H9" s="650">
        <f>'Onroad Data'!H94</f>
        <v>215394.05101365256</v>
      </c>
      <c r="I9" s="650">
        <f>'Onroad Data'!I94</f>
        <v>1392468.8212781881</v>
      </c>
      <c r="J9" s="650">
        <f>'Onroad Data'!J94</f>
        <v>539468.39813907351</v>
      </c>
      <c r="K9" s="650">
        <f>'Onroad Data'!K94</f>
        <v>1247049.6940266769</v>
      </c>
      <c r="N9" s="302"/>
      <c r="O9" s="302"/>
      <c r="P9" s="302"/>
      <c r="Q9" s="302"/>
      <c r="S9" s="66" t="s">
        <v>106</v>
      </c>
      <c r="T9" s="645">
        <f>C11</f>
        <v>89267.243268999999</v>
      </c>
      <c r="U9" s="645">
        <f t="shared" ref="U9:AB9" si="2">D11</f>
        <v>27750.180484000008</v>
      </c>
      <c r="V9" s="645">
        <f t="shared" si="2"/>
        <v>117017.42375300001</v>
      </c>
      <c r="W9" s="645">
        <f t="shared" si="2"/>
        <v>2408.9174699999999</v>
      </c>
      <c r="X9" s="645">
        <f t="shared" si="2"/>
        <v>1385.6137220000001</v>
      </c>
      <c r="Y9" s="645">
        <f t="shared" si="2"/>
        <v>8.6271120000000003</v>
      </c>
      <c r="Z9" s="645">
        <f t="shared" si="2"/>
        <v>1386.4103579999999</v>
      </c>
      <c r="AA9" s="645">
        <f t="shared" si="2"/>
        <v>228.98164899999998</v>
      </c>
      <c r="AB9" s="645">
        <f t="shared" si="2"/>
        <v>756.83393500000011</v>
      </c>
    </row>
    <row r="10" spans="1:28" outlineLevel="1" x14ac:dyDescent="0.15">
      <c r="A10" s="66"/>
      <c r="B10" s="72" t="s">
        <v>107</v>
      </c>
      <c r="C10" s="122">
        <f>'Onroad Data'!C24</f>
        <v>49807.630919000003</v>
      </c>
      <c r="D10" s="122">
        <f>'Onroad Data'!D24</f>
        <v>162807.14671999999</v>
      </c>
      <c r="E10" s="122">
        <f>'Onroad Data'!E24</f>
        <v>212614.77763899998</v>
      </c>
      <c r="F10" s="122">
        <f>'Onroad Data'!F24</f>
        <v>88365.809568000011</v>
      </c>
      <c r="G10" s="122">
        <f>'Onroad Data'!G24</f>
        <v>39813.469042000004</v>
      </c>
      <c r="H10" s="122">
        <f>'Onroad Data'!H24</f>
        <v>6599.9232030000003</v>
      </c>
      <c r="I10" s="122">
        <f>'Onroad Data'!I24</f>
        <v>59775.887456000011</v>
      </c>
      <c r="J10" s="122">
        <f>'Onroad Data'!J24</f>
        <v>19934.891937999997</v>
      </c>
      <c r="K10" s="122">
        <f>'Onroad Data'!K24</f>
        <v>47580.644547000004</v>
      </c>
      <c r="M10" s="82"/>
      <c r="N10" s="302"/>
      <c r="O10" s="302"/>
      <c r="P10" s="302"/>
      <c r="Q10" s="302"/>
    </row>
    <row r="11" spans="1:28" outlineLevel="1" x14ac:dyDescent="0.15">
      <c r="A11" s="66"/>
      <c r="B11" s="72" t="s">
        <v>108</v>
      </c>
      <c r="C11" s="122">
        <f>'Onroad Data'!C25</f>
        <v>89267.243268999999</v>
      </c>
      <c r="D11" s="122">
        <f>'Onroad Data'!D25</f>
        <v>27750.180484000008</v>
      </c>
      <c r="E11" s="122">
        <f>'Onroad Data'!E25</f>
        <v>117017.42375300001</v>
      </c>
      <c r="F11" s="122">
        <f>'Onroad Data'!F25</f>
        <v>2408.9174699999999</v>
      </c>
      <c r="G11" s="122">
        <f>'Onroad Data'!G25</f>
        <v>1385.6137220000001</v>
      </c>
      <c r="H11" s="122">
        <f>'Onroad Data'!H25</f>
        <v>8.6271120000000003</v>
      </c>
      <c r="I11" s="122">
        <f>'Onroad Data'!I25</f>
        <v>1386.4103579999999</v>
      </c>
      <c r="J11" s="122">
        <f>'Onroad Data'!J25</f>
        <v>228.98164899999998</v>
      </c>
      <c r="K11" s="122">
        <f>'Onroad Data'!K25</f>
        <v>756.83393500000011</v>
      </c>
      <c r="N11" s="302"/>
      <c r="O11" s="302"/>
      <c r="P11" s="302"/>
      <c r="Q11" s="302"/>
    </row>
    <row r="12" spans="1:28" outlineLevel="1" x14ac:dyDescent="0.15">
      <c r="A12" s="66"/>
      <c r="B12" s="72" t="s">
        <v>109</v>
      </c>
      <c r="C12" s="122">
        <f>'Onroad Data'!C26</f>
        <v>4640.1639130000003</v>
      </c>
      <c r="D12" s="122">
        <f>'Onroad Data'!D26</f>
        <v>6644.9791489999998</v>
      </c>
      <c r="E12" s="122">
        <f>'Onroad Data'!E26</f>
        <v>11285.143061999999</v>
      </c>
      <c r="F12" s="122">
        <f>'Onroad Data'!F26</f>
        <v>2944.0718740000002</v>
      </c>
      <c r="G12" s="122">
        <f>'Onroad Data'!G26</f>
        <v>1140.0595529999998</v>
      </c>
      <c r="H12" s="122">
        <f>'Onroad Data'!H26</f>
        <v>17.801182000000004</v>
      </c>
      <c r="I12" s="122">
        <f>'Onroad Data'!I26</f>
        <v>1556.3682109999997</v>
      </c>
      <c r="J12" s="122">
        <f>'Onroad Data'!J26</f>
        <v>381.77058</v>
      </c>
      <c r="K12" s="122">
        <f>'Onroad Data'!K26</f>
        <v>1743.3919599999997</v>
      </c>
      <c r="N12" s="302"/>
      <c r="O12" s="302"/>
      <c r="P12" s="302"/>
      <c r="Q12" s="302"/>
      <c r="S12" s="66" t="s">
        <v>95</v>
      </c>
      <c r="T12" s="109" t="s">
        <v>58</v>
      </c>
      <c r="U12" s="109" t="s">
        <v>100</v>
      </c>
      <c r="V12" s="109" t="s">
        <v>59</v>
      </c>
      <c r="W12" s="109" t="s">
        <v>60</v>
      </c>
      <c r="X12" s="109" t="s">
        <v>62</v>
      </c>
      <c r="Y12" s="109" t="s">
        <v>61</v>
      </c>
      <c r="Z12" s="109" t="s">
        <v>63</v>
      </c>
      <c r="AA12" s="109" t="s">
        <v>64</v>
      </c>
      <c r="AB12" s="109" t="s">
        <v>65</v>
      </c>
    </row>
    <row r="13" spans="1:28" outlineLevel="1" x14ac:dyDescent="0.15">
      <c r="A13" s="66"/>
      <c r="B13" s="72" t="s">
        <v>110</v>
      </c>
      <c r="C13" s="122">
        <f>'Onroad Data'!C27</f>
        <v>413.27897899999999</v>
      </c>
      <c r="D13" s="122">
        <f>'Onroad Data'!D27</f>
        <v>1146.9355320000002</v>
      </c>
      <c r="E13" s="122">
        <f>'Onroad Data'!E27</f>
        <v>1560.2145110000001</v>
      </c>
      <c r="F13" s="122">
        <f>'Onroad Data'!F27</f>
        <v>227.04301599999999</v>
      </c>
      <c r="G13" s="122">
        <f>'Onroad Data'!G27</f>
        <v>147.23850700000003</v>
      </c>
      <c r="H13" s="122">
        <f>'Onroad Data'!H27</f>
        <v>68.909672999999998</v>
      </c>
      <c r="I13" s="122">
        <f>'Onroad Data'!I27</f>
        <v>156.16981200000004</v>
      </c>
      <c r="J13" s="122">
        <f>'Onroad Data'!J27</f>
        <v>292.156115</v>
      </c>
      <c r="K13" s="122">
        <f>'Onroad Data'!K27</f>
        <v>278.16828199999998</v>
      </c>
      <c r="N13" s="302"/>
      <c r="O13" s="302"/>
      <c r="P13" s="302"/>
      <c r="Q13" s="302"/>
      <c r="S13" s="66" t="s">
        <v>102</v>
      </c>
      <c r="T13" s="645">
        <f t="shared" ref="T13:AB13" si="3">C23+C24+C25+C32</f>
        <v>292.72398566819464</v>
      </c>
      <c r="U13" s="645">
        <f t="shared" si="3"/>
        <v>416.48213251701588</v>
      </c>
      <c r="V13" s="645">
        <f t="shared" si="3"/>
        <v>709.26065314389075</v>
      </c>
      <c r="W13" s="645">
        <f t="shared" si="3"/>
        <v>171.87818047692872</v>
      </c>
      <c r="X13" s="645">
        <f t="shared" si="3"/>
        <v>101.87917389025048</v>
      </c>
      <c r="Y13" s="645">
        <f t="shared" si="3"/>
        <v>25.005529004519445</v>
      </c>
      <c r="Z13" s="645">
        <f t="shared" si="3"/>
        <v>137.14013824604265</v>
      </c>
      <c r="AA13" s="645">
        <f t="shared" si="3"/>
        <v>63.111058069475156</v>
      </c>
      <c r="AB13" s="645">
        <f t="shared" si="3"/>
        <v>139.97222816779794</v>
      </c>
    </row>
    <row r="14" spans="1:28" outlineLevel="1" x14ac:dyDescent="0.15">
      <c r="A14" s="66"/>
      <c r="B14" s="72" t="s">
        <v>111</v>
      </c>
      <c r="C14" s="122">
        <f>'Onroad Data'!C28</f>
        <v>129241.24141800001</v>
      </c>
      <c r="D14" s="122">
        <f>'Onroad Data'!D28</f>
        <v>182297.85545600002</v>
      </c>
      <c r="E14" s="122">
        <f>'Onroad Data'!E28</f>
        <v>311539.09687400004</v>
      </c>
      <c r="F14" s="122">
        <f>'Onroad Data'!F28</f>
        <v>81531.625951999988</v>
      </c>
      <c r="G14" s="122">
        <f>'Onroad Data'!G28</f>
        <v>36269.704709999998</v>
      </c>
      <c r="H14" s="122">
        <f>'Onroad Data'!H28</f>
        <v>10459.02857</v>
      </c>
      <c r="I14" s="122">
        <f>'Onroad Data'!I28</f>
        <v>72075.488415999993</v>
      </c>
      <c r="J14" s="122">
        <f>'Onroad Data'!J28</f>
        <v>23683.917955999998</v>
      </c>
      <c r="K14" s="122">
        <f>'Onroad Data'!K28</f>
        <v>52991.614450000008</v>
      </c>
      <c r="N14" s="302"/>
      <c r="O14" s="302"/>
      <c r="P14" s="302"/>
      <c r="Q14" s="302"/>
      <c r="S14" s="66" t="s">
        <v>104</v>
      </c>
      <c r="T14" s="645">
        <f t="shared" ref="T14:AB14" si="4">C26+C28+C29+C30+C31+C33+C34</f>
        <v>49.200599999999994</v>
      </c>
      <c r="U14" s="645">
        <f t="shared" si="4"/>
        <v>82.317156999999995</v>
      </c>
      <c r="V14" s="645">
        <f t="shared" si="4"/>
        <v>131.51775700000002</v>
      </c>
      <c r="W14" s="645">
        <f t="shared" si="4"/>
        <v>49.09032599999999</v>
      </c>
      <c r="X14" s="645">
        <f t="shared" si="4"/>
        <v>19.351392999999998</v>
      </c>
      <c r="Y14" s="645">
        <f t="shared" si="4"/>
        <v>6.9778679999999991</v>
      </c>
      <c r="Z14" s="645">
        <f t="shared" si="4"/>
        <v>33.528763999999995</v>
      </c>
      <c r="AA14" s="645">
        <f t="shared" si="4"/>
        <v>12.786375</v>
      </c>
      <c r="AB14" s="645">
        <f t="shared" si="4"/>
        <v>46.504013</v>
      </c>
    </row>
    <row r="15" spans="1:28" outlineLevel="1" x14ac:dyDescent="0.15">
      <c r="A15" s="66"/>
      <c r="B15" s="72" t="s">
        <v>112</v>
      </c>
      <c r="C15" s="122">
        <f>'Onroad Data'!C29</f>
        <v>53624.398786999998</v>
      </c>
      <c r="D15" s="122">
        <f>'Onroad Data'!D29</f>
        <v>51000.067944999995</v>
      </c>
      <c r="E15" s="122">
        <f>'Onroad Data'!E29</f>
        <v>104624.466732</v>
      </c>
      <c r="F15" s="122">
        <f>'Onroad Data'!F29</f>
        <v>116175.08352</v>
      </c>
      <c r="G15" s="122">
        <f>'Onroad Data'!G29</f>
        <v>10935.018043000002</v>
      </c>
      <c r="H15" s="122">
        <f>'Onroad Data'!H29</f>
        <v>8383.0548620000009</v>
      </c>
      <c r="I15" s="122">
        <f>'Onroad Data'!I29</f>
        <v>47338.917175999995</v>
      </c>
      <c r="J15" s="122">
        <f>'Onroad Data'!J29</f>
        <v>18653.011162000003</v>
      </c>
      <c r="K15" s="122">
        <f>'Onroad Data'!K29</f>
        <v>56744.122556000009</v>
      </c>
      <c r="N15" s="302"/>
      <c r="O15" s="302"/>
      <c r="P15" s="302"/>
      <c r="Q15" s="302"/>
      <c r="S15" s="66" t="s">
        <v>106</v>
      </c>
      <c r="T15" s="645">
        <f t="shared" ref="T15:AB15" si="5">C27</f>
        <v>47.547792999999999</v>
      </c>
      <c r="U15" s="645">
        <f t="shared" si="5"/>
        <v>19.062296999999997</v>
      </c>
      <c r="V15" s="645">
        <f t="shared" si="5"/>
        <v>66.61009</v>
      </c>
      <c r="W15" s="645">
        <f t="shared" si="5"/>
        <v>2.0145019999999998</v>
      </c>
      <c r="X15" s="645">
        <f t="shared" si="5"/>
        <v>1.1803939999999999</v>
      </c>
      <c r="Y15" s="645">
        <f t="shared" si="5"/>
        <v>2.2949999999999995E-2</v>
      </c>
      <c r="Z15" s="645">
        <f t="shared" si="5"/>
        <v>1.066265</v>
      </c>
      <c r="AA15" s="645">
        <f t="shared" si="5"/>
        <v>0.19281200000000001</v>
      </c>
      <c r="AB15" s="645">
        <f t="shared" si="5"/>
        <v>0.60812700000000008</v>
      </c>
    </row>
    <row r="16" spans="1:28" outlineLevel="1" x14ac:dyDescent="0.15">
      <c r="A16" s="66"/>
      <c r="B16" s="72" t="s">
        <v>113</v>
      </c>
      <c r="C16" s="122">
        <f>'Onroad Data'!C30</f>
        <v>2778.8189590000002</v>
      </c>
      <c r="D16" s="122">
        <f>'Onroad Data'!D30</f>
        <v>3453.1739719999996</v>
      </c>
      <c r="E16" s="122">
        <f>'Onroad Data'!E30</f>
        <v>6231.9929309999998</v>
      </c>
      <c r="F16" s="122">
        <f>'Onroad Data'!F30</f>
        <v>6071.944669999999</v>
      </c>
      <c r="G16" s="122">
        <f>'Onroad Data'!G30</f>
        <v>1850.5723289999999</v>
      </c>
      <c r="H16" s="122">
        <f>'Onroad Data'!H30</f>
        <v>2567.2244949999999</v>
      </c>
      <c r="I16" s="122">
        <f>'Onroad Data'!I30</f>
        <v>8667.7050999999992</v>
      </c>
      <c r="J16" s="122">
        <f>'Onroad Data'!J30</f>
        <v>6817.1294100000032</v>
      </c>
      <c r="K16" s="122">
        <f>'Onroad Data'!K30</f>
        <v>7140.5843769999992</v>
      </c>
      <c r="N16" s="302"/>
      <c r="O16" s="302"/>
      <c r="P16" s="302"/>
      <c r="Q16" s="302"/>
    </row>
    <row r="17" spans="1:29" outlineLevel="1" x14ac:dyDescent="0.15">
      <c r="A17" s="66"/>
      <c r="B17" s="72" t="s">
        <v>114</v>
      </c>
      <c r="C17" s="122">
        <f>'Onroad Data'!C31</f>
        <v>1630.53844</v>
      </c>
      <c r="D17" s="122">
        <f>'Onroad Data'!D31</f>
        <v>8661.6977360000001</v>
      </c>
      <c r="E17" s="122">
        <f>'Onroad Data'!E31</f>
        <v>10292.236176</v>
      </c>
      <c r="F17" s="122">
        <f>'Onroad Data'!F31</f>
        <v>3781.5642920000005</v>
      </c>
      <c r="G17" s="122">
        <f>'Onroad Data'!G31</f>
        <v>8642.767961000005</v>
      </c>
      <c r="H17" s="122">
        <f>'Onroad Data'!H31</f>
        <v>8023.798522</v>
      </c>
      <c r="I17" s="122">
        <f>'Onroad Data'!I31</f>
        <v>4628.6867449999991</v>
      </c>
      <c r="J17" s="122">
        <f>'Onroad Data'!J31</f>
        <v>7074.7341100000003</v>
      </c>
      <c r="K17" s="122">
        <f>'Onroad Data'!K31</f>
        <v>37788.012974000005</v>
      </c>
      <c r="N17" s="302"/>
      <c r="O17" s="302"/>
      <c r="P17" s="302"/>
      <c r="Q17" s="302"/>
    </row>
    <row r="18" spans="1:29" outlineLevel="1" x14ac:dyDescent="0.15">
      <c r="A18" s="66"/>
      <c r="B18" s="72" t="s">
        <v>115</v>
      </c>
      <c r="C18" s="122">
        <f>'Onroad Data'!C32</f>
        <v>690260.44793799997</v>
      </c>
      <c r="D18" s="122">
        <f>'Onroad Data'!D32</f>
        <v>2109361.3583360002</v>
      </c>
      <c r="E18" s="122">
        <f>'Onroad Data'!E32</f>
        <v>2799621.8062740001</v>
      </c>
      <c r="F18" s="122">
        <f>'Onroad Data'!F32</f>
        <v>707966.77030399989</v>
      </c>
      <c r="G18" s="122">
        <f>'Onroad Data'!G32</f>
        <v>548258.956672</v>
      </c>
      <c r="H18" s="122">
        <f>'Onroad Data'!H32</f>
        <v>218222.67539200003</v>
      </c>
      <c r="I18" s="122">
        <f>'Onroad Data'!I32</f>
        <v>693344.43007999973</v>
      </c>
      <c r="J18" s="122">
        <f>'Onroad Data'!J32</f>
        <v>303555.75316800002</v>
      </c>
      <c r="K18" s="122">
        <f>'Onroad Data'!K32</f>
        <v>1556081.6989439994</v>
      </c>
      <c r="N18" s="302"/>
      <c r="O18" s="302"/>
      <c r="P18" s="302"/>
      <c r="Q18" s="302"/>
      <c r="S18" s="66" t="s">
        <v>96</v>
      </c>
      <c r="T18" s="109" t="s">
        <v>58</v>
      </c>
      <c r="U18" s="109" t="s">
        <v>100</v>
      </c>
      <c r="V18" s="109" t="s">
        <v>59</v>
      </c>
      <c r="W18" s="109" t="s">
        <v>60</v>
      </c>
      <c r="X18" s="109" t="s">
        <v>62</v>
      </c>
      <c r="Y18" s="109" t="s">
        <v>61</v>
      </c>
      <c r="Z18" s="109" t="s">
        <v>63</v>
      </c>
      <c r="AA18" s="109" t="s">
        <v>64</v>
      </c>
      <c r="AB18" s="109" t="s">
        <v>65</v>
      </c>
    </row>
    <row r="19" spans="1:29" outlineLevel="1" x14ac:dyDescent="0.15">
      <c r="A19" s="66"/>
      <c r="B19" s="73" t="s">
        <v>88</v>
      </c>
      <c r="C19" s="169">
        <f t="shared" ref="C19:K19" si="6">SUM(C7:C18)</f>
        <v>5061724.7364932271</v>
      </c>
      <c r="D19" s="169">
        <f t="shared" si="6"/>
        <v>9055896.8428531848</v>
      </c>
      <c r="E19" s="169">
        <f t="shared" si="6"/>
        <v>14117884.314888006</v>
      </c>
      <c r="F19" s="169">
        <f t="shared" si="6"/>
        <v>4056143.965721997</v>
      </c>
      <c r="G19" s="169">
        <f t="shared" si="6"/>
        <v>2208818.4373791539</v>
      </c>
      <c r="H19" s="169">
        <f t="shared" si="6"/>
        <v>612389.91921362199</v>
      </c>
      <c r="I19" s="169">
        <f t="shared" si="6"/>
        <v>3206491.2894361387</v>
      </c>
      <c r="J19" s="169">
        <f t="shared" si="6"/>
        <v>1248617.7039125396</v>
      </c>
      <c r="K19" s="169">
        <f t="shared" si="6"/>
        <v>3852212.2905882336</v>
      </c>
      <c r="N19" s="302"/>
      <c r="O19" s="302"/>
      <c r="P19" s="302"/>
      <c r="Q19" s="302"/>
      <c r="S19" s="66" t="s">
        <v>102</v>
      </c>
      <c r="T19" s="645">
        <f t="shared" ref="T19:AA19" si="7">C39+C40+C41+C48</f>
        <v>94.952971170992015</v>
      </c>
      <c r="U19" s="645">
        <f t="shared" si="7"/>
        <v>139.2446124948429</v>
      </c>
      <c r="V19" s="645">
        <f t="shared" si="7"/>
        <v>234.21525931861623</v>
      </c>
      <c r="W19" s="645">
        <f t="shared" si="7"/>
        <v>56.484169664785654</v>
      </c>
      <c r="X19" s="645">
        <f t="shared" si="7"/>
        <v>32.246037216008411</v>
      </c>
      <c r="Y19" s="645">
        <f t="shared" si="7"/>
        <v>7.3302688498666155</v>
      </c>
      <c r="Z19" s="645">
        <f t="shared" si="7"/>
        <v>44.009626426802775</v>
      </c>
      <c r="AA19" s="645">
        <f t="shared" si="7"/>
        <v>20.014049134546863</v>
      </c>
      <c r="AB19" s="645">
        <f>K39+K40+K41+K48</f>
        <v>40.522948303462783</v>
      </c>
    </row>
    <row r="20" spans="1:29" outlineLevel="1" x14ac:dyDescent="0.15">
      <c r="A20" s="66"/>
      <c r="B20" s="82"/>
      <c r="C20" s="114"/>
      <c r="D20" s="114"/>
      <c r="E20" s="114"/>
      <c r="F20" s="114"/>
      <c r="G20" s="114"/>
      <c r="H20" s="114"/>
      <c r="I20" s="114"/>
      <c r="J20" s="114"/>
      <c r="K20" s="114"/>
      <c r="N20" s="302"/>
      <c r="O20" s="302"/>
      <c r="P20" s="302"/>
      <c r="Q20" s="302"/>
      <c r="S20" s="66" t="s">
        <v>104</v>
      </c>
      <c r="T20" s="645">
        <f t="shared" ref="T20:AB20" si="8">C42+C44+C45+C46+C47+C49+C50</f>
        <v>5.5714590000000008</v>
      </c>
      <c r="U20" s="645">
        <f t="shared" si="8"/>
        <v>10.033695</v>
      </c>
      <c r="V20" s="645">
        <f t="shared" si="8"/>
        <v>15.605153999999999</v>
      </c>
      <c r="W20" s="645">
        <f t="shared" si="8"/>
        <v>4.8129230000000005</v>
      </c>
      <c r="X20" s="645">
        <f t="shared" si="8"/>
        <v>2.4503140000000001</v>
      </c>
      <c r="Y20" s="645">
        <f t="shared" si="8"/>
        <v>0.58956600000000003</v>
      </c>
      <c r="Z20" s="645">
        <f t="shared" si="8"/>
        <v>3.781533</v>
      </c>
      <c r="AA20" s="645">
        <f t="shared" si="8"/>
        <v>1.4419859999999998</v>
      </c>
      <c r="AB20" s="645">
        <f t="shared" si="8"/>
        <v>4.0939649999999999</v>
      </c>
    </row>
    <row r="21" spans="1:29" outlineLevel="1" x14ac:dyDescent="0.15">
      <c r="A21" s="66"/>
      <c r="B21" s="82" t="s">
        <v>116</v>
      </c>
      <c r="C21" s="66"/>
      <c r="D21" s="66"/>
      <c r="E21" s="66"/>
      <c r="F21" s="66"/>
      <c r="G21" s="66"/>
      <c r="H21" s="66"/>
      <c r="I21" s="66"/>
      <c r="J21" s="66"/>
      <c r="K21" s="66"/>
      <c r="N21" s="302"/>
      <c r="O21" s="302"/>
      <c r="P21" s="302"/>
      <c r="Q21" s="302"/>
      <c r="S21" s="66" t="s">
        <v>106</v>
      </c>
      <c r="T21" s="645">
        <f t="shared" ref="T21:AB21" si="9">C43</f>
        <v>1.0424020000000001</v>
      </c>
      <c r="U21" s="645">
        <f t="shared" si="9"/>
        <v>0.72626099999999993</v>
      </c>
      <c r="V21" s="645">
        <f t="shared" si="9"/>
        <v>1.7686630000000001</v>
      </c>
      <c r="W21" s="645">
        <f t="shared" si="9"/>
        <v>8.970199999999999E-2</v>
      </c>
      <c r="X21" s="645">
        <f t="shared" si="9"/>
        <v>5.5022000000000008E-2</v>
      </c>
      <c r="Y21" s="645">
        <f t="shared" si="9"/>
        <v>7.3349999999999995E-3</v>
      </c>
      <c r="Z21" s="645">
        <f t="shared" si="9"/>
        <v>5.7085999999999998E-2</v>
      </c>
      <c r="AA21" s="645">
        <f t="shared" si="9"/>
        <v>1.9438999999999998E-2</v>
      </c>
      <c r="AB21" s="645">
        <f t="shared" si="9"/>
        <v>4.2253999999999986E-2</v>
      </c>
    </row>
    <row r="22" spans="1:29" outlineLevel="1" x14ac:dyDescent="0.15">
      <c r="A22" s="66"/>
      <c r="B22" s="109" t="s">
        <v>99</v>
      </c>
      <c r="C22" s="109" t="s">
        <v>58</v>
      </c>
      <c r="D22" s="109" t="s">
        <v>100</v>
      </c>
      <c r="E22" s="109" t="s">
        <v>59</v>
      </c>
      <c r="F22" s="109" t="s">
        <v>60</v>
      </c>
      <c r="G22" s="109" t="s">
        <v>62</v>
      </c>
      <c r="H22" s="109" t="s">
        <v>61</v>
      </c>
      <c r="I22" s="109" t="s">
        <v>63</v>
      </c>
      <c r="J22" s="109" t="s">
        <v>64</v>
      </c>
      <c r="K22" s="109" t="s">
        <v>65</v>
      </c>
      <c r="N22" s="302"/>
      <c r="O22" s="302"/>
      <c r="P22" s="302"/>
      <c r="Q22" s="302"/>
    </row>
    <row r="23" spans="1:29" outlineLevel="1" x14ac:dyDescent="0.15">
      <c r="A23" s="66"/>
      <c r="B23" s="72" t="s">
        <v>101</v>
      </c>
      <c r="C23" s="122">
        <f>'Onroad Data'!C39</f>
        <v>20.250292000000002</v>
      </c>
      <c r="D23" s="122">
        <f>'Onroad Data'!D39</f>
        <v>32.715407999999996</v>
      </c>
      <c r="E23" s="122">
        <f>'Onroad Data'!E39</f>
        <v>52.965699999999998</v>
      </c>
      <c r="F23" s="122">
        <f>'Onroad Data'!F39</f>
        <v>15.733565000000002</v>
      </c>
      <c r="G23" s="122">
        <f>'Onroad Data'!G39</f>
        <v>7.897793000000001</v>
      </c>
      <c r="H23" s="122">
        <f>'Onroad Data'!H39</f>
        <v>1.806794</v>
      </c>
      <c r="I23" s="122">
        <f>'Onroad Data'!I39</f>
        <v>11.874766999999999</v>
      </c>
      <c r="J23" s="122">
        <f>'Onroad Data'!J39</f>
        <v>4.3918509999999991</v>
      </c>
      <c r="K23" s="122">
        <f>'Onroad Data'!K39</f>
        <v>10.677554000000001</v>
      </c>
      <c r="N23" s="302"/>
      <c r="O23" s="302"/>
      <c r="P23" s="302"/>
      <c r="Q23" s="302"/>
    </row>
    <row r="24" spans="1:29" outlineLevel="1" x14ac:dyDescent="0.15">
      <c r="A24" s="66"/>
      <c r="B24" s="72" t="s">
        <v>103</v>
      </c>
      <c r="C24" s="650">
        <f>'Onroad Data'!C98</f>
        <v>140.56436097468656</v>
      </c>
      <c r="D24" s="650">
        <f>'Onroad Data'!D98</f>
        <v>180.27948503842333</v>
      </c>
      <c r="E24" s="650">
        <f>'Onroad Data'!E98</f>
        <v>320.85404108868181</v>
      </c>
      <c r="F24" s="650">
        <f>'Onroad Data'!F98</f>
        <v>69.737101615869364</v>
      </c>
      <c r="G24" s="650">
        <f>'Onroad Data'!G98</f>
        <v>39.064365925104504</v>
      </c>
      <c r="H24" s="650">
        <f>'Onroad Data'!H98</f>
        <v>9.8604902853934782</v>
      </c>
      <c r="I24" s="650">
        <f>'Onroad Data'!I98</f>
        <v>52.988444254687344</v>
      </c>
      <c r="J24" s="650">
        <f>'Onroad Data'!J98</f>
        <v>23.449651734821185</v>
      </c>
      <c r="K24" s="650">
        <f>'Onroad Data'!K98</f>
        <v>55.313188856936947</v>
      </c>
      <c r="N24" s="302"/>
      <c r="O24" s="302"/>
      <c r="P24" s="302"/>
      <c r="Q24" s="302"/>
      <c r="S24" s="66" t="s">
        <v>117</v>
      </c>
      <c r="T24" s="109" t="s">
        <v>58</v>
      </c>
      <c r="U24" s="109" t="s">
        <v>100</v>
      </c>
      <c r="V24" s="109" t="s">
        <v>59</v>
      </c>
      <c r="W24" s="109" t="s">
        <v>60</v>
      </c>
      <c r="X24" s="109" t="s">
        <v>62</v>
      </c>
      <c r="Y24" s="109" t="s">
        <v>61</v>
      </c>
      <c r="Z24" s="109" t="s">
        <v>63</v>
      </c>
      <c r="AA24" s="109" t="s">
        <v>64</v>
      </c>
      <c r="AB24" s="109" t="s">
        <v>65</v>
      </c>
    </row>
    <row r="25" spans="1:29" outlineLevel="1" x14ac:dyDescent="0.15">
      <c r="A25" s="66"/>
      <c r="B25" s="72" t="s">
        <v>105</v>
      </c>
      <c r="C25" s="650">
        <f>'Onroad Data'!C99</f>
        <v>131.63346169350808</v>
      </c>
      <c r="D25" s="650">
        <f>'Onroad Data'!D99</f>
        <v>203.14710147859253</v>
      </c>
      <c r="E25" s="650">
        <f>'Onroad Data'!E99</f>
        <v>334.82490305520901</v>
      </c>
      <c r="F25" s="650">
        <f>'Onroad Data'!F99</f>
        <v>86.03255586105935</v>
      </c>
      <c r="G25" s="650">
        <f>'Onroad Data'!G99</f>
        <v>54.755554965145969</v>
      </c>
      <c r="H25" s="650">
        <f>'Onroad Data'!H99</f>
        <v>13.178733719125969</v>
      </c>
      <c r="I25" s="650">
        <f>'Onroad Data'!I99</f>
        <v>71.793145991355317</v>
      </c>
      <c r="J25" s="650">
        <f>'Onroad Data'!J99</f>
        <v>34.833391334653975</v>
      </c>
      <c r="K25" s="650">
        <f>'Onroad Data'!K99</f>
        <v>73.508598310861004</v>
      </c>
      <c r="N25" s="302"/>
      <c r="O25" s="302"/>
      <c r="P25" s="302"/>
      <c r="Q25" s="302"/>
      <c r="S25" s="66" t="s">
        <v>102</v>
      </c>
      <c r="T25" s="645">
        <f>T7+(T13*CH4_GWP)+('On-road'!T19*Global_Warming_Potential_N2O)</f>
        <v>4076198.6017892491</v>
      </c>
      <c r="U25" s="645">
        <f>U7+(U13*CH4_GWP)+('On-road'!U19*Global_Warming_Potential_N2O)</f>
        <v>6554787.9435167955</v>
      </c>
      <c r="V25" s="645">
        <f>V7+(V13*CH4_GWP)+('On-road'!V19*Global_Warming_Potential_N2O)</f>
        <v>10631255.491874466</v>
      </c>
      <c r="W25" s="645">
        <f>W7+(W13*CH4_GWP)+('On-road'!W19*Global_Warming_Potential_N2O)</f>
        <v>3072523.973740519</v>
      </c>
      <c r="X25" s="645">
        <f>X7+(X13*CH4_GWP)+('On-road'!X19*Global_Warming_Potential_N2O)</f>
        <v>1573623.4259003231</v>
      </c>
      <c r="Y25" s="645">
        <f>Y7+(Y13*CH4_GWP)+('On-road'!Y19*Global_Warming_Potential_N2O)</f>
        <v>363248.77675496315</v>
      </c>
      <c r="Z25" s="645">
        <f>Z7+(Z13*CH4_GWP)+('On-road'!Z19*Global_Warming_Potential_N2O)</f>
        <v>2341731.4060561308</v>
      </c>
      <c r="AA25" s="645">
        <f>AA7+(AA13*CH4_GWP)+('On-road'!AA19*Global_Warming_Potential_N2O)</f>
        <v>881883.31988113991</v>
      </c>
      <c r="AB25" s="645">
        <f>AB7+(AB13*CH4_GWP)+('On-road'!AB19*Global_Warming_Potential_N2O)</f>
        <v>2112905.6066293498</v>
      </c>
    </row>
    <row r="26" spans="1:29" outlineLevel="1" x14ac:dyDescent="0.15">
      <c r="A26" s="66"/>
      <c r="B26" s="72" t="s">
        <v>107</v>
      </c>
      <c r="C26" s="122">
        <f>'Onroad Data'!C42</f>
        <v>5.6688070000000002</v>
      </c>
      <c r="D26" s="122">
        <f>'Onroad Data'!D42</f>
        <v>13.114400999999999</v>
      </c>
      <c r="E26" s="122">
        <f>'Onroad Data'!E42</f>
        <v>18.783207999999998</v>
      </c>
      <c r="F26" s="122">
        <f>'Onroad Data'!F42</f>
        <v>6.0303079999999998</v>
      </c>
      <c r="G26" s="122">
        <f>'Onroad Data'!G42</f>
        <v>3.4369390000000006</v>
      </c>
      <c r="H26" s="122">
        <f>'Onroad Data'!H42</f>
        <v>0.57478999999999991</v>
      </c>
      <c r="I26" s="122">
        <f>'Onroad Data'!I42</f>
        <v>4.5164759999999999</v>
      </c>
      <c r="J26" s="122">
        <f>'Onroad Data'!J42</f>
        <v>1.8021800000000006</v>
      </c>
      <c r="K26" s="122">
        <f>'Onroad Data'!K42</f>
        <v>3.7136750000000003</v>
      </c>
      <c r="N26" s="302"/>
      <c r="O26" s="302"/>
      <c r="P26" s="302"/>
      <c r="Q26" s="302"/>
      <c r="S26" s="66" t="s">
        <v>104</v>
      </c>
      <c r="T26" s="645">
        <f>T8+(T14*CH4_GWP)+('On-road'!T20*Global_Warming_Potential_N2O)</f>
        <v>932471.75382899994</v>
      </c>
      <c r="U26" s="645">
        <f>U8+(U14*CH4_GWP)+('On-road'!U20*Global_Warming_Potential_N2O)</f>
        <v>2526883.8504450005</v>
      </c>
      <c r="V26" s="645">
        <f>V8+(V14*CH4_GWP)+('On-road'!V20*Global_Warming_Potential_N2O)</f>
        <v>3459355.604274</v>
      </c>
      <c r="W26" s="645">
        <f>W8+(W14*CH4_GWP)+('On-road'!W20*Global_Warming_Potential_N2O)</f>
        <v>1003641.9222489999</v>
      </c>
      <c r="X26" s="645">
        <f>X8+(X14*CH4_GWP)+('On-road'!X20*Global_Warming_Potential_N2O)</f>
        <v>646398.38670199993</v>
      </c>
      <c r="Y26" s="645">
        <f>Y8+(Y14*CH4_GWP)+('On-road'!Y20*Global_Warming_Potential_N2O)</f>
        <v>252126.80669800003</v>
      </c>
      <c r="Z26" s="645">
        <f>Z8+(Z14*CH4_GWP)+('On-road'!Z20*Global_Warming_Potential_N2O)</f>
        <v>880816.85953299981</v>
      </c>
      <c r="AA26" s="645">
        <f>AA8+(AA14*CH4_GWP)+('On-road'!AA20*Global_Warming_Potential_N2O)</f>
        <v>374316.37981900002</v>
      </c>
      <c r="AB26" s="645">
        <f>AB8+(AB14*CH4_GWP)+('On-road'!AB20*Global_Warming_Potential_N2O)</f>
        <v>1755594.6668019993</v>
      </c>
    </row>
    <row r="27" spans="1:29" outlineLevel="1" x14ac:dyDescent="0.15">
      <c r="A27" s="66"/>
      <c r="B27" s="72" t="s">
        <v>108</v>
      </c>
      <c r="C27" s="122">
        <f>'Onroad Data'!C43</f>
        <v>47.547792999999999</v>
      </c>
      <c r="D27" s="122">
        <f>'Onroad Data'!D43</f>
        <v>19.062296999999997</v>
      </c>
      <c r="E27" s="122">
        <f>'Onroad Data'!E43</f>
        <v>66.61009</v>
      </c>
      <c r="F27" s="122">
        <f>'Onroad Data'!F43</f>
        <v>2.0145019999999998</v>
      </c>
      <c r="G27" s="122">
        <f>'Onroad Data'!G43</f>
        <v>1.1803939999999999</v>
      </c>
      <c r="H27" s="122">
        <f>'Onroad Data'!H43</f>
        <v>2.2949999999999995E-2</v>
      </c>
      <c r="I27" s="122">
        <f>'Onroad Data'!I43</f>
        <v>1.066265</v>
      </c>
      <c r="J27" s="122">
        <f>'Onroad Data'!J43</f>
        <v>0.19281200000000001</v>
      </c>
      <c r="K27" s="122">
        <f>'Onroad Data'!K43</f>
        <v>0.60812700000000008</v>
      </c>
      <c r="N27" s="302"/>
      <c r="O27" s="302"/>
      <c r="P27" s="302"/>
      <c r="Q27" s="302"/>
      <c r="S27" s="66" t="s">
        <v>106</v>
      </c>
      <c r="T27" s="645">
        <f>T9+(T15*CH4_GWP)+('On-road'!T21*Global_Warming_Potential_N2O)</f>
        <v>90874.818002999993</v>
      </c>
      <c r="U27" s="645">
        <f>U9+(U15*CH4_GWP)+('On-road'!U21*Global_Warming_Potential_N2O)</f>
        <v>28476.383965000008</v>
      </c>
      <c r="V27" s="645">
        <f>V9+(V15*CH4_GWP)+('On-road'!V21*Global_Warming_Potential_N2O)</f>
        <v>119351.20196800001</v>
      </c>
      <c r="W27" s="645">
        <f>W9+(W15*CH4_GWP)+('On-road'!W21*Global_Warming_Potential_N2O)</f>
        <v>2489.0945559999996</v>
      </c>
      <c r="X27" s="645">
        <f>X9+(X15*CH4_GWP)+('On-road'!X21*Global_Warming_Potential_N2O)</f>
        <v>1433.2455840000002</v>
      </c>
      <c r="Y27" s="645">
        <f>Y9+(Y15*CH4_GWP)+('On-road'!Y21*Global_Warming_Potential_N2O)</f>
        <v>11.213487000000001</v>
      </c>
      <c r="Z27" s="645">
        <f>Z9+(Z15*CH4_GWP)+('On-road'!Z21*Global_Warming_Potential_N2O)</f>
        <v>1431.393568</v>
      </c>
      <c r="AA27" s="645">
        <f>AA9+(AA15*CH4_GWP)+('On-road'!AA21*Global_Warming_Potential_N2O)</f>
        <v>239.53171999999998</v>
      </c>
      <c r="AB27" s="645">
        <f>AB9+(AB15*CH4_GWP)+('On-road'!AB21*Global_Warming_Potential_N2O)</f>
        <v>785.05880100000013</v>
      </c>
    </row>
    <row r="28" spans="1:29" outlineLevel="1" x14ac:dyDescent="0.15">
      <c r="A28" s="66"/>
      <c r="B28" s="72" t="s">
        <v>109</v>
      </c>
      <c r="C28" s="122">
        <f>'Onroad Data'!C44</f>
        <v>0.84178600000000003</v>
      </c>
      <c r="D28" s="122">
        <f>'Onroad Data'!D44</f>
        <v>1.6445830000000004</v>
      </c>
      <c r="E28" s="122">
        <f>'Onroad Data'!E44</f>
        <v>2.4863690000000003</v>
      </c>
      <c r="F28" s="122">
        <f>'Onroad Data'!F44</f>
        <v>0.93264200000000008</v>
      </c>
      <c r="G28" s="122">
        <f>'Onroad Data'!G44</f>
        <v>0.35907</v>
      </c>
      <c r="H28" s="122">
        <f>'Onroad Data'!H44</f>
        <v>4.9717000000000004E-2</v>
      </c>
      <c r="I28" s="122">
        <f>'Onroad Data'!I44</f>
        <v>0.50843899999999997</v>
      </c>
      <c r="J28" s="122">
        <f>'Onroad Data'!J44</f>
        <v>0.18189600000000003</v>
      </c>
      <c r="K28" s="122">
        <f>'Onroad Data'!K44</f>
        <v>0.66114799999999985</v>
      </c>
      <c r="N28" s="302"/>
      <c r="O28" s="302"/>
      <c r="P28" s="302"/>
      <c r="Q28" s="302"/>
    </row>
    <row r="29" spans="1:29" outlineLevel="1" x14ac:dyDescent="0.15">
      <c r="A29" s="66"/>
      <c r="B29" s="72" t="s">
        <v>110</v>
      </c>
      <c r="C29" s="122">
        <f>'Onroad Data'!C45</f>
        <v>0.17913899999999999</v>
      </c>
      <c r="D29" s="122">
        <f>'Onroad Data'!D45</f>
        <v>0.52403500000000003</v>
      </c>
      <c r="E29" s="122">
        <f>'Onroad Data'!E45</f>
        <v>0.70317399999999997</v>
      </c>
      <c r="F29" s="122">
        <f>'Onroad Data'!F45</f>
        <v>8.7290000000000006E-3</v>
      </c>
      <c r="G29" s="122">
        <f>'Onroad Data'!G45</f>
        <v>1.1721999999999998E-2</v>
      </c>
      <c r="H29" s="122">
        <f>'Onroad Data'!H45</f>
        <v>7.6957000000000012E-2</v>
      </c>
      <c r="I29" s="122">
        <f>'Onroad Data'!I45</f>
        <v>8.649999999999998E-3</v>
      </c>
      <c r="J29" s="122">
        <f>'Onroad Data'!J45</f>
        <v>0.32263299999999995</v>
      </c>
      <c r="K29" s="122">
        <f>'Onroad Data'!K45</f>
        <v>9.7804999999999975E-2</v>
      </c>
      <c r="N29" s="302"/>
      <c r="O29" s="302"/>
      <c r="P29" s="302"/>
      <c r="Q29" s="302"/>
    </row>
    <row r="30" spans="1:29" outlineLevel="1" x14ac:dyDescent="0.15">
      <c r="A30" s="66"/>
      <c r="B30" s="72" t="s">
        <v>111</v>
      </c>
      <c r="C30" s="122">
        <f>'Onroad Data'!C46</f>
        <v>22.368078000000001</v>
      </c>
      <c r="D30" s="122">
        <f>'Onroad Data'!D46</f>
        <v>26.834275999999999</v>
      </c>
      <c r="E30" s="122">
        <f>'Onroad Data'!E46</f>
        <v>49.202354</v>
      </c>
      <c r="F30" s="122">
        <f>'Onroad Data'!F46</f>
        <v>13.440757999999999</v>
      </c>
      <c r="G30" s="122">
        <f>'Onroad Data'!G46</f>
        <v>5.7712089999999998</v>
      </c>
      <c r="H30" s="122">
        <f>'Onroad Data'!H46</f>
        <v>1.5362150000000001</v>
      </c>
      <c r="I30" s="122">
        <f>'Onroad Data'!I46</f>
        <v>11.341687</v>
      </c>
      <c r="J30" s="122">
        <f>'Onroad Data'!J46</f>
        <v>3.7238069999999999</v>
      </c>
      <c r="K30" s="122">
        <f>'Onroad Data'!K46</f>
        <v>8.2409940000000024</v>
      </c>
      <c r="N30" s="302"/>
      <c r="O30" s="302"/>
      <c r="P30" s="302"/>
      <c r="Q30" s="302"/>
      <c r="S30" s="66" t="s">
        <v>118</v>
      </c>
      <c r="T30" s="109" t="s">
        <v>58</v>
      </c>
      <c r="U30" s="109" t="s">
        <v>100</v>
      </c>
      <c r="V30" s="109" t="s">
        <v>59</v>
      </c>
      <c r="W30" s="109" t="s">
        <v>60</v>
      </c>
      <c r="X30" s="109" t="s">
        <v>62</v>
      </c>
      <c r="Y30" s="109" t="s">
        <v>61</v>
      </c>
      <c r="Z30" s="109" t="s">
        <v>63</v>
      </c>
      <c r="AA30" s="109" t="s">
        <v>64</v>
      </c>
      <c r="AB30" s="109" t="s">
        <v>65</v>
      </c>
    </row>
    <row r="31" spans="1:29" outlineLevel="1" x14ac:dyDescent="0.15">
      <c r="A31" s="66"/>
      <c r="B31" s="72" t="s">
        <v>112</v>
      </c>
      <c r="C31" s="122">
        <f>'Onroad Data'!C47</f>
        <v>7.5928490000000002</v>
      </c>
      <c r="D31" s="122">
        <f>'Onroad Data'!D47</f>
        <v>6.5066299999999995</v>
      </c>
      <c r="E31" s="122">
        <f>'Onroad Data'!E47</f>
        <v>14.099478999999999</v>
      </c>
      <c r="F31" s="122">
        <f>'Onroad Data'!F47</f>
        <v>16.251318000000001</v>
      </c>
      <c r="G31" s="122">
        <f>'Onroad Data'!G47</f>
        <v>1.4530849999999997</v>
      </c>
      <c r="H31" s="122">
        <f>'Onroad Data'!H47</f>
        <v>0.95695000000000008</v>
      </c>
      <c r="I31" s="122">
        <f>'Onroad Data'!I47</f>
        <v>6.1032840000000004</v>
      </c>
      <c r="J31" s="122">
        <f>'Onroad Data'!J47</f>
        <v>2.4427249999999989</v>
      </c>
      <c r="K31" s="122">
        <f>'Onroad Data'!K47</f>
        <v>7.3075669999999997</v>
      </c>
      <c r="N31" s="302"/>
      <c r="O31" s="302"/>
      <c r="P31" s="302"/>
      <c r="Q31" s="302"/>
      <c r="S31" s="66" t="s">
        <v>102</v>
      </c>
      <c r="T31" s="645">
        <f>T25+L72</f>
        <v>4083059.0478978958</v>
      </c>
      <c r="U31" s="645">
        <f>U25+L73</f>
        <v>6562258.2734086504</v>
      </c>
      <c r="V31" s="645">
        <f>V25+L71</f>
        <v>10645586.267874967</v>
      </c>
      <c r="W31" s="645">
        <f>W25+L74</f>
        <v>3080009.2426553317</v>
      </c>
      <c r="X31" s="645">
        <f>X25+L75</f>
        <v>1574975.1706483543</v>
      </c>
      <c r="Y31" s="645">
        <f>Y25+L76</f>
        <v>363487.81490034546</v>
      </c>
      <c r="Z31" s="645">
        <f>Z25+L77</f>
        <v>2346777.9328061282</v>
      </c>
      <c r="AA31" s="645">
        <f>AA25+L78</f>
        <v>882540.21623283171</v>
      </c>
      <c r="AB31" s="645">
        <f>AB25+L79</f>
        <v>2114755.1942946776</v>
      </c>
      <c r="AC31" s="645">
        <f>SUM(V31:AB31)</f>
        <v>21008131.839412637</v>
      </c>
    </row>
    <row r="32" spans="1:29" outlineLevel="1" x14ac:dyDescent="0.15">
      <c r="A32" s="66"/>
      <c r="B32" s="72" t="s">
        <v>113</v>
      </c>
      <c r="C32" s="122">
        <f>'Onroad Data'!C48</f>
        <v>0.27587099999999998</v>
      </c>
      <c r="D32" s="122">
        <f>'Onroad Data'!D48</f>
        <v>0.34013800000000005</v>
      </c>
      <c r="E32" s="122">
        <f>'Onroad Data'!E48</f>
        <v>0.61600900000000003</v>
      </c>
      <c r="F32" s="122">
        <f>'Onroad Data'!F48</f>
        <v>0.37495799999999996</v>
      </c>
      <c r="G32" s="122">
        <f>'Onroad Data'!G48</f>
        <v>0.16145999999999996</v>
      </c>
      <c r="H32" s="122">
        <f>'Onroad Data'!H48</f>
        <v>0.15951100000000001</v>
      </c>
      <c r="I32" s="122">
        <f>'Onroad Data'!I48</f>
        <v>0.48378100000000007</v>
      </c>
      <c r="J32" s="122">
        <f>'Onroad Data'!J48</f>
        <v>0.436164</v>
      </c>
      <c r="K32" s="122">
        <f>'Onroad Data'!K48</f>
        <v>0.472887</v>
      </c>
      <c r="N32" s="302"/>
      <c r="O32" s="302"/>
      <c r="P32" s="302"/>
      <c r="Q32" s="302"/>
      <c r="S32" s="66" t="s">
        <v>104</v>
      </c>
      <c r="T32" s="645">
        <f t="shared" ref="T32:AB33" si="10">T26</f>
        <v>932471.75382899994</v>
      </c>
      <c r="U32" s="645">
        <f t="shared" si="10"/>
        <v>2526883.8504450005</v>
      </c>
      <c r="V32" s="645">
        <f t="shared" si="10"/>
        <v>3459355.604274</v>
      </c>
      <c r="W32" s="645">
        <f t="shared" si="10"/>
        <v>1003641.9222489999</v>
      </c>
      <c r="X32" s="645">
        <f t="shared" si="10"/>
        <v>646398.38670199993</v>
      </c>
      <c r="Y32" s="645">
        <f t="shared" si="10"/>
        <v>252126.80669800003</v>
      </c>
      <c r="Z32" s="645">
        <f t="shared" si="10"/>
        <v>880816.85953299981</v>
      </c>
      <c r="AA32" s="645">
        <f t="shared" si="10"/>
        <v>374316.37981900002</v>
      </c>
      <c r="AB32" s="645">
        <f t="shared" si="10"/>
        <v>1755594.6668019993</v>
      </c>
      <c r="AC32" s="645">
        <f t="shared" ref="AC32:AC33" si="11">SUM(V32:AB32)</f>
        <v>8372250.6260769991</v>
      </c>
    </row>
    <row r="33" spans="1:29" outlineLevel="1" x14ac:dyDescent="0.15">
      <c r="A33" s="66"/>
      <c r="B33" s="72" t="s">
        <v>114</v>
      </c>
      <c r="C33" s="122">
        <f>'Onroad Data'!C49</f>
        <v>7.4267E-2</v>
      </c>
      <c r="D33" s="122">
        <f>'Onroad Data'!D49</f>
        <v>0.32078100000000004</v>
      </c>
      <c r="E33" s="122">
        <f>'Onroad Data'!E49</f>
        <v>0.39504800000000007</v>
      </c>
      <c r="F33" s="122">
        <f>'Onroad Data'!F49</f>
        <v>0.27296799999999999</v>
      </c>
      <c r="G33" s="122">
        <f>'Onroad Data'!G49</f>
        <v>0.50851000000000013</v>
      </c>
      <c r="H33" s="122">
        <f>'Onroad Data'!H49</f>
        <v>0.36561700000000003</v>
      </c>
      <c r="I33" s="122">
        <f>'Onroad Data'!I49</f>
        <v>0.17395899999999997</v>
      </c>
      <c r="J33" s="122">
        <f>'Onroad Data'!J49</f>
        <v>0.31840000000000007</v>
      </c>
      <c r="K33" s="122">
        <f>'Onroad Data'!K49</f>
        <v>3.8536349999999997</v>
      </c>
      <c r="N33" s="302"/>
      <c r="O33" s="302"/>
      <c r="P33" s="302"/>
      <c r="Q33" s="302"/>
      <c r="S33" s="66" t="s">
        <v>106</v>
      </c>
      <c r="T33" s="645">
        <f t="shared" si="10"/>
        <v>90874.818002999993</v>
      </c>
      <c r="U33" s="645">
        <f t="shared" si="10"/>
        <v>28476.383965000008</v>
      </c>
      <c r="V33" s="645">
        <f t="shared" si="10"/>
        <v>119351.20196800001</v>
      </c>
      <c r="W33" s="645">
        <f t="shared" si="10"/>
        <v>2489.0945559999996</v>
      </c>
      <c r="X33" s="645">
        <f t="shared" si="10"/>
        <v>1433.2455840000002</v>
      </c>
      <c r="Y33" s="645">
        <f t="shared" si="10"/>
        <v>11.213487000000001</v>
      </c>
      <c r="Z33" s="645">
        <f t="shared" si="10"/>
        <v>1431.393568</v>
      </c>
      <c r="AA33" s="645">
        <f t="shared" si="10"/>
        <v>239.53171999999998</v>
      </c>
      <c r="AB33" s="645">
        <f t="shared" si="10"/>
        <v>785.05880100000013</v>
      </c>
      <c r="AC33" s="645">
        <f t="shared" si="11"/>
        <v>125740.73968400001</v>
      </c>
    </row>
    <row r="34" spans="1:29" outlineLevel="1" x14ac:dyDescent="0.15">
      <c r="A34" s="66"/>
      <c r="B34" s="72" t="s">
        <v>115</v>
      </c>
      <c r="C34" s="122">
        <f>'Onroad Data'!C50</f>
        <v>12.475674</v>
      </c>
      <c r="D34" s="122">
        <f>'Onroad Data'!D50</f>
        <v>33.372450999999998</v>
      </c>
      <c r="E34" s="122">
        <f>'Onroad Data'!E50</f>
        <v>45.848124999999996</v>
      </c>
      <c r="F34" s="122">
        <f>'Onroad Data'!F50</f>
        <v>12.153602999999999</v>
      </c>
      <c r="G34" s="122">
        <f>'Onroad Data'!G50</f>
        <v>7.8108580000000005</v>
      </c>
      <c r="H34" s="122">
        <f>'Onroad Data'!H50</f>
        <v>3.4176219999999997</v>
      </c>
      <c r="I34" s="122">
        <f>'Onroad Data'!I50</f>
        <v>10.876269000000001</v>
      </c>
      <c r="J34" s="122">
        <f>'Onroad Data'!J50</f>
        <v>3.9947339999999989</v>
      </c>
      <c r="K34" s="122">
        <f>'Onroad Data'!K50</f>
        <v>22.629189</v>
      </c>
      <c r="N34" s="302"/>
      <c r="O34" s="302"/>
      <c r="P34" s="302"/>
      <c r="Q34" s="302"/>
    </row>
    <row r="35" spans="1:29" outlineLevel="1" x14ac:dyDescent="0.15">
      <c r="A35" s="66"/>
      <c r="B35" s="73" t="s">
        <v>88</v>
      </c>
      <c r="C35" s="169">
        <f t="shared" ref="C35:K35" si="12">SUM(C23:C34)</f>
        <v>389.47237866819478</v>
      </c>
      <c r="D35" s="169">
        <f t="shared" si="12"/>
        <v>517.86158651701589</v>
      </c>
      <c r="E35" s="169">
        <f t="shared" si="12"/>
        <v>907.38850014389061</v>
      </c>
      <c r="F35" s="169">
        <f t="shared" si="12"/>
        <v>222.98300847692866</v>
      </c>
      <c r="G35" s="169">
        <f t="shared" si="12"/>
        <v>122.41096089025049</v>
      </c>
      <c r="H35" s="169">
        <f t="shared" si="12"/>
        <v>32.006347004519448</v>
      </c>
      <c r="I35" s="169">
        <f t="shared" si="12"/>
        <v>171.73516724604266</v>
      </c>
      <c r="J35" s="169">
        <f t="shared" si="12"/>
        <v>76.090245069475145</v>
      </c>
      <c r="K35" s="169">
        <f t="shared" si="12"/>
        <v>187.08436816779792</v>
      </c>
      <c r="N35" s="302"/>
      <c r="O35" s="302"/>
      <c r="P35" s="302"/>
      <c r="Q35" s="302"/>
    </row>
    <row r="36" spans="1:29" outlineLevel="1" x14ac:dyDescent="0.15">
      <c r="A36" s="66"/>
      <c r="B36" s="82"/>
      <c r="C36" s="114"/>
      <c r="D36" s="114"/>
      <c r="E36" s="114"/>
      <c r="F36" s="114"/>
      <c r="G36" s="114"/>
      <c r="H36" s="114"/>
      <c r="I36" s="114"/>
      <c r="J36" s="114"/>
      <c r="K36" s="114"/>
      <c r="N36" s="302"/>
      <c r="O36" s="302"/>
      <c r="P36" s="302"/>
      <c r="Q36" s="302"/>
    </row>
    <row r="37" spans="1:29" outlineLevel="1" x14ac:dyDescent="0.15">
      <c r="A37" s="66"/>
      <c r="B37" s="82" t="s">
        <v>119</v>
      </c>
      <c r="C37" s="66"/>
      <c r="D37" s="66"/>
      <c r="E37" s="66"/>
      <c r="F37" s="66"/>
      <c r="G37" s="66"/>
      <c r="H37" s="66"/>
      <c r="I37" s="66"/>
      <c r="J37" s="66"/>
      <c r="K37" s="66"/>
      <c r="N37" s="302"/>
      <c r="O37" s="302"/>
      <c r="P37" s="302"/>
      <c r="Q37" s="302"/>
      <c r="S37" s="66" t="s">
        <v>120</v>
      </c>
      <c r="T37" s="66">
        <v>2010</v>
      </c>
      <c r="U37" s="66">
        <v>2015</v>
      </c>
      <c r="V37" s="66">
        <v>2019</v>
      </c>
    </row>
    <row r="38" spans="1:29" outlineLevel="1" x14ac:dyDescent="0.15">
      <c r="A38" s="66"/>
      <c r="B38" s="109" t="s">
        <v>99</v>
      </c>
      <c r="C38" s="109" t="s">
        <v>58</v>
      </c>
      <c r="D38" s="109" t="s">
        <v>100</v>
      </c>
      <c r="E38" s="109" t="s">
        <v>59</v>
      </c>
      <c r="F38" s="109" t="s">
        <v>60</v>
      </c>
      <c r="G38" s="109" t="s">
        <v>62</v>
      </c>
      <c r="H38" s="109" t="s">
        <v>61</v>
      </c>
      <c r="I38" s="109" t="s">
        <v>63</v>
      </c>
      <c r="J38" s="109" t="s">
        <v>64</v>
      </c>
      <c r="K38" s="109" t="s">
        <v>65</v>
      </c>
      <c r="N38" s="302"/>
      <c r="O38" s="302"/>
      <c r="P38" s="302"/>
      <c r="Q38" s="302"/>
      <c r="S38" s="66" t="s">
        <v>121</v>
      </c>
      <c r="T38" s="645">
        <f>SUM(E157:K158)</f>
        <v>20941252.703057256</v>
      </c>
      <c r="U38" s="645">
        <f>SUM(E87:K88)</f>
        <v>20742136.252312336</v>
      </c>
      <c r="V38" s="645">
        <f>SUM(E8:K9)</f>
        <v>20491969.584531687</v>
      </c>
    </row>
    <row r="39" spans="1:29" outlineLevel="1" x14ac:dyDescent="0.15">
      <c r="A39" s="66"/>
      <c r="B39" s="72" t="s">
        <v>101</v>
      </c>
      <c r="C39" s="122">
        <f>'Onroad Data'!C57</f>
        <v>0.435726</v>
      </c>
      <c r="D39" s="122">
        <f>'Onroad Data'!D57</f>
        <v>0.65058399999999994</v>
      </c>
      <c r="E39" s="122">
        <f>'Onroad Data'!E57</f>
        <v>1.0863099999999999</v>
      </c>
      <c r="F39" s="122">
        <f>'Onroad Data'!F57</f>
        <v>0.31513600000000003</v>
      </c>
      <c r="G39" s="122">
        <f>'Onroad Data'!G57</f>
        <v>0.15800500000000001</v>
      </c>
      <c r="H39" s="122">
        <f>'Onroad Data'!H57</f>
        <v>3.7560999999999997E-2</v>
      </c>
      <c r="I39" s="122">
        <f>'Onroad Data'!I57</f>
        <v>0.23932900000000001</v>
      </c>
      <c r="J39" s="122">
        <f>'Onroad Data'!J57</f>
        <v>9.2742000000000019E-2</v>
      </c>
      <c r="K39" s="122">
        <f>'Onroad Data'!K57</f>
        <v>0.21135700000000002</v>
      </c>
      <c r="N39" s="302"/>
      <c r="O39" s="302"/>
      <c r="P39" s="302"/>
      <c r="Q39" s="302"/>
      <c r="S39" s="66" t="s">
        <v>122</v>
      </c>
      <c r="T39" s="645">
        <f>SUM(E170:K171)</f>
        <v>1255.9481261352266</v>
      </c>
      <c r="U39" s="645">
        <f>SUM(E100:K101)</f>
        <v>1040.8302973185821</v>
      </c>
      <c r="V39" s="645">
        <f>SUM(E24:K25)</f>
        <v>1240.1941669989053</v>
      </c>
    </row>
    <row r="40" spans="1:29" outlineLevel="1" x14ac:dyDescent="0.15">
      <c r="A40" s="66"/>
      <c r="B40" s="72" t="s">
        <v>103</v>
      </c>
      <c r="C40" s="650">
        <f>'Onroad Data'!C103</f>
        <v>42.869558334628053</v>
      </c>
      <c r="D40" s="650">
        <f>'Onroad Data'!D103</f>
        <v>56.662954085289336</v>
      </c>
      <c r="E40" s="650">
        <f>'Onroad Data'!E103</f>
        <v>99.535004978622624</v>
      </c>
      <c r="F40" s="650">
        <f>'Onroad Data'!F103</f>
        <v>21.501583234432868</v>
      </c>
      <c r="G40" s="650">
        <f>'Onroad Data'!G103</f>
        <v>11.399689116227814</v>
      </c>
      <c r="H40" s="650">
        <f>'Onroad Data'!H103</f>
        <v>2.6256080870361465</v>
      </c>
      <c r="I40" s="650">
        <f>'Onroad Data'!I103</f>
        <v>15.821080358765986</v>
      </c>
      <c r="J40" s="650">
        <f>'Onroad Data'!J103</f>
        <v>6.7847114207836299</v>
      </c>
      <c r="K40" s="650">
        <f>'Onroad Data'!K103</f>
        <v>14.623577889212768</v>
      </c>
      <c r="N40" s="302"/>
      <c r="O40" s="302"/>
      <c r="P40" s="302"/>
      <c r="Q40" s="302"/>
      <c r="S40" s="66" t="s">
        <v>123</v>
      </c>
      <c r="T40" s="645">
        <f>SUM(E183:K184)</f>
        <v>1275.6365102291036</v>
      </c>
      <c r="U40" s="645">
        <f>SUM(E113:K114)</f>
        <v>704.72789690697948</v>
      </c>
      <c r="V40" s="645">
        <f>SUM(E40:K41)</f>
        <v>432.25061591408939</v>
      </c>
    </row>
    <row r="41" spans="1:29" outlineLevel="1" x14ac:dyDescent="0.15">
      <c r="A41" s="66"/>
      <c r="B41" s="72" t="s">
        <v>105</v>
      </c>
      <c r="C41" s="650">
        <f>'Onroad Data'!C104</f>
        <v>51.605016836363959</v>
      </c>
      <c r="D41" s="650">
        <f>'Onroad Data'!D104</f>
        <v>81.871272409553569</v>
      </c>
      <c r="E41" s="650">
        <f>'Onroad Data'!E104</f>
        <v>133.49147233999361</v>
      </c>
      <c r="F41" s="650">
        <f>'Onroad Data'!F104</f>
        <v>34.607016430352786</v>
      </c>
      <c r="G41" s="650">
        <f>'Onroad Data'!G104</f>
        <v>20.6615620997806</v>
      </c>
      <c r="H41" s="650">
        <f>'Onroad Data'!H104</f>
        <v>4.6427767628304695</v>
      </c>
      <c r="I41" s="650">
        <f>'Onroad Data'!I104</f>
        <v>27.875912068036794</v>
      </c>
      <c r="J41" s="650">
        <f>'Onroad Data'!J104</f>
        <v>13.069570713763232</v>
      </c>
      <c r="K41" s="650">
        <f>'Onroad Data'!K104</f>
        <v>25.611050414250016</v>
      </c>
      <c r="N41" s="302"/>
      <c r="O41" s="302"/>
      <c r="P41" s="302"/>
      <c r="Q41" s="302"/>
    </row>
    <row r="42" spans="1:29" outlineLevel="1" x14ac:dyDescent="0.15">
      <c r="A42" s="66"/>
      <c r="B42" s="72" t="s">
        <v>107</v>
      </c>
      <c r="C42" s="122">
        <f>'Onroad Data'!C60</f>
        <v>2.0829219999999999</v>
      </c>
      <c r="D42" s="122">
        <f>'Onroad Data'!D60</f>
        <v>5.134669999999999</v>
      </c>
      <c r="E42" s="122">
        <f>'Onroad Data'!E60</f>
        <v>7.2175919999999989</v>
      </c>
      <c r="F42" s="122">
        <f>'Onroad Data'!F60</f>
        <v>2.3075510000000001</v>
      </c>
      <c r="G42" s="122">
        <f>'Onroad Data'!G60</f>
        <v>1.2896240000000001</v>
      </c>
      <c r="H42" s="122">
        <f>'Onroad Data'!H60</f>
        <v>0.207648</v>
      </c>
      <c r="I42" s="122">
        <f>'Onroad Data'!I60</f>
        <v>1.706404</v>
      </c>
      <c r="J42" s="122">
        <f>'Onroad Data'!J60</f>
        <v>0.67056899999999975</v>
      </c>
      <c r="K42" s="122">
        <f>'Onroad Data'!K60</f>
        <v>1.3364999999999998</v>
      </c>
      <c r="N42" s="302"/>
      <c r="O42" s="302"/>
      <c r="P42" s="302"/>
      <c r="Q42" s="302"/>
      <c r="S42" s="66" t="s">
        <v>121</v>
      </c>
      <c r="T42" s="645">
        <f>T38</f>
        <v>20941252.703057256</v>
      </c>
      <c r="U42" s="645">
        <f t="shared" ref="U42:V42" si="13">U38</f>
        <v>20742136.252312336</v>
      </c>
      <c r="V42" s="645">
        <f t="shared" si="13"/>
        <v>20491969.584531687</v>
      </c>
    </row>
    <row r="43" spans="1:29" outlineLevel="1" x14ac:dyDescent="0.15">
      <c r="A43" s="66"/>
      <c r="B43" s="72" t="s">
        <v>108</v>
      </c>
      <c r="C43" s="122">
        <f>'Onroad Data'!C61</f>
        <v>1.0424020000000001</v>
      </c>
      <c r="D43" s="122">
        <f>'Onroad Data'!D61</f>
        <v>0.72626099999999993</v>
      </c>
      <c r="E43" s="122">
        <f>'Onroad Data'!E61</f>
        <v>1.7686630000000001</v>
      </c>
      <c r="F43" s="122">
        <f>'Onroad Data'!F61</f>
        <v>8.970199999999999E-2</v>
      </c>
      <c r="G43" s="122">
        <f>'Onroad Data'!G61</f>
        <v>5.5022000000000008E-2</v>
      </c>
      <c r="H43" s="122">
        <f>'Onroad Data'!H61</f>
        <v>7.3349999999999995E-3</v>
      </c>
      <c r="I43" s="122">
        <f>'Onroad Data'!I61</f>
        <v>5.7085999999999998E-2</v>
      </c>
      <c r="J43" s="122">
        <f>'Onroad Data'!J61</f>
        <v>1.9438999999999998E-2</v>
      </c>
      <c r="K43" s="122">
        <f>'Onroad Data'!K61</f>
        <v>4.2253999999999986E-2</v>
      </c>
      <c r="N43" s="302"/>
      <c r="O43" s="302"/>
      <c r="P43" s="302"/>
      <c r="Q43" s="302"/>
      <c r="S43" s="66" t="s">
        <v>122</v>
      </c>
      <c r="T43" s="111">
        <f>T39*CH4_GWP</f>
        <v>35166.547531786346</v>
      </c>
      <c r="U43" s="111">
        <f>U39*CH4_GWP</f>
        <v>29143.2483249203</v>
      </c>
      <c r="V43" s="111">
        <f>V39*CH4_GWP</f>
        <v>34725.436675969351</v>
      </c>
    </row>
    <row r="44" spans="1:29" outlineLevel="1" x14ac:dyDescent="0.15">
      <c r="A44" s="66"/>
      <c r="B44" s="72" t="s">
        <v>109</v>
      </c>
      <c r="C44" s="122">
        <f>'Onroad Data'!C62</f>
        <v>2.3633000000000001E-2</v>
      </c>
      <c r="D44" s="122">
        <f>'Onroad Data'!D62</f>
        <v>6.8786000000000014E-2</v>
      </c>
      <c r="E44" s="122">
        <f>'Onroad Data'!E62</f>
        <v>9.2419000000000015E-2</v>
      </c>
      <c r="F44" s="122">
        <f>'Onroad Data'!F62</f>
        <v>4.3468E-2</v>
      </c>
      <c r="G44" s="122">
        <f>'Onroad Data'!G62</f>
        <v>1.8383E-2</v>
      </c>
      <c r="H44" s="122">
        <f>'Onroad Data'!H62</f>
        <v>4.0489999999999996E-3</v>
      </c>
      <c r="I44" s="122">
        <f>'Onroad Data'!I62</f>
        <v>2.6804000000000001E-2</v>
      </c>
      <c r="J44" s="122">
        <f>'Onroad Data'!J62</f>
        <v>1.1487999999999996E-2</v>
      </c>
      <c r="K44" s="122">
        <f>'Onroad Data'!K62</f>
        <v>3.9016999999999996E-2</v>
      </c>
      <c r="N44" s="302"/>
      <c r="O44" s="302"/>
      <c r="P44" s="302"/>
      <c r="Q44" s="302"/>
      <c r="S44" s="66" t="s">
        <v>123</v>
      </c>
      <c r="T44" s="111">
        <f>T40*Global_Warming_Potential_N2O</f>
        <v>338043.67521071242</v>
      </c>
      <c r="U44" s="111">
        <f>U40*Global_Warming_Potential_N2O</f>
        <v>186752.89268034956</v>
      </c>
      <c r="V44" s="111">
        <f>V40*Global_Warming_Potential_N2O</f>
        <v>114546.41321723368</v>
      </c>
    </row>
    <row r="45" spans="1:29" outlineLevel="1" x14ac:dyDescent="0.15">
      <c r="A45" s="66"/>
      <c r="B45" s="72" t="s">
        <v>110</v>
      </c>
      <c r="C45" s="122">
        <f>'Onroad Data'!C63</f>
        <v>1.7240000000000001E-3</v>
      </c>
      <c r="D45" s="122">
        <f>'Onroad Data'!D63</f>
        <v>1.4019999999999998E-2</v>
      </c>
      <c r="E45" s="122">
        <f>'Onroad Data'!E63</f>
        <v>1.5743999999999998E-2</v>
      </c>
      <c r="F45" s="122">
        <f>'Onroad Data'!F63</f>
        <v>6.2599999999999993E-4</v>
      </c>
      <c r="G45" s="122">
        <f>'Onroad Data'!G63</f>
        <v>3.6499999999999998E-4</v>
      </c>
      <c r="H45" s="122">
        <f>'Onroad Data'!H63</f>
        <v>6.3000000000000003E-4</v>
      </c>
      <c r="I45" s="122">
        <f>'Onroad Data'!I63</f>
        <v>9.68E-4</v>
      </c>
      <c r="J45" s="122">
        <f>'Onroad Data'!J63</f>
        <v>2.5620000000000005E-3</v>
      </c>
      <c r="K45" s="122">
        <f>'Onroad Data'!K63</f>
        <v>1.1250000000000001E-3</v>
      </c>
      <c r="N45" s="302"/>
      <c r="O45" s="302"/>
      <c r="P45" s="302"/>
      <c r="Q45" s="302"/>
      <c r="S45" s="66" t="s">
        <v>124</v>
      </c>
      <c r="T45" s="283">
        <f>L220</f>
        <v>132.44259643435296</v>
      </c>
      <c r="U45" s="283">
        <f>L150</f>
        <v>9038.5231107655563</v>
      </c>
      <c r="V45" s="283">
        <f>L80</f>
        <v>30959.838575744343</v>
      </c>
    </row>
    <row r="46" spans="1:29" outlineLevel="1" x14ac:dyDescent="0.15">
      <c r="A46" s="66"/>
      <c r="B46" s="72" t="s">
        <v>111</v>
      </c>
      <c r="C46" s="122">
        <f>'Onroad Data'!C64</f>
        <v>2.2380960000000001</v>
      </c>
      <c r="D46" s="122">
        <f>'Onroad Data'!D64</f>
        <v>2.1614</v>
      </c>
      <c r="E46" s="122">
        <f>'Onroad Data'!E64</f>
        <v>4.3994960000000001</v>
      </c>
      <c r="F46" s="122">
        <f>'Onroad Data'!F64</f>
        <v>1.028143</v>
      </c>
      <c r="G46" s="122">
        <f>'Onroad Data'!G64</f>
        <v>0.56812300000000004</v>
      </c>
      <c r="H46" s="122">
        <f>'Onroad Data'!H64</f>
        <v>0.11961999999999999</v>
      </c>
      <c r="I46" s="122">
        <f>'Onroad Data'!I64</f>
        <v>0.9764830000000001</v>
      </c>
      <c r="J46" s="122">
        <f>'Onroad Data'!J64</f>
        <v>0.33940200000000004</v>
      </c>
      <c r="K46" s="122">
        <f>'Onroad Data'!K64</f>
        <v>0.766011</v>
      </c>
      <c r="N46" s="302"/>
      <c r="O46" s="302"/>
      <c r="P46" s="302"/>
      <c r="Q46" s="302"/>
      <c r="T46" s="182">
        <f>SUM(T42:T45)</f>
        <v>21314595.368396189</v>
      </c>
      <c r="U46" s="182">
        <f t="shared" ref="U46:V46" si="14">SUM(U42:U45)</f>
        <v>20967070.916428372</v>
      </c>
      <c r="V46" s="182">
        <f t="shared" si="14"/>
        <v>20672201.273000635</v>
      </c>
    </row>
    <row r="47" spans="1:29" outlineLevel="1" x14ac:dyDescent="0.15">
      <c r="A47" s="66"/>
      <c r="B47" s="72" t="s">
        <v>112</v>
      </c>
      <c r="C47" s="122">
        <f>'Onroad Data'!C65</f>
        <v>0.36335899999999999</v>
      </c>
      <c r="D47" s="122">
        <f>'Onroad Data'!D65</f>
        <v>0.36943899999999991</v>
      </c>
      <c r="E47" s="122">
        <f>'Onroad Data'!E65</f>
        <v>0.73279799999999984</v>
      </c>
      <c r="F47" s="122">
        <f>'Onroad Data'!F65</f>
        <v>0.62526400000000004</v>
      </c>
      <c r="G47" s="122">
        <f>'Onroad Data'!G65</f>
        <v>9.6113000000000004E-2</v>
      </c>
      <c r="H47" s="122">
        <f>'Onroad Data'!H65</f>
        <v>5.6107000000000011E-2</v>
      </c>
      <c r="I47" s="122">
        <f>'Onroad Data'!I65</f>
        <v>0.30425800000000003</v>
      </c>
      <c r="J47" s="122">
        <f>'Onroad Data'!J65</f>
        <v>0.12962000000000001</v>
      </c>
      <c r="K47" s="122">
        <f>'Onroad Data'!K65</f>
        <v>0.32759500000000003</v>
      </c>
      <c r="N47" s="302"/>
      <c r="O47" s="302"/>
      <c r="P47" s="302"/>
      <c r="Q47" s="302"/>
    </row>
    <row r="48" spans="1:29" outlineLevel="1" x14ac:dyDescent="0.15">
      <c r="A48" s="66"/>
      <c r="B48" s="72" t="s">
        <v>113</v>
      </c>
      <c r="C48" s="122">
        <f>'Onroad Data'!C66</f>
        <v>4.267E-2</v>
      </c>
      <c r="D48" s="122">
        <f>'Onroad Data'!D66</f>
        <v>5.9802000000000001E-2</v>
      </c>
      <c r="E48" s="122">
        <f>'Onroad Data'!E66</f>
        <v>0.10247200000000001</v>
      </c>
      <c r="F48" s="122">
        <f>'Onroad Data'!F66</f>
        <v>6.0434000000000002E-2</v>
      </c>
      <c r="G48" s="122">
        <f>'Onroad Data'!G66</f>
        <v>2.6780999999999996E-2</v>
      </c>
      <c r="H48" s="122">
        <f>'Onroad Data'!H66</f>
        <v>2.4322999999999997E-2</v>
      </c>
      <c r="I48" s="122">
        <f>'Onroad Data'!I66</f>
        <v>7.3305000000000009E-2</v>
      </c>
      <c r="J48" s="122">
        <f>'Onroad Data'!J66</f>
        <v>6.7025000000000015E-2</v>
      </c>
      <c r="K48" s="122">
        <f>'Onroad Data'!K66</f>
        <v>7.696299999999999E-2</v>
      </c>
      <c r="N48" s="302"/>
      <c r="O48" s="302"/>
      <c r="P48" s="302"/>
      <c r="Q48" s="302"/>
      <c r="S48" s="66" t="s">
        <v>125</v>
      </c>
      <c r="T48" s="110">
        <f>SUM('Onroad Data'!L314:L315)</f>
        <v>48454324894.933014</v>
      </c>
      <c r="U48" s="110">
        <f>SUM('Onroad Data'!L199:L200)</f>
        <v>49417245975.844566</v>
      </c>
      <c r="V48" s="110">
        <f>SUM('Onroad Data'!L76:L77)</f>
        <v>50382735216</v>
      </c>
    </row>
    <row r="49" spans="1:22" outlineLevel="1" x14ac:dyDescent="0.15">
      <c r="A49" s="66"/>
      <c r="B49" s="72" t="s">
        <v>114</v>
      </c>
      <c r="C49" s="122">
        <f>'Onroad Data'!C67</f>
        <v>3.4090000000000001E-3</v>
      </c>
      <c r="D49" s="122">
        <f>'Onroad Data'!D67</f>
        <v>1.7086999999999998E-2</v>
      </c>
      <c r="E49" s="122">
        <f>'Onroad Data'!E67</f>
        <v>2.0495999999999997E-2</v>
      </c>
      <c r="F49" s="122">
        <f>'Onroad Data'!F67</f>
        <v>9.3429999999999989E-3</v>
      </c>
      <c r="G49" s="122">
        <f>'Onroad Data'!G67</f>
        <v>1.4947000000000002E-2</v>
      </c>
      <c r="H49" s="122">
        <f>'Onroad Data'!H67</f>
        <v>1.3561000000000005E-2</v>
      </c>
      <c r="I49" s="122">
        <f>'Onroad Data'!I67</f>
        <v>7.9629999999999996E-3</v>
      </c>
      <c r="J49" s="122">
        <f>'Onroad Data'!J67</f>
        <v>1.2029000000000005E-2</v>
      </c>
      <c r="K49" s="122">
        <f>'Onroad Data'!K67</f>
        <v>7.9465000000000036E-2</v>
      </c>
      <c r="N49" s="302"/>
      <c r="O49" s="302"/>
      <c r="P49" s="302"/>
      <c r="Q49" s="302"/>
      <c r="S49" s="66" t="s">
        <v>126</v>
      </c>
      <c r="T49" s="354">
        <f>T46/T48*1000</f>
        <v>0.43989046209216937</v>
      </c>
      <c r="U49" s="354">
        <f t="shared" ref="U49:V49" si="15">U46/U48*1000</f>
        <v>0.42428651177115773</v>
      </c>
      <c r="V49" s="354">
        <f t="shared" si="15"/>
        <v>0.41030327520677723</v>
      </c>
    </row>
    <row r="50" spans="1:22" outlineLevel="1" x14ac:dyDescent="0.15">
      <c r="A50" s="66"/>
      <c r="B50" s="72" t="s">
        <v>115</v>
      </c>
      <c r="C50" s="122">
        <f>'Onroad Data'!C68</f>
        <v>0.85831599999999997</v>
      </c>
      <c r="D50" s="122">
        <f>'Onroad Data'!D68</f>
        <v>2.2682929999999999</v>
      </c>
      <c r="E50" s="122">
        <f>'Onroad Data'!E68</f>
        <v>3.1266089999999997</v>
      </c>
      <c r="F50" s="122">
        <f>'Onroad Data'!F68</f>
        <v>0.79852800000000002</v>
      </c>
      <c r="G50" s="122">
        <f>'Onroad Data'!G68</f>
        <v>0.46275899999999986</v>
      </c>
      <c r="H50" s="122">
        <f>'Onroad Data'!H68</f>
        <v>0.18795099999999998</v>
      </c>
      <c r="I50" s="122">
        <f>'Onroad Data'!I68</f>
        <v>0.75865299999999991</v>
      </c>
      <c r="J50" s="122">
        <f>'Onroad Data'!J68</f>
        <v>0.27631600000000006</v>
      </c>
      <c r="K50" s="122">
        <f>'Onroad Data'!K68</f>
        <v>1.544252</v>
      </c>
      <c r="N50" s="302"/>
      <c r="O50" s="302"/>
      <c r="P50" s="302"/>
      <c r="Q50" s="302"/>
    </row>
    <row r="51" spans="1:22" outlineLevel="1" x14ac:dyDescent="0.15">
      <c r="A51" s="66"/>
      <c r="B51" s="73" t="s">
        <v>88</v>
      </c>
      <c r="C51" s="169">
        <f t="shared" ref="C51:K51" si="16">SUM(C39:C50)</f>
        <v>101.56683217099201</v>
      </c>
      <c r="D51" s="169">
        <f t="shared" si="16"/>
        <v>150.00456849484286</v>
      </c>
      <c r="E51" s="169">
        <f t="shared" si="16"/>
        <v>251.58907631861626</v>
      </c>
      <c r="F51" s="169">
        <f t="shared" si="16"/>
        <v>61.386794664785654</v>
      </c>
      <c r="G51" s="169">
        <f t="shared" si="16"/>
        <v>34.751373216008417</v>
      </c>
      <c r="H51" s="169">
        <f t="shared" si="16"/>
        <v>7.9271698498666163</v>
      </c>
      <c r="I51" s="169">
        <f t="shared" si="16"/>
        <v>47.848245426802769</v>
      </c>
      <c r="J51" s="169">
        <f t="shared" si="16"/>
        <v>21.475474134546861</v>
      </c>
      <c r="K51" s="169">
        <f t="shared" si="16"/>
        <v>44.659167303462787</v>
      </c>
      <c r="N51" s="302"/>
      <c r="O51" s="302"/>
      <c r="P51" s="302"/>
      <c r="Q51" s="302"/>
    </row>
    <row r="52" spans="1:22" outlineLevel="1" x14ac:dyDescent="0.15">
      <c r="A52" s="66"/>
      <c r="B52" s="82"/>
      <c r="C52" s="182"/>
      <c r="D52" s="182"/>
      <c r="E52" s="182"/>
      <c r="F52" s="182"/>
      <c r="G52" s="182"/>
      <c r="H52" s="182"/>
      <c r="I52" s="182"/>
      <c r="J52" s="182"/>
      <c r="K52" s="182"/>
      <c r="N52" s="302"/>
      <c r="O52" s="302"/>
      <c r="P52" s="302"/>
      <c r="Q52" s="302"/>
    </row>
    <row r="53" spans="1:22" ht="15" thickBot="1" x14ac:dyDescent="0.2">
      <c r="B53" s="82" t="s">
        <v>127</v>
      </c>
      <c r="N53" s="302"/>
      <c r="O53" s="302"/>
      <c r="P53" s="302"/>
      <c r="Q53" s="302"/>
    </row>
    <row r="54" spans="1:22" s="479" customFormat="1" x14ac:dyDescent="0.15">
      <c r="A54" s="133"/>
      <c r="B54" s="662" t="s">
        <v>76</v>
      </c>
      <c r="C54" s="665" t="s">
        <v>80</v>
      </c>
      <c r="D54" s="682" t="s">
        <v>77</v>
      </c>
      <c r="E54" s="677" t="s">
        <v>128</v>
      </c>
      <c r="F54" s="678"/>
      <c r="G54" s="679"/>
      <c r="H54" s="678" t="s">
        <v>129</v>
      </c>
      <c r="I54" s="678"/>
      <c r="J54" s="678"/>
      <c r="K54" s="679"/>
      <c r="L54" s="66"/>
      <c r="M54" s="66"/>
      <c r="N54" s="302"/>
      <c r="O54" s="302"/>
      <c r="P54" s="302"/>
      <c r="Q54" s="302"/>
    </row>
    <row r="55" spans="1:22" s="479" customFormat="1" ht="15" customHeight="1" x14ac:dyDescent="0.15">
      <c r="A55" s="133"/>
      <c r="B55" s="664"/>
      <c r="C55" s="667"/>
      <c r="D55" s="683"/>
      <c r="E55" s="332" t="s">
        <v>94</v>
      </c>
      <c r="F55" s="303" t="s">
        <v>95</v>
      </c>
      <c r="G55" s="304" t="s">
        <v>96</v>
      </c>
      <c r="H55" s="385" t="s">
        <v>94</v>
      </c>
      <c r="I55" s="324" t="s">
        <v>95</v>
      </c>
      <c r="J55" s="324" t="s">
        <v>96</v>
      </c>
      <c r="K55" s="323" t="s">
        <v>130</v>
      </c>
      <c r="L55" s="66"/>
      <c r="M55" s="66"/>
      <c r="N55" s="302"/>
      <c r="O55" s="302"/>
      <c r="P55" s="302"/>
      <c r="Q55" s="302"/>
    </row>
    <row r="56" spans="1:22" ht="14.75" customHeight="1" x14ac:dyDescent="0.15">
      <c r="B56" s="305">
        <f>$B$3</f>
        <v>2019</v>
      </c>
      <c r="C56" s="306">
        <v>1</v>
      </c>
      <c r="D56" s="307" t="s">
        <v>59</v>
      </c>
      <c r="E56" s="454">
        <f>E19</f>
        <v>14117884.314888006</v>
      </c>
      <c r="F56" s="308">
        <f>E35</f>
        <v>907.38850014389061</v>
      </c>
      <c r="G56" s="309">
        <f>E51</f>
        <v>251.58907631861626</v>
      </c>
      <c r="H56" s="374">
        <f>'On-road'!E56*CO2_GWP</f>
        <v>14117884.314888006</v>
      </c>
      <c r="I56" s="310">
        <f t="shared" ref="I56:I64" si="17">F56*CH4_GWP</f>
        <v>25406.878004028938</v>
      </c>
      <c r="J56" s="311">
        <f t="shared" ref="J56:J64" si="18">G56*N2O_GWP</f>
        <v>66671.105224433311</v>
      </c>
      <c r="K56" s="312">
        <f>SUM(H56:J56)</f>
        <v>14209962.298116468</v>
      </c>
      <c r="N56" s="302">
        <f t="shared" ref="N56:N64" si="19">H56/mton_per_mmton</f>
        <v>14.117884314888006</v>
      </c>
      <c r="O56" s="302">
        <f t="shared" ref="O56:O64" si="20">I56/mton_per_mmton</f>
        <v>2.5406878004028938E-2</v>
      </c>
      <c r="P56" s="302">
        <f t="shared" ref="P56:P64" si="21">J56/mton_per_mmton</f>
        <v>6.6671105224433314E-2</v>
      </c>
      <c r="Q56" s="302"/>
    </row>
    <row r="57" spans="1:22" ht="14.75" customHeight="1" x14ac:dyDescent="0.15">
      <c r="B57" s="305">
        <f t="shared" ref="B57:B65" si="22">$B$3</f>
        <v>2019</v>
      </c>
      <c r="C57" s="306">
        <v>1</v>
      </c>
      <c r="D57" s="313" t="s">
        <v>58</v>
      </c>
      <c r="E57" s="454">
        <f>C19</f>
        <v>5061724.7364932271</v>
      </c>
      <c r="F57" s="308">
        <f>C35</f>
        <v>389.47237866819478</v>
      </c>
      <c r="G57" s="309">
        <f>C51</f>
        <v>101.56683217099201</v>
      </c>
      <c r="H57" s="374">
        <f>'On-road'!E57*CO2_GWP</f>
        <v>5061724.7364932271</v>
      </c>
      <c r="I57" s="310">
        <f t="shared" si="17"/>
        <v>10905.226602709454</v>
      </c>
      <c r="J57" s="311">
        <f t="shared" si="18"/>
        <v>26915.210525312883</v>
      </c>
      <c r="K57" s="312">
        <f>SUM(H57:J57)</f>
        <v>5099545.1736212494</v>
      </c>
      <c r="L57" s="111"/>
      <c r="M57" s="111"/>
      <c r="N57" s="302">
        <f t="shared" si="19"/>
        <v>5.0617247364932272</v>
      </c>
      <c r="O57" s="302">
        <f t="shared" si="20"/>
        <v>1.0905226602709454E-2</v>
      </c>
      <c r="P57" s="302">
        <f t="shared" si="21"/>
        <v>2.6915210525312882E-2</v>
      </c>
      <c r="Q57" s="302"/>
    </row>
    <row r="58" spans="1:22" ht="14.75" customHeight="1" x14ac:dyDescent="0.15">
      <c r="B58" s="305">
        <f t="shared" si="22"/>
        <v>2019</v>
      </c>
      <c r="C58" s="306">
        <v>1</v>
      </c>
      <c r="D58" s="314" t="s">
        <v>131</v>
      </c>
      <c r="E58" s="454">
        <f>D19</f>
        <v>9055896.8428531848</v>
      </c>
      <c r="F58" s="308">
        <f>D35</f>
        <v>517.86158651701589</v>
      </c>
      <c r="G58" s="309">
        <f>D51</f>
        <v>150.00456849484286</v>
      </c>
      <c r="H58" s="374">
        <f>'On-road'!E58*CO2_GWP</f>
        <v>9055896.8428531848</v>
      </c>
      <c r="I58" s="310">
        <f t="shared" si="17"/>
        <v>14500.124422476445</v>
      </c>
      <c r="J58" s="311">
        <f t="shared" si="18"/>
        <v>39751.210651133355</v>
      </c>
      <c r="K58" s="312">
        <f t="shared" ref="K58:K65" si="23">SUM(H58:J58)</f>
        <v>9110148.1779267937</v>
      </c>
      <c r="N58" s="302">
        <f t="shared" si="19"/>
        <v>9.0558968428531852</v>
      </c>
      <c r="O58" s="302">
        <f t="shared" si="20"/>
        <v>1.4500124422476446E-2</v>
      </c>
      <c r="P58" s="302">
        <f t="shared" si="21"/>
        <v>3.9751210651133358E-2</v>
      </c>
      <c r="Q58" s="302"/>
    </row>
    <row r="59" spans="1:22" ht="14.75" customHeight="1" x14ac:dyDescent="0.15">
      <c r="B59" s="305">
        <f t="shared" si="22"/>
        <v>2019</v>
      </c>
      <c r="C59" s="306">
        <v>1</v>
      </c>
      <c r="D59" s="307" t="s">
        <v>60</v>
      </c>
      <c r="E59" s="454">
        <f>F19</f>
        <v>4056143.965721997</v>
      </c>
      <c r="F59" s="308">
        <f>F35</f>
        <v>222.98300847692866</v>
      </c>
      <c r="G59" s="309">
        <f>F51</f>
        <v>61.386794664785654</v>
      </c>
      <c r="H59" s="374">
        <f>'On-road'!E59*CO2_GWP</f>
        <v>4056143.965721997</v>
      </c>
      <c r="I59" s="310">
        <f t="shared" si="17"/>
        <v>6243.5242373540023</v>
      </c>
      <c r="J59" s="311">
        <f t="shared" si="18"/>
        <v>16267.500586168198</v>
      </c>
      <c r="K59" s="315">
        <f t="shared" si="23"/>
        <v>4078654.9905455192</v>
      </c>
      <c r="N59" s="302">
        <f t="shared" si="19"/>
        <v>4.0561439657219971</v>
      </c>
      <c r="O59" s="302">
        <f t="shared" si="20"/>
        <v>6.2435242373540022E-3</v>
      </c>
      <c r="P59" s="302">
        <f t="shared" si="21"/>
        <v>1.6267500586168198E-2</v>
      </c>
      <c r="Q59" s="302"/>
    </row>
    <row r="60" spans="1:22" ht="14.75" customHeight="1" x14ac:dyDescent="0.15">
      <c r="B60" s="305">
        <f t="shared" si="22"/>
        <v>2019</v>
      </c>
      <c r="C60" s="306">
        <v>1</v>
      </c>
      <c r="D60" s="307" t="s">
        <v>62</v>
      </c>
      <c r="E60" s="454">
        <f>G19</f>
        <v>2208818.4373791539</v>
      </c>
      <c r="F60" s="308">
        <f>G35</f>
        <v>122.41096089025049</v>
      </c>
      <c r="G60" s="309">
        <f>G51</f>
        <v>34.751373216008417</v>
      </c>
      <c r="H60" s="374">
        <f>'On-road'!E60*CO2_GWP</f>
        <v>2208818.4373791539</v>
      </c>
      <c r="I60" s="310">
        <f t="shared" si="17"/>
        <v>3427.5069049270137</v>
      </c>
      <c r="J60" s="311">
        <f t="shared" si="18"/>
        <v>9209.1139022422303</v>
      </c>
      <c r="K60" s="315">
        <f t="shared" si="23"/>
        <v>2221455.0581863234</v>
      </c>
      <c r="N60" s="302">
        <f t="shared" si="19"/>
        <v>2.2088184373791537</v>
      </c>
      <c r="O60" s="302">
        <f t="shared" si="20"/>
        <v>3.4275069049270138E-3</v>
      </c>
      <c r="P60" s="302">
        <f t="shared" si="21"/>
        <v>9.2091139022422303E-3</v>
      </c>
      <c r="Q60" s="302"/>
    </row>
    <row r="61" spans="1:22" ht="14.75" customHeight="1" x14ac:dyDescent="0.15">
      <c r="B61" s="305">
        <f t="shared" si="22"/>
        <v>2019</v>
      </c>
      <c r="C61" s="306">
        <v>1</v>
      </c>
      <c r="D61" s="307" t="s">
        <v>61</v>
      </c>
      <c r="E61" s="454">
        <f>H19</f>
        <v>612389.91921362199</v>
      </c>
      <c r="F61" s="308">
        <f>H35</f>
        <v>32.006347004519448</v>
      </c>
      <c r="G61" s="309">
        <f>H51</f>
        <v>7.9271698498666163</v>
      </c>
      <c r="H61" s="374">
        <f>'On-road'!E61*CO2_GWP</f>
        <v>612389.91921362199</v>
      </c>
      <c r="I61" s="310">
        <f t="shared" si="17"/>
        <v>896.17771612654451</v>
      </c>
      <c r="J61" s="311">
        <f t="shared" si="18"/>
        <v>2100.7000102146535</v>
      </c>
      <c r="K61" s="315">
        <f t="shared" si="23"/>
        <v>615386.79693996324</v>
      </c>
      <c r="N61" s="302">
        <f t="shared" si="19"/>
        <v>0.61238991921362196</v>
      </c>
      <c r="O61" s="302">
        <f t="shared" si="20"/>
        <v>8.9617771612654452E-4</v>
      </c>
      <c r="P61" s="302">
        <f t="shared" si="21"/>
        <v>2.1007000102146534E-3</v>
      </c>
      <c r="Q61" s="302"/>
    </row>
    <row r="62" spans="1:22" ht="14.75" customHeight="1" x14ac:dyDescent="0.15">
      <c r="B62" s="305">
        <f t="shared" si="22"/>
        <v>2019</v>
      </c>
      <c r="C62" s="306">
        <v>1</v>
      </c>
      <c r="D62" s="307" t="s">
        <v>63</v>
      </c>
      <c r="E62" s="454">
        <f>I19</f>
        <v>3206491.2894361387</v>
      </c>
      <c r="F62" s="308">
        <f>I35</f>
        <v>171.73516724604266</v>
      </c>
      <c r="G62" s="309">
        <f>I51</f>
        <v>47.848245426802769</v>
      </c>
      <c r="H62" s="374">
        <f>'On-road'!E62*CO2_GWP</f>
        <v>3206491.2894361387</v>
      </c>
      <c r="I62" s="310">
        <f t="shared" si="17"/>
        <v>4808.5846828891945</v>
      </c>
      <c r="J62" s="311">
        <f t="shared" si="18"/>
        <v>12679.785038102735</v>
      </c>
      <c r="K62" s="315">
        <f t="shared" si="23"/>
        <v>3223979.6591571309</v>
      </c>
      <c r="N62" s="302">
        <f t="shared" si="19"/>
        <v>3.2064912894361388</v>
      </c>
      <c r="O62" s="302">
        <f t="shared" si="20"/>
        <v>4.8085846828891943E-3</v>
      </c>
      <c r="P62" s="302">
        <f t="shared" si="21"/>
        <v>1.2679785038102735E-2</v>
      </c>
      <c r="Q62" s="302"/>
    </row>
    <row r="63" spans="1:22" ht="14.75" customHeight="1" x14ac:dyDescent="0.15">
      <c r="B63" s="305">
        <f t="shared" si="22"/>
        <v>2019</v>
      </c>
      <c r="C63" s="306">
        <v>1</v>
      </c>
      <c r="D63" s="307" t="s">
        <v>64</v>
      </c>
      <c r="E63" s="454">
        <f>J19</f>
        <v>1248617.7039125396</v>
      </c>
      <c r="F63" s="308">
        <f>J35</f>
        <v>76.090245069475145</v>
      </c>
      <c r="G63" s="309">
        <f>J51</f>
        <v>21.475474134546861</v>
      </c>
      <c r="H63" s="374">
        <f>'On-road'!E63*CO2_GWP</f>
        <v>1248617.7039125396</v>
      </c>
      <c r="I63" s="310">
        <f t="shared" si="17"/>
        <v>2130.5268619453041</v>
      </c>
      <c r="J63" s="311">
        <f t="shared" si="18"/>
        <v>5691.0006456549181</v>
      </c>
      <c r="K63" s="315">
        <f t="shared" si="23"/>
        <v>1256439.23142014</v>
      </c>
      <c r="N63" s="302">
        <f t="shared" si="19"/>
        <v>1.2486177039125397</v>
      </c>
      <c r="O63" s="302">
        <f t="shared" si="20"/>
        <v>2.130526861945304E-3</v>
      </c>
      <c r="P63" s="302">
        <f t="shared" si="21"/>
        <v>5.6910006456549183E-3</v>
      </c>
      <c r="Q63" s="302"/>
    </row>
    <row r="64" spans="1:22" ht="16" thickBot="1" x14ac:dyDescent="0.2">
      <c r="B64" s="305">
        <f t="shared" si="22"/>
        <v>2019</v>
      </c>
      <c r="C64" s="306">
        <v>1</v>
      </c>
      <c r="D64" s="307" t="s">
        <v>65</v>
      </c>
      <c r="E64" s="454">
        <f>K19</f>
        <v>3852212.2905882336</v>
      </c>
      <c r="F64" s="308">
        <f>K35</f>
        <v>187.08436816779792</v>
      </c>
      <c r="G64" s="309">
        <f>K51</f>
        <v>44.659167303462787</v>
      </c>
      <c r="H64" s="374">
        <f>'On-road'!E64*CO2_GWP</f>
        <v>3852212.2905882336</v>
      </c>
      <c r="I64" s="310">
        <f t="shared" si="17"/>
        <v>5238.3623086983416</v>
      </c>
      <c r="J64" s="311">
        <f t="shared" si="18"/>
        <v>11834.679335417639</v>
      </c>
      <c r="K64" s="315">
        <f t="shared" si="23"/>
        <v>3869285.3322323496</v>
      </c>
      <c r="N64" s="302">
        <f t="shared" si="19"/>
        <v>3.8522122905882337</v>
      </c>
      <c r="O64" s="302">
        <f t="shared" si="20"/>
        <v>5.2383623086983419E-3</v>
      </c>
      <c r="P64" s="302">
        <f t="shared" si="21"/>
        <v>1.1834679335417639E-2</v>
      </c>
      <c r="Q64" s="302"/>
    </row>
    <row r="65" spans="1:18" s="82" customFormat="1" ht="16" thickBot="1" x14ac:dyDescent="0.2">
      <c r="A65" s="19"/>
      <c r="B65" s="316">
        <f t="shared" si="22"/>
        <v>2019</v>
      </c>
      <c r="C65" s="317">
        <v>1</v>
      </c>
      <c r="D65" s="318" t="s">
        <v>66</v>
      </c>
      <c r="E65" s="470">
        <f>SUM(E56,E59:E64)</f>
        <v>29302557.921139695</v>
      </c>
      <c r="F65" s="319">
        <f t="shared" ref="F65:G65" si="24">SUM(F56,F59:F64)</f>
        <v>1719.698596998905</v>
      </c>
      <c r="G65" s="471">
        <f t="shared" si="24"/>
        <v>469.63730091408934</v>
      </c>
      <c r="H65" s="348">
        <f>SUM(H56,H59:H64)</f>
        <v>29302557.921139695</v>
      </c>
      <c r="I65" s="319">
        <f t="shared" ref="I65:J65" si="25">SUM(I56,I59:I64)</f>
        <v>48151.560715969339</v>
      </c>
      <c r="J65" s="320">
        <f t="shared" si="25"/>
        <v>124453.88474223368</v>
      </c>
      <c r="K65" s="321">
        <f t="shared" si="23"/>
        <v>29475163.366597898</v>
      </c>
      <c r="L65" s="66"/>
      <c r="M65" s="66"/>
      <c r="N65" s="302"/>
      <c r="O65" s="302"/>
      <c r="P65" s="302"/>
      <c r="Q65" s="302"/>
    </row>
    <row r="66" spans="1:18" s="82" customFormat="1" x14ac:dyDescent="0.15">
      <c r="A66" s="19"/>
      <c r="B66" s="57"/>
      <c r="C66" s="57"/>
      <c r="D66" s="326"/>
      <c r="E66" s="515">
        <f>E65-SUM(E19:K19)</f>
        <v>0</v>
      </c>
      <c r="F66" s="515">
        <f>F65-SUM(E35:K35)</f>
        <v>0</v>
      </c>
      <c r="G66" s="515">
        <f>G65-SUM(E51:K51)</f>
        <v>0</v>
      </c>
      <c r="H66" s="327"/>
      <c r="I66" s="327"/>
      <c r="J66" s="327"/>
      <c r="K66" s="327"/>
      <c r="L66" s="66"/>
      <c r="M66" s="66"/>
      <c r="N66" s="302"/>
      <c r="O66" s="302"/>
      <c r="P66" s="302"/>
      <c r="Q66" s="302"/>
    </row>
    <row r="67" spans="1:18" customFormat="1" ht="15" thickBot="1" x14ac:dyDescent="0.2">
      <c r="B67" s="82" t="s">
        <v>132</v>
      </c>
      <c r="M67" s="66"/>
      <c r="N67" s="302"/>
      <c r="O67" s="302"/>
      <c r="P67" s="302"/>
      <c r="Q67" s="302"/>
    </row>
    <row r="68" spans="1:18" s="133" customFormat="1" ht="15" customHeight="1" x14ac:dyDescent="0.15">
      <c r="B68" s="662" t="s">
        <v>76</v>
      </c>
      <c r="C68" s="665" t="s">
        <v>80</v>
      </c>
      <c r="D68" s="668" t="s">
        <v>77</v>
      </c>
      <c r="E68" s="671" t="s">
        <v>133</v>
      </c>
      <c r="F68" s="674" t="s">
        <v>49</v>
      </c>
      <c r="G68" s="675"/>
      <c r="H68" s="676"/>
      <c r="I68" s="658" t="s">
        <v>129</v>
      </c>
      <c r="J68" s="658"/>
      <c r="K68" s="658"/>
      <c r="L68" s="659"/>
      <c r="M68" s="66"/>
      <c r="N68" s="302"/>
      <c r="O68" s="302"/>
      <c r="P68" s="302"/>
      <c r="Q68" s="302"/>
      <c r="R68"/>
    </row>
    <row r="69" spans="1:18" s="133" customFormat="1" x14ac:dyDescent="0.15">
      <c r="B69" s="663"/>
      <c r="C69" s="666"/>
      <c r="D69" s="669"/>
      <c r="E69" s="672"/>
      <c r="F69" s="332" t="s">
        <v>94</v>
      </c>
      <c r="G69" s="303" t="s">
        <v>95</v>
      </c>
      <c r="H69" s="304" t="s">
        <v>96</v>
      </c>
      <c r="I69" s="660"/>
      <c r="J69" s="660"/>
      <c r="K69" s="660"/>
      <c r="L69" s="661"/>
      <c r="M69" s="66"/>
      <c r="N69" s="302"/>
      <c r="O69" s="302"/>
      <c r="P69" s="302"/>
      <c r="Q69" s="302"/>
      <c r="R69"/>
    </row>
    <row r="70" spans="1:18" s="133" customFormat="1" ht="15" thickBot="1" x14ac:dyDescent="0.2">
      <c r="B70" s="664"/>
      <c r="C70" s="667"/>
      <c r="D70" s="670"/>
      <c r="E70" s="673"/>
      <c r="F70" s="322" t="s">
        <v>134</v>
      </c>
      <c r="G70" s="324" t="s">
        <v>135</v>
      </c>
      <c r="H70" s="323" t="s">
        <v>136</v>
      </c>
      <c r="I70" s="385" t="s">
        <v>94</v>
      </c>
      <c r="J70" s="324" t="s">
        <v>95</v>
      </c>
      <c r="K70" s="324" t="s">
        <v>96</v>
      </c>
      <c r="L70" s="323" t="s">
        <v>130</v>
      </c>
      <c r="M70" s="66"/>
      <c r="N70" s="302"/>
      <c r="O70" s="302"/>
      <c r="P70" s="302"/>
      <c r="Q70" s="302"/>
      <c r="R70"/>
    </row>
    <row r="71" spans="1:18" customFormat="1" ht="15" x14ac:dyDescent="0.15">
      <c r="B71" s="305">
        <f>$B$3</f>
        <v>2019</v>
      </c>
      <c r="C71" s="306">
        <v>2</v>
      </c>
      <c r="D71" s="467" t="s">
        <v>59</v>
      </c>
      <c r="E71" s="408">
        <f>'Onroad Data'!K6</f>
        <v>36836871.126559868</v>
      </c>
      <c r="F71" s="513">
        <f>'Emission Factors'!$B$13</f>
        <v>851.19</v>
      </c>
      <c r="G71" s="490">
        <f>'Emission Factors'!$C$13</f>
        <v>9.9000000000000005E-2</v>
      </c>
      <c r="H71" s="491">
        <f>'Emission Factors'!$D$13</f>
        <v>1.4E-2</v>
      </c>
      <c r="I71" s="374">
        <f t="shared" ref="I71:I79" si="26">(F71/MWh_kWh)*E71*GWP_CO2*MT_lbs</f>
        <v>14222.468757132001</v>
      </c>
      <c r="J71" s="374">
        <f t="shared" ref="J71:J79" si="27">(G71/MWh_kWh)*E71*GWP_CH4*MT_lbs</f>
        <v>46.317136473372472</v>
      </c>
      <c r="K71" s="374">
        <f t="shared" ref="K71:K79" si="28">(H71/MWh_kWh)*E71*GWP_N2O*MT_lbs</f>
        <v>61.990106896180315</v>
      </c>
      <c r="L71" s="312">
        <f t="shared" ref="L71:L80" si="29">SUM(I71:K71)</f>
        <v>14330.776000501553</v>
      </c>
      <c r="M71" s="66"/>
      <c r="N71" s="302">
        <f t="shared" ref="N71:N79" si="30">I71/mton_per_mmton</f>
        <v>1.4222468757132001E-2</v>
      </c>
      <c r="O71" s="302">
        <f t="shared" ref="O71:O79" si="31">J71/mton_per_mmton</f>
        <v>4.631713647337247E-5</v>
      </c>
      <c r="P71" s="302">
        <f t="shared" ref="P71:P79" si="32">K71/mton_per_mmton</f>
        <v>6.1990106896180311E-5</v>
      </c>
      <c r="Q71" s="302"/>
    </row>
    <row r="72" spans="1:18" customFormat="1" ht="15" x14ac:dyDescent="0.15">
      <c r="B72" s="305">
        <f t="shared" ref="B72:B80" si="33">$B$3</f>
        <v>2019</v>
      </c>
      <c r="C72" s="306">
        <v>2</v>
      </c>
      <c r="D72" s="468" t="s">
        <v>58</v>
      </c>
      <c r="E72" s="408">
        <f>'Onroad Data'!K7</f>
        <v>17634590.699489988</v>
      </c>
      <c r="F72" s="418">
        <f>'Emission Factors'!$B$13</f>
        <v>851.19</v>
      </c>
      <c r="G72" s="401">
        <f>'Emission Factors'!$C$13</f>
        <v>9.9000000000000005E-2</v>
      </c>
      <c r="H72" s="488">
        <f>'Emission Factors'!$D$13</f>
        <v>1.4E-2</v>
      </c>
      <c r="I72" s="374">
        <f t="shared" si="26"/>
        <v>6808.5971364563447</v>
      </c>
      <c r="J72" s="374">
        <f t="shared" si="27"/>
        <v>22.172994586704483</v>
      </c>
      <c r="K72" s="374">
        <f t="shared" si="28"/>
        <v>29.675977603417614</v>
      </c>
      <c r="L72" s="312">
        <f t="shared" si="29"/>
        <v>6860.4461086464671</v>
      </c>
      <c r="M72" s="66"/>
      <c r="N72" s="302">
        <f t="shared" si="30"/>
        <v>6.8085971364563449E-3</v>
      </c>
      <c r="O72" s="302">
        <f t="shared" si="31"/>
        <v>2.2172994586704482E-5</v>
      </c>
      <c r="P72" s="302">
        <f t="shared" si="32"/>
        <v>2.9675977603417614E-5</v>
      </c>
      <c r="Q72" s="302"/>
    </row>
    <row r="73" spans="1:18" customFormat="1" ht="15" x14ac:dyDescent="0.15">
      <c r="B73" s="305">
        <f t="shared" si="33"/>
        <v>2019</v>
      </c>
      <c r="C73" s="306">
        <v>2</v>
      </c>
      <c r="D73" s="351" t="s">
        <v>131</v>
      </c>
      <c r="E73" s="408">
        <f>'Onroad Data'!K8</f>
        <v>19202280.427069873</v>
      </c>
      <c r="F73" s="418">
        <f>'Emission Factors'!$B$13</f>
        <v>851.19</v>
      </c>
      <c r="G73" s="401">
        <f>'Emission Factors'!$C$13</f>
        <v>9.9000000000000005E-2</v>
      </c>
      <c r="H73" s="488">
        <f>'Emission Factors'!$D$13</f>
        <v>1.4E-2</v>
      </c>
      <c r="I73" s="374">
        <f t="shared" si="26"/>
        <v>7413.8716206756544</v>
      </c>
      <c r="J73" s="374">
        <f t="shared" si="27"/>
        <v>24.144141886667974</v>
      </c>
      <c r="K73" s="374">
        <f t="shared" si="28"/>
        <v>32.314129292762694</v>
      </c>
      <c r="L73" s="312">
        <f t="shared" si="29"/>
        <v>7470.3298918550854</v>
      </c>
      <c r="M73" s="66"/>
      <c r="N73" s="302">
        <f t="shared" si="30"/>
        <v>7.4138716206756548E-3</v>
      </c>
      <c r="O73" s="302">
        <f t="shared" si="31"/>
        <v>2.4144141886667974E-5</v>
      </c>
      <c r="P73" s="302">
        <f t="shared" si="32"/>
        <v>3.2314129292762697E-5</v>
      </c>
      <c r="Q73" s="302"/>
    </row>
    <row r="74" spans="1:18" customFormat="1" ht="15" x14ac:dyDescent="0.15">
      <c r="B74" s="305">
        <f t="shared" si="33"/>
        <v>2019</v>
      </c>
      <c r="C74" s="306">
        <v>2</v>
      </c>
      <c r="D74" s="467" t="s">
        <v>60</v>
      </c>
      <c r="E74" s="408">
        <f>'Onroad Data'!K9</f>
        <v>19240680.7805066</v>
      </c>
      <c r="F74" s="418">
        <f>'Emission Factors'!$B$13</f>
        <v>851.19</v>
      </c>
      <c r="G74" s="401">
        <f>'Emission Factors'!$C$13</f>
        <v>9.9000000000000005E-2</v>
      </c>
      <c r="H74" s="488">
        <f>'Emission Factors'!$D$13</f>
        <v>1.4E-2</v>
      </c>
      <c r="I74" s="374">
        <f t="shared" si="26"/>
        <v>7428.697739461375</v>
      </c>
      <c r="J74" s="374">
        <f t="shared" si="27"/>
        <v>24.192424880211156</v>
      </c>
      <c r="K74" s="374">
        <f t="shared" si="28"/>
        <v>32.378750470989672</v>
      </c>
      <c r="L74" s="315">
        <f t="shared" si="29"/>
        <v>7485.2689148125764</v>
      </c>
      <c r="M74" s="66"/>
      <c r="N74" s="302">
        <f t="shared" si="30"/>
        <v>7.4286977394613747E-3</v>
      </c>
      <c r="O74" s="302">
        <f t="shared" si="31"/>
        <v>2.4192424880211158E-5</v>
      </c>
      <c r="P74" s="302">
        <f t="shared" si="32"/>
        <v>3.2378750470989674E-5</v>
      </c>
      <c r="Q74" s="302"/>
    </row>
    <row r="75" spans="1:18" customFormat="1" ht="15" x14ac:dyDescent="0.15">
      <c r="B75" s="305">
        <f t="shared" si="33"/>
        <v>2019</v>
      </c>
      <c r="C75" s="306">
        <v>2</v>
      </c>
      <c r="D75" s="467" t="s">
        <v>62</v>
      </c>
      <c r="E75" s="408">
        <f>'Onroad Data'!K10</f>
        <v>3474623.2219027448</v>
      </c>
      <c r="F75" s="418">
        <f>'Emission Factors'!$B$13</f>
        <v>851.19</v>
      </c>
      <c r="G75" s="401">
        <f>'Emission Factors'!$C$13</f>
        <v>9.9000000000000005E-2</v>
      </c>
      <c r="H75" s="488">
        <f>'Emission Factors'!$D$13</f>
        <v>1.4E-2</v>
      </c>
      <c r="I75" s="374">
        <f t="shared" si="26"/>
        <v>1341.5287103655853</v>
      </c>
      <c r="J75" s="374">
        <f t="shared" si="27"/>
        <v>4.3688454811891617</v>
      </c>
      <c r="K75" s="374">
        <f t="shared" si="28"/>
        <v>5.8471921844198365</v>
      </c>
      <c r="L75" s="315">
        <f t="shared" si="29"/>
        <v>1351.7447480311941</v>
      </c>
      <c r="M75" s="66"/>
      <c r="N75" s="302">
        <f t="shared" si="30"/>
        <v>1.3415287103655854E-3</v>
      </c>
      <c r="O75" s="302">
        <f t="shared" si="31"/>
        <v>4.3688454811891616E-6</v>
      </c>
      <c r="P75" s="302">
        <f t="shared" si="32"/>
        <v>5.8471921844198362E-6</v>
      </c>
      <c r="Q75" s="302"/>
    </row>
    <row r="76" spans="1:18" customFormat="1" ht="15" x14ac:dyDescent="0.15">
      <c r="B76" s="305">
        <f t="shared" si="33"/>
        <v>2019</v>
      </c>
      <c r="C76" s="306">
        <v>2</v>
      </c>
      <c r="D76" s="467" t="s">
        <v>61</v>
      </c>
      <c r="E76" s="408">
        <f>'Onroad Data'!K11</f>
        <v>614441.07112356322</v>
      </c>
      <c r="F76" s="418">
        <f>'Emission Factors'!$B$13</f>
        <v>851.19</v>
      </c>
      <c r="G76" s="401">
        <f>'Emission Factors'!$C$13</f>
        <v>9.9000000000000005E-2</v>
      </c>
      <c r="H76" s="488">
        <f>'Emission Factors'!$D$13</f>
        <v>1.4E-2</v>
      </c>
      <c r="I76" s="374">
        <f t="shared" si="26"/>
        <v>237.2315745039692</v>
      </c>
      <c r="J76" s="374">
        <f t="shared" si="27"/>
        <v>0.77257242745450805</v>
      </c>
      <c r="K76" s="374">
        <f t="shared" si="28"/>
        <v>1.0339984508860838</v>
      </c>
      <c r="L76" s="315">
        <f t="shared" si="29"/>
        <v>239.03814538230981</v>
      </c>
      <c r="M76" s="66"/>
      <c r="N76" s="302">
        <f t="shared" si="30"/>
        <v>2.3723157450396921E-4</v>
      </c>
      <c r="O76" s="302">
        <f t="shared" si="31"/>
        <v>7.7257242745450809E-7</v>
      </c>
      <c r="P76" s="302">
        <f t="shared" si="32"/>
        <v>1.0339984508860838E-6</v>
      </c>
      <c r="Q76" s="302"/>
    </row>
    <row r="77" spans="1:18" customFormat="1" ht="15" x14ac:dyDescent="0.15">
      <c r="B77" s="305">
        <f t="shared" si="33"/>
        <v>2019</v>
      </c>
      <c r="C77" s="306">
        <v>2</v>
      </c>
      <c r="D77" s="467" t="s">
        <v>63</v>
      </c>
      <c r="E77" s="408">
        <f>'Onroad Data'!K12</f>
        <v>12971960.172978723</v>
      </c>
      <c r="F77" s="418">
        <f>'Emission Factors'!$B$13</f>
        <v>851.19</v>
      </c>
      <c r="G77" s="401">
        <f>'Emission Factors'!$C$13</f>
        <v>9.9000000000000005E-2</v>
      </c>
      <c r="H77" s="488">
        <f>'Emission Factors'!$D$13</f>
        <v>1.4E-2</v>
      </c>
      <c r="I77" s="374">
        <f t="shared" si="26"/>
        <v>5008.3867776144652</v>
      </c>
      <c r="J77" s="374">
        <f t="shared" si="27"/>
        <v>16.310398556782037</v>
      </c>
      <c r="K77" s="374">
        <f t="shared" si="28"/>
        <v>21.829573825996157</v>
      </c>
      <c r="L77" s="315">
        <f t="shared" si="29"/>
        <v>5046.5267499972433</v>
      </c>
      <c r="M77" s="66"/>
      <c r="N77" s="302">
        <f t="shared" si="30"/>
        <v>5.0083867776144651E-3</v>
      </c>
      <c r="O77" s="302">
        <f t="shared" si="31"/>
        <v>1.6310398556782038E-5</v>
      </c>
      <c r="P77" s="302">
        <f t="shared" si="32"/>
        <v>2.1829573825996157E-5</v>
      </c>
      <c r="Q77" s="302"/>
    </row>
    <row r="78" spans="1:18" customFormat="1" ht="15" x14ac:dyDescent="0.15">
      <c r="B78" s="305">
        <f t="shared" si="33"/>
        <v>2019</v>
      </c>
      <c r="C78" s="306">
        <v>2</v>
      </c>
      <c r="D78" s="467" t="s">
        <v>64</v>
      </c>
      <c r="E78" s="408">
        <f>'Onroad Data'!K13</f>
        <v>1688534.2601079163</v>
      </c>
      <c r="F78" s="418">
        <f>'Emission Factors'!$B$13</f>
        <v>851.19</v>
      </c>
      <c r="G78" s="401">
        <f>'Emission Factors'!$C$13</f>
        <v>9.9000000000000005E-2</v>
      </c>
      <c r="H78" s="488">
        <f>'Emission Factors'!$D$13</f>
        <v>1.4E-2</v>
      </c>
      <c r="I78" s="374">
        <f t="shared" si="26"/>
        <v>651.93174733064177</v>
      </c>
      <c r="J78" s="374">
        <f t="shared" si="27"/>
        <v>2.1230921458200158</v>
      </c>
      <c r="K78" s="374">
        <f t="shared" si="28"/>
        <v>2.8415122153651722</v>
      </c>
      <c r="L78" s="315">
        <f t="shared" si="29"/>
        <v>656.89635169182691</v>
      </c>
      <c r="M78" s="66"/>
      <c r="N78" s="302">
        <f t="shared" si="30"/>
        <v>6.5193174733064172E-4</v>
      </c>
      <c r="O78" s="302">
        <f t="shared" si="31"/>
        <v>2.1230921458200158E-6</v>
      </c>
      <c r="P78" s="302">
        <f t="shared" si="32"/>
        <v>2.8415122153651722E-6</v>
      </c>
      <c r="Q78" s="302"/>
    </row>
    <row r="79" spans="1:18" customFormat="1" ht="16" thickBot="1" x14ac:dyDescent="0.2">
      <c r="B79" s="305">
        <f t="shared" si="33"/>
        <v>2019</v>
      </c>
      <c r="C79" s="306">
        <v>2</v>
      </c>
      <c r="D79" s="467" t="s">
        <v>65</v>
      </c>
      <c r="E79" s="408">
        <f>'Onroad Data'!K14</f>
        <v>4754314.9416726977</v>
      </c>
      <c r="F79" s="451">
        <f>'Emission Factors'!$B$13</f>
        <v>851.19</v>
      </c>
      <c r="G79" s="494">
        <f>'Emission Factors'!$C$13</f>
        <v>9.9000000000000005E-2</v>
      </c>
      <c r="H79" s="495">
        <f>'Emission Factors'!$D$13</f>
        <v>1.4E-2</v>
      </c>
      <c r="I79" s="374">
        <f t="shared" si="26"/>
        <v>1835.6090963098181</v>
      </c>
      <c r="J79" s="374">
        <f t="shared" si="27"/>
        <v>5.9778761674488852</v>
      </c>
      <c r="K79" s="374">
        <f t="shared" si="28"/>
        <v>8.0006928503735075</v>
      </c>
      <c r="L79" s="315">
        <f t="shared" si="29"/>
        <v>1849.5876653276405</v>
      </c>
      <c r="M79" s="66"/>
      <c r="N79" s="302">
        <f t="shared" si="30"/>
        <v>1.8356090963098182E-3</v>
      </c>
      <c r="O79" s="302">
        <f t="shared" si="31"/>
        <v>5.9778761674488856E-6</v>
      </c>
      <c r="P79" s="302">
        <f t="shared" si="32"/>
        <v>8.0006928503735072E-6</v>
      </c>
      <c r="Q79" s="302"/>
    </row>
    <row r="80" spans="1:18" s="19" customFormat="1" ht="16" thickBot="1" x14ac:dyDescent="0.2">
      <c r="B80" s="316">
        <f t="shared" si="33"/>
        <v>2019</v>
      </c>
      <c r="C80" s="317">
        <v>2</v>
      </c>
      <c r="D80" s="469" t="s">
        <v>66</v>
      </c>
      <c r="E80" s="459">
        <f>SUM(E71,E74:E79)</f>
        <v>79581425.574852109</v>
      </c>
      <c r="F80" s="512"/>
      <c r="G80" s="500"/>
      <c r="H80" s="501"/>
      <c r="I80" s="348">
        <f t="shared" ref="I80:K80" si="34">SUM(I71,I74:I79)</f>
        <v>30725.854402717854</v>
      </c>
      <c r="J80" s="319">
        <f t="shared" si="34"/>
        <v>100.06234613227822</v>
      </c>
      <c r="K80" s="320">
        <f t="shared" si="34"/>
        <v>133.92182689421077</v>
      </c>
      <c r="L80" s="321">
        <f t="shared" si="29"/>
        <v>30959.838575744343</v>
      </c>
      <c r="M80" s="66"/>
      <c r="N80" s="302"/>
      <c r="O80" s="302"/>
      <c r="P80" s="302"/>
      <c r="Q80" s="302"/>
      <c r="R80"/>
    </row>
    <row r="81" spans="1:18" s="19" customFormat="1" x14ac:dyDescent="0.15">
      <c r="B81" s="57"/>
      <c r="C81" s="57"/>
      <c r="D81" s="326"/>
      <c r="E81" s="327"/>
      <c r="F81" s="326"/>
      <c r="G81" s="326"/>
      <c r="H81" s="326"/>
      <c r="I81" s="327"/>
      <c r="J81" s="327"/>
      <c r="K81" s="327"/>
      <c r="L81" s="327"/>
      <c r="M81" s="66"/>
      <c r="N81" s="302"/>
      <c r="O81" s="302"/>
      <c r="P81" s="302"/>
      <c r="Q81" s="302"/>
      <c r="R81"/>
    </row>
    <row r="82" spans="1:18" s="119" customFormat="1" ht="18" x14ac:dyDescent="0.2">
      <c r="A82" s="300"/>
      <c r="B82" s="301">
        <v>2015</v>
      </c>
      <c r="C82" s="29"/>
      <c r="D82" s="29"/>
      <c r="E82" s="29"/>
      <c r="F82" s="29"/>
      <c r="G82" s="29"/>
      <c r="H82" s="29"/>
      <c r="I82" s="29"/>
      <c r="J82" s="29"/>
      <c r="K82" s="29"/>
      <c r="N82" s="302"/>
      <c r="O82" s="302"/>
      <c r="P82" s="302"/>
      <c r="Q82" s="302"/>
    </row>
    <row r="83" spans="1:18" s="119" customFormat="1" outlineLevel="1" x14ac:dyDescent="0.15">
      <c r="A83" s="141"/>
      <c r="B83" s="142"/>
      <c r="C83" s="142"/>
      <c r="D83" s="142"/>
      <c r="E83" s="142"/>
      <c r="F83" s="142"/>
      <c r="G83" s="142"/>
      <c r="H83" s="142"/>
      <c r="I83" s="142"/>
      <c r="J83" s="142"/>
      <c r="K83" s="142"/>
      <c r="N83" s="302"/>
      <c r="O83" s="302"/>
      <c r="P83" s="302"/>
      <c r="Q83" s="302"/>
    </row>
    <row r="84" spans="1:18" outlineLevel="1" x14ac:dyDescent="0.15">
      <c r="A84" s="66"/>
      <c r="B84" s="82" t="s">
        <v>137</v>
      </c>
      <c r="C84" s="82"/>
      <c r="D84" s="66"/>
      <c r="E84" s="66"/>
      <c r="F84" s="66"/>
      <c r="G84" s="66"/>
      <c r="H84" s="66"/>
      <c r="I84" s="66"/>
      <c r="J84" s="66"/>
      <c r="K84" s="66"/>
      <c r="N84" s="302"/>
      <c r="O84" s="302"/>
      <c r="P84" s="302"/>
      <c r="Q84" s="302"/>
    </row>
    <row r="85" spans="1:18" outlineLevel="1" x14ac:dyDescent="0.15">
      <c r="A85" s="66"/>
      <c r="B85" s="109" t="s">
        <v>99</v>
      </c>
      <c r="C85" s="109" t="s">
        <v>58</v>
      </c>
      <c r="D85" s="109" t="s">
        <v>100</v>
      </c>
      <c r="E85" s="109" t="s">
        <v>59</v>
      </c>
      <c r="F85" s="109" t="s">
        <v>60</v>
      </c>
      <c r="G85" s="109" t="s">
        <v>62</v>
      </c>
      <c r="H85" s="109" t="s">
        <v>61</v>
      </c>
      <c r="I85" s="109" t="s">
        <v>63</v>
      </c>
      <c r="J85" s="109" t="s">
        <v>64</v>
      </c>
      <c r="K85" s="109" t="s">
        <v>65</v>
      </c>
      <c r="N85" s="302"/>
      <c r="O85" s="302"/>
      <c r="P85" s="302"/>
      <c r="Q85" s="302"/>
    </row>
    <row r="86" spans="1:18" outlineLevel="1" x14ac:dyDescent="0.15">
      <c r="A86" s="66"/>
      <c r="B86" s="72" t="s">
        <v>101</v>
      </c>
      <c r="C86" s="122">
        <f>'Onroad Data'!C213*'Emission Factors'!$B33/grams_to_mton</f>
        <v>56997.446157546401</v>
      </c>
      <c r="D86" s="122">
        <f>'Onroad Data'!D213*'Emission Factors'!$B33/grams_to_mton</f>
        <v>87684.386832125179</v>
      </c>
      <c r="E86" s="122">
        <f>'Onroad Data'!E213*'Emission Factors'!$B33/grams_to_mton</f>
        <v>144681.83298967156</v>
      </c>
      <c r="F86" s="122">
        <f>'Onroad Data'!F213*'Emission Factors'!$B33/grams_to_mton</f>
        <v>43073.686262360665</v>
      </c>
      <c r="G86" s="122">
        <f>'Onroad Data'!G213*'Emission Factors'!$B33/grams_to_mton</f>
        <v>21681.295375343474</v>
      </c>
      <c r="H86" s="122">
        <f>'Onroad Data'!H213*'Emission Factors'!$B33/grams_to_mton</f>
        <v>4962.7053529295699</v>
      </c>
      <c r="I86" s="122">
        <f>'Onroad Data'!I213*'Emission Factors'!$B33/grams_to_mton</f>
        <v>33115.588044058146</v>
      </c>
      <c r="J86" s="122">
        <f>'Onroad Data'!J213*'Emission Factors'!$B33/grams_to_mton</f>
        <v>13450.729363314093</v>
      </c>
      <c r="K86" s="122">
        <f>'Onroad Data'!K213*'Emission Factors'!$B33/grams_to_mton</f>
        <v>29391.233031013082</v>
      </c>
      <c r="N86" s="302"/>
      <c r="O86" s="302"/>
      <c r="P86" s="302"/>
      <c r="Q86" s="302"/>
    </row>
    <row r="87" spans="1:18" outlineLevel="1" x14ac:dyDescent="0.15">
      <c r="A87" s="66"/>
      <c r="B87" s="72" t="s">
        <v>103</v>
      </c>
      <c r="C87" s="122">
        <f>'Onroad Data'!C214*'Emission Factors'!$B34/grams_to_mton</f>
        <v>2527082.6002427749</v>
      </c>
      <c r="D87" s="122">
        <f>'Onroad Data'!D214*'Emission Factors'!$B34/grams_to_mton</f>
        <v>3886797.1322304048</v>
      </c>
      <c r="E87" s="122">
        <f>'Onroad Data'!E214*'Emission Factors'!$B34/grams_to_mton</f>
        <v>6413879.7324731797</v>
      </c>
      <c r="F87" s="122">
        <f>'Onroad Data'!F214*'Emission Factors'!$B34/grams_to_mton</f>
        <v>1908625.3797029092</v>
      </c>
      <c r="G87" s="122">
        <f>'Onroad Data'!G214*'Emission Factors'!$B34/grams_to_mton</f>
        <v>961405.50907693303</v>
      </c>
      <c r="H87" s="122">
        <f>'Onroad Data'!H214*'Emission Factors'!$B34/grams_to_mton</f>
        <v>220090.84603641494</v>
      </c>
      <c r="I87" s="122">
        <f>'Onroad Data'!I214*'Emission Factors'!$B34/grams_to_mton</f>
        <v>1467225.0278916527</v>
      </c>
      <c r="J87" s="122">
        <f>'Onroad Data'!J214*'Emission Factors'!$B34/grams_to_mton</f>
        <v>596474.00237117324</v>
      </c>
      <c r="K87" s="122">
        <f>'Onroad Data'!K214*'Emission Factors'!$B34/grams_to_mton</f>
        <v>1303263.6630208583</v>
      </c>
      <c r="N87" s="302"/>
      <c r="O87" s="302"/>
      <c r="P87" s="302"/>
      <c r="Q87" s="302"/>
    </row>
    <row r="88" spans="1:18" outlineLevel="1" x14ac:dyDescent="0.15">
      <c r="A88" s="66"/>
      <c r="B88" s="72" t="s">
        <v>105</v>
      </c>
      <c r="C88" s="122">
        <f>'Onroad Data'!C215*'Emission Factors'!$B35/grams_to_mton</f>
        <v>1544197.8844661899</v>
      </c>
      <c r="D88" s="122">
        <f>'Onroad Data'!D215*'Emission Factors'!$B35/grams_to_mton</f>
        <v>2378033.7804623712</v>
      </c>
      <c r="E88" s="122">
        <f>'Onroad Data'!E215*'Emission Factors'!$B35/grams_to_mton</f>
        <v>3922231.6649285611</v>
      </c>
      <c r="F88" s="122">
        <f>'Onroad Data'!F215*'Emission Factors'!$B35/grams_to_mton</f>
        <v>1166491.2657109539</v>
      </c>
      <c r="G88" s="122">
        <f>'Onroad Data'!G215*'Emission Factors'!$B35/grams_to_mton</f>
        <v>588240.31943589915</v>
      </c>
      <c r="H88" s="122">
        <f>'Onroad Data'!H215*'Emission Factors'!$B35/grams_to_mton</f>
        <v>134670.1702124193</v>
      </c>
      <c r="I88" s="122">
        <f>'Onroad Data'!I215*'Emission Factors'!$B35/grams_to_mton</f>
        <v>897170.72985094134</v>
      </c>
      <c r="J88" s="122">
        <f>'Onroad Data'!J215*'Emission Factors'!$B35/grams_to_mton</f>
        <v>364983.65623938292</v>
      </c>
      <c r="K88" s="122">
        <f>'Onroad Data'!K215*'Emission Factors'!$B35/grams_to_mton</f>
        <v>797384.2853610618</v>
      </c>
      <c r="N88" s="302"/>
      <c r="O88" s="302"/>
      <c r="P88" s="302"/>
      <c r="Q88" s="302"/>
    </row>
    <row r="89" spans="1:18" outlineLevel="1" x14ac:dyDescent="0.15">
      <c r="A89" s="66"/>
      <c r="B89" s="72" t="s">
        <v>107</v>
      </c>
      <c r="C89" s="122">
        <f>'Onroad Data'!C216*'Emission Factors'!$B36/grams_to_mton</f>
        <v>123946.88432447884</v>
      </c>
      <c r="D89" s="122">
        <f>'Onroad Data'!D216*'Emission Factors'!$B36/grams_to_mton</f>
        <v>315614.93669478508</v>
      </c>
      <c r="E89" s="122">
        <f>'Onroad Data'!E216*'Emission Factors'!$B36/grams_to_mton</f>
        <v>439561.821019264</v>
      </c>
      <c r="F89" s="122">
        <f>'Onroad Data'!F216*'Emission Factors'!$B36/grams_to_mton</f>
        <v>158573.19116705912</v>
      </c>
      <c r="G89" s="122">
        <f>'Onroad Data'!G216*'Emission Factors'!$B36/grams_to_mton</f>
        <v>66641.10393421803</v>
      </c>
      <c r="H89" s="122">
        <f>'Onroad Data'!H216*'Emission Factors'!$B36/grams_to_mton</f>
        <v>16852.467835164094</v>
      </c>
      <c r="I89" s="122">
        <f>'Onroad Data'!I216*'Emission Factors'!$B36/grams_to_mton</f>
        <v>104679.90885106643</v>
      </c>
      <c r="J89" s="122">
        <f>'Onroad Data'!J216*'Emission Factors'!$B36/grams_to_mton</f>
        <v>45033.268014532521</v>
      </c>
      <c r="K89" s="122">
        <f>'Onroad Data'!K216*'Emission Factors'!$B36/grams_to_mton</f>
        <v>100997.16229563308</v>
      </c>
      <c r="L89" s="82"/>
      <c r="M89" s="82"/>
      <c r="N89" s="302"/>
      <c r="O89" s="302"/>
      <c r="P89" s="302"/>
      <c r="Q89" s="302"/>
    </row>
    <row r="90" spans="1:18" outlineLevel="1" x14ac:dyDescent="0.15">
      <c r="A90" s="66"/>
      <c r="B90" s="72" t="s">
        <v>108</v>
      </c>
      <c r="C90" s="122">
        <f>'Onroad Data'!C217*'Emission Factors'!$B37/grams_to_mton</f>
        <v>66988.141901625175</v>
      </c>
      <c r="D90" s="122">
        <f>'Onroad Data'!D217*'Emission Factors'!$B37/grams_to_mton</f>
        <v>19944.544236563419</v>
      </c>
      <c r="E90" s="122">
        <f>'Onroad Data'!E217*'Emission Factors'!$B37/grams_to_mton</f>
        <v>86932.686138188597</v>
      </c>
      <c r="F90" s="122">
        <f>'Onroad Data'!F217*'Emission Factors'!$B37/grams_to_mton</f>
        <v>2997.4116540253649</v>
      </c>
      <c r="G90" s="122">
        <f>'Onroad Data'!G217*'Emission Factors'!$B37/grams_to_mton</f>
        <v>1492.6241298269106</v>
      </c>
      <c r="H90" s="122">
        <f>'Onroad Data'!H217*'Emission Factors'!$B37/grams_to_mton</f>
        <v>2.6979035459829928</v>
      </c>
      <c r="I90" s="122">
        <f>'Onroad Data'!I217*'Emission Factors'!$B37/grams_to_mton</f>
        <v>2111.7338472830384</v>
      </c>
      <c r="J90" s="122">
        <f>'Onroad Data'!J217*'Emission Factors'!$B37/grams_to_mton</f>
        <v>308.07256826058801</v>
      </c>
      <c r="K90" s="122">
        <f>'Onroad Data'!K217*'Emission Factors'!$B37/grams_to_mton</f>
        <v>1689.7838080017177</v>
      </c>
      <c r="N90" s="302"/>
      <c r="O90" s="302"/>
      <c r="P90" s="302"/>
      <c r="Q90" s="302"/>
    </row>
    <row r="91" spans="1:18" outlineLevel="1" x14ac:dyDescent="0.15">
      <c r="A91" s="66"/>
      <c r="B91" s="72" t="s">
        <v>111</v>
      </c>
      <c r="C91" s="122">
        <f>'Onroad Data'!C218*'Emission Factors'!$B38/grams_to_mton</f>
        <v>263284.0099710272</v>
      </c>
      <c r="D91" s="122">
        <f>'Onroad Data'!D218*'Emission Factors'!$B38/grams_to_mton</f>
        <v>648595.59220866917</v>
      </c>
      <c r="E91" s="122">
        <f>'Onroad Data'!E218*'Emission Factors'!$B38/grams_to_mton</f>
        <v>911879.60217969632</v>
      </c>
      <c r="F91" s="122">
        <f>'Onroad Data'!F218*'Emission Factors'!$B38/grams_to_mton</f>
        <v>324087.75802831823</v>
      </c>
      <c r="G91" s="122">
        <f>'Onroad Data'!G218*'Emission Factors'!$B38/grams_to_mton</f>
        <v>132324.41261024511</v>
      </c>
      <c r="H91" s="122">
        <f>'Onroad Data'!H218*'Emission Factors'!$B38/grams_to_mton</f>
        <v>31508.252628590933</v>
      </c>
      <c r="I91" s="122">
        <f>'Onroad Data'!I218*'Emission Factors'!$B38/grams_to_mton</f>
        <v>211481.90655654328</v>
      </c>
      <c r="J91" s="122">
        <f>'Onroad Data'!J218*'Emission Factors'!$B38/grams_to_mton</f>
        <v>88007.111799312624</v>
      </c>
      <c r="K91" s="122">
        <f>'Onroad Data'!K218*'Emission Factors'!$B38/grams_to_mton</f>
        <v>202564.65154346323</v>
      </c>
      <c r="N91" s="302"/>
      <c r="O91" s="302"/>
      <c r="P91" s="302"/>
      <c r="Q91" s="302"/>
    </row>
    <row r="92" spans="1:18" outlineLevel="1" x14ac:dyDescent="0.15">
      <c r="A92" s="66"/>
      <c r="B92" s="72" t="s">
        <v>112</v>
      </c>
      <c r="C92" s="122">
        <f>'Onroad Data'!C219*'Emission Factors'!$B39/grams_to_mton</f>
        <v>0</v>
      </c>
      <c r="D92" s="122">
        <f>'Onroad Data'!D219*'Emission Factors'!$B39/grams_to_mton</f>
        <v>0</v>
      </c>
      <c r="E92" s="122">
        <f>'Onroad Data'!E219*'Emission Factors'!$B39/grams_to_mton</f>
        <v>0</v>
      </c>
      <c r="F92" s="122">
        <f>'Onroad Data'!F219*'Emission Factors'!$B39/grams_to_mton</f>
        <v>0</v>
      </c>
      <c r="G92" s="122">
        <f>'Onroad Data'!G219*'Emission Factors'!$B39/grams_to_mton</f>
        <v>0</v>
      </c>
      <c r="H92" s="122">
        <f>'Onroad Data'!H219*'Emission Factors'!$B39/grams_to_mton</f>
        <v>0</v>
      </c>
      <c r="I92" s="122">
        <f>'Onroad Data'!I219*'Emission Factors'!$B39/grams_to_mton</f>
        <v>0</v>
      </c>
      <c r="J92" s="122">
        <f>'Onroad Data'!J219*'Emission Factors'!$B39/grams_to_mton</f>
        <v>0</v>
      </c>
      <c r="K92" s="122">
        <f>'Onroad Data'!K219*'Emission Factors'!$B39/grams_to_mton</f>
        <v>0</v>
      </c>
      <c r="N92" s="302"/>
      <c r="O92" s="302"/>
      <c r="P92" s="302"/>
      <c r="Q92" s="302"/>
    </row>
    <row r="93" spans="1:18" outlineLevel="1" x14ac:dyDescent="0.15">
      <c r="A93" s="66"/>
      <c r="B93" s="72" t="s">
        <v>114</v>
      </c>
      <c r="C93" s="122">
        <f>'Onroad Data'!C220*'Emission Factors'!$B40/grams_to_mton</f>
        <v>468387.04890163359</v>
      </c>
      <c r="D93" s="122">
        <f>'Onroad Data'!D220*'Emission Factors'!$B40/grams_to_mton</f>
        <v>1886021.640417495</v>
      </c>
      <c r="E93" s="122">
        <f>'Onroad Data'!E220*'Emission Factors'!$B40/grams_to_mton</f>
        <v>2354408.6893191291</v>
      </c>
      <c r="F93" s="122">
        <f>'Onroad Data'!F220*'Emission Factors'!$B40/grams_to_mton</f>
        <v>460048.58811813995</v>
      </c>
      <c r="G93" s="122">
        <f>'Onroad Data'!G220*'Emission Factors'!$B40/grams_to_mton</f>
        <v>265439.69193961361</v>
      </c>
      <c r="H93" s="122">
        <f>'Onroad Data'!H220*'Emission Factors'!$B40/grams_to_mton</f>
        <v>41238.741071086006</v>
      </c>
      <c r="I93" s="122">
        <f>'Onroad Data'!I220*'Emission Factors'!$B40/grams_to_mton</f>
        <v>442614.36512976734</v>
      </c>
      <c r="J93" s="122">
        <f>'Onroad Data'!J220*'Emission Factors'!$B40/grams_to_mton</f>
        <v>137893.4867028509</v>
      </c>
      <c r="K93" s="122">
        <f>'Onroad Data'!K220*'Emission Factors'!$B40/grams_to_mton</f>
        <v>473556.39264574548</v>
      </c>
      <c r="N93" s="302"/>
      <c r="O93" s="302"/>
      <c r="P93" s="302"/>
      <c r="Q93" s="302"/>
    </row>
    <row r="94" spans="1:18" outlineLevel="1" x14ac:dyDescent="0.15">
      <c r="A94" s="66"/>
      <c r="B94" s="72" t="s">
        <v>115</v>
      </c>
      <c r="C94" s="122">
        <f>'Onroad Data'!C221*'Emission Factors'!$B41/grams_to_mton</f>
        <v>29367.51953793452</v>
      </c>
      <c r="D94" s="122">
        <f>'Onroad Data'!D221*'Emission Factors'!$B41/grams_to_mton</f>
        <v>118252.15386252097</v>
      </c>
      <c r="E94" s="122">
        <f>'Onroad Data'!E221*'Emission Factors'!$B41/grams_to_mton</f>
        <v>147619.67340045547</v>
      </c>
      <c r="F94" s="122">
        <f>'Onroad Data'!F221*'Emission Factors'!$B41/grams_to_mton</f>
        <v>28844.704249702718</v>
      </c>
      <c r="G94" s="122">
        <f>'Onroad Data'!G221*'Emission Factors'!$B41/grams_to_mton</f>
        <v>16642.871226819556</v>
      </c>
      <c r="H94" s="122">
        <f>'Onroad Data'!H221*'Emission Factors'!$B41/grams_to_mton</f>
        <v>2585.6383880914718</v>
      </c>
      <c r="I94" s="122">
        <f>'Onroad Data'!I221*'Emission Factors'!$B41/grams_to_mton</f>
        <v>27751.591437466817</v>
      </c>
      <c r="J94" s="122">
        <f>'Onroad Data'!J221*'Emission Factors'!$B41/grams_to_mton</f>
        <v>8645.8190387547311</v>
      </c>
      <c r="K94" s="122">
        <f>'Onroad Data'!K221*'Emission Factors'!$B41/grams_to_mton</f>
        <v>29691.633545269906</v>
      </c>
      <c r="N94" s="302"/>
      <c r="O94" s="302"/>
      <c r="P94" s="302"/>
      <c r="Q94" s="302"/>
    </row>
    <row r="95" spans="1:18" outlineLevel="1" x14ac:dyDescent="0.15">
      <c r="A95" s="66"/>
      <c r="B95" s="73" t="s">
        <v>88</v>
      </c>
      <c r="C95" s="169">
        <f>SUM(C86:C94)</f>
        <v>5080251.5355032096</v>
      </c>
      <c r="D95" s="169">
        <f t="shared" ref="D95:K95" si="35">SUM(D86:D94)</f>
        <v>9340944.1669449359</v>
      </c>
      <c r="E95" s="169">
        <f t="shared" si="35"/>
        <v>14421195.702448146</v>
      </c>
      <c r="F95" s="169">
        <f t="shared" si="35"/>
        <v>4092741.9848934691</v>
      </c>
      <c r="G95" s="169">
        <f t="shared" si="35"/>
        <v>2053867.8277288987</v>
      </c>
      <c r="H95" s="169">
        <f t="shared" si="35"/>
        <v>451911.51942824229</v>
      </c>
      <c r="I95" s="169">
        <f t="shared" si="35"/>
        <v>3186150.8516087793</v>
      </c>
      <c r="J95" s="169">
        <f t="shared" si="35"/>
        <v>1254796.1460975818</v>
      </c>
      <c r="K95" s="169">
        <f t="shared" si="35"/>
        <v>2938538.8052510465</v>
      </c>
      <c r="N95" s="302"/>
      <c r="O95" s="302"/>
      <c r="P95" s="302"/>
      <c r="Q95" s="302"/>
    </row>
    <row r="96" spans="1:18" outlineLevel="1" x14ac:dyDescent="0.15">
      <c r="A96" s="66"/>
      <c r="B96" s="66"/>
      <c r="C96" s="82"/>
      <c r="D96" s="114"/>
      <c r="E96" s="114"/>
      <c r="F96" s="114"/>
      <c r="G96" s="114"/>
      <c r="H96" s="114"/>
      <c r="I96" s="114"/>
      <c r="J96" s="114"/>
      <c r="K96" s="114"/>
      <c r="L96" s="114"/>
      <c r="M96" s="114"/>
      <c r="N96" s="302"/>
      <c r="O96" s="302"/>
      <c r="P96" s="302"/>
      <c r="Q96" s="302"/>
    </row>
    <row r="97" spans="1:17" outlineLevel="1" x14ac:dyDescent="0.15">
      <c r="A97" s="66"/>
      <c r="B97" s="82" t="s">
        <v>138</v>
      </c>
      <c r="C97" s="82"/>
      <c r="D97" s="66"/>
      <c r="E97" s="66"/>
      <c r="F97" s="66"/>
      <c r="G97" s="66"/>
      <c r="H97" s="66"/>
      <c r="I97" s="66"/>
      <c r="J97" s="66"/>
      <c r="K97" s="66"/>
      <c r="N97" s="302"/>
      <c r="O97" s="302"/>
      <c r="P97" s="302"/>
      <c r="Q97" s="302"/>
    </row>
    <row r="98" spans="1:17" outlineLevel="1" x14ac:dyDescent="0.15">
      <c r="A98" s="66"/>
      <c r="B98" s="109" t="s">
        <v>99</v>
      </c>
      <c r="C98" s="109" t="s">
        <v>58</v>
      </c>
      <c r="D98" s="109" t="s">
        <v>100</v>
      </c>
      <c r="E98" s="109" t="s">
        <v>59</v>
      </c>
      <c r="F98" s="109" t="s">
        <v>60</v>
      </c>
      <c r="G98" s="109" t="s">
        <v>62</v>
      </c>
      <c r="H98" s="109" t="s">
        <v>61</v>
      </c>
      <c r="I98" s="109" t="s">
        <v>63</v>
      </c>
      <c r="J98" s="109" t="s">
        <v>64</v>
      </c>
      <c r="K98" s="109" t="s">
        <v>65</v>
      </c>
      <c r="N98" s="302"/>
      <c r="O98" s="302"/>
      <c r="P98" s="302"/>
      <c r="Q98" s="302"/>
    </row>
    <row r="99" spans="1:17" outlineLevel="1" x14ac:dyDescent="0.15">
      <c r="A99" s="66"/>
      <c r="B99" s="72" t="s">
        <v>101</v>
      </c>
      <c r="C99" s="122">
        <f>'Onroad Data'!C213*'Emission Factors'!$C33/grams_to_mton</f>
        <v>20.692468261777783</v>
      </c>
      <c r="D99" s="122">
        <f>'Onroad Data'!D213*'Emission Factors'!$C33/grams_to_mton</f>
        <v>31.83311733936295</v>
      </c>
      <c r="E99" s="122">
        <f>'Onroad Data'!E213*'Emission Factors'!$C33/grams_to_mton</f>
        <v>52.52558560114074</v>
      </c>
      <c r="F99" s="122">
        <f>'Onroad Data'!F213*'Emission Factors'!$C33/grams_to_mton</f>
        <v>15.637558276524018</v>
      </c>
      <c r="G99" s="122">
        <f>'Onroad Data'!G213*'Emission Factors'!$C33/grams_to_mton</f>
        <v>7.8712213734706946</v>
      </c>
      <c r="H99" s="122">
        <f>'Onroad Data'!H213*'Emission Factors'!$C33/grams_to_mton</f>
        <v>1.8016705998406166</v>
      </c>
      <c r="I99" s="122">
        <f>'Onroad Data'!I213*'Emission Factors'!$C33/grams_to_mton</f>
        <v>12.022350136139487</v>
      </c>
      <c r="J99" s="122">
        <f>'Onroad Data'!J213*'Emission Factors'!$C33/grams_to_mton</f>
        <v>4.8831800231682649</v>
      </c>
      <c r="K99" s="122">
        <f>'Onroad Data'!K213*'Emission Factors'!$C33/grams_to_mton</f>
        <v>10.670252751109114</v>
      </c>
      <c r="N99" s="302"/>
      <c r="O99" s="302"/>
      <c r="P99" s="302"/>
      <c r="Q99" s="302"/>
    </row>
    <row r="100" spans="1:17" outlineLevel="1" x14ac:dyDescent="0.15">
      <c r="A100" s="66"/>
      <c r="B100" s="72" t="s">
        <v>103</v>
      </c>
      <c r="C100" s="122">
        <f>'Onroad Data'!C214*'Emission Factors'!$C34/grams_to_mton</f>
        <v>138.1667678258772</v>
      </c>
      <c r="D100" s="122">
        <f>'Onroad Data'!D214*'Emission Factors'!$C34/grams_to_mton</f>
        <v>212.50836712008223</v>
      </c>
      <c r="E100" s="122">
        <f>'Onroad Data'!E214*'Emission Factors'!$C34/grams_to_mton</f>
        <v>350.67513494595937</v>
      </c>
      <c r="F100" s="122">
        <f>'Onroad Data'!F214*'Emission Factors'!$C34/grams_to_mton</f>
        <v>104.35297986644925</v>
      </c>
      <c r="G100" s="122">
        <f>'Onroad Data'!G214*'Emission Factors'!$C34/grams_to_mton</f>
        <v>52.56428568911462</v>
      </c>
      <c r="H100" s="122">
        <f>'Onroad Data'!H214*'Emission Factors'!$C34/grams_to_mton</f>
        <v>12.033338689440873</v>
      </c>
      <c r="I100" s="122">
        <f>'Onroad Data'!I214*'Emission Factors'!$C34/grams_to_mton</f>
        <v>80.219672976873341</v>
      </c>
      <c r="J100" s="122">
        <f>'Onroad Data'!J214*'Emission Factors'!$C34/grams_to_mton</f>
        <v>32.61186832273399</v>
      </c>
      <c r="K100" s="122">
        <f>'Onroad Data'!K214*'Emission Factors'!$C34/grams_to_mton</f>
        <v>71.255180945492711</v>
      </c>
      <c r="N100" s="302"/>
      <c r="O100" s="302"/>
      <c r="P100" s="302"/>
      <c r="Q100" s="302"/>
    </row>
    <row r="101" spans="1:17" outlineLevel="1" x14ac:dyDescent="0.15">
      <c r="A101" s="66"/>
      <c r="B101" s="72" t="s">
        <v>105</v>
      </c>
      <c r="C101" s="122">
        <f>'Onroad Data'!C215*'Emission Factors'!$C35/grams_to_mton</f>
        <v>66.137119468134657</v>
      </c>
      <c r="D101" s="122">
        <f>'Onroad Data'!D215*'Emission Factors'!$C35/grams_to_mton</f>
        <v>101.8498379124954</v>
      </c>
      <c r="E101" s="122">
        <f>'Onroad Data'!E215*'Emission Factors'!$C35/grams_to_mton</f>
        <v>167.98695738063006</v>
      </c>
      <c r="F101" s="122">
        <f>'Onroad Data'!F215*'Emission Factors'!$C35/grams_to_mton</f>
        <v>49.960159235375585</v>
      </c>
      <c r="G101" s="122">
        <f>'Onroad Data'!G215*'Emission Factors'!$C35/grams_to_mton</f>
        <v>25.193999210764733</v>
      </c>
      <c r="H101" s="122">
        <f>'Onroad Data'!H215*'Emission Factors'!$C35/grams_to_mton</f>
        <v>5.7678470005233429</v>
      </c>
      <c r="I101" s="122">
        <f>'Onroad Data'!I215*'Emission Factors'!$C35/grams_to_mton</f>
        <v>38.425313452606552</v>
      </c>
      <c r="J101" s="122">
        <f>'Onroad Data'!J215*'Emission Factors'!$C35/grams_to_mton</f>
        <v>15.632042965118558</v>
      </c>
      <c r="K101" s="122">
        <f>'Onroad Data'!K215*'Emission Factors'!$C35/grams_to_mton</f>
        <v>34.151516637498922</v>
      </c>
      <c r="N101" s="302"/>
      <c r="O101" s="302"/>
      <c r="P101" s="302"/>
      <c r="Q101" s="302"/>
    </row>
    <row r="102" spans="1:17" outlineLevel="1" x14ac:dyDescent="0.15">
      <c r="A102" s="66"/>
      <c r="B102" s="72" t="s">
        <v>107</v>
      </c>
      <c r="C102" s="122">
        <f>'Onroad Data'!C216*'Emission Factors'!$C36/grams_to_mton</f>
        <v>5.3085747485691552</v>
      </c>
      <c r="D102" s="122">
        <f>'Onroad Data'!D216*'Emission Factors'!$C36/grams_to_mton</f>
        <v>13.517608710703938</v>
      </c>
      <c r="E102" s="122">
        <f>'Onroad Data'!E216*'Emission Factors'!$C36/grams_to_mton</f>
        <v>18.826183459273093</v>
      </c>
      <c r="F102" s="122">
        <f>'Onroad Data'!F216*'Emission Factors'!$C36/grams_to_mton</f>
        <v>6.7915998293732729</v>
      </c>
      <c r="G102" s="122">
        <f>'Onroad Data'!G216*'Emission Factors'!$C36/grams_to_mton</f>
        <v>2.8542006803158895</v>
      </c>
      <c r="H102" s="122">
        <f>'Onroad Data'!H216*'Emission Factors'!$C36/grams_to_mton</f>
        <v>0.72178163806540807</v>
      </c>
      <c r="I102" s="122">
        <f>'Onroad Data'!I216*'Emission Factors'!$C36/grams_to_mton</f>
        <v>4.4833811179515388</v>
      </c>
      <c r="J102" s="122">
        <f>'Onroad Data'!J216*'Emission Factors'!$C36/grams_to_mton</f>
        <v>1.9287493246030774</v>
      </c>
      <c r="K102" s="122">
        <f>'Onroad Data'!K216*'Emission Factors'!$C36/grams_to_mton</f>
        <v>4.3256511719661805</v>
      </c>
      <c r="N102" s="302"/>
      <c r="O102" s="302"/>
      <c r="P102" s="302"/>
      <c r="Q102" s="302"/>
    </row>
    <row r="103" spans="1:17" outlineLevel="1" x14ac:dyDescent="0.15">
      <c r="A103" s="66"/>
      <c r="B103" s="72" t="s">
        <v>108</v>
      </c>
      <c r="C103" s="122">
        <f>'Onroad Data'!C217*'Emission Factors'!$C37/grams_to_mton</f>
        <v>4.8318487384786319</v>
      </c>
      <c r="D103" s="122">
        <f>'Onroad Data'!D217*'Emission Factors'!$C37/grams_to_mton</f>
        <v>1.4385982081797712</v>
      </c>
      <c r="E103" s="122">
        <f>'Onroad Data'!E217*'Emission Factors'!$C37/grams_to_mton</f>
        <v>6.270446946658403</v>
      </c>
      <c r="F103" s="122">
        <f>'Onroad Data'!F217*'Emission Factors'!$C37/grams_to_mton</f>
        <v>0.21620303695648918</v>
      </c>
      <c r="G103" s="122">
        <f>'Onroad Data'!G217*'Emission Factors'!$C37/grams_to_mton</f>
        <v>0.10766284619923086</v>
      </c>
      <c r="H103" s="122">
        <f>'Onroad Data'!H217*'Emission Factors'!$C37/grams_to_mton</f>
        <v>1.9459954366757398E-4</v>
      </c>
      <c r="I103" s="122">
        <f>'Onroad Data'!I217*'Emission Factors'!$C37/grams_to_mton</f>
        <v>0.15231917525017413</v>
      </c>
      <c r="J103" s="122">
        <f>'Onroad Data'!J217*'Emission Factors'!$C37/grams_to_mton</f>
        <v>2.2221247045421944E-2</v>
      </c>
      <c r="K103" s="122">
        <f>'Onroad Data'!K217*'Emission Factors'!$C37/grams_to_mton</f>
        <v>0.12188395631252218</v>
      </c>
      <c r="N103" s="302"/>
      <c r="O103" s="302"/>
      <c r="P103" s="302"/>
      <c r="Q103" s="302"/>
    </row>
    <row r="104" spans="1:17" outlineLevel="1" x14ac:dyDescent="0.15">
      <c r="A104" s="66"/>
      <c r="B104" s="72" t="s">
        <v>111</v>
      </c>
      <c r="C104" s="122">
        <f>'Onroad Data'!C218*'Emission Factors'!$C38/grams_to_mton</f>
        <v>2.1772678249794404</v>
      </c>
      <c r="D104" s="122">
        <f>'Onroad Data'!D218*'Emission Factors'!$C38/grams_to_mton</f>
        <v>5.3636615246585677</v>
      </c>
      <c r="E104" s="122">
        <f>'Onroad Data'!E218*'Emission Factors'!$C38/grams_to_mton</f>
        <v>7.5409293496380068</v>
      </c>
      <c r="F104" s="122">
        <f>'Onroad Data'!F218*'Emission Factors'!$C38/grams_to_mton</f>
        <v>2.6800938199871291</v>
      </c>
      <c r="G104" s="122">
        <f>'Onroad Data'!G218*'Emission Factors'!$C38/grams_to_mton</f>
        <v>1.0942771878447715</v>
      </c>
      <c r="H104" s="122">
        <f>'Onroad Data'!H218*'Emission Factors'!$C38/grams_to_mton</f>
        <v>0.26056236638565378</v>
      </c>
      <c r="I104" s="122">
        <f>'Onroad Data'!I218*'Emission Factors'!$C38/grams_to_mton</f>
        <v>1.7488823220276091</v>
      </c>
      <c r="J104" s="122">
        <f>'Onroad Data'!J218*'Emission Factors'!$C38/grams_to_mton</f>
        <v>0.72778841719669152</v>
      </c>
      <c r="K104" s="122">
        <f>'Onroad Data'!K218*'Emission Factors'!$C38/grams_to_mton</f>
        <v>1.6751397030616779</v>
      </c>
      <c r="N104" s="302"/>
      <c r="O104" s="302"/>
      <c r="P104" s="302"/>
      <c r="Q104" s="302"/>
    </row>
    <row r="105" spans="1:17" outlineLevel="1" x14ac:dyDescent="0.15">
      <c r="A105" s="66"/>
      <c r="B105" s="72" t="s">
        <v>112</v>
      </c>
      <c r="C105" s="122">
        <f>'Onroad Data'!C219*'Emission Factors'!$C39/grams_to_mton</f>
        <v>0</v>
      </c>
      <c r="D105" s="122">
        <f>'Onroad Data'!D219*'Emission Factors'!$C39/grams_to_mton</f>
        <v>0</v>
      </c>
      <c r="E105" s="122">
        <f>'Onroad Data'!E219*'Emission Factors'!$C39/grams_to_mton</f>
        <v>0</v>
      </c>
      <c r="F105" s="122">
        <f>'Onroad Data'!F219*'Emission Factors'!$C39/grams_to_mton</f>
        <v>0</v>
      </c>
      <c r="G105" s="122">
        <f>'Onroad Data'!G219*'Emission Factors'!$C39/grams_to_mton</f>
        <v>0</v>
      </c>
      <c r="H105" s="122">
        <f>'Onroad Data'!H219*'Emission Factors'!$C39/grams_to_mton</f>
        <v>0</v>
      </c>
      <c r="I105" s="122">
        <f>'Onroad Data'!I219*'Emission Factors'!$C39/grams_to_mton</f>
        <v>0</v>
      </c>
      <c r="J105" s="122">
        <f>'Onroad Data'!J219*'Emission Factors'!$C39/grams_to_mton</f>
        <v>0</v>
      </c>
      <c r="K105" s="122">
        <f>'Onroad Data'!K219*'Emission Factors'!$C39/grams_to_mton</f>
        <v>0</v>
      </c>
      <c r="N105" s="302"/>
      <c r="O105" s="302"/>
      <c r="P105" s="302"/>
      <c r="Q105" s="302"/>
    </row>
    <row r="106" spans="1:17" outlineLevel="1" x14ac:dyDescent="0.15">
      <c r="A106" s="66"/>
      <c r="B106" s="72" t="s">
        <v>114</v>
      </c>
      <c r="C106" s="122">
        <f>'Onroad Data'!C220*'Emission Factors'!$C40/grams_to_mton</f>
        <v>3.8733991149816567</v>
      </c>
      <c r="D106" s="122">
        <f>'Onroad Data'!D220*'Emission Factors'!$C40/grams_to_mton</f>
        <v>15.596747540224099</v>
      </c>
      <c r="E106" s="122">
        <f>'Onroad Data'!E220*'Emission Factors'!$C40/grams_to_mton</f>
        <v>19.470146655205756</v>
      </c>
      <c r="F106" s="122">
        <f>'Onroad Data'!F220*'Emission Factors'!$C40/grams_to_mton</f>
        <v>3.8044429243806728</v>
      </c>
      <c r="G106" s="122">
        <f>'Onroad Data'!G220*'Emission Factors'!$C40/grams_to_mton</f>
        <v>2.1950945702937799</v>
      </c>
      <c r="H106" s="122">
        <f>'Onroad Data'!H220*'Emission Factors'!$C40/grams_to_mton</f>
        <v>0.34103014492454115</v>
      </c>
      <c r="I106" s="122">
        <f>'Onroad Data'!I220*'Emission Factors'!$C40/grams_to_mton</f>
        <v>3.6602679219934111</v>
      </c>
      <c r="J106" s="122">
        <f>'Onroad Data'!J220*'Emission Factors'!$C40/grams_to_mton</f>
        <v>1.1403315070496916</v>
      </c>
      <c r="K106" s="122">
        <f>'Onroad Data'!K220*'Emission Factors'!$C40/grams_to_mton</f>
        <v>3.9161478022701557</v>
      </c>
      <c r="N106" s="302"/>
      <c r="O106" s="302"/>
      <c r="P106" s="302"/>
      <c r="Q106" s="302"/>
    </row>
    <row r="107" spans="1:17" outlineLevel="1" x14ac:dyDescent="0.15">
      <c r="A107" s="66"/>
      <c r="B107" s="72" t="s">
        <v>115</v>
      </c>
      <c r="C107" s="122">
        <f>'Onroad Data'!C221*'Emission Factors'!$C41/grams_to_mton</f>
        <v>0.24285924312849921</v>
      </c>
      <c r="D107" s="122">
        <f>'Onroad Data'!D221*'Emission Factors'!$C41/grams_to_mton</f>
        <v>0.97790446851564494</v>
      </c>
      <c r="E107" s="122">
        <f>'Onroad Data'!E221*'Emission Factors'!$C41/grams_to_mton</f>
        <v>1.2207637116441441</v>
      </c>
      <c r="F107" s="122">
        <f>'Onroad Data'!F221*'Emission Factors'!$C41/grams_to_mton</f>
        <v>0.23853574127360222</v>
      </c>
      <c r="G107" s="122">
        <f>'Onroad Data'!G221*'Emission Factors'!$C41/grams_to_mton</f>
        <v>0.13763079664966313</v>
      </c>
      <c r="H107" s="122">
        <f>'Onroad Data'!H221*'Emission Factors'!$C41/grams_to_mton</f>
        <v>2.1382336398031807E-2</v>
      </c>
      <c r="I107" s="122">
        <f>'Onroad Data'!I221*'Emission Factors'!$C41/grams_to_mton</f>
        <v>0.22949607587418838</v>
      </c>
      <c r="J107" s="122">
        <f>'Onroad Data'!J221*'Emission Factors'!$C41/grams_to_mton</f>
        <v>7.1497937211404669E-2</v>
      </c>
      <c r="K107" s="122">
        <f>'Onroad Data'!K221*'Emission Factors'!$C41/grams_to_mton</f>
        <v>0.24553955402118938</v>
      </c>
      <c r="N107" s="302"/>
      <c r="O107" s="302"/>
      <c r="P107" s="302"/>
      <c r="Q107" s="302"/>
    </row>
    <row r="108" spans="1:17" outlineLevel="1" x14ac:dyDescent="0.15">
      <c r="A108" s="66"/>
      <c r="B108" s="73" t="s">
        <v>88</v>
      </c>
      <c r="C108" s="169">
        <f>SUM(C99:C107)</f>
        <v>241.43030522592704</v>
      </c>
      <c r="D108" s="169">
        <f t="shared" ref="D108:K108" si="36">SUM(D99:D107)</f>
        <v>383.08584282422265</v>
      </c>
      <c r="E108" s="169">
        <f t="shared" si="36"/>
        <v>624.51614805014958</v>
      </c>
      <c r="F108" s="169">
        <f t="shared" si="36"/>
        <v>183.68157273032003</v>
      </c>
      <c r="G108" s="169">
        <f t="shared" si="36"/>
        <v>92.018372354653366</v>
      </c>
      <c r="H108" s="169">
        <f t="shared" si="36"/>
        <v>20.947807375122135</v>
      </c>
      <c r="I108" s="169">
        <f t="shared" si="36"/>
        <v>140.94168317871632</v>
      </c>
      <c r="J108" s="169">
        <f t="shared" si="36"/>
        <v>57.017679744127101</v>
      </c>
      <c r="K108" s="169">
        <f t="shared" si="36"/>
        <v>126.36131252173249</v>
      </c>
      <c r="N108" s="302"/>
      <c r="O108" s="302"/>
      <c r="P108" s="302"/>
      <c r="Q108" s="302"/>
    </row>
    <row r="109" spans="1:17" outlineLevel="1" x14ac:dyDescent="0.15">
      <c r="A109" s="66"/>
      <c r="B109" s="66"/>
      <c r="C109" s="82"/>
      <c r="D109" s="114"/>
      <c r="E109" s="114"/>
      <c r="F109" s="114"/>
      <c r="G109" s="114"/>
      <c r="H109" s="114"/>
      <c r="I109" s="114"/>
      <c r="J109" s="114"/>
      <c r="K109" s="114"/>
      <c r="L109" s="114"/>
      <c r="M109" s="114"/>
      <c r="N109" s="302"/>
      <c r="O109" s="302"/>
      <c r="P109" s="302"/>
      <c r="Q109" s="302"/>
    </row>
    <row r="110" spans="1:17" outlineLevel="1" x14ac:dyDescent="0.15">
      <c r="A110" s="66"/>
      <c r="B110" s="82" t="s">
        <v>139</v>
      </c>
      <c r="C110" s="82"/>
      <c r="D110" s="66"/>
      <c r="E110" s="66"/>
      <c r="F110" s="66"/>
      <c r="G110" s="66"/>
      <c r="H110" s="66"/>
      <c r="I110" s="66"/>
      <c r="J110" s="66"/>
      <c r="K110" s="66"/>
      <c r="N110" s="302"/>
      <c r="O110" s="302"/>
      <c r="P110" s="302"/>
      <c r="Q110" s="302"/>
    </row>
    <row r="111" spans="1:17" outlineLevel="1" x14ac:dyDescent="0.15">
      <c r="A111" s="66"/>
      <c r="B111" s="109" t="s">
        <v>99</v>
      </c>
      <c r="C111" s="109" t="s">
        <v>58</v>
      </c>
      <c r="D111" s="109" t="s">
        <v>100</v>
      </c>
      <c r="E111" s="109" t="s">
        <v>59</v>
      </c>
      <c r="F111" s="109" t="s">
        <v>60</v>
      </c>
      <c r="G111" s="109" t="s">
        <v>62</v>
      </c>
      <c r="H111" s="109" t="s">
        <v>61</v>
      </c>
      <c r="I111" s="109" t="s">
        <v>63</v>
      </c>
      <c r="J111" s="109" t="s">
        <v>64</v>
      </c>
      <c r="K111" s="109" t="s">
        <v>65</v>
      </c>
      <c r="N111" s="302"/>
      <c r="O111" s="302"/>
      <c r="P111" s="302"/>
      <c r="Q111" s="302"/>
    </row>
    <row r="112" spans="1:17" outlineLevel="1" x14ac:dyDescent="0.15">
      <c r="A112" s="66"/>
      <c r="B112" s="72" t="s">
        <v>101</v>
      </c>
      <c r="C112" s="122">
        <f>'Onroad Data'!C213*'Emission Factors'!$D33/grams_to_mton</f>
        <v>2.1064387337128259</v>
      </c>
      <c r="D112" s="122">
        <f>'Onroad Data'!D213*'Emission Factors'!$D33/grams_to_mton</f>
        <v>3.2405274484494258</v>
      </c>
      <c r="E112" s="122">
        <f>'Onroad Data'!E213*'Emission Factors'!$D33/grams_to_mton</f>
        <v>5.3469661821622525</v>
      </c>
      <c r="F112" s="122">
        <f>'Onroad Data'!F213*'Emission Factors'!$D33/grams_to_mton</f>
        <v>1.591862219511351</v>
      </c>
      <c r="G112" s="122">
        <f>'Onroad Data'!G213*'Emission Factors'!$D33/grams_to_mton</f>
        <v>0.80126959108755724</v>
      </c>
      <c r="H112" s="122">
        <f>'Onroad Data'!H213*'Emission Factors'!$D33/grams_to_mton</f>
        <v>0.18340531873164953</v>
      </c>
      <c r="I112" s="122">
        <f>'Onroad Data'!I213*'Emission Factors'!$D33/grams_to_mton</f>
        <v>1.2238435587599712</v>
      </c>
      <c r="J112" s="122">
        <f>'Onroad Data'!J213*'Emission Factors'!$D33/grams_to_mton</f>
        <v>0.49709485665827485</v>
      </c>
      <c r="K112" s="122">
        <f>'Onroad Data'!K213*'Emission Factors'!$D33/grams_to_mton</f>
        <v>1.0862036084384961</v>
      </c>
      <c r="N112" s="302"/>
      <c r="O112" s="302"/>
      <c r="P112" s="302"/>
      <c r="Q112" s="302"/>
    </row>
    <row r="113" spans="1:17" outlineLevel="1" x14ac:dyDescent="0.15">
      <c r="A113" s="66"/>
      <c r="B113" s="72" t="s">
        <v>103</v>
      </c>
      <c r="C113" s="122">
        <f>'Onroad Data'!C214*'Emission Factors'!$D34/grams_to_mton</f>
        <v>79.108561049977013</v>
      </c>
      <c r="D113" s="122">
        <f>'Onroad Data'!D214*'Emission Factors'!$D34/grams_to_mton</f>
        <v>121.67347762767442</v>
      </c>
      <c r="E113" s="122">
        <f>'Onroad Data'!E214*'Emission Factors'!$D34/grams_to_mton</f>
        <v>200.78203867765143</v>
      </c>
      <c r="F113" s="122">
        <f>'Onroad Data'!F214*'Emission Factors'!$D34/grams_to_mton</f>
        <v>59.748188427737894</v>
      </c>
      <c r="G113" s="122">
        <f>'Onroad Data'!G214*'Emission Factors'!$D34/grams_to_mton</f>
        <v>30.096129980591137</v>
      </c>
      <c r="H113" s="122">
        <f>'Onroad Data'!H214*'Emission Factors'!$D34/grams_to_mton</f>
        <v>6.8897906734588554</v>
      </c>
      <c r="I113" s="122">
        <f>'Onroad Data'!I214*'Emission Factors'!$D34/grams_to_mton</f>
        <v>45.930457786330479</v>
      </c>
      <c r="J113" s="122">
        <f>'Onroad Data'!J214*'Emission Factors'!$D34/grams_to_mton</f>
        <v>18.672203285627049</v>
      </c>
      <c r="K113" s="122">
        <f>'Onroad Data'!K214*'Emission Factors'!$D34/grams_to_mton</f>
        <v>40.797761434627255</v>
      </c>
      <c r="N113" s="302"/>
      <c r="O113" s="302"/>
      <c r="P113" s="302"/>
      <c r="Q113" s="302"/>
    </row>
    <row r="114" spans="1:17" outlineLevel="1" x14ac:dyDescent="0.15">
      <c r="A114" s="66"/>
      <c r="B114" s="72" t="s">
        <v>105</v>
      </c>
      <c r="C114" s="122">
        <f>'Onroad Data'!C215*'Emission Factors'!$D35/grams_to_mton</f>
        <v>59.210547892355606</v>
      </c>
      <c r="D114" s="122">
        <f>'Onroad Data'!D215*'Emission Factors'!$D35/grams_to_mton</f>
        <v>91.183056565565181</v>
      </c>
      <c r="E114" s="122">
        <f>'Onroad Data'!E215*'Emission Factors'!$D35/grams_to_mton</f>
        <v>150.39360445792079</v>
      </c>
      <c r="F114" s="122">
        <f>'Onroad Data'!F215*'Emission Factors'!$D35/grams_to_mton</f>
        <v>44.727808300468624</v>
      </c>
      <c r="G114" s="122">
        <f>'Onroad Data'!G215*'Emission Factors'!$D35/grams_to_mton</f>
        <v>22.555419843884955</v>
      </c>
      <c r="H114" s="122">
        <f>'Onroad Data'!H215*'Emission Factors'!$D35/grams_to_mton</f>
        <v>5.1637776759360152</v>
      </c>
      <c r="I114" s="122">
        <f>'Onroad Data'!I215*'Emission Factors'!$D35/grams_to_mton</f>
        <v>34.401012332575753</v>
      </c>
      <c r="J114" s="122">
        <f>'Onroad Data'!J215*'Emission Factors'!$D35/grams_to_mton</f>
        <v>13.994891765545745</v>
      </c>
      <c r="K114" s="122">
        <f>'Onroad Data'!K215*'Emission Factors'!$D35/grams_to_mton</f>
        <v>30.574812264623738</v>
      </c>
      <c r="N114" s="302"/>
      <c r="O114" s="302"/>
      <c r="P114" s="302"/>
      <c r="Q114" s="302"/>
    </row>
    <row r="115" spans="1:17" outlineLevel="1" x14ac:dyDescent="0.15">
      <c r="A115" s="66"/>
      <c r="B115" s="72" t="s">
        <v>107</v>
      </c>
      <c r="C115" s="122">
        <f>'Onroad Data'!C216*'Emission Factors'!$D36/grams_to_mton</f>
        <v>4.7526052225746991</v>
      </c>
      <c r="D115" s="122">
        <f>'Onroad Data'!D216*'Emission Factors'!$D36/grams_to_mton</f>
        <v>12.101903203402893</v>
      </c>
      <c r="E115" s="122">
        <f>'Onroad Data'!E216*'Emission Factors'!$D36/grams_to_mton</f>
        <v>16.854508425977592</v>
      </c>
      <c r="F115" s="122">
        <f>'Onroad Data'!F216*'Emission Factors'!$D36/grams_to_mton</f>
        <v>6.0803123903297838</v>
      </c>
      <c r="G115" s="122">
        <f>'Onroad Data'!G216*'Emission Factors'!$D36/grams_to_mton</f>
        <v>2.5552789029111369</v>
      </c>
      <c r="H115" s="122">
        <f>'Onroad Data'!H216*'Emission Factors'!$D36/grams_to_mton</f>
        <v>0.64618910820701458</v>
      </c>
      <c r="I115" s="122">
        <f>'Onroad Data'!I216*'Emission Factors'!$D36/grams_to_mton</f>
        <v>4.0138345083513141</v>
      </c>
      <c r="J115" s="122">
        <f>'Onroad Data'!J216*'Emission Factors'!$D36/grams_to_mton</f>
        <v>1.7267505022165734</v>
      </c>
      <c r="K115" s="122">
        <f>'Onroad Data'!K216*'Emission Factors'!$D36/grams_to_mton</f>
        <v>3.8726236936691834</v>
      </c>
      <c r="N115" s="302"/>
      <c r="O115" s="302"/>
      <c r="P115" s="302"/>
      <c r="Q115" s="302"/>
    </row>
    <row r="116" spans="1:17" outlineLevel="1" x14ac:dyDescent="0.15">
      <c r="A116" s="66"/>
      <c r="B116" s="72" t="s">
        <v>108</v>
      </c>
      <c r="C116" s="122">
        <f>'Onroad Data'!C217*'Emission Factors'!$D37/grams_to_mton</f>
        <v>0.72218317541227561</v>
      </c>
      <c r="D116" s="122">
        <f>'Onroad Data'!D217*'Emission Factors'!$D37/grams_to_mton</f>
        <v>0.21501737292645415</v>
      </c>
      <c r="E116" s="122">
        <f>'Onroad Data'!E217*'Emission Factors'!$D37/grams_to_mton</f>
        <v>0.93720054833872979</v>
      </c>
      <c r="F116" s="122">
        <f>'Onroad Data'!F217*'Emission Factors'!$D37/grams_to_mton</f>
        <v>3.2314379901755161E-2</v>
      </c>
      <c r="G116" s="122">
        <f>'Onroad Data'!G217*'Emission Factors'!$D37/grams_to_mton</f>
        <v>1.6091624624525243E-2</v>
      </c>
      <c r="H116" s="122">
        <f>'Onroad Data'!H217*'Emission Factors'!$D37/grams_to_mton</f>
        <v>2.9085454447375364E-5</v>
      </c>
      <c r="I116" s="122">
        <f>'Onroad Data'!I217*'Emission Factors'!$D37/grams_to_mton</f>
        <v>2.2766098777542706E-2</v>
      </c>
      <c r="J116" s="122">
        <f>'Onroad Data'!J217*'Emission Factors'!$D37/grams_to_mton</f>
        <v>3.3212568566325443E-3</v>
      </c>
      <c r="K116" s="122">
        <f>'Onroad Data'!K217*'Emission Factors'!$D37/grams_to_mton</f>
        <v>1.8217156075399692E-2</v>
      </c>
      <c r="N116" s="302"/>
      <c r="O116" s="302"/>
      <c r="P116" s="302"/>
      <c r="Q116" s="302"/>
    </row>
    <row r="117" spans="1:17" outlineLevel="1" x14ac:dyDescent="0.15">
      <c r="A117" s="66"/>
      <c r="B117" s="72" t="s">
        <v>111</v>
      </c>
      <c r="C117" s="122">
        <f>'Onroad Data'!C218*'Emission Factors'!$D38/grams_to_mton</f>
        <v>1.8133458246878518</v>
      </c>
      <c r="D117" s="122">
        <f>'Onroad Data'!D218*'Emission Factors'!$D38/grams_to_mton</f>
        <v>4.4671459887440967</v>
      </c>
      <c r="E117" s="122">
        <f>'Onroad Data'!E218*'Emission Factors'!$D38/grams_to_mton</f>
        <v>6.2804918134319472</v>
      </c>
      <c r="F117" s="122">
        <f>'Onroad Data'!F218*'Emission Factors'!$D38/grams_to_mton</f>
        <v>2.2321263753076712</v>
      </c>
      <c r="G117" s="122">
        <f>'Onroad Data'!G218*'Emission Factors'!$D38/grams_to_mton</f>
        <v>0.91137293577937195</v>
      </c>
      <c r="H117" s="122">
        <f>'Onroad Data'!H218*'Emission Factors'!$D38/grams_to_mton</f>
        <v>0.21701036213157343</v>
      </c>
      <c r="I117" s="122">
        <f>'Onroad Data'!I218*'Emission Factors'!$D38/grams_to_mton</f>
        <v>1.4565633222220178</v>
      </c>
      <c r="J117" s="122">
        <f>'Onroad Data'!J218*'Emission Factors'!$D38/grams_to_mton</f>
        <v>0.60614136324375389</v>
      </c>
      <c r="K117" s="122">
        <f>'Onroad Data'!K218*'Emission Factors'!$D38/grams_to_mton</f>
        <v>1.3951465003366894</v>
      </c>
      <c r="N117" s="302"/>
      <c r="O117" s="302"/>
      <c r="P117" s="302"/>
      <c r="Q117" s="302"/>
    </row>
    <row r="118" spans="1:17" outlineLevel="1" x14ac:dyDescent="0.15">
      <c r="A118" s="66"/>
      <c r="B118" s="72" t="s">
        <v>112</v>
      </c>
      <c r="C118" s="122">
        <f>'Onroad Data'!C219*'Emission Factors'!$D39/grams_to_mton</f>
        <v>0</v>
      </c>
      <c r="D118" s="122">
        <f>'Onroad Data'!D219*'Emission Factors'!$D39/grams_to_mton</f>
        <v>0</v>
      </c>
      <c r="E118" s="122">
        <f>'Onroad Data'!E219*'Emission Factors'!$D39/grams_to_mton</f>
        <v>0</v>
      </c>
      <c r="F118" s="122">
        <f>'Onroad Data'!F219*'Emission Factors'!$D39/grams_to_mton</f>
        <v>0</v>
      </c>
      <c r="G118" s="122">
        <f>'Onroad Data'!G219*'Emission Factors'!$D39/grams_to_mton</f>
        <v>0</v>
      </c>
      <c r="H118" s="122">
        <f>'Onroad Data'!H219*'Emission Factors'!$D39/grams_to_mton</f>
        <v>0</v>
      </c>
      <c r="I118" s="122">
        <f>'Onroad Data'!I219*'Emission Factors'!$D39/grams_to_mton</f>
        <v>0</v>
      </c>
      <c r="J118" s="122">
        <f>'Onroad Data'!J219*'Emission Factors'!$D39/grams_to_mton</f>
        <v>0</v>
      </c>
      <c r="K118" s="122">
        <f>'Onroad Data'!K219*'Emission Factors'!$D39/grams_to_mton</f>
        <v>0</v>
      </c>
      <c r="N118" s="302"/>
      <c r="O118" s="302"/>
      <c r="P118" s="302"/>
      <c r="Q118" s="302"/>
    </row>
    <row r="119" spans="1:17" outlineLevel="1" x14ac:dyDescent="0.15">
      <c r="A119" s="66"/>
      <c r="B119" s="72" t="s">
        <v>114</v>
      </c>
      <c r="C119" s="122">
        <f>'Onroad Data'!C220*'Emission Factors'!$D40/grams_to_mton</f>
        <v>3.2259752483909199</v>
      </c>
      <c r="D119" s="122">
        <f>'Onroad Data'!D220*'Emission Factors'!$D40/grams_to_mton</f>
        <v>12.989810764802424</v>
      </c>
      <c r="E119" s="122">
        <f>'Onroad Data'!E220*'Emission Factors'!$D40/grams_to_mton</f>
        <v>16.215786013193345</v>
      </c>
      <c r="F119" s="122">
        <f>'Onroad Data'!F220*'Emission Factors'!$D40/grams_to_mton</f>
        <v>3.1685448216523744</v>
      </c>
      <c r="G119" s="122">
        <f>'Onroad Data'!G220*'Emission Factors'!$D40/grams_to_mton</f>
        <v>1.8281928976168962</v>
      </c>
      <c r="H119" s="122">
        <f>'Onroad Data'!H220*'Emission Factors'!$D40/grams_to_mton</f>
        <v>0.28402825885577454</v>
      </c>
      <c r="I119" s="122">
        <f>'Onroad Data'!I220*'Emission Factors'!$D40/grams_to_mton</f>
        <v>3.0484681201993635</v>
      </c>
      <c r="J119" s="122">
        <f>'Onroad Data'!J220*'Emission Factors'!$D40/grams_to_mton</f>
        <v>0.94972945144591492</v>
      </c>
      <c r="K119" s="122">
        <f>'Onroad Data'!K220*'Emission Factors'!$D40/grams_to_mton</f>
        <v>3.2615786558891311</v>
      </c>
      <c r="N119" s="302"/>
      <c r="O119" s="302"/>
      <c r="P119" s="302"/>
      <c r="Q119" s="302"/>
    </row>
    <row r="120" spans="1:17" outlineLevel="1" x14ac:dyDescent="0.15">
      <c r="A120" s="66"/>
      <c r="B120" s="72" t="s">
        <v>115</v>
      </c>
      <c r="C120" s="122">
        <f>'Onroad Data'!C221*'Emission Factors'!$D41/grams_to_mton</f>
        <v>0.20226624830506298</v>
      </c>
      <c r="D120" s="122">
        <f>'Onroad Data'!D221*'Emission Factors'!$D41/grams_to_mton</f>
        <v>0.81445147196954626</v>
      </c>
      <c r="E120" s="122">
        <f>'Onroad Data'!E221*'Emission Factors'!$D41/grams_to_mton</f>
        <v>1.0167177202746092</v>
      </c>
      <c r="F120" s="122">
        <f>'Onroad Data'!F221*'Emission Factors'!$D41/grams_to_mton</f>
        <v>0.19866540327044641</v>
      </c>
      <c r="G120" s="122">
        <f>'Onroad Data'!G221*'Emission Factors'!$D41/grams_to_mton</f>
        <v>0.11462633470711675</v>
      </c>
      <c r="H120" s="122">
        <f>'Onroad Data'!H221*'Emission Factors'!$D41/grams_to_mton</f>
        <v>1.7808360544623487E-2</v>
      </c>
      <c r="I120" s="122">
        <f>'Onroad Data'!I221*'Emission Factors'!$D41/grams_to_mton</f>
        <v>0.19113668341313758</v>
      </c>
      <c r="J120" s="122">
        <f>'Onroad Data'!J221*'Emission Factors'!$D41/grams_to_mton</f>
        <v>5.9547330111911767E-2</v>
      </c>
      <c r="K120" s="122">
        <f>'Onroad Data'!K221*'Emission Factors'!$D41/grams_to_mton</f>
        <v>0.20449855547020054</v>
      </c>
      <c r="N120" s="302"/>
      <c r="O120" s="302"/>
      <c r="P120" s="302"/>
      <c r="Q120" s="302"/>
    </row>
    <row r="121" spans="1:17" outlineLevel="1" x14ac:dyDescent="0.15">
      <c r="A121" s="66"/>
      <c r="B121" s="73" t="s">
        <v>88</v>
      </c>
      <c r="C121" s="169">
        <f>SUM(C112:C120)</f>
        <v>151.1419233954162</v>
      </c>
      <c r="D121" s="169">
        <f t="shared" ref="D121:K121" si="37">SUM(D112:D120)</f>
        <v>246.68539044353446</v>
      </c>
      <c r="E121" s="169">
        <f t="shared" si="37"/>
        <v>397.82731383895066</v>
      </c>
      <c r="F121" s="169">
        <f t="shared" si="37"/>
        <v>117.77982231817988</v>
      </c>
      <c r="G121" s="169">
        <f t="shared" si="37"/>
        <v>58.87838211120269</v>
      </c>
      <c r="H121" s="169">
        <f t="shared" si="37"/>
        <v>13.402038843319954</v>
      </c>
      <c r="I121" s="169">
        <f t="shared" si="37"/>
        <v>90.288082410629571</v>
      </c>
      <c r="J121" s="169">
        <f t="shared" si="37"/>
        <v>36.509679811705851</v>
      </c>
      <c r="K121" s="169">
        <f t="shared" si="37"/>
        <v>81.210841869130078</v>
      </c>
      <c r="N121" s="302"/>
      <c r="O121" s="302"/>
      <c r="P121" s="302"/>
      <c r="Q121" s="302"/>
    </row>
    <row r="122" spans="1:17" outlineLevel="1" x14ac:dyDescent="0.15">
      <c r="A122" s="66"/>
      <c r="B122" s="82"/>
      <c r="C122" s="182"/>
      <c r="D122" s="182"/>
      <c r="E122" s="182"/>
      <c r="F122" s="182"/>
      <c r="G122" s="182"/>
      <c r="H122" s="182"/>
      <c r="I122" s="182"/>
      <c r="J122" s="182"/>
      <c r="K122" s="182"/>
      <c r="N122" s="302"/>
      <c r="O122" s="302"/>
      <c r="P122" s="302"/>
      <c r="Q122" s="302"/>
    </row>
    <row r="123" spans="1:17" ht="15" thickBot="1" x14ac:dyDescent="0.2">
      <c r="B123" s="82" t="s">
        <v>127</v>
      </c>
      <c r="N123" s="302"/>
      <c r="O123" s="302"/>
      <c r="P123" s="302"/>
      <c r="Q123" s="302"/>
    </row>
    <row r="124" spans="1:17" s="479" customFormat="1" x14ac:dyDescent="0.15">
      <c r="A124" s="133"/>
      <c r="B124" s="662" t="s">
        <v>76</v>
      </c>
      <c r="C124" s="665" t="s">
        <v>80</v>
      </c>
      <c r="D124" s="682" t="s">
        <v>77</v>
      </c>
      <c r="E124" s="677" t="s">
        <v>128</v>
      </c>
      <c r="F124" s="678"/>
      <c r="G124" s="679"/>
      <c r="H124" s="678" t="s">
        <v>129</v>
      </c>
      <c r="I124" s="678"/>
      <c r="J124" s="678"/>
      <c r="K124" s="679"/>
      <c r="L124" s="66"/>
      <c r="M124" s="66"/>
      <c r="N124" s="302"/>
      <c r="O124" s="302"/>
      <c r="P124" s="302"/>
      <c r="Q124" s="302"/>
    </row>
    <row r="125" spans="1:17" s="479" customFormat="1" ht="15" customHeight="1" x14ac:dyDescent="0.15">
      <c r="A125" s="133"/>
      <c r="B125" s="664"/>
      <c r="C125" s="667"/>
      <c r="D125" s="683"/>
      <c r="E125" s="332" t="s">
        <v>94</v>
      </c>
      <c r="F125" s="303" t="s">
        <v>95</v>
      </c>
      <c r="G125" s="304" t="s">
        <v>96</v>
      </c>
      <c r="H125" s="385" t="s">
        <v>94</v>
      </c>
      <c r="I125" s="324" t="s">
        <v>95</v>
      </c>
      <c r="J125" s="324" t="s">
        <v>96</v>
      </c>
      <c r="K125" s="323" t="s">
        <v>130</v>
      </c>
      <c r="L125" s="66"/>
      <c r="M125" s="66"/>
      <c r="N125" s="302"/>
      <c r="O125" s="302"/>
      <c r="P125" s="302"/>
      <c r="Q125" s="302"/>
    </row>
    <row r="126" spans="1:17" ht="14.75" customHeight="1" x14ac:dyDescent="0.15">
      <c r="B126" s="305">
        <f>$B$82</f>
        <v>2015</v>
      </c>
      <c r="C126" s="306">
        <v>1</v>
      </c>
      <c r="D126" s="307" t="s">
        <v>59</v>
      </c>
      <c r="E126" s="369">
        <f>E95</f>
        <v>14421195.702448146</v>
      </c>
      <c r="F126" s="308">
        <f>E108</f>
        <v>624.51614805014958</v>
      </c>
      <c r="G126" s="309">
        <f>E121</f>
        <v>397.82731383895066</v>
      </c>
      <c r="H126" s="374">
        <f>'On-road'!E126*CO2_GWP</f>
        <v>14421195.702448146</v>
      </c>
      <c r="I126" s="310">
        <f t="shared" ref="I126:I134" si="38">F126*CH4_GWP</f>
        <v>17486.45214540419</v>
      </c>
      <c r="J126" s="311">
        <f t="shared" ref="J126:J134" si="39">G126*N2O_GWP</f>
        <v>105424.23816732192</v>
      </c>
      <c r="K126" s="312">
        <f>SUM(H126:J126)</f>
        <v>14544106.392760873</v>
      </c>
      <c r="N126" s="302">
        <f t="shared" ref="N126:N134" si="40">H126/mton_per_mmton</f>
        <v>14.421195702448147</v>
      </c>
      <c r="O126" s="302">
        <f t="shared" ref="O126:O134" si="41">I126/mton_per_mmton</f>
        <v>1.7486452145404188E-2</v>
      </c>
      <c r="P126" s="302">
        <f t="shared" ref="P126:P134" si="42">J126/mton_per_mmton</f>
        <v>0.10542423816732192</v>
      </c>
      <c r="Q126" s="302"/>
    </row>
    <row r="127" spans="1:17" ht="14.75" customHeight="1" x14ac:dyDescent="0.15">
      <c r="B127" s="305">
        <f t="shared" ref="B127:B135" si="43">$B$82</f>
        <v>2015</v>
      </c>
      <c r="C127" s="306">
        <v>1</v>
      </c>
      <c r="D127" s="313" t="s">
        <v>58</v>
      </c>
      <c r="E127" s="369">
        <f>C95</f>
        <v>5080251.5355032096</v>
      </c>
      <c r="F127" s="308">
        <f>C108</f>
        <v>241.43030522592704</v>
      </c>
      <c r="G127" s="309">
        <f>C121</f>
        <v>151.1419233954162</v>
      </c>
      <c r="H127" s="374">
        <f>'On-road'!E127*CO2_GWP</f>
        <v>5080251.5355032096</v>
      </c>
      <c r="I127" s="310">
        <f t="shared" si="38"/>
        <v>6760.0485463259574</v>
      </c>
      <c r="J127" s="311">
        <f t="shared" si="39"/>
        <v>40052.609699785295</v>
      </c>
      <c r="K127" s="312">
        <f>SUM(H127:J127)</f>
        <v>5127064.1937493216</v>
      </c>
      <c r="N127" s="302">
        <f t="shared" si="40"/>
        <v>5.0802515355032094</v>
      </c>
      <c r="O127" s="302">
        <f t="shared" si="41"/>
        <v>6.7600485463259578E-3</v>
      </c>
      <c r="P127" s="302">
        <f t="shared" si="42"/>
        <v>4.0052609699785295E-2</v>
      </c>
      <c r="Q127" s="302"/>
    </row>
    <row r="128" spans="1:17" ht="14.75" customHeight="1" x14ac:dyDescent="0.15">
      <c r="B128" s="305">
        <f t="shared" si="43"/>
        <v>2015</v>
      </c>
      <c r="C128" s="306">
        <v>1</v>
      </c>
      <c r="D128" s="314" t="s">
        <v>131</v>
      </c>
      <c r="E128" s="369">
        <f>D95</f>
        <v>9340944.1669449359</v>
      </c>
      <c r="F128" s="308">
        <f>D108</f>
        <v>383.08584282422265</v>
      </c>
      <c r="G128" s="309">
        <f>D121</f>
        <v>246.68539044353446</v>
      </c>
      <c r="H128" s="374">
        <f>'On-road'!E128*CO2_GWP</f>
        <v>9340944.1669449359</v>
      </c>
      <c r="I128" s="310">
        <f t="shared" si="38"/>
        <v>10726.403599078234</v>
      </c>
      <c r="J128" s="311">
        <f t="shared" si="39"/>
        <v>65371.628467536633</v>
      </c>
      <c r="K128" s="312">
        <f>SUM(H128:J128)</f>
        <v>9417042.1990115512</v>
      </c>
      <c r="N128" s="302">
        <f t="shared" si="40"/>
        <v>9.3409441669449365</v>
      </c>
      <c r="O128" s="302">
        <f t="shared" si="41"/>
        <v>1.0726403599078234E-2</v>
      </c>
      <c r="P128" s="302">
        <f t="shared" si="42"/>
        <v>6.5371628467536635E-2</v>
      </c>
      <c r="Q128" s="302"/>
    </row>
    <row r="129" spans="1:18" ht="14.75" customHeight="1" x14ac:dyDescent="0.15">
      <c r="B129" s="305">
        <f t="shared" si="43"/>
        <v>2015</v>
      </c>
      <c r="C129" s="306">
        <v>1</v>
      </c>
      <c r="D129" s="307" t="s">
        <v>60</v>
      </c>
      <c r="E129" s="369">
        <f>F95</f>
        <v>4092741.9848934691</v>
      </c>
      <c r="F129" s="308">
        <f>F108</f>
        <v>183.68157273032003</v>
      </c>
      <c r="G129" s="309">
        <f>F121</f>
        <v>117.77982231817988</v>
      </c>
      <c r="H129" s="374">
        <f>'On-road'!E129*CO2_GWP</f>
        <v>4092741.9848934691</v>
      </c>
      <c r="I129" s="310">
        <f t="shared" si="38"/>
        <v>5143.0840364489604</v>
      </c>
      <c r="J129" s="311">
        <f t="shared" si="39"/>
        <v>31211.65291431767</v>
      </c>
      <c r="K129" s="315">
        <f t="shared" ref="K129:K135" si="44">SUM(H129:J129)</f>
        <v>4129096.7218442359</v>
      </c>
      <c r="N129" s="302">
        <f t="shared" si="40"/>
        <v>4.0927419848934692</v>
      </c>
      <c r="O129" s="302">
        <f t="shared" si="41"/>
        <v>5.1430840364489602E-3</v>
      </c>
      <c r="P129" s="302">
        <f t="shared" si="42"/>
        <v>3.121165291431767E-2</v>
      </c>
      <c r="Q129" s="302"/>
    </row>
    <row r="130" spans="1:18" ht="14.75" customHeight="1" x14ac:dyDescent="0.15">
      <c r="B130" s="305">
        <f t="shared" si="43"/>
        <v>2015</v>
      </c>
      <c r="C130" s="306">
        <v>1</v>
      </c>
      <c r="D130" s="307" t="s">
        <v>62</v>
      </c>
      <c r="E130" s="369">
        <f>G95</f>
        <v>2053867.8277288987</v>
      </c>
      <c r="F130" s="308">
        <f>G108</f>
        <v>92.018372354653366</v>
      </c>
      <c r="G130" s="309">
        <f>G121</f>
        <v>58.87838211120269</v>
      </c>
      <c r="H130" s="374">
        <f>'On-road'!E130*CO2_GWP</f>
        <v>2053867.8277288987</v>
      </c>
      <c r="I130" s="310">
        <f t="shared" si="38"/>
        <v>2576.5144259302942</v>
      </c>
      <c r="J130" s="311">
        <f t="shared" si="39"/>
        <v>15602.771259468713</v>
      </c>
      <c r="K130" s="315">
        <f t="shared" si="44"/>
        <v>2072047.1134142978</v>
      </c>
      <c r="N130" s="302">
        <f t="shared" si="40"/>
        <v>2.0538678277288986</v>
      </c>
      <c r="O130" s="302">
        <f t="shared" si="41"/>
        <v>2.5765144259302943E-3</v>
      </c>
      <c r="P130" s="302">
        <f t="shared" si="42"/>
        <v>1.5602771259468714E-2</v>
      </c>
      <c r="Q130" s="302"/>
    </row>
    <row r="131" spans="1:18" ht="14.75" customHeight="1" x14ac:dyDescent="0.15">
      <c r="B131" s="305">
        <f t="shared" si="43"/>
        <v>2015</v>
      </c>
      <c r="C131" s="306">
        <v>1</v>
      </c>
      <c r="D131" s="307" t="s">
        <v>61</v>
      </c>
      <c r="E131" s="369">
        <f>H95</f>
        <v>451911.51942824229</v>
      </c>
      <c r="F131" s="308">
        <f>H108</f>
        <v>20.947807375122135</v>
      </c>
      <c r="G131" s="309">
        <f>H121</f>
        <v>13.402038843319954</v>
      </c>
      <c r="H131" s="374">
        <f>'On-road'!E131*CO2_GWP</f>
        <v>451911.51942824229</v>
      </c>
      <c r="I131" s="310">
        <f t="shared" si="38"/>
        <v>586.53860650341983</v>
      </c>
      <c r="J131" s="311">
        <f t="shared" si="39"/>
        <v>3551.5402934797876</v>
      </c>
      <c r="K131" s="315">
        <f t="shared" si="44"/>
        <v>456049.59832822549</v>
      </c>
      <c r="N131" s="302">
        <f t="shared" si="40"/>
        <v>0.45191151942824231</v>
      </c>
      <c r="O131" s="302">
        <f>I131/mton_per_mmton</f>
        <v>5.8653860650341981E-4</v>
      </c>
      <c r="P131" s="302">
        <f t="shared" si="42"/>
        <v>3.5515402934797875E-3</v>
      </c>
      <c r="Q131" s="302"/>
    </row>
    <row r="132" spans="1:18" ht="14.75" customHeight="1" x14ac:dyDescent="0.15">
      <c r="B132" s="305">
        <f t="shared" si="43"/>
        <v>2015</v>
      </c>
      <c r="C132" s="306">
        <v>1</v>
      </c>
      <c r="D132" s="307" t="s">
        <v>63</v>
      </c>
      <c r="E132" s="369">
        <f>I95</f>
        <v>3186150.8516087793</v>
      </c>
      <c r="F132" s="308">
        <f>I108</f>
        <v>140.94168317871632</v>
      </c>
      <c r="G132" s="309">
        <f>I121</f>
        <v>90.288082410629571</v>
      </c>
      <c r="H132" s="374">
        <f>'On-road'!E132*CO2_GWP</f>
        <v>3186150.8516087793</v>
      </c>
      <c r="I132" s="310">
        <f t="shared" si="38"/>
        <v>3946.367129004057</v>
      </c>
      <c r="J132" s="311">
        <f t="shared" si="39"/>
        <v>23926.341838816836</v>
      </c>
      <c r="K132" s="315">
        <f t="shared" si="44"/>
        <v>3214023.5605766</v>
      </c>
      <c r="N132" s="302">
        <f t="shared" si="40"/>
        <v>3.1861508516087791</v>
      </c>
      <c r="O132" s="302">
        <f t="shared" si="41"/>
        <v>3.9463671290040567E-3</v>
      </c>
      <c r="P132" s="302">
        <f t="shared" si="42"/>
        <v>2.3926341838816836E-2</v>
      </c>
      <c r="Q132" s="302"/>
    </row>
    <row r="133" spans="1:18" ht="14.75" customHeight="1" x14ac:dyDescent="0.15">
      <c r="B133" s="305">
        <f t="shared" si="43"/>
        <v>2015</v>
      </c>
      <c r="C133" s="306">
        <v>1</v>
      </c>
      <c r="D133" s="307" t="s">
        <v>64</v>
      </c>
      <c r="E133" s="369">
        <f>J95</f>
        <v>1254796.1460975818</v>
      </c>
      <c r="F133" s="308">
        <f>J108</f>
        <v>57.017679744127101</v>
      </c>
      <c r="G133" s="309">
        <f>J121</f>
        <v>36.509679811705851</v>
      </c>
      <c r="H133" s="374">
        <f>'On-road'!E133*CO2_GWP</f>
        <v>1254796.1460975818</v>
      </c>
      <c r="I133" s="310">
        <f t="shared" si="38"/>
        <v>1596.4950328355587</v>
      </c>
      <c r="J133" s="311">
        <f t="shared" si="39"/>
        <v>9675.0651501020511</v>
      </c>
      <c r="K133" s="315">
        <f t="shared" si="44"/>
        <v>1266067.7062805195</v>
      </c>
      <c r="N133" s="302">
        <f t="shared" si="40"/>
        <v>1.2547961460975818</v>
      </c>
      <c r="O133" s="302">
        <f t="shared" si="41"/>
        <v>1.5964950328355588E-3</v>
      </c>
      <c r="P133" s="302">
        <f t="shared" si="42"/>
        <v>9.6750651501020506E-3</v>
      </c>
      <c r="Q133" s="302"/>
    </row>
    <row r="134" spans="1:18" ht="16" thickBot="1" x14ac:dyDescent="0.2">
      <c r="B134" s="305">
        <f t="shared" si="43"/>
        <v>2015</v>
      </c>
      <c r="C134" s="306">
        <v>1</v>
      </c>
      <c r="D134" s="307" t="s">
        <v>65</v>
      </c>
      <c r="E134" s="369">
        <f>K95</f>
        <v>2938538.8052510465</v>
      </c>
      <c r="F134" s="308">
        <f>K108</f>
        <v>126.36131252173249</v>
      </c>
      <c r="G134" s="309">
        <f>K121</f>
        <v>81.210841869130078</v>
      </c>
      <c r="H134" s="374">
        <f>'On-road'!E134*CO2_GWP</f>
        <v>2938538.8052510465</v>
      </c>
      <c r="I134" s="310">
        <f t="shared" si="38"/>
        <v>3538.1167506085094</v>
      </c>
      <c r="J134" s="311">
        <f t="shared" si="39"/>
        <v>21520.873095319472</v>
      </c>
      <c r="K134" s="315">
        <f t="shared" si="44"/>
        <v>2963597.7950969748</v>
      </c>
      <c r="N134" s="302">
        <f t="shared" si="40"/>
        <v>2.9385388052510466</v>
      </c>
      <c r="O134" s="302">
        <f t="shared" si="41"/>
        <v>3.5381167506085094E-3</v>
      </c>
      <c r="P134" s="302">
        <f t="shared" si="42"/>
        <v>2.152087309531947E-2</v>
      </c>
      <c r="Q134" s="302"/>
    </row>
    <row r="135" spans="1:18" s="82" customFormat="1" ht="16" thickBot="1" x14ac:dyDescent="0.2">
      <c r="A135" s="19"/>
      <c r="B135" s="316">
        <f t="shared" si="43"/>
        <v>2015</v>
      </c>
      <c r="C135" s="317">
        <v>1</v>
      </c>
      <c r="D135" s="318" t="s">
        <v>66</v>
      </c>
      <c r="E135" s="470">
        <f>SUM(E126,E129:E134)</f>
        <v>28399202.837456163</v>
      </c>
      <c r="F135" s="319">
        <f t="shared" ref="F135:G135" si="45">SUM(F126,F129:F134)</f>
        <v>1245.4845759548209</v>
      </c>
      <c r="G135" s="471">
        <f t="shared" si="45"/>
        <v>795.8961612031186</v>
      </c>
      <c r="H135" s="348">
        <f>SUM(H126,H129:H134)</f>
        <v>28399202.837456163</v>
      </c>
      <c r="I135" s="319">
        <f t="shared" ref="I135:J135" si="46">SUM(I126,I129:I134)</f>
        <v>34873.568126734986</v>
      </c>
      <c r="J135" s="320">
        <f t="shared" si="46"/>
        <v>210912.48271882645</v>
      </c>
      <c r="K135" s="321">
        <f t="shared" si="44"/>
        <v>28644988.888301723</v>
      </c>
      <c r="L135" s="66"/>
      <c r="M135" s="66"/>
      <c r="N135" s="302"/>
      <c r="O135" s="302"/>
      <c r="P135" s="302"/>
      <c r="Q135" s="302"/>
    </row>
    <row r="136" spans="1:18" x14ac:dyDescent="0.15">
      <c r="A136" s="66"/>
      <c r="B136" s="82"/>
      <c r="C136" s="114"/>
      <c r="D136" s="114"/>
      <c r="E136" s="515">
        <f>E135-SUM(E95:K95)</f>
        <v>0</v>
      </c>
      <c r="F136" s="515">
        <f>F135-SUM(E108:K108)</f>
        <v>0</v>
      </c>
      <c r="G136" s="515">
        <f>G135-SUM(E121:K121)</f>
        <v>0</v>
      </c>
      <c r="H136" s="114"/>
      <c r="I136" s="114"/>
      <c r="J136" s="114"/>
      <c r="K136" s="114"/>
      <c r="N136" s="302"/>
      <c r="O136" s="302"/>
      <c r="P136" s="302"/>
      <c r="Q136" s="302"/>
    </row>
    <row r="137" spans="1:18" customFormat="1" ht="15" thickBot="1" x14ac:dyDescent="0.2">
      <c r="B137" s="82" t="s">
        <v>132</v>
      </c>
      <c r="M137" s="66"/>
      <c r="N137" s="302"/>
      <c r="O137" s="302"/>
      <c r="P137" s="302"/>
      <c r="Q137" s="302"/>
    </row>
    <row r="138" spans="1:18" s="133" customFormat="1" ht="15" customHeight="1" x14ac:dyDescent="0.15">
      <c r="B138" s="662" t="s">
        <v>76</v>
      </c>
      <c r="C138" s="665" t="s">
        <v>80</v>
      </c>
      <c r="D138" s="668" t="s">
        <v>77</v>
      </c>
      <c r="E138" s="671" t="s">
        <v>133</v>
      </c>
      <c r="F138" s="674" t="s">
        <v>49</v>
      </c>
      <c r="G138" s="675"/>
      <c r="H138" s="676"/>
      <c r="I138" s="658" t="s">
        <v>129</v>
      </c>
      <c r="J138" s="658"/>
      <c r="K138" s="658"/>
      <c r="L138" s="659"/>
      <c r="M138" s="66"/>
      <c r="N138" s="302"/>
      <c r="O138" s="302"/>
      <c r="P138" s="302"/>
      <c r="Q138" s="302"/>
      <c r="R138"/>
    </row>
    <row r="139" spans="1:18" s="133" customFormat="1" x14ac:dyDescent="0.15">
      <c r="B139" s="663"/>
      <c r="C139" s="666"/>
      <c r="D139" s="669"/>
      <c r="E139" s="672"/>
      <c r="F139" s="332" t="s">
        <v>94</v>
      </c>
      <c r="G139" s="303" t="s">
        <v>95</v>
      </c>
      <c r="H139" s="304" t="s">
        <v>96</v>
      </c>
      <c r="I139" s="660"/>
      <c r="J139" s="660"/>
      <c r="K139" s="660"/>
      <c r="L139" s="661"/>
      <c r="M139" s="66"/>
      <c r="N139" s="302"/>
      <c r="O139" s="302"/>
      <c r="P139" s="302"/>
      <c r="Q139" s="302"/>
      <c r="R139"/>
    </row>
    <row r="140" spans="1:18" s="133" customFormat="1" ht="15" thickBot="1" x14ac:dyDescent="0.2">
      <c r="B140" s="664"/>
      <c r="C140" s="667"/>
      <c r="D140" s="670"/>
      <c r="E140" s="673"/>
      <c r="F140" s="322" t="s">
        <v>134</v>
      </c>
      <c r="G140" s="324" t="s">
        <v>135</v>
      </c>
      <c r="H140" s="323" t="s">
        <v>136</v>
      </c>
      <c r="I140" s="385" t="s">
        <v>94</v>
      </c>
      <c r="J140" s="324" t="s">
        <v>95</v>
      </c>
      <c r="K140" s="324" t="s">
        <v>96</v>
      </c>
      <c r="L140" s="323" t="s">
        <v>130</v>
      </c>
      <c r="M140" s="66"/>
      <c r="N140" s="302"/>
      <c r="O140" s="302"/>
      <c r="P140" s="302"/>
      <c r="Q140" s="302"/>
      <c r="R140"/>
    </row>
    <row r="141" spans="1:18" customFormat="1" ht="15" x14ac:dyDescent="0.15">
      <c r="B141" s="305">
        <f>$B$82</f>
        <v>2015</v>
      </c>
      <c r="C141" s="306">
        <v>2</v>
      </c>
      <c r="D141" s="467" t="s">
        <v>59</v>
      </c>
      <c r="E141" s="408">
        <f>'Onroad Data'!H6</f>
        <v>10394691.783183839</v>
      </c>
      <c r="F141" s="513">
        <f>'Emission Factors'!$B$14</f>
        <v>903.86</v>
      </c>
      <c r="G141" s="490">
        <f>'Emission Factors'!$C$14</f>
        <v>0.150199</v>
      </c>
      <c r="H141" s="491">
        <f>'Emission Factors'!$D$14</f>
        <v>2.2033999999999998E-2</v>
      </c>
      <c r="I141" s="374">
        <f t="shared" ref="I141:I149" si="47">(F141/MWh_kWh)*E141*GWP_CO2*MT_lbs</f>
        <v>4261.6573149143069</v>
      </c>
      <c r="J141" s="374">
        <f t="shared" ref="J141:J149" si="48">(G141/MWh_kWh)*E141*GWP_CH4*MT_lbs</f>
        <v>19.829073835769695</v>
      </c>
      <c r="K141" s="374">
        <f t="shared" ref="K141:K149" si="49">(H141/MWh_kWh)*E141*GWP_N2O*MT_lbs</f>
        <v>27.530657046841092</v>
      </c>
      <c r="L141" s="312">
        <f t="shared" ref="L141:L150" si="50">SUM(I141:K141)</f>
        <v>4309.017045796918</v>
      </c>
      <c r="M141" s="66"/>
      <c r="N141" s="302">
        <f t="shared" ref="N141:N149" si="51">I141/mton_per_mmton</f>
        <v>4.2616573149143067E-3</v>
      </c>
      <c r="O141" s="302">
        <f t="shared" ref="O141:O149" si="52">J141/mton_per_mmton</f>
        <v>1.9829073835769695E-5</v>
      </c>
      <c r="P141" s="302">
        <f t="shared" ref="P141:P149" si="53">K141/mton_per_mmton</f>
        <v>2.7530657046841091E-5</v>
      </c>
      <c r="Q141" s="302"/>
    </row>
    <row r="142" spans="1:18" customFormat="1" ht="15" x14ac:dyDescent="0.15">
      <c r="B142" s="305">
        <f t="shared" ref="B142:B150" si="54">$B$82</f>
        <v>2015</v>
      </c>
      <c r="C142" s="306">
        <v>2</v>
      </c>
      <c r="D142" s="468" t="s">
        <v>58</v>
      </c>
      <c r="E142" s="408">
        <f>'Onroad Data'!H7</f>
        <v>4723458.2560532717</v>
      </c>
      <c r="F142" s="418">
        <f>'Emission Factors'!$B$14</f>
        <v>903.86</v>
      </c>
      <c r="G142" s="401">
        <f>'Emission Factors'!$C$14</f>
        <v>0.150199</v>
      </c>
      <c r="H142" s="488">
        <f>'Emission Factors'!$D$14</f>
        <v>2.2033999999999998E-2</v>
      </c>
      <c r="I142" s="374">
        <f t="shared" si="47"/>
        <v>1936.5423091396524</v>
      </c>
      <c r="J142" s="374">
        <f t="shared" si="48"/>
        <v>9.0105415795953636</v>
      </c>
      <c r="K142" s="374">
        <f t="shared" si="49"/>
        <v>12.510222720874385</v>
      </c>
      <c r="L142" s="312">
        <f t="shared" si="50"/>
        <v>1958.0630734401223</v>
      </c>
      <c r="M142" s="66"/>
      <c r="N142" s="302">
        <f t="shared" si="51"/>
        <v>1.9365423091396523E-3</v>
      </c>
      <c r="O142" s="302">
        <f t="shared" si="52"/>
        <v>9.0105415795953639E-6</v>
      </c>
      <c r="P142" s="302">
        <f t="shared" si="53"/>
        <v>1.2510222720874384E-5</v>
      </c>
      <c r="Q142" s="302"/>
    </row>
    <row r="143" spans="1:18" customFormat="1" ht="15" x14ac:dyDescent="0.15">
      <c r="B143" s="305">
        <f t="shared" si="54"/>
        <v>2015</v>
      </c>
      <c r="C143" s="306">
        <v>2</v>
      </c>
      <c r="D143" s="351" t="s">
        <v>131</v>
      </c>
      <c r="E143" s="408">
        <f>'Onroad Data'!H8</f>
        <v>5671233.5271305656</v>
      </c>
      <c r="F143" s="418">
        <f>'Emission Factors'!$B$14</f>
        <v>903.86</v>
      </c>
      <c r="G143" s="401">
        <f>'Emission Factors'!$C$14</f>
        <v>0.150199</v>
      </c>
      <c r="H143" s="488">
        <f>'Emission Factors'!$D$14</f>
        <v>2.2033999999999998E-2</v>
      </c>
      <c r="I143" s="374">
        <f t="shared" si="47"/>
        <v>2325.1150057746545</v>
      </c>
      <c r="J143" s="374">
        <f t="shared" si="48"/>
        <v>10.818532256174324</v>
      </c>
      <c r="K143" s="374">
        <f t="shared" si="49"/>
        <v>15.020434325966702</v>
      </c>
      <c r="L143" s="312">
        <f t="shared" si="50"/>
        <v>2350.9539723567955</v>
      </c>
      <c r="M143" s="66"/>
      <c r="N143" s="302">
        <f t="shared" si="51"/>
        <v>2.3251150057746546E-3</v>
      </c>
      <c r="O143" s="302">
        <f t="shared" si="52"/>
        <v>1.0818532256174324E-5</v>
      </c>
      <c r="P143" s="302">
        <f t="shared" si="53"/>
        <v>1.5020434325966702E-5</v>
      </c>
      <c r="Q143" s="302"/>
    </row>
    <row r="144" spans="1:18" customFormat="1" ht="15" x14ac:dyDescent="0.15">
      <c r="B144" s="305">
        <f t="shared" si="54"/>
        <v>2015</v>
      </c>
      <c r="C144" s="306">
        <v>2</v>
      </c>
      <c r="D144" s="467" t="s">
        <v>60</v>
      </c>
      <c r="E144" s="408">
        <f>'Onroad Data'!H9</f>
        <v>5010567.4248303045</v>
      </c>
      <c r="F144" s="418">
        <f>'Emission Factors'!$B$14</f>
        <v>903.86</v>
      </c>
      <c r="G144" s="401">
        <f>'Emission Factors'!$C$14</f>
        <v>0.150199</v>
      </c>
      <c r="H144" s="488">
        <f>'Emission Factors'!$D$14</f>
        <v>2.2033999999999998E-2</v>
      </c>
      <c r="I144" s="374">
        <f t="shared" si="47"/>
        <v>2054.2524745605301</v>
      </c>
      <c r="J144" s="374">
        <f t="shared" si="48"/>
        <v>9.5582354434785017</v>
      </c>
      <c r="K144" s="374">
        <f t="shared" si="49"/>
        <v>13.27064007864457</v>
      </c>
      <c r="L144" s="315">
        <f t="shared" si="50"/>
        <v>2077.0813500826534</v>
      </c>
      <c r="M144" s="66"/>
      <c r="N144" s="302">
        <f t="shared" si="51"/>
        <v>2.0542524745605301E-3</v>
      </c>
      <c r="O144" s="302">
        <f t="shared" si="52"/>
        <v>9.5582354434785009E-6</v>
      </c>
      <c r="P144" s="302">
        <f t="shared" si="53"/>
        <v>1.327064007864457E-5</v>
      </c>
      <c r="Q144" s="302"/>
    </row>
    <row r="145" spans="1:18" customFormat="1" ht="15" x14ac:dyDescent="0.15">
      <c r="B145" s="305">
        <f t="shared" si="54"/>
        <v>2015</v>
      </c>
      <c r="C145" s="306">
        <v>2</v>
      </c>
      <c r="D145" s="467" t="s">
        <v>62</v>
      </c>
      <c r="E145" s="408">
        <f>'Onroad Data'!H10</f>
        <v>883277.24654910341</v>
      </c>
      <c r="F145" s="418">
        <f>'Emission Factors'!$B$14</f>
        <v>903.86</v>
      </c>
      <c r="G145" s="401">
        <f>'Emission Factors'!$C$14</f>
        <v>0.150199</v>
      </c>
      <c r="H145" s="488">
        <f>'Emission Factors'!$D$14</f>
        <v>2.2033999999999998E-2</v>
      </c>
      <c r="I145" s="374">
        <f t="shared" si="47"/>
        <v>362.12953855380141</v>
      </c>
      <c r="J145" s="374">
        <f t="shared" si="48"/>
        <v>1.6849532535069456</v>
      </c>
      <c r="K145" s="374">
        <f t="shared" si="49"/>
        <v>2.3393866272553625</v>
      </c>
      <c r="L145" s="315">
        <f t="shared" si="50"/>
        <v>366.15387843456369</v>
      </c>
      <c r="M145" s="66"/>
      <c r="N145" s="302">
        <f t="shared" si="51"/>
        <v>3.6212953855380142E-4</v>
      </c>
      <c r="O145" s="302">
        <f t="shared" si="52"/>
        <v>1.6849532535069455E-6</v>
      </c>
      <c r="P145" s="302">
        <f t="shared" si="53"/>
        <v>2.3393866272553625E-6</v>
      </c>
      <c r="Q145" s="302"/>
    </row>
    <row r="146" spans="1:18" customFormat="1" ht="15" x14ac:dyDescent="0.15">
      <c r="B146" s="305">
        <f t="shared" si="54"/>
        <v>2015</v>
      </c>
      <c r="C146" s="306">
        <v>2</v>
      </c>
      <c r="D146" s="467" t="s">
        <v>61</v>
      </c>
      <c r="E146" s="408">
        <f>'Onroad Data'!H11</f>
        <v>149936.03262862825</v>
      </c>
      <c r="F146" s="418">
        <f>'Emission Factors'!$B$14</f>
        <v>903.86</v>
      </c>
      <c r="G146" s="401">
        <f>'Emission Factors'!$C$14</f>
        <v>0.150199</v>
      </c>
      <c r="H146" s="488">
        <f>'Emission Factors'!$D$14</f>
        <v>2.2033999999999998E-2</v>
      </c>
      <c r="I146" s="374">
        <f t="shared" si="47"/>
        <v>61.471374385023751</v>
      </c>
      <c r="J146" s="374">
        <f t="shared" si="48"/>
        <v>0.28602028070184882</v>
      </c>
      <c r="K146" s="374">
        <f t="shared" si="49"/>
        <v>0.39711013845938253</v>
      </c>
      <c r="L146" s="315">
        <f t="shared" si="50"/>
        <v>62.154504804184981</v>
      </c>
      <c r="M146" s="66"/>
      <c r="N146" s="302">
        <f t="shared" si="51"/>
        <v>6.147137438502375E-5</v>
      </c>
      <c r="O146" s="302">
        <f t="shared" si="52"/>
        <v>2.8602028070184883E-7</v>
      </c>
      <c r="P146" s="302">
        <f t="shared" si="53"/>
        <v>3.9711013845938256E-7</v>
      </c>
      <c r="Q146" s="302"/>
    </row>
    <row r="147" spans="1:18" customFormat="1" ht="15" x14ac:dyDescent="0.15">
      <c r="B147" s="305">
        <f t="shared" si="54"/>
        <v>2015</v>
      </c>
      <c r="C147" s="306">
        <v>2</v>
      </c>
      <c r="D147" s="467" t="s">
        <v>63</v>
      </c>
      <c r="E147" s="408">
        <f>'Onroad Data'!H12</f>
        <v>3643036.1726579852</v>
      </c>
      <c r="F147" s="418">
        <f>'Emission Factors'!$B$14</f>
        <v>903.86</v>
      </c>
      <c r="G147" s="401">
        <f>'Emission Factors'!$C$14</f>
        <v>0.150199</v>
      </c>
      <c r="H147" s="488">
        <f>'Emission Factors'!$D$14</f>
        <v>2.2033999999999998E-2</v>
      </c>
      <c r="I147" s="374">
        <f t="shared" si="47"/>
        <v>1493.5865418175956</v>
      </c>
      <c r="J147" s="374">
        <f t="shared" si="48"/>
        <v>6.9495118047539535</v>
      </c>
      <c r="K147" s="374">
        <f t="shared" si="49"/>
        <v>9.6486920026755882</v>
      </c>
      <c r="L147" s="315">
        <f t="shared" si="50"/>
        <v>1510.184745625025</v>
      </c>
      <c r="M147" s="66"/>
      <c r="N147" s="302">
        <f t="shared" si="51"/>
        <v>1.4935865418175957E-3</v>
      </c>
      <c r="O147" s="302">
        <f t="shared" si="52"/>
        <v>6.9495118047539535E-6</v>
      </c>
      <c r="P147" s="302">
        <f t="shared" si="53"/>
        <v>9.6486920026755884E-6</v>
      </c>
      <c r="Q147" s="302"/>
    </row>
    <row r="148" spans="1:18" customFormat="1" ht="15" x14ac:dyDescent="0.15">
      <c r="B148" s="305">
        <f t="shared" si="54"/>
        <v>2015</v>
      </c>
      <c r="C148" s="306">
        <v>2</v>
      </c>
      <c r="D148" s="467" t="s">
        <v>64</v>
      </c>
      <c r="E148" s="408">
        <f>'Onroad Data'!H13</f>
        <v>472228.11913101387</v>
      </c>
      <c r="F148" s="418">
        <f>'Emission Factors'!$B$14</f>
        <v>903.86</v>
      </c>
      <c r="G148" s="401">
        <f>'Emission Factors'!$C$14</f>
        <v>0.150199</v>
      </c>
      <c r="H148" s="488">
        <f>'Emission Factors'!$D$14</f>
        <v>2.2033999999999998E-2</v>
      </c>
      <c r="I148" s="374">
        <f t="shared" si="47"/>
        <v>193.60597314281307</v>
      </c>
      <c r="J148" s="374">
        <f t="shared" si="48"/>
        <v>0.90082961927971905</v>
      </c>
      <c r="K148" s="374">
        <f t="shared" si="49"/>
        <v>1.2507105229135231</v>
      </c>
      <c r="L148" s="315">
        <f t="shared" si="50"/>
        <v>195.75751328500633</v>
      </c>
      <c r="M148" s="66"/>
      <c r="N148" s="302">
        <f t="shared" si="51"/>
        <v>1.9360597314281306E-4</v>
      </c>
      <c r="O148" s="302">
        <f t="shared" si="52"/>
        <v>9.0082961927971907E-7</v>
      </c>
      <c r="P148" s="302">
        <f t="shared" si="53"/>
        <v>1.2507105229135231E-6</v>
      </c>
      <c r="Q148" s="302"/>
    </row>
    <row r="149" spans="1:18" customFormat="1" ht="16" thickBot="1" x14ac:dyDescent="0.2">
      <c r="B149" s="305">
        <f t="shared" si="54"/>
        <v>2015</v>
      </c>
      <c r="C149" s="306">
        <v>2</v>
      </c>
      <c r="D149" s="467" t="s">
        <v>65</v>
      </c>
      <c r="E149" s="408">
        <f>'Onroad Data'!H14</f>
        <v>1249997.3239591126</v>
      </c>
      <c r="F149" s="451">
        <f>'Emission Factors'!$B$14</f>
        <v>903.86</v>
      </c>
      <c r="G149" s="494">
        <f>'Emission Factors'!$C$14</f>
        <v>0.150199</v>
      </c>
      <c r="H149" s="495">
        <f>'Emission Factors'!$D$14</f>
        <v>2.2033999999999998E-2</v>
      </c>
      <c r="I149" s="374">
        <f t="shared" si="47"/>
        <v>512.47890273106407</v>
      </c>
      <c r="J149" s="374">
        <f t="shared" si="48"/>
        <v>2.3845141104999517</v>
      </c>
      <c r="K149" s="374">
        <f t="shared" si="49"/>
        <v>3.3106558956428103</v>
      </c>
      <c r="L149" s="315">
        <f t="shared" si="50"/>
        <v>518.17407273720687</v>
      </c>
      <c r="M149" s="66"/>
      <c r="N149" s="302">
        <f t="shared" si="51"/>
        <v>5.1247890273106408E-4</v>
      </c>
      <c r="O149" s="302">
        <f t="shared" si="52"/>
        <v>2.3845141104999518E-6</v>
      </c>
      <c r="P149" s="302">
        <f t="shared" si="53"/>
        <v>3.3106558956428105E-6</v>
      </c>
      <c r="Q149" s="302"/>
    </row>
    <row r="150" spans="1:18" s="19" customFormat="1" ht="16" thickBot="1" x14ac:dyDescent="0.2">
      <c r="B150" s="316">
        <f t="shared" si="54"/>
        <v>2015</v>
      </c>
      <c r="C150" s="317">
        <v>2</v>
      </c>
      <c r="D150" s="469" t="s">
        <v>66</v>
      </c>
      <c r="E150" s="459">
        <f>SUM(E141,E144:E149)</f>
        <v>21803734.102939986</v>
      </c>
      <c r="F150" s="512"/>
      <c r="G150" s="500"/>
      <c r="H150" s="501"/>
      <c r="I150" s="348">
        <f t="shared" ref="I150:K150" si="55">SUM(I141,I144:I149)</f>
        <v>8939.1821201051334</v>
      </c>
      <c r="J150" s="319">
        <f t="shared" si="55"/>
        <v>41.593138347990617</v>
      </c>
      <c r="K150" s="320">
        <f t="shared" si="55"/>
        <v>57.747852312432329</v>
      </c>
      <c r="L150" s="321">
        <f t="shared" si="50"/>
        <v>9038.5231107655563</v>
      </c>
      <c r="M150" s="66"/>
      <c r="N150" s="302"/>
      <c r="O150" s="302"/>
      <c r="P150" s="302"/>
      <c r="Q150" s="302"/>
      <c r="R150"/>
    </row>
    <row r="151" spans="1:18" s="19" customFormat="1" x14ac:dyDescent="0.15">
      <c r="B151" s="57"/>
      <c r="C151" s="57"/>
      <c r="D151" s="326"/>
      <c r="E151" s="327"/>
      <c r="F151" s="326"/>
      <c r="G151" s="326"/>
      <c r="H151" s="326"/>
      <c r="I151" s="327"/>
      <c r="J151" s="327"/>
      <c r="K151" s="327"/>
      <c r="L151" s="327"/>
      <c r="M151" s="66"/>
      <c r="N151" s="302"/>
      <c r="O151" s="302"/>
      <c r="P151" s="302"/>
      <c r="Q151" s="302"/>
      <c r="R151"/>
    </row>
    <row r="152" spans="1:18" s="119" customFormat="1" ht="18" x14ac:dyDescent="0.2">
      <c r="A152" s="300"/>
      <c r="B152" s="301">
        <v>2010</v>
      </c>
      <c r="C152" s="29"/>
      <c r="D152" s="29"/>
      <c r="E152" s="29"/>
      <c r="F152" s="29"/>
      <c r="G152" s="29"/>
      <c r="H152" s="29"/>
      <c r="I152" s="29"/>
      <c r="J152" s="29"/>
      <c r="K152" s="29"/>
      <c r="L152" s="29"/>
      <c r="M152" s="189"/>
      <c r="N152" s="302"/>
      <c r="O152" s="302"/>
      <c r="P152" s="302"/>
      <c r="Q152" s="302"/>
    </row>
    <row r="153" spans="1:18" x14ac:dyDescent="0.15">
      <c r="N153" s="302"/>
      <c r="O153" s="302"/>
      <c r="P153" s="302"/>
      <c r="Q153" s="302"/>
    </row>
    <row r="154" spans="1:18" x14ac:dyDescent="0.15">
      <c r="B154" s="82" t="s">
        <v>137</v>
      </c>
      <c r="C154" s="82"/>
      <c r="D154" s="66"/>
      <c r="E154" s="66"/>
      <c r="F154" s="66"/>
      <c r="G154" s="66"/>
      <c r="H154" s="66"/>
      <c r="I154" s="66"/>
      <c r="J154" s="66"/>
      <c r="K154" s="66"/>
      <c r="N154" s="302"/>
      <c r="O154" s="302"/>
      <c r="P154" s="302"/>
      <c r="Q154" s="302"/>
    </row>
    <row r="155" spans="1:18" x14ac:dyDescent="0.15">
      <c r="A155" s="291"/>
      <c r="B155" s="109" t="s">
        <v>99</v>
      </c>
      <c r="C155" s="109" t="s">
        <v>58</v>
      </c>
      <c r="D155" s="109" t="s">
        <v>100</v>
      </c>
      <c r="E155" s="109" t="s">
        <v>59</v>
      </c>
      <c r="F155" s="109" t="s">
        <v>60</v>
      </c>
      <c r="G155" s="109" t="s">
        <v>62</v>
      </c>
      <c r="H155" s="109" t="s">
        <v>61</v>
      </c>
      <c r="I155" s="109" t="s">
        <v>63</v>
      </c>
      <c r="J155" s="109" t="s">
        <v>64</v>
      </c>
      <c r="K155" s="109" t="s">
        <v>65</v>
      </c>
      <c r="N155" s="302"/>
      <c r="O155" s="302"/>
      <c r="P155" s="302"/>
      <c r="Q155" s="302"/>
    </row>
    <row r="156" spans="1:18" x14ac:dyDescent="0.15">
      <c r="A156" s="291"/>
      <c r="B156" s="72" t="s">
        <v>101</v>
      </c>
      <c r="C156" s="122">
        <f>'Onroad Data'!C327*'Emission Factors'!$B45/grams_to_mton</f>
        <v>55367.631197986768</v>
      </c>
      <c r="D156" s="122">
        <f>'Onroad Data'!D327*'Emission Factors'!$B45/grams_to_mton</f>
        <v>87407.089659779696</v>
      </c>
      <c r="E156" s="122">
        <f>'Onroad Data'!E327*'Emission Factors'!$B45/grams_to_mton</f>
        <v>142774.72085776646</v>
      </c>
      <c r="F156" s="122">
        <f>'Onroad Data'!F327*'Emission Factors'!$B45/grams_to_mton</f>
        <v>44282.504185626531</v>
      </c>
      <c r="G156" s="122">
        <f>'Onroad Data'!G327*'Emission Factors'!$B45/grams_to_mton</f>
        <v>20402.161111537356</v>
      </c>
      <c r="H156" s="122">
        <f>'Onroad Data'!H327*'Emission Factors'!$B45/grams_to_mton</f>
        <v>4690.707637165272</v>
      </c>
      <c r="I156" s="122">
        <f>'Onroad Data'!I327*'Emission Factors'!$B45/grams_to_mton</f>
        <v>31792.305986536132</v>
      </c>
      <c r="J156" s="122">
        <f>'Onroad Data'!J327*'Emission Factors'!$B45/grams_to_mton</f>
        <v>12167.81955114312</v>
      </c>
      <c r="K156" s="122">
        <f>'Onroad Data'!K327*'Emission Factors'!$B45/grams_to_mton</f>
        <v>28544.284732086649</v>
      </c>
      <c r="N156" s="302"/>
      <c r="O156" s="302"/>
      <c r="P156" s="302"/>
      <c r="Q156" s="302"/>
    </row>
    <row r="157" spans="1:18" x14ac:dyDescent="0.15">
      <c r="A157" s="291"/>
      <c r="B157" s="72" t="s">
        <v>103</v>
      </c>
      <c r="C157" s="122">
        <f>'Onroad Data'!C328*'Emission Factors'!$B46/grams_to_mton</f>
        <v>2530980.8240330196</v>
      </c>
      <c r="D157" s="122">
        <f>'Onroad Data'!D328*'Emission Factors'!$B46/grams_to_mton</f>
        <v>3995607.9225261686</v>
      </c>
      <c r="E157" s="122">
        <f>'Onroad Data'!E328*'Emission Factors'!$B46/grams_to_mton</f>
        <v>6526588.7465591878</v>
      </c>
      <c r="F157" s="122">
        <f>'Onroad Data'!F328*'Emission Factors'!$B46/grams_to_mton</f>
        <v>2024251.8846169228</v>
      </c>
      <c r="G157" s="122">
        <f>'Onroad Data'!G328*'Emission Factors'!$B46/grams_to_mton</f>
        <v>932632.20317726594</v>
      </c>
      <c r="H157" s="122">
        <f>'Onroad Data'!H328*'Emission Factors'!$B46/grams_to_mton</f>
        <v>214423.86234746309</v>
      </c>
      <c r="I157" s="122">
        <f>'Onroad Data'!I328*'Emission Factors'!$B46/grams_to_mton</f>
        <v>1453297.509853608</v>
      </c>
      <c r="J157" s="122">
        <f>'Onroad Data'!J328*'Emission Factors'!$B46/grams_to_mton</f>
        <v>556220.11546951917</v>
      </c>
      <c r="K157" s="122">
        <f>'Onroad Data'!K328*'Emission Factors'!$B46/grams_to_mton</f>
        <v>1304829.9927971624</v>
      </c>
      <c r="N157" s="302"/>
      <c r="O157" s="302"/>
      <c r="P157" s="302"/>
      <c r="Q157" s="302"/>
    </row>
    <row r="158" spans="1:18" x14ac:dyDescent="0.15">
      <c r="A158" s="291"/>
      <c r="B158" s="72" t="s">
        <v>105</v>
      </c>
      <c r="C158" s="122">
        <f>'Onroad Data'!C329*'Emission Factors'!$B47/grams_to_mton</f>
        <v>1542247.3648946655</v>
      </c>
      <c r="D158" s="122">
        <f>'Onroad Data'!D329*'Emission Factors'!$B47/grams_to_mton</f>
        <v>2434722.8930066102</v>
      </c>
      <c r="E158" s="122">
        <f>'Onroad Data'!E329*'Emission Factors'!$B47/grams_to_mton</f>
        <v>3976970.257901276</v>
      </c>
      <c r="F158" s="122">
        <f>'Onroad Data'!F329*'Emission Factors'!$B47/grams_to_mton</f>
        <v>1233469.3585434163</v>
      </c>
      <c r="G158" s="122">
        <f>'Onroad Data'!G329*'Emission Factors'!$B47/grams_to_mton</f>
        <v>568304.25713780732</v>
      </c>
      <c r="H158" s="122">
        <f>'Onroad Data'!H329*'Emission Factors'!$B47/grams_to_mton</f>
        <v>130660.40276051132</v>
      </c>
      <c r="I158" s="122">
        <f>'Onroad Data'!I329*'Emission Factors'!$B47/grams_to_mton</f>
        <v>885564.23905227194</v>
      </c>
      <c r="J158" s="122">
        <f>'Onroad Data'!J329*'Emission Factors'!$B47/grams_to_mton</f>
        <v>338936.3257836214</v>
      </c>
      <c r="K158" s="122">
        <f>'Onroad Data'!K329*'Emission Factors'!$B47/grams_to_mton</f>
        <v>795103.54705721769</v>
      </c>
      <c r="N158" s="302"/>
      <c r="O158" s="302"/>
      <c r="P158" s="302"/>
      <c r="Q158" s="302"/>
    </row>
    <row r="159" spans="1:18" x14ac:dyDescent="0.15">
      <c r="A159" s="291"/>
      <c r="B159" s="72" t="s">
        <v>107</v>
      </c>
      <c r="C159" s="122">
        <f>'Onroad Data'!C330*'Emission Factors'!$B48/grams_to_mton</f>
        <v>122180.57670563716</v>
      </c>
      <c r="D159" s="122">
        <f>'Onroad Data'!D330*'Emission Factors'!$B48/grams_to_mton</f>
        <v>311090.51330538187</v>
      </c>
      <c r="E159" s="122">
        <f>'Onroad Data'!E330*'Emission Factors'!$B48/grams_to_mton</f>
        <v>433271.09001101897</v>
      </c>
      <c r="F159" s="122">
        <f>'Onroad Data'!F330*'Emission Factors'!$B48/grams_to_mton</f>
        <v>159877.28251829659</v>
      </c>
      <c r="G159" s="122">
        <f>'Onroad Data'!G330*'Emission Factors'!$B48/grams_to_mton</f>
        <v>61447.689690557192</v>
      </c>
      <c r="H159" s="122">
        <f>'Onroad Data'!H330*'Emission Factors'!$B48/grams_to_mton</f>
        <v>15460.244040833984</v>
      </c>
      <c r="I159" s="122">
        <f>'Onroad Data'!I330*'Emission Factors'!$B48/grams_to_mton</f>
        <v>101516.01884762106</v>
      </c>
      <c r="J159" s="122">
        <f>'Onroad Data'!J330*'Emission Factors'!$B48/grams_to_mton</f>
        <v>40425.032864468412</v>
      </c>
      <c r="K159" s="122">
        <f>'Onroad Data'!K330*'Emission Factors'!$B48/grams_to_mton</f>
        <v>97562.878690143159</v>
      </c>
      <c r="N159" s="302"/>
      <c r="O159" s="302"/>
      <c r="P159" s="302"/>
      <c r="Q159" s="302"/>
    </row>
    <row r="160" spans="1:18" x14ac:dyDescent="0.15">
      <c r="A160" s="291"/>
      <c r="B160" s="72" t="s">
        <v>108</v>
      </c>
      <c r="C160" s="122">
        <f>'Onroad Data'!C331*'Emission Factors'!$B49/grams_to_mton</f>
        <v>64799.284005541398</v>
      </c>
      <c r="D160" s="122">
        <f>'Onroad Data'!D331*'Emission Factors'!$B49/grams_to_mton</f>
        <v>19501.608939339862</v>
      </c>
      <c r="E160" s="122">
        <f>'Onroad Data'!E331*'Emission Factors'!$B49/grams_to_mton</f>
        <v>84300.892944881256</v>
      </c>
      <c r="F160" s="122">
        <f>'Onroad Data'!F331*'Emission Factors'!$B49/grams_to_mton</f>
        <v>2881.351554455664</v>
      </c>
      <c r="G160" s="122">
        <f>'Onroad Data'!G331*'Emission Factors'!$B49/grams_to_mton</f>
        <v>1727.3554036910573</v>
      </c>
      <c r="H160" s="122">
        <f>'Onroad Data'!H331*'Emission Factors'!$B49/grams_to_mton</f>
        <v>7.918094138507862</v>
      </c>
      <c r="I160" s="122">
        <f>'Onroad Data'!I331*'Emission Factors'!$B49/grams_to_mton</f>
        <v>1932.600846982499</v>
      </c>
      <c r="J160" s="122">
        <f>'Onroad Data'!J331*'Emission Factors'!$B49/grams_to_mton</f>
        <v>238.10742167833271</v>
      </c>
      <c r="K160" s="122">
        <f>'Onroad Data'!K331*'Emission Factors'!$B49/grams_to_mton</f>
        <v>1266.005778159833</v>
      </c>
      <c r="N160" s="302"/>
      <c r="O160" s="302"/>
      <c r="P160" s="302"/>
      <c r="Q160" s="302"/>
    </row>
    <row r="161" spans="1:17" x14ac:dyDescent="0.15">
      <c r="A161" s="291"/>
      <c r="B161" s="72" t="s">
        <v>111</v>
      </c>
      <c r="C161" s="122">
        <f>'Onroad Data'!C332*'Emission Factors'!$B50/grams_to_mton</f>
        <v>248277.03450409751</v>
      </c>
      <c r="D161" s="122">
        <f>'Onroad Data'!D332*'Emission Factors'!$B50/grams_to_mton</f>
        <v>612146.68432472926</v>
      </c>
      <c r="E161" s="122">
        <f>'Onroad Data'!E332*'Emission Factors'!$B50/grams_to_mton</f>
        <v>860423.71882882668</v>
      </c>
      <c r="F161" s="122">
        <f>'Onroad Data'!F332*'Emission Factors'!$B50/grams_to_mton</f>
        <v>311316.00974959752</v>
      </c>
      <c r="G161" s="122">
        <f>'Onroad Data'!G332*'Emission Factors'!$B50/grams_to_mton</f>
        <v>116563.86556378989</v>
      </c>
      <c r="H161" s="122">
        <f>'Onroad Data'!H332*'Emission Factors'!$B50/grams_to_mton</f>
        <v>27772.038118002816</v>
      </c>
      <c r="I161" s="122">
        <f>'Onroad Data'!I332*'Emission Factors'!$B50/grams_to_mton</f>
        <v>195396.13300158735</v>
      </c>
      <c r="J161" s="122">
        <f>'Onroad Data'!J332*'Emission Factors'!$B50/grams_to_mton</f>
        <v>75550.425174182586</v>
      </c>
      <c r="K161" s="122">
        <f>'Onroad Data'!K332*'Emission Factors'!$B50/grams_to_mton</f>
        <v>187172.06906233245</v>
      </c>
      <c r="N161" s="302"/>
      <c r="O161" s="302"/>
      <c r="P161" s="302"/>
      <c r="Q161" s="302"/>
    </row>
    <row r="162" spans="1:17" x14ac:dyDescent="0.15">
      <c r="A162" s="291"/>
      <c r="B162" s="72" t="s">
        <v>112</v>
      </c>
      <c r="C162" s="122">
        <f>'Onroad Data'!C333*'Emission Factors'!$B51/grams_to_mton</f>
        <v>0</v>
      </c>
      <c r="D162" s="122">
        <f>'Onroad Data'!D333*'Emission Factors'!$B51/grams_to_mton</f>
        <v>0</v>
      </c>
      <c r="E162" s="122">
        <f>'Onroad Data'!E333*'Emission Factors'!$B51/grams_to_mton</f>
        <v>0</v>
      </c>
      <c r="F162" s="122">
        <f>'Onroad Data'!F333*'Emission Factors'!$B51/grams_to_mton</f>
        <v>0</v>
      </c>
      <c r="G162" s="122">
        <f>'Onroad Data'!G333*'Emission Factors'!$B51/grams_to_mton</f>
        <v>0</v>
      </c>
      <c r="H162" s="122">
        <f>'Onroad Data'!H333*'Emission Factors'!$B51/grams_to_mton</f>
        <v>0</v>
      </c>
      <c r="I162" s="122">
        <f>'Onroad Data'!I333*'Emission Factors'!$B51/grams_to_mton</f>
        <v>0</v>
      </c>
      <c r="J162" s="122">
        <f>'Onroad Data'!J333*'Emission Factors'!$B51/grams_to_mton</f>
        <v>0</v>
      </c>
      <c r="K162" s="122">
        <f>'Onroad Data'!K333*'Emission Factors'!$B51/grams_to_mton</f>
        <v>0</v>
      </c>
      <c r="N162" s="302"/>
      <c r="O162" s="302"/>
      <c r="P162" s="302"/>
      <c r="Q162" s="302"/>
    </row>
    <row r="163" spans="1:17" x14ac:dyDescent="0.15">
      <c r="A163" s="291"/>
      <c r="B163" s="72" t="s">
        <v>114</v>
      </c>
      <c r="C163" s="122">
        <f>'Onroad Data'!C334*'Emission Factors'!$B52/grams_to_mton</f>
        <v>460366.98208650248</v>
      </c>
      <c r="D163" s="122">
        <f>'Onroad Data'!D334*'Emission Factors'!$B52/grams_to_mton</f>
        <v>1836725.8112369354</v>
      </c>
      <c r="E163" s="122">
        <f>'Onroad Data'!E334*'Emission Factors'!$B52/grams_to_mton</f>
        <v>2297092.7933234381</v>
      </c>
      <c r="F163" s="122">
        <f>'Onroad Data'!F334*'Emission Factors'!$B52/grams_to_mton</f>
        <v>446950.93087103323</v>
      </c>
      <c r="G163" s="122">
        <f>'Onroad Data'!G334*'Emission Factors'!$B52/grams_to_mton</f>
        <v>252555.38477089556</v>
      </c>
      <c r="H163" s="122">
        <f>'Onroad Data'!H334*'Emission Factors'!$B52/grams_to_mton</f>
        <v>38739.521199953051</v>
      </c>
      <c r="I163" s="122">
        <f>'Onroad Data'!I334*'Emission Factors'!$B52/grams_to_mton</f>
        <v>430590.18478964031</v>
      </c>
      <c r="J163" s="122">
        <f>'Onroad Data'!J334*'Emission Factors'!$B52/grams_to_mton</f>
        <v>129912.1206253256</v>
      </c>
      <c r="K163" s="122">
        <f>'Onroad Data'!K334*'Emission Factors'!$B52/grams_to_mton</f>
        <v>452816.30454365839</v>
      </c>
      <c r="N163" s="302"/>
      <c r="O163" s="302"/>
      <c r="P163" s="302"/>
      <c r="Q163" s="302"/>
    </row>
    <row r="164" spans="1:17" x14ac:dyDescent="0.15">
      <c r="A164" s="291"/>
      <c r="B164" s="72" t="s">
        <v>115</v>
      </c>
      <c r="C164" s="122">
        <f>'Onroad Data'!C335*'Emission Factors'!$B53/grams_to_mton</f>
        <v>28864.667314669128</v>
      </c>
      <c r="D164" s="122">
        <f>'Onroad Data'!D335*'Emission Factors'!$B53/grams_to_mton</f>
        <v>115161.34204354859</v>
      </c>
      <c r="E164" s="122">
        <f>'Onroad Data'!E335*'Emission Factors'!$B53/grams_to_mton</f>
        <v>144026.00935821771</v>
      </c>
      <c r="F164" s="122">
        <f>'Onroad Data'!F335*'Emission Factors'!$B53/grams_to_mton</f>
        <v>28023.490883518552</v>
      </c>
      <c r="G164" s="122">
        <f>'Onroad Data'!G335*'Emission Factors'!$B53/grams_to_mton</f>
        <v>15835.034751841489</v>
      </c>
      <c r="H164" s="122">
        <f>'Onroad Data'!H335*'Emission Factors'!$B53/grams_to_mton</f>
        <v>2428.9391613148036</v>
      </c>
      <c r="I164" s="122">
        <f>'Onroad Data'!I335*'Emission Factors'!$B53/grams_to_mton</f>
        <v>26997.684274802104</v>
      </c>
      <c r="J164" s="122">
        <f>'Onroad Data'!J335*'Emission Factors'!$B53/grams_to_mton</f>
        <v>8145.3933229481499</v>
      </c>
      <c r="K164" s="122">
        <f>'Onroad Data'!K335*'Emission Factors'!$B53/grams_to_mton</f>
        <v>28391.245449602386</v>
      </c>
      <c r="N164" s="302"/>
      <c r="O164" s="302"/>
      <c r="P164" s="302"/>
      <c r="Q164" s="302"/>
    </row>
    <row r="165" spans="1:17" x14ac:dyDescent="0.15">
      <c r="A165" s="291"/>
      <c r="B165" s="73" t="s">
        <v>88</v>
      </c>
      <c r="C165" s="113">
        <f>SUM(C156:C164)</f>
        <v>5053084.3647421207</v>
      </c>
      <c r="D165" s="113">
        <f t="shared" ref="D165:K165" si="56">SUM(D156:D164)</f>
        <v>9412363.8650424927</v>
      </c>
      <c r="E165" s="113">
        <f t="shared" si="56"/>
        <v>14465448.229784615</v>
      </c>
      <c r="F165" s="113">
        <f t="shared" si="56"/>
        <v>4251052.812922867</v>
      </c>
      <c r="G165" s="113">
        <f t="shared" si="56"/>
        <v>1969467.9516073861</v>
      </c>
      <c r="H165" s="113">
        <f t="shared" si="56"/>
        <v>434183.6333593828</v>
      </c>
      <c r="I165" s="113">
        <f t="shared" si="56"/>
        <v>3127086.6766530494</v>
      </c>
      <c r="J165" s="113">
        <f t="shared" si="56"/>
        <v>1161595.3402128869</v>
      </c>
      <c r="K165" s="113">
        <f t="shared" si="56"/>
        <v>2895686.3281103633</v>
      </c>
      <c r="N165" s="302"/>
      <c r="O165" s="302"/>
      <c r="P165" s="302"/>
      <c r="Q165" s="302"/>
    </row>
    <row r="166" spans="1:17" x14ac:dyDescent="0.15">
      <c r="A166" s="66"/>
      <c r="B166" s="66"/>
      <c r="C166" s="66"/>
      <c r="D166" s="82"/>
      <c r="E166" s="114"/>
      <c r="F166" s="114"/>
      <c r="G166" s="114"/>
      <c r="H166" s="114"/>
      <c r="I166" s="114"/>
      <c r="J166" s="114"/>
      <c r="K166" s="114"/>
      <c r="L166" s="114"/>
      <c r="M166" s="114"/>
      <c r="N166" s="302"/>
      <c r="O166" s="302"/>
      <c r="P166" s="302"/>
      <c r="Q166" s="302"/>
    </row>
    <row r="167" spans="1:17" x14ac:dyDescent="0.15">
      <c r="B167" s="82" t="s">
        <v>138</v>
      </c>
      <c r="C167" s="82"/>
      <c r="D167" s="66"/>
      <c r="E167" s="66"/>
      <c r="F167" s="66"/>
      <c r="G167" s="66"/>
      <c r="H167" s="66"/>
      <c r="I167" s="66"/>
      <c r="J167" s="66"/>
      <c r="K167" s="66"/>
      <c r="N167" s="302"/>
      <c r="O167" s="302"/>
      <c r="P167" s="302"/>
      <c r="Q167" s="302"/>
    </row>
    <row r="168" spans="1:17" x14ac:dyDescent="0.15">
      <c r="A168" s="66"/>
      <c r="B168" s="109" t="s">
        <v>99</v>
      </c>
      <c r="C168" s="109" t="s">
        <v>58</v>
      </c>
      <c r="D168" s="109" t="s">
        <v>100</v>
      </c>
      <c r="E168" s="109" t="s">
        <v>59</v>
      </c>
      <c r="F168" s="109" t="s">
        <v>60</v>
      </c>
      <c r="G168" s="109" t="s">
        <v>62</v>
      </c>
      <c r="H168" s="109" t="s">
        <v>61</v>
      </c>
      <c r="I168" s="109" t="s">
        <v>63</v>
      </c>
      <c r="J168" s="109" t="s">
        <v>64</v>
      </c>
      <c r="K168" s="109" t="s">
        <v>65</v>
      </c>
      <c r="N168" s="302"/>
      <c r="O168" s="302"/>
      <c r="P168" s="302"/>
      <c r="Q168" s="302"/>
    </row>
    <row r="169" spans="1:17" x14ac:dyDescent="0.15">
      <c r="A169" s="66"/>
      <c r="B169" s="72" t="s">
        <v>101</v>
      </c>
      <c r="C169" s="122">
        <f>'Onroad Data'!C327*'Emission Factors'!$C45/grams_to_mton</f>
        <v>19.137362640407989</v>
      </c>
      <c r="D169" s="122">
        <f>'Onroad Data'!D327*'Emission Factors'!$C45/grams_to_mton</f>
        <v>30.211535801132161</v>
      </c>
      <c r="E169" s="122">
        <f>'Onroad Data'!E327*'Emission Factors'!$C45/grams_to_mton</f>
        <v>49.34889844154015</v>
      </c>
      <c r="F169" s="122">
        <f>'Onroad Data'!F327*'Emission Factors'!$C45/grams_to_mton</f>
        <v>15.305880401409226</v>
      </c>
      <c r="G169" s="122">
        <f>'Onroad Data'!G327*'Emission Factors'!$C45/grams_to_mton</f>
        <v>7.0518378227767977</v>
      </c>
      <c r="H169" s="122">
        <f>'Onroad Data'!H327*'Emission Factors'!$C45/grams_to_mton</f>
        <v>1.6213042015752186</v>
      </c>
      <c r="I169" s="122">
        <f>'Onroad Data'!I327*'Emission Factors'!$C45/grams_to_mton</f>
        <v>10.988746956927404</v>
      </c>
      <c r="J169" s="122">
        <f>'Onroad Data'!J327*'Emission Factors'!$C45/grams_to_mton</f>
        <v>4.2057059378357389</v>
      </c>
      <c r="K169" s="122">
        <f>'Onroad Data'!K327*'Emission Factors'!$C45/grams_to_mton</f>
        <v>9.8660953414396033</v>
      </c>
      <c r="N169" s="302"/>
      <c r="O169" s="302"/>
      <c r="P169" s="302"/>
      <c r="Q169" s="302"/>
    </row>
    <row r="170" spans="1:17" x14ac:dyDescent="0.15">
      <c r="A170" s="66"/>
      <c r="B170" s="72" t="s">
        <v>103</v>
      </c>
      <c r="C170" s="122">
        <f>'Onroad Data'!C328*'Emission Factors'!$C46/grams_to_mton</f>
        <v>160.52444673621463</v>
      </c>
      <c r="D170" s="122">
        <f>'Onroad Data'!D328*'Emission Factors'!$C46/grams_to_mton</f>
        <v>253.41667745878644</v>
      </c>
      <c r="E170" s="122">
        <f>'Onroad Data'!E328*'Emission Factors'!$C46/grams_to_mton</f>
        <v>413.94112419500107</v>
      </c>
      <c r="F170" s="122">
        <f>'Onroad Data'!F328*'Emission Factors'!$C46/grams_to_mton</f>
        <v>128.38576679340028</v>
      </c>
      <c r="G170" s="122">
        <f>'Onroad Data'!G328*'Emission Factors'!$C46/grams_to_mton</f>
        <v>59.151087594907203</v>
      </c>
      <c r="H170" s="122">
        <f>'Onroad Data'!H328*'Emission Factors'!$C46/grams_to_mton</f>
        <v>13.599578291360341</v>
      </c>
      <c r="I170" s="122">
        <f>'Onroad Data'!I328*'Emission Factors'!$C46/grams_to_mton</f>
        <v>92.173665046039602</v>
      </c>
      <c r="J170" s="122">
        <f>'Onroad Data'!J328*'Emission Factors'!$C46/grams_to_mton</f>
        <v>35.277598886356927</v>
      </c>
      <c r="K170" s="122">
        <f>'Onroad Data'!K328*'Emission Factors'!$C46/grams_to_mton</f>
        <v>82.757289462518202</v>
      </c>
      <c r="N170" s="302"/>
      <c r="O170" s="302"/>
      <c r="P170" s="302"/>
      <c r="Q170" s="302"/>
    </row>
    <row r="171" spans="1:17" x14ac:dyDescent="0.15">
      <c r="A171" s="66"/>
      <c r="B171" s="72" t="s">
        <v>105</v>
      </c>
      <c r="C171" s="122">
        <f>'Onroad Data'!C329*'Emission Factors'!$C47/grams_to_mton</f>
        <v>83.766762072598482</v>
      </c>
      <c r="D171" s="122">
        <f>'Onroad Data'!D329*'Emission Factors'!$C47/grams_to_mton</f>
        <v>132.24133685267986</v>
      </c>
      <c r="E171" s="122">
        <f>'Onroad Data'!E329*'Emission Factors'!$C47/grams_to_mton</f>
        <v>216.0080989252784</v>
      </c>
      <c r="F171" s="122">
        <f>'Onroad Data'!F329*'Emission Factors'!$C47/grams_to_mton</f>
        <v>66.995565453927014</v>
      </c>
      <c r="G171" s="122">
        <f>'Onroad Data'!G329*'Emission Factors'!$C47/grams_to_mton</f>
        <v>30.867297021291346</v>
      </c>
      <c r="H171" s="122">
        <f>'Onroad Data'!H329*'Emission Factors'!$C47/grams_to_mton</f>
        <v>7.0967855867253693</v>
      </c>
      <c r="I171" s="122">
        <f>'Onroad Data'!I329*'Emission Factors'!$C47/grams_to_mton</f>
        <v>48.099189923245483</v>
      </c>
      <c r="J171" s="122">
        <f>'Onroad Data'!J329*'Emission Factors'!$C47/grams_to_mton</f>
        <v>18.409237847273918</v>
      </c>
      <c r="K171" s="122">
        <f>'Onroad Data'!K329*'Emission Factors'!$C47/grams_to_mton</f>
        <v>43.185841107901659</v>
      </c>
      <c r="N171" s="302"/>
      <c r="O171" s="302"/>
      <c r="P171" s="302"/>
      <c r="Q171" s="302"/>
    </row>
    <row r="172" spans="1:17" x14ac:dyDescent="0.15">
      <c r="A172" s="66"/>
      <c r="B172" s="72" t="s">
        <v>107</v>
      </c>
      <c r="C172" s="122">
        <f>'Onroad Data'!C330*'Emission Factors'!$C48/grams_to_mton</f>
        <v>6.6362060534258056</v>
      </c>
      <c r="D172" s="122">
        <f>'Onroad Data'!D330*'Emission Factors'!$C48/grams_to_mton</f>
        <v>16.896799828783802</v>
      </c>
      <c r="E172" s="122">
        <f>'Onroad Data'!E330*'Emission Factors'!$C48/grams_to_mton</f>
        <v>23.533005882209608</v>
      </c>
      <c r="F172" s="122">
        <f>'Onroad Data'!F330*'Emission Factors'!$C48/grams_to_mton</f>
        <v>8.6836927657441336</v>
      </c>
      <c r="G172" s="122">
        <f>'Onroad Data'!G330*'Emission Factors'!$C48/grams_to_mton</f>
        <v>3.3375151868528703</v>
      </c>
      <c r="H172" s="122">
        <f>'Onroad Data'!H330*'Emission Factors'!$C48/grams_to_mton</f>
        <v>0.83971910967816787</v>
      </c>
      <c r="I172" s="122">
        <f>'Onroad Data'!I330*'Emission Factors'!$C48/grams_to_mton</f>
        <v>5.5138160005524748</v>
      </c>
      <c r="J172" s="122">
        <f>'Onroad Data'!J330*'Emission Factors'!$C48/grams_to_mton</f>
        <v>2.195675082230522</v>
      </c>
      <c r="K172" s="122">
        <f>'Onroad Data'!K330*'Emission Factors'!$C48/grams_to_mton</f>
        <v>5.2991022272961956</v>
      </c>
      <c r="N172" s="302"/>
      <c r="O172" s="302"/>
      <c r="P172" s="302"/>
      <c r="Q172" s="302"/>
    </row>
    <row r="173" spans="1:17" x14ac:dyDescent="0.15">
      <c r="A173" s="66"/>
      <c r="B173" s="72" t="s">
        <v>108</v>
      </c>
      <c r="C173" s="122">
        <f>'Onroad Data'!C331*'Emission Factors'!$C49/grams_to_mton</f>
        <v>5.7948268815861139</v>
      </c>
      <c r="D173" s="122">
        <f>'Onroad Data'!D331*'Emission Factors'!$C49/grams_to_mton</f>
        <v>1.7439767961973565</v>
      </c>
      <c r="E173" s="122">
        <f>'Onroad Data'!E331*'Emission Factors'!$C49/grams_to_mton</f>
        <v>7.5388036777834699</v>
      </c>
      <c r="F173" s="122">
        <f>'Onroad Data'!F331*'Emission Factors'!$C49/grams_to_mton</f>
        <v>0.25767157306293315</v>
      </c>
      <c r="G173" s="122">
        <f>'Onroad Data'!G331*'Emission Factors'!$C49/grams_to_mton</f>
        <v>0.15447277976876991</v>
      </c>
      <c r="H173" s="122">
        <f>'Onroad Data'!H331*'Emission Factors'!$C49/grams_to_mton</f>
        <v>7.0809400858242453E-4</v>
      </c>
      <c r="I173" s="122">
        <f>'Onroad Data'!I331*'Emission Factors'!$C49/grams_to_mton</f>
        <v>0.17282733152595592</v>
      </c>
      <c r="J173" s="122">
        <f>'Onroad Data'!J331*'Emission Factors'!$C49/grams_to_mton</f>
        <v>2.1293310705852365E-2</v>
      </c>
      <c r="K173" s="122">
        <f>'Onroad Data'!K331*'Emission Factors'!$C49/grams_to_mton</f>
        <v>0.1132155150803298</v>
      </c>
      <c r="N173" s="302"/>
      <c r="O173" s="302"/>
      <c r="P173" s="302"/>
      <c r="Q173" s="302"/>
    </row>
    <row r="174" spans="1:17" x14ac:dyDescent="0.15">
      <c r="A174" s="66"/>
      <c r="B174" s="72" t="s">
        <v>111</v>
      </c>
      <c r="C174" s="122">
        <f>'Onroad Data'!C332*'Emission Factors'!$C50/grams_to_mton</f>
        <v>2.9695842317162446</v>
      </c>
      <c r="D174" s="122">
        <f>'Onroad Data'!D332*'Emission Factors'!$C50/grams_to_mton</f>
        <v>7.3217450212379456</v>
      </c>
      <c r="E174" s="122">
        <f>'Onroad Data'!E332*'Emission Factors'!$C50/grams_to_mton</f>
        <v>10.291329252954188</v>
      </c>
      <c r="F174" s="122">
        <f>'Onroad Data'!F332*'Emission Factors'!$C50/grams_to_mton</f>
        <v>3.7235788460247949</v>
      </c>
      <c r="G174" s="122">
        <f>'Onroad Data'!G332*'Emission Factors'!$C50/grams_to_mton</f>
        <v>1.3941934575523933</v>
      </c>
      <c r="H174" s="122">
        <f>'Onroad Data'!H332*'Emission Factors'!$C50/grams_to_mton</f>
        <v>0.33217492968115248</v>
      </c>
      <c r="I174" s="122">
        <f>'Onroad Data'!I332*'Emission Factors'!$C50/grams_to_mton</f>
        <v>2.3370879898691057</v>
      </c>
      <c r="J174" s="122">
        <f>'Onroad Data'!J332*'Emission Factors'!$C50/grams_to_mton</f>
        <v>0.90364117545075606</v>
      </c>
      <c r="K174" s="122">
        <f>'Onroad Data'!K332*'Emission Factors'!$C50/grams_to_mton</f>
        <v>2.2387218617114315</v>
      </c>
      <c r="N174" s="302"/>
      <c r="O174" s="302"/>
      <c r="P174" s="302"/>
      <c r="Q174" s="302"/>
    </row>
    <row r="175" spans="1:17" x14ac:dyDescent="0.15">
      <c r="A175" s="66"/>
      <c r="B175" s="72" t="s">
        <v>112</v>
      </c>
      <c r="C175" s="122">
        <f>'Onroad Data'!C333*'Emission Factors'!$C51/grams_to_mton</f>
        <v>0</v>
      </c>
      <c r="D175" s="122">
        <f>'Onroad Data'!D333*'Emission Factors'!$C51/grams_to_mton</f>
        <v>0</v>
      </c>
      <c r="E175" s="122">
        <f>'Onroad Data'!E333*'Emission Factors'!$C51/grams_to_mton</f>
        <v>0</v>
      </c>
      <c r="F175" s="122">
        <f>'Onroad Data'!F333*'Emission Factors'!$C51/grams_to_mton</f>
        <v>0</v>
      </c>
      <c r="G175" s="122">
        <f>'Onroad Data'!G333*'Emission Factors'!$C51/grams_to_mton</f>
        <v>0</v>
      </c>
      <c r="H175" s="122">
        <f>'Onroad Data'!H333*'Emission Factors'!$C51/grams_to_mton</f>
        <v>0</v>
      </c>
      <c r="I175" s="122">
        <f>'Onroad Data'!I333*'Emission Factors'!$C51/grams_to_mton</f>
        <v>0</v>
      </c>
      <c r="J175" s="122">
        <f>'Onroad Data'!J333*'Emission Factors'!$C51/grams_to_mton</f>
        <v>0</v>
      </c>
      <c r="K175" s="122">
        <f>'Onroad Data'!K333*'Emission Factors'!$C51/grams_to_mton</f>
        <v>0</v>
      </c>
      <c r="N175" s="302"/>
      <c r="O175" s="302"/>
      <c r="P175" s="302"/>
      <c r="Q175" s="302"/>
    </row>
    <row r="176" spans="1:17" x14ac:dyDescent="0.15">
      <c r="A176" s="66"/>
      <c r="B176" s="72" t="s">
        <v>114</v>
      </c>
      <c r="C176" s="122">
        <f>'Onroad Data'!C334*'Emission Factors'!$C52/grams_to_mton</f>
        <v>5.5063430797676558</v>
      </c>
      <c r="D176" s="122">
        <f>'Onroad Data'!D334*'Emission Factors'!$C52/grams_to_mton</f>
        <v>21.968652952254487</v>
      </c>
      <c r="E176" s="122">
        <f>'Onroad Data'!E334*'Emission Factors'!$C52/grams_to_mton</f>
        <v>27.474996032022144</v>
      </c>
      <c r="F176" s="122">
        <f>'Onroad Data'!F334*'Emission Factors'!$C52/grams_to_mton</f>
        <v>5.3458767916917935</v>
      </c>
      <c r="G176" s="122">
        <f>'Onroad Data'!G334*'Emission Factors'!$C52/grams_to_mton</f>
        <v>3.0207565905106013</v>
      </c>
      <c r="H176" s="122">
        <f>'Onroad Data'!H334*'Emission Factors'!$C52/grams_to_mton</f>
        <v>0.46335446018757387</v>
      </c>
      <c r="I176" s="122">
        <f>'Onroad Data'!I334*'Emission Factors'!$C52/grams_to_mton</f>
        <v>5.1501896888574157</v>
      </c>
      <c r="J176" s="122">
        <f>'Onroad Data'!J334*'Emission Factors'!$C52/grams_to_mton</f>
        <v>1.5538488514990649</v>
      </c>
      <c r="K176" s="122">
        <f>'Onroad Data'!K334*'Emission Factors'!$C52/grams_to_mton</f>
        <v>5.4160311706746951</v>
      </c>
      <c r="N176" s="302"/>
      <c r="O176" s="302"/>
      <c r="P176" s="302"/>
      <c r="Q176" s="302"/>
    </row>
    <row r="177" spans="1:17" x14ac:dyDescent="0.15">
      <c r="A177" s="66"/>
      <c r="B177" s="72" t="s">
        <v>115</v>
      </c>
      <c r="C177" s="122">
        <f>'Onroad Data'!C335*'Emission Factors'!$C53/grams_to_mton</f>
        <v>0.34524361499074568</v>
      </c>
      <c r="D177" s="122">
        <f>'Onroad Data'!D335*'Emission Factors'!$C53/grams_to_mton</f>
        <v>1.3774181978565514</v>
      </c>
      <c r="E177" s="122">
        <f>'Onroad Data'!E335*'Emission Factors'!$C53/grams_to_mton</f>
        <v>1.7226618128472972</v>
      </c>
      <c r="F177" s="122">
        <f>'Onroad Data'!F335*'Emission Factors'!$C53/grams_to_mton</f>
        <v>0.33518249809757261</v>
      </c>
      <c r="G177" s="122">
        <f>'Onroad Data'!G335*'Emission Factors'!$C53/grams_to_mton</f>
        <v>0.18939919111596759</v>
      </c>
      <c r="H177" s="122">
        <f>'Onroad Data'!H335*'Emission Factors'!$C53/grams_to_mton</f>
        <v>2.9051979969252774E-2</v>
      </c>
      <c r="I177" s="122">
        <f>'Onroad Data'!I335*'Emission Factors'!$C53/grams_to_mton</f>
        <v>0.32291306231943412</v>
      </c>
      <c r="J177" s="122">
        <f>'Onroad Data'!J335*'Emission Factors'!$C53/grams_to_mton</f>
        <v>9.7425167097178328E-2</v>
      </c>
      <c r="K177" s="122">
        <f>'Onroad Data'!K335*'Emission Factors'!$C53/grams_to_mton</f>
        <v>0.33958112547269609</v>
      </c>
      <c r="N177" s="302"/>
      <c r="O177" s="302"/>
      <c r="P177" s="302"/>
      <c r="Q177" s="302"/>
    </row>
    <row r="178" spans="1:17" x14ac:dyDescent="0.15">
      <c r="A178" s="66"/>
      <c r="B178" s="73" t="s">
        <v>88</v>
      </c>
      <c r="C178" s="113">
        <f>SUM(C169:C177)</f>
        <v>284.68077531070759</v>
      </c>
      <c r="D178" s="113">
        <f t="shared" ref="D178:K178" si="57">SUM(D169:D177)</f>
        <v>465.17814290892863</v>
      </c>
      <c r="E178" s="113">
        <f t="shared" si="57"/>
        <v>749.85891821963617</v>
      </c>
      <c r="F178" s="113">
        <f t="shared" si="57"/>
        <v>229.03321512335773</v>
      </c>
      <c r="G178" s="113">
        <f t="shared" si="57"/>
        <v>105.16655964477594</v>
      </c>
      <c r="H178" s="113">
        <f t="shared" si="57"/>
        <v>23.98267665318566</v>
      </c>
      <c r="I178" s="113">
        <f t="shared" si="57"/>
        <v>164.75843599933685</v>
      </c>
      <c r="J178" s="113">
        <f t="shared" si="57"/>
        <v>62.664426258449957</v>
      </c>
      <c r="K178" s="113">
        <f t="shared" si="57"/>
        <v>149.21587781209485</v>
      </c>
      <c r="N178" s="302"/>
      <c r="O178" s="302"/>
      <c r="P178" s="302"/>
      <c r="Q178" s="302"/>
    </row>
    <row r="179" spans="1:17" x14ac:dyDescent="0.15">
      <c r="A179" s="66"/>
      <c r="B179" s="66"/>
      <c r="C179" s="66"/>
      <c r="D179" s="82"/>
      <c r="E179" s="114"/>
      <c r="F179" s="114"/>
      <c r="G179" s="114"/>
      <c r="H179" s="114"/>
      <c r="I179" s="114"/>
      <c r="J179" s="114"/>
      <c r="K179" s="114"/>
      <c r="L179" s="114"/>
      <c r="M179" s="114"/>
      <c r="N179" s="302"/>
      <c r="O179" s="302"/>
      <c r="P179" s="302"/>
      <c r="Q179" s="302"/>
    </row>
    <row r="180" spans="1:17" x14ac:dyDescent="0.15">
      <c r="B180" s="82" t="s">
        <v>139</v>
      </c>
      <c r="C180" s="82"/>
      <c r="D180" s="66"/>
      <c r="E180" s="66"/>
      <c r="F180" s="66"/>
      <c r="G180" s="66"/>
      <c r="H180" s="66"/>
      <c r="I180" s="66"/>
      <c r="J180" s="66"/>
      <c r="K180" s="66"/>
      <c r="N180" s="302"/>
      <c r="O180" s="302"/>
      <c r="P180" s="302"/>
      <c r="Q180" s="302"/>
    </row>
    <row r="181" spans="1:17" x14ac:dyDescent="0.15">
      <c r="A181" s="66"/>
      <c r="B181" s="109" t="s">
        <v>99</v>
      </c>
      <c r="C181" s="109" t="s">
        <v>58</v>
      </c>
      <c r="D181" s="109" t="s">
        <v>100</v>
      </c>
      <c r="E181" s="109" t="s">
        <v>59</v>
      </c>
      <c r="F181" s="109" t="s">
        <v>60</v>
      </c>
      <c r="G181" s="109" t="s">
        <v>62</v>
      </c>
      <c r="H181" s="109" t="s">
        <v>61</v>
      </c>
      <c r="I181" s="109" t="s">
        <v>63</v>
      </c>
      <c r="J181" s="109" t="s">
        <v>64</v>
      </c>
      <c r="K181" s="109" t="s">
        <v>65</v>
      </c>
      <c r="N181" s="302"/>
      <c r="O181" s="302"/>
      <c r="P181" s="302"/>
      <c r="Q181" s="302"/>
    </row>
    <row r="182" spans="1:17" x14ac:dyDescent="0.15">
      <c r="A182" s="66"/>
      <c r="B182" s="72" t="s">
        <v>101</v>
      </c>
      <c r="C182" s="122">
        <f>'Onroad Data'!C327*'Emission Factors'!$D45/grams_to_mton</f>
        <v>1.9460174689372458</v>
      </c>
      <c r="D182" s="122">
        <f>'Onroad Data'!D327*'Emission Factors'!$D45/grams_to_mton</f>
        <v>3.0721148748202229</v>
      </c>
      <c r="E182" s="122">
        <f>'Onroad Data'!E327*'Emission Factors'!$D45/grams_to_mton</f>
        <v>5.0181323437574692</v>
      </c>
      <c r="F182" s="122">
        <f>'Onroad Data'!F327*'Emission Factors'!$D45/grams_to_mton</f>
        <v>1.5564062404145143</v>
      </c>
      <c r="G182" s="122">
        <f>'Onroad Data'!G327*'Emission Factors'!$D45/grams_to_mton</f>
        <v>0.7170789334503348</v>
      </c>
      <c r="H182" s="122">
        <f>'Onroad Data'!H327*'Emission Factors'!$D45/grams_to_mton</f>
        <v>0.16486526163562662</v>
      </c>
      <c r="I182" s="122">
        <f>'Onroad Data'!I327*'Emission Factors'!$D45/grams_to_mton</f>
        <v>1.1174106872364644</v>
      </c>
      <c r="J182" s="122">
        <f>'Onroad Data'!J327*'Emission Factors'!$D45/grams_to_mton</f>
        <v>0.42766484483919293</v>
      </c>
      <c r="K182" s="122">
        <f>'Onroad Data'!K327*'Emission Factors'!$D45/grams_to_mton</f>
        <v>1.0032518192502899</v>
      </c>
      <c r="N182" s="302"/>
      <c r="O182" s="302"/>
      <c r="P182" s="302"/>
      <c r="Q182" s="302"/>
    </row>
    <row r="183" spans="1:17" x14ac:dyDescent="0.15">
      <c r="A183" s="66"/>
      <c r="B183" s="72" t="s">
        <v>103</v>
      </c>
      <c r="C183" s="122">
        <f>'Onroad Data'!C328*'Emission Factors'!$D46/grams_to_mton</f>
        <v>145.46331563975895</v>
      </c>
      <c r="D183" s="122">
        <f>'Onroad Data'!D328*'Emission Factors'!$D46/grams_to_mton</f>
        <v>229.63997628437303</v>
      </c>
      <c r="E183" s="122">
        <f>'Onroad Data'!E328*'Emission Factors'!$D46/grams_to_mton</f>
        <v>375.10329192413201</v>
      </c>
      <c r="F183" s="122">
        <f>'Onroad Data'!F328*'Emission Factors'!$D46/grams_to_mton</f>
        <v>116.34003230305267</v>
      </c>
      <c r="G183" s="122">
        <f>'Onroad Data'!G328*'Emission Factors'!$D46/grams_to_mton</f>
        <v>53.601264481491995</v>
      </c>
      <c r="H183" s="122">
        <f>'Onroad Data'!H328*'Emission Factors'!$D46/grams_to_mton</f>
        <v>12.32360422219395</v>
      </c>
      <c r="I183" s="122">
        <f>'Onroad Data'!I328*'Emission Factors'!$D46/grams_to_mton</f>
        <v>83.525514056424569</v>
      </c>
      <c r="J183" s="122">
        <f>'Onroad Data'!J328*'Emission Factors'!$D46/grams_to_mton</f>
        <v>31.96769467925067</v>
      </c>
      <c r="K183" s="122">
        <f>'Onroad Data'!K328*'Emission Factors'!$D46/grams_to_mton</f>
        <v>74.99262550556638</v>
      </c>
      <c r="N183" s="302"/>
      <c r="O183" s="302"/>
      <c r="P183" s="302"/>
      <c r="Q183" s="302"/>
    </row>
    <row r="184" spans="1:17" x14ac:dyDescent="0.15">
      <c r="A184" s="66"/>
      <c r="B184" s="72" t="s">
        <v>105</v>
      </c>
      <c r="C184" s="122">
        <f>'Onroad Data'!C329*'Emission Factors'!$D47/grams_to_mton</f>
        <v>102.6573694813916</v>
      </c>
      <c r="D184" s="122">
        <f>'Onroad Data'!D329*'Emission Factors'!$D47/grams_to_mton</f>
        <v>162.06365677872506</v>
      </c>
      <c r="E184" s="122">
        <f>'Onroad Data'!E329*'Emission Factors'!$D47/grams_to_mton</f>
        <v>264.72102626011667</v>
      </c>
      <c r="F184" s="122">
        <f>'Onroad Data'!F329*'Emission Factors'!$D47/grams_to_mton</f>
        <v>82.104027256752644</v>
      </c>
      <c r="G184" s="122">
        <f>'Onroad Data'!G329*'Emission Factors'!$D47/grams_to_mton</f>
        <v>37.82831563264061</v>
      </c>
      <c r="H184" s="122">
        <f>'Onroad Data'!H329*'Emission Factors'!$D47/grams_to_mton</f>
        <v>8.6972126184760032</v>
      </c>
      <c r="I184" s="122">
        <f>'Onroad Data'!I329*'Emission Factors'!$D47/grams_to_mton</f>
        <v>58.946247766230123</v>
      </c>
      <c r="J184" s="122">
        <f>'Onroad Data'!J329*'Emission Factors'!$D47/grams_to_mton</f>
        <v>22.560785266124256</v>
      </c>
      <c r="K184" s="122">
        <f>'Onroad Data'!K329*'Emission Factors'!$D47/grams_to_mton</f>
        <v>52.924868256651315</v>
      </c>
      <c r="N184" s="302"/>
      <c r="O184" s="302"/>
      <c r="P184" s="302"/>
      <c r="Q184" s="302"/>
    </row>
    <row r="185" spans="1:17" x14ac:dyDescent="0.15">
      <c r="A185" s="66"/>
      <c r="B185" s="72" t="s">
        <v>107</v>
      </c>
      <c r="C185" s="122">
        <f>'Onroad Data'!C330*'Emission Factors'!$D48/grams_to_mton</f>
        <v>8.1327657883057949</v>
      </c>
      <c r="D185" s="122">
        <f>'Onroad Data'!D330*'Emission Factors'!$D48/grams_to_mton</f>
        <v>20.707270761799968</v>
      </c>
      <c r="E185" s="122">
        <f>'Onroad Data'!E330*'Emission Factors'!$D48/grams_to_mton</f>
        <v>28.840036550105761</v>
      </c>
      <c r="F185" s="122">
        <f>'Onroad Data'!F330*'Emission Factors'!$D48/grams_to_mton</f>
        <v>10.641990148112569</v>
      </c>
      <c r="G185" s="122">
        <f>'Onroad Data'!G330*'Emission Factors'!$D48/grams_to_mton</f>
        <v>4.0901727750867396</v>
      </c>
      <c r="H185" s="122">
        <f>'Onroad Data'!H330*'Emission Factors'!$D48/grams_to_mton</f>
        <v>1.0290878239761332</v>
      </c>
      <c r="I185" s="122">
        <f>'Onroad Data'!I330*'Emission Factors'!$D48/grams_to_mton</f>
        <v>6.7572606654004046</v>
      </c>
      <c r="J185" s="122">
        <f>'Onroad Data'!J330*'Emission Factors'!$D48/grams_to_mton</f>
        <v>2.6908313345366417</v>
      </c>
      <c r="K185" s="122">
        <f>'Onroad Data'!K330*'Emission Factors'!$D48/grams_to_mton</f>
        <v>6.4941258538290754</v>
      </c>
      <c r="N185" s="302"/>
      <c r="O185" s="302"/>
      <c r="P185" s="302"/>
      <c r="Q185" s="302"/>
    </row>
    <row r="186" spans="1:17" x14ac:dyDescent="0.15">
      <c r="A186" s="66"/>
      <c r="B186" s="72" t="s">
        <v>108</v>
      </c>
      <c r="C186" s="122">
        <f>'Onroad Data'!C331*'Emission Factors'!$D49/grams_to_mton</f>
        <v>0.89317189425819032</v>
      </c>
      <c r="D186" s="122">
        <f>'Onroad Data'!D331*'Emission Factors'!$D49/grams_to_mton</f>
        <v>0.26880372622547949</v>
      </c>
      <c r="E186" s="122">
        <f>'Onroad Data'!E331*'Emission Factors'!$D49/grams_to_mton</f>
        <v>1.16197562048367</v>
      </c>
      <c r="F186" s="122">
        <f>'Onroad Data'!F331*'Emission Factors'!$D49/grams_to_mton</f>
        <v>3.9715596636791028E-2</v>
      </c>
      <c r="G186" s="122">
        <f>'Onroad Data'!G331*'Emission Factors'!$D49/grams_to_mton</f>
        <v>2.3809295452090581E-2</v>
      </c>
      <c r="H186" s="122">
        <f>'Onroad Data'!H331*'Emission Factors'!$D49/grams_to_mton</f>
        <v>1.0914039019321494E-4</v>
      </c>
      <c r="I186" s="122">
        <f>'Onroad Data'!I331*'Emission Factors'!$D49/grams_to_mton</f>
        <v>2.6638330744468225E-2</v>
      </c>
      <c r="J186" s="122">
        <f>'Onroad Data'!J331*'Emission Factors'!$D49/grams_to_mton</f>
        <v>3.2819939312783652E-3</v>
      </c>
      <c r="K186" s="122">
        <f>'Onroad Data'!K331*'Emission Factors'!$D49/grams_to_mton</f>
        <v>1.7450204834425852E-2</v>
      </c>
      <c r="N186" s="302"/>
      <c r="O186" s="302"/>
      <c r="P186" s="302"/>
      <c r="Q186" s="302"/>
    </row>
    <row r="187" spans="1:17" x14ac:dyDescent="0.15">
      <c r="A187" s="66"/>
      <c r="B187" s="72" t="s">
        <v>111</v>
      </c>
      <c r="C187" s="122">
        <f>'Onroad Data'!C332*'Emission Factors'!$D50/grams_to_mton</f>
        <v>2.6376251823842867</v>
      </c>
      <c r="D187" s="122">
        <f>'Onroad Data'!D332*'Emission Factors'!$D50/grams_to_mton</f>
        <v>6.5032737043639166</v>
      </c>
      <c r="E187" s="122">
        <f>'Onroad Data'!E332*'Emission Factors'!$D50/grams_to_mton</f>
        <v>9.1408988867482019</v>
      </c>
      <c r="F187" s="122">
        <f>'Onroad Data'!F332*'Emission Factors'!$D50/grams_to_mton</f>
        <v>3.3073334738150284</v>
      </c>
      <c r="G187" s="122">
        <f>'Onroad Data'!G332*'Emission Factors'!$D50/grams_to_mton</f>
        <v>1.2383416282589546</v>
      </c>
      <c r="H187" s="122">
        <f>'Onroad Data'!H332*'Emission Factors'!$D50/grams_to_mton</f>
        <v>0.29504229923034464</v>
      </c>
      <c r="I187" s="122">
        <f>'Onroad Data'!I332*'Emission Factors'!$D50/grams_to_mton</f>
        <v>2.0758334010832176</v>
      </c>
      <c r="J187" s="122">
        <f>'Onroad Data'!J332*'Emission Factors'!$D50/grams_to_mton</f>
        <v>0.80262640633390903</v>
      </c>
      <c r="K187" s="122">
        <f>'Onroad Data'!K332*'Emission Factors'!$D50/grams_to_mton</f>
        <v>1.9884632655769505</v>
      </c>
      <c r="N187" s="302"/>
      <c r="O187" s="302"/>
      <c r="P187" s="302"/>
      <c r="Q187" s="302"/>
    </row>
    <row r="188" spans="1:17" x14ac:dyDescent="0.15">
      <c r="A188" s="66"/>
      <c r="B188" s="72" t="s">
        <v>112</v>
      </c>
      <c r="C188" s="122">
        <f>'Onroad Data'!C333*'Emission Factors'!$D51/grams_to_mton</f>
        <v>0</v>
      </c>
      <c r="D188" s="122">
        <f>'Onroad Data'!D333*'Emission Factors'!$D51/grams_to_mton</f>
        <v>0</v>
      </c>
      <c r="E188" s="122">
        <f>'Onroad Data'!E333*'Emission Factors'!$D51/grams_to_mton</f>
        <v>0</v>
      </c>
      <c r="F188" s="122">
        <f>'Onroad Data'!F333*'Emission Factors'!$D51/grams_to_mton</f>
        <v>0</v>
      </c>
      <c r="G188" s="122">
        <f>'Onroad Data'!G333*'Emission Factors'!$D51/grams_to_mton</f>
        <v>0</v>
      </c>
      <c r="H188" s="122">
        <f>'Onroad Data'!H333*'Emission Factors'!$D51/grams_to_mton</f>
        <v>0</v>
      </c>
      <c r="I188" s="122">
        <f>'Onroad Data'!I333*'Emission Factors'!$D51/grams_to_mton</f>
        <v>0</v>
      </c>
      <c r="J188" s="122">
        <f>'Onroad Data'!J333*'Emission Factors'!$D51/grams_to_mton</f>
        <v>0</v>
      </c>
      <c r="K188" s="122">
        <f>'Onroad Data'!K333*'Emission Factors'!$D51/grams_to_mton</f>
        <v>0</v>
      </c>
      <c r="N188" s="302"/>
      <c r="O188" s="302"/>
      <c r="P188" s="302"/>
      <c r="Q188" s="302"/>
    </row>
    <row r="189" spans="1:17" x14ac:dyDescent="0.15">
      <c r="A189" s="66"/>
      <c r="B189" s="72" t="s">
        <v>114</v>
      </c>
      <c r="C189" s="122">
        <f>'Onroad Data'!C334*'Emission Factors'!$D52/grams_to_mton</f>
        <v>4.8908089607038328</v>
      </c>
      <c r="D189" s="122">
        <f>'Onroad Data'!D334*'Emission Factors'!$D52/grams_to_mton</f>
        <v>19.512856928270562</v>
      </c>
      <c r="E189" s="122">
        <f>'Onroad Data'!E334*'Emission Factors'!$D52/grams_to_mton</f>
        <v>24.403665888974398</v>
      </c>
      <c r="F189" s="122">
        <f>'Onroad Data'!F334*'Emission Factors'!$D52/grams_to_mton</f>
        <v>4.7482806168932212</v>
      </c>
      <c r="G189" s="122">
        <f>'Onroad Data'!G334*'Emission Factors'!$D52/grams_to_mton</f>
        <v>2.6830771688127006</v>
      </c>
      <c r="H189" s="122">
        <f>'Onroad Data'!H334*'Emission Factors'!$D52/grams_to_mton</f>
        <v>0.41155774586481036</v>
      </c>
      <c r="I189" s="122">
        <f>'Onroad Data'!I334*'Emission Factors'!$D52/grams_to_mton</f>
        <v>4.5744686654452318</v>
      </c>
      <c r="J189" s="122">
        <f>'Onroad Data'!J334*'Emission Factors'!$D52/grams_to_mton</f>
        <v>1.3801497248536239</v>
      </c>
      <c r="K189" s="122">
        <f>'Onroad Data'!K334*'Emission Factors'!$D52/grams_to_mton</f>
        <v>4.8105926923290774</v>
      </c>
      <c r="N189" s="302"/>
      <c r="O189" s="302"/>
      <c r="P189" s="302"/>
      <c r="Q189" s="302"/>
    </row>
    <row r="190" spans="1:17" x14ac:dyDescent="0.15">
      <c r="A190" s="66"/>
      <c r="B190" s="72" t="s">
        <v>115</v>
      </c>
      <c r="C190" s="122">
        <f>'Onroad Data'!C335*'Emission Factors'!$D53/grams_to_mton</f>
        <v>0.30665008361479928</v>
      </c>
      <c r="D190" s="122">
        <f>'Onroad Data'!D335*'Emission Factors'!$D53/grams_to_mton</f>
        <v>1.2234416139935851</v>
      </c>
      <c r="E190" s="122">
        <f>'Onroad Data'!E335*'Emission Factors'!$D53/grams_to_mton</f>
        <v>1.5300916976083843</v>
      </c>
      <c r="F190" s="122">
        <f>'Onroad Data'!F335*'Emission Factors'!$D53/grams_to_mton</f>
        <v>0.29771366248320941</v>
      </c>
      <c r="G190" s="122">
        <f>'Onroad Data'!G335*'Emission Factors'!$D53/grams_to_mton</f>
        <v>0.16822694257167839</v>
      </c>
      <c r="H190" s="122">
        <f>'Onroad Data'!H335*'Emission Factors'!$D53/grams_to_mton</f>
        <v>2.5804364512246349E-2</v>
      </c>
      <c r="I190" s="122">
        <f>'Onroad Data'!I335*'Emission Factors'!$D53/grams_to_mton</f>
        <v>0.28681578242430256</v>
      </c>
      <c r="J190" s="122">
        <f>'Onroad Data'!J335*'Emission Factors'!$D53/grams_to_mton</f>
        <v>8.6534361069462065E-2</v>
      </c>
      <c r="K190" s="122">
        <f>'Onroad Data'!K335*'Emission Factors'!$D53/grams_to_mton</f>
        <v>0.30162058325974028</v>
      </c>
      <c r="N190" s="302"/>
      <c r="O190" s="302"/>
      <c r="P190" s="302"/>
      <c r="Q190" s="302"/>
    </row>
    <row r="191" spans="1:17" x14ac:dyDescent="0.15">
      <c r="A191" s="66"/>
      <c r="B191" s="73" t="s">
        <v>88</v>
      </c>
      <c r="C191" s="113">
        <f>SUM(C182:C190)</f>
        <v>266.92772449935472</v>
      </c>
      <c r="D191" s="113">
        <f t="shared" ref="D191:K191" si="58">SUM(D182:D190)</f>
        <v>442.9913946725718</v>
      </c>
      <c r="E191" s="113">
        <f t="shared" si="58"/>
        <v>709.91911917192658</v>
      </c>
      <c r="F191" s="113">
        <f t="shared" si="58"/>
        <v>219.03549929816066</v>
      </c>
      <c r="G191" s="113">
        <f t="shared" si="58"/>
        <v>100.35028685776511</v>
      </c>
      <c r="H191" s="113">
        <f t="shared" si="58"/>
        <v>22.94728347627931</v>
      </c>
      <c r="I191" s="113">
        <f t="shared" si="58"/>
        <v>157.31018935498878</v>
      </c>
      <c r="J191" s="113">
        <f t="shared" si="58"/>
        <v>59.919568610939031</v>
      </c>
      <c r="K191" s="113">
        <f t="shared" si="58"/>
        <v>142.53299818129724</v>
      </c>
      <c r="N191" s="302"/>
      <c r="O191" s="302"/>
      <c r="P191" s="302"/>
      <c r="Q191" s="302"/>
    </row>
    <row r="192" spans="1:17" outlineLevel="1" x14ac:dyDescent="0.15">
      <c r="A192" s="66"/>
      <c r="B192" s="82"/>
      <c r="C192" s="182"/>
      <c r="D192" s="182"/>
      <c r="E192" s="182"/>
      <c r="F192" s="182"/>
      <c r="G192" s="182"/>
      <c r="H192" s="182"/>
      <c r="I192" s="182"/>
      <c r="J192" s="182"/>
      <c r="K192" s="182"/>
      <c r="N192" s="302"/>
      <c r="O192" s="302"/>
      <c r="P192" s="302"/>
      <c r="Q192" s="302"/>
    </row>
    <row r="193" spans="1:18" ht="15" thickBot="1" x14ac:dyDescent="0.2">
      <c r="B193" s="82" t="s">
        <v>127</v>
      </c>
      <c r="N193" s="302"/>
      <c r="O193" s="302"/>
      <c r="P193" s="302"/>
      <c r="Q193" s="302"/>
    </row>
    <row r="194" spans="1:18" s="479" customFormat="1" x14ac:dyDescent="0.15">
      <c r="A194" s="133"/>
      <c r="B194" s="662" t="s">
        <v>76</v>
      </c>
      <c r="C194" s="665" t="s">
        <v>80</v>
      </c>
      <c r="D194" s="682" t="s">
        <v>77</v>
      </c>
      <c r="E194" s="677" t="s">
        <v>128</v>
      </c>
      <c r="F194" s="678"/>
      <c r="G194" s="679"/>
      <c r="H194" s="678" t="s">
        <v>129</v>
      </c>
      <c r="I194" s="678"/>
      <c r="J194" s="678"/>
      <c r="K194" s="679"/>
      <c r="L194" s="66"/>
      <c r="M194" s="66"/>
      <c r="N194" s="302"/>
      <c r="O194" s="302"/>
      <c r="P194" s="302"/>
      <c r="Q194" s="302"/>
    </row>
    <row r="195" spans="1:18" s="479" customFormat="1" ht="15" customHeight="1" x14ac:dyDescent="0.15">
      <c r="A195" s="133"/>
      <c r="B195" s="664"/>
      <c r="C195" s="667"/>
      <c r="D195" s="683"/>
      <c r="E195" s="332" t="s">
        <v>94</v>
      </c>
      <c r="F195" s="303" t="s">
        <v>95</v>
      </c>
      <c r="G195" s="304" t="s">
        <v>96</v>
      </c>
      <c r="H195" s="385" t="s">
        <v>94</v>
      </c>
      <c r="I195" s="324" t="s">
        <v>95</v>
      </c>
      <c r="J195" s="324" t="s">
        <v>96</v>
      </c>
      <c r="K195" s="323" t="s">
        <v>130</v>
      </c>
      <c r="L195" s="66"/>
      <c r="M195" s="66"/>
      <c r="N195" s="302"/>
      <c r="O195" s="302"/>
      <c r="P195" s="302"/>
      <c r="Q195" s="302"/>
    </row>
    <row r="196" spans="1:18" ht="14.75" customHeight="1" x14ac:dyDescent="0.15">
      <c r="B196" s="305">
        <f>$B$152</f>
        <v>2010</v>
      </c>
      <c r="C196" s="306">
        <v>1</v>
      </c>
      <c r="D196" s="307" t="s">
        <v>59</v>
      </c>
      <c r="E196" s="454">
        <f>E165</f>
        <v>14465448.229784615</v>
      </c>
      <c r="F196" s="308">
        <f>E178</f>
        <v>749.85891821963617</v>
      </c>
      <c r="G196" s="309">
        <f>E191</f>
        <v>709.91911917192658</v>
      </c>
      <c r="H196" s="374">
        <f>'On-road'!E196*CO2_GWP</f>
        <v>14465448.229784615</v>
      </c>
      <c r="I196" s="310">
        <f t="shared" ref="I196:I204" si="59">F196*CH4_GWP</f>
        <v>20996.049710149811</v>
      </c>
      <c r="J196" s="311">
        <f t="shared" ref="J196:J204" si="60">G196*N2O_GWP</f>
        <v>188128.56658056055</v>
      </c>
      <c r="K196" s="312">
        <f>SUM(H196:J196)</f>
        <v>14674572.846075324</v>
      </c>
      <c r="N196" s="302">
        <f t="shared" ref="N196:N204" si="61">H196/mton_per_mmton</f>
        <v>14.465448229784615</v>
      </c>
      <c r="O196" s="302">
        <f t="shared" ref="O196:O204" si="62">I196/mton_per_mmton</f>
        <v>2.099604971014981E-2</v>
      </c>
      <c r="P196" s="302">
        <f t="shared" ref="P196:P204" si="63">J196/mton_per_mmton</f>
        <v>0.18812856658056054</v>
      </c>
      <c r="Q196" s="302"/>
    </row>
    <row r="197" spans="1:18" ht="14.75" customHeight="1" x14ac:dyDescent="0.15">
      <c r="B197" s="305">
        <f t="shared" ref="B197:B205" si="64">$B$152</f>
        <v>2010</v>
      </c>
      <c r="C197" s="306">
        <v>1</v>
      </c>
      <c r="D197" s="313" t="s">
        <v>58</v>
      </c>
      <c r="E197" s="454">
        <f>C165</f>
        <v>5053084.3647421207</v>
      </c>
      <c r="F197" s="308">
        <f>C178</f>
        <v>284.68077531070759</v>
      </c>
      <c r="G197" s="309">
        <f>C191</f>
        <v>266.92772449935472</v>
      </c>
      <c r="H197" s="374">
        <f>'On-road'!E197*CO2_GWP</f>
        <v>5053084.3647421207</v>
      </c>
      <c r="I197" s="310">
        <f t="shared" si="59"/>
        <v>7971.0617086998127</v>
      </c>
      <c r="J197" s="311">
        <f t="shared" si="60"/>
        <v>70735.846992328996</v>
      </c>
      <c r="K197" s="312">
        <f>SUM(H197:J197)</f>
        <v>5131791.2734431494</v>
      </c>
      <c r="N197" s="302">
        <f t="shared" si="61"/>
        <v>5.0530843647421211</v>
      </c>
      <c r="O197" s="302">
        <f t="shared" si="62"/>
        <v>7.9710617086998121E-3</v>
      </c>
      <c r="P197" s="302">
        <f t="shared" si="63"/>
        <v>7.0735846992329002E-2</v>
      </c>
      <c r="Q197" s="302"/>
    </row>
    <row r="198" spans="1:18" ht="14.75" customHeight="1" x14ac:dyDescent="0.15">
      <c r="B198" s="305">
        <f t="shared" si="64"/>
        <v>2010</v>
      </c>
      <c r="C198" s="306">
        <v>1</v>
      </c>
      <c r="D198" s="314" t="s">
        <v>131</v>
      </c>
      <c r="E198" s="454">
        <f>D165</f>
        <v>9412363.8650424927</v>
      </c>
      <c r="F198" s="308">
        <f>D178</f>
        <v>465.17814290892863</v>
      </c>
      <c r="G198" s="309">
        <f>D191</f>
        <v>442.9913946725718</v>
      </c>
      <c r="H198" s="374">
        <f>'On-road'!E198*CO2_GWP</f>
        <v>9412363.8650424927</v>
      </c>
      <c r="I198" s="310">
        <f t="shared" si="59"/>
        <v>13024.988001450001</v>
      </c>
      <c r="J198" s="311">
        <f t="shared" si="60"/>
        <v>117392.71958823153</v>
      </c>
      <c r="K198" s="312">
        <f t="shared" ref="K198:K205" si="65">SUM(H198:J198)</f>
        <v>9542781.5726321749</v>
      </c>
      <c r="N198" s="302">
        <f t="shared" si="61"/>
        <v>9.4123638650424919</v>
      </c>
      <c r="O198" s="302">
        <f t="shared" si="62"/>
        <v>1.3024988001450001E-2</v>
      </c>
      <c r="P198" s="302">
        <f t="shared" si="63"/>
        <v>0.11739271958823153</v>
      </c>
      <c r="Q198" s="302"/>
    </row>
    <row r="199" spans="1:18" ht="14.75" customHeight="1" x14ac:dyDescent="0.15">
      <c r="B199" s="305">
        <f t="shared" si="64"/>
        <v>2010</v>
      </c>
      <c r="C199" s="306">
        <v>1</v>
      </c>
      <c r="D199" s="307" t="s">
        <v>60</v>
      </c>
      <c r="E199" s="454">
        <f>F165</f>
        <v>4251052.812922867</v>
      </c>
      <c r="F199" s="308">
        <f>F178</f>
        <v>229.03321512335773</v>
      </c>
      <c r="G199" s="309">
        <f>F191</f>
        <v>219.03549929816066</v>
      </c>
      <c r="H199" s="374">
        <f>'On-road'!E199*CO2_GWP</f>
        <v>4251052.812922867</v>
      </c>
      <c r="I199" s="310">
        <f>F199*CH4_GWP</f>
        <v>6412.9300234540169</v>
      </c>
      <c r="J199" s="311">
        <f t="shared" si="60"/>
        <v>58044.407314012577</v>
      </c>
      <c r="K199" s="315">
        <f t="shared" si="65"/>
        <v>4315510.1502603339</v>
      </c>
      <c r="N199" s="302">
        <f t="shared" si="61"/>
        <v>4.2510528129228673</v>
      </c>
      <c r="O199" s="302">
        <f t="shared" si="62"/>
        <v>6.4129300234540172E-3</v>
      </c>
      <c r="P199" s="302">
        <f t="shared" si="63"/>
        <v>5.8044407314012579E-2</v>
      </c>
      <c r="Q199" s="302"/>
    </row>
    <row r="200" spans="1:18" ht="14.75" customHeight="1" x14ac:dyDescent="0.15">
      <c r="B200" s="305">
        <f t="shared" si="64"/>
        <v>2010</v>
      </c>
      <c r="C200" s="306">
        <v>1</v>
      </c>
      <c r="D200" s="307" t="s">
        <v>62</v>
      </c>
      <c r="E200" s="454">
        <f>G165</f>
        <v>1969467.9516073861</v>
      </c>
      <c r="F200" s="308">
        <f>G178</f>
        <v>105.16655964477594</v>
      </c>
      <c r="G200" s="309">
        <f>G191</f>
        <v>100.35028685776511</v>
      </c>
      <c r="H200" s="374">
        <f>'On-road'!E200*CO2_GWP</f>
        <v>1969467.9516073861</v>
      </c>
      <c r="I200" s="310">
        <f t="shared" si="59"/>
        <v>2944.6636700537265</v>
      </c>
      <c r="J200" s="311">
        <f t="shared" si="60"/>
        <v>26592.826017307754</v>
      </c>
      <c r="K200" s="315">
        <f t="shared" si="65"/>
        <v>1999005.4412947476</v>
      </c>
      <c r="N200" s="302">
        <f t="shared" si="61"/>
        <v>1.9694679516073861</v>
      </c>
      <c r="O200" s="302">
        <f t="shared" si="62"/>
        <v>2.9446636700537266E-3</v>
      </c>
      <c r="P200" s="302">
        <f t="shared" si="63"/>
        <v>2.6592826017307756E-2</v>
      </c>
      <c r="Q200" s="302"/>
    </row>
    <row r="201" spans="1:18" ht="14.75" customHeight="1" x14ac:dyDescent="0.15">
      <c r="B201" s="305">
        <f t="shared" si="64"/>
        <v>2010</v>
      </c>
      <c r="C201" s="306">
        <v>1</v>
      </c>
      <c r="D201" s="307" t="s">
        <v>61</v>
      </c>
      <c r="E201" s="454">
        <f>H165</f>
        <v>434183.6333593828</v>
      </c>
      <c r="F201" s="308">
        <f>H178</f>
        <v>23.98267665318566</v>
      </c>
      <c r="G201" s="309">
        <f>H191</f>
        <v>22.94728347627931</v>
      </c>
      <c r="H201" s="374">
        <f>'On-road'!E201*CO2_GWP</f>
        <v>434183.6333593828</v>
      </c>
      <c r="I201" s="310">
        <f t="shared" si="59"/>
        <v>671.51494628919852</v>
      </c>
      <c r="J201" s="311">
        <f t="shared" si="60"/>
        <v>6081.0301212140175</v>
      </c>
      <c r="K201" s="315">
        <f t="shared" si="65"/>
        <v>440936.17842688598</v>
      </c>
      <c r="N201" s="302">
        <f t="shared" si="61"/>
        <v>0.43418363335938281</v>
      </c>
      <c r="O201" s="302">
        <f t="shared" si="62"/>
        <v>6.7151494628919848E-4</v>
      </c>
      <c r="P201" s="302">
        <f t="shared" si="63"/>
        <v>6.0810301212140174E-3</v>
      </c>
      <c r="Q201" s="302"/>
    </row>
    <row r="202" spans="1:18" ht="14.75" customHeight="1" x14ac:dyDescent="0.15">
      <c r="B202" s="305">
        <f t="shared" si="64"/>
        <v>2010</v>
      </c>
      <c r="C202" s="306">
        <v>1</v>
      </c>
      <c r="D202" s="307" t="s">
        <v>63</v>
      </c>
      <c r="E202" s="454">
        <f>I165</f>
        <v>3127086.6766530494</v>
      </c>
      <c r="F202" s="308">
        <f>I178</f>
        <v>164.75843599933685</v>
      </c>
      <c r="G202" s="309">
        <f>I191</f>
        <v>157.31018935498878</v>
      </c>
      <c r="H202" s="374">
        <f>'On-road'!E202*CO2_GWP</f>
        <v>3127086.6766530494</v>
      </c>
      <c r="I202" s="310">
        <f t="shared" si="59"/>
        <v>4613.236207981432</v>
      </c>
      <c r="J202" s="311">
        <f t="shared" si="60"/>
        <v>41687.200179072024</v>
      </c>
      <c r="K202" s="315">
        <f t="shared" si="65"/>
        <v>3173387.1130401031</v>
      </c>
      <c r="N202" s="302">
        <f t="shared" si="61"/>
        <v>3.1270866766530494</v>
      </c>
      <c r="O202" s="302">
        <f t="shared" si="62"/>
        <v>4.6132362079814321E-3</v>
      </c>
      <c r="P202" s="302">
        <f t="shared" si="63"/>
        <v>4.1687200179072022E-2</v>
      </c>
      <c r="Q202" s="302"/>
    </row>
    <row r="203" spans="1:18" ht="14.75" customHeight="1" x14ac:dyDescent="0.15">
      <c r="B203" s="305">
        <f t="shared" si="64"/>
        <v>2010</v>
      </c>
      <c r="C203" s="306">
        <v>1</v>
      </c>
      <c r="D203" s="307" t="s">
        <v>64</v>
      </c>
      <c r="E203" s="454">
        <f>J165</f>
        <v>1161595.3402128869</v>
      </c>
      <c r="F203" s="308">
        <f>J178</f>
        <v>62.664426258449957</v>
      </c>
      <c r="G203" s="309">
        <f>J191</f>
        <v>59.919568610939031</v>
      </c>
      <c r="H203" s="374">
        <f>'On-road'!E203*CO2_GWP</f>
        <v>1161595.3402128869</v>
      </c>
      <c r="I203" s="310">
        <f t="shared" si="59"/>
        <v>1754.6039352365988</v>
      </c>
      <c r="J203" s="311">
        <f t="shared" si="60"/>
        <v>15878.685681898844</v>
      </c>
      <c r="K203" s="315">
        <f t="shared" si="65"/>
        <v>1179228.6298300223</v>
      </c>
      <c r="N203" s="302">
        <f t="shared" si="61"/>
        <v>1.1615953402128869</v>
      </c>
      <c r="O203" s="302">
        <f t="shared" si="62"/>
        <v>1.7546039352365989E-3</v>
      </c>
      <c r="P203" s="302">
        <f t="shared" si="63"/>
        <v>1.5878685681898843E-2</v>
      </c>
      <c r="Q203" s="302"/>
    </row>
    <row r="204" spans="1:18" ht="14.75" customHeight="1" thickBot="1" x14ac:dyDescent="0.2">
      <c r="B204" s="305">
        <f t="shared" si="64"/>
        <v>2010</v>
      </c>
      <c r="C204" s="306">
        <v>1</v>
      </c>
      <c r="D204" s="307" t="s">
        <v>65</v>
      </c>
      <c r="E204" s="454">
        <f>K165</f>
        <v>2895686.3281103633</v>
      </c>
      <c r="F204" s="308">
        <f>K178</f>
        <v>149.21587781209485</v>
      </c>
      <c r="G204" s="309">
        <f>K191</f>
        <v>142.53299818129724</v>
      </c>
      <c r="H204" s="374">
        <f>'On-road'!E204*CO2_GWP</f>
        <v>2895686.3281103633</v>
      </c>
      <c r="I204" s="310">
        <f t="shared" si="59"/>
        <v>4178.0445787386561</v>
      </c>
      <c r="J204" s="311">
        <f t="shared" si="60"/>
        <v>37771.244518043772</v>
      </c>
      <c r="K204" s="315">
        <f t="shared" si="65"/>
        <v>2937635.6172071458</v>
      </c>
      <c r="N204" s="302">
        <f t="shared" si="61"/>
        <v>2.8956863281103633</v>
      </c>
      <c r="O204" s="302">
        <f t="shared" si="62"/>
        <v>4.1780445787386565E-3</v>
      </c>
      <c r="P204" s="302">
        <f t="shared" si="63"/>
        <v>3.777124451804377E-2</v>
      </c>
      <c r="Q204" s="302"/>
    </row>
    <row r="205" spans="1:18" s="82" customFormat="1" ht="16" thickBot="1" x14ac:dyDescent="0.2">
      <c r="A205" s="19"/>
      <c r="B205" s="316">
        <f t="shared" si="64"/>
        <v>2010</v>
      </c>
      <c r="C205" s="317">
        <v>1</v>
      </c>
      <c r="D205" s="318" t="s">
        <v>66</v>
      </c>
      <c r="E205" s="470">
        <f>SUM(E196,E199:E204)</f>
        <v>28304520.97265055</v>
      </c>
      <c r="F205" s="319">
        <f t="shared" ref="F205:G205" si="66">SUM(F196,F199:F204)</f>
        <v>1484.6801097108373</v>
      </c>
      <c r="G205" s="471">
        <f t="shared" si="66"/>
        <v>1412.0149449513567</v>
      </c>
      <c r="H205" s="348">
        <f>SUM(H196,H199:H204)</f>
        <v>28304520.97265055</v>
      </c>
      <c r="I205" s="319">
        <f t="shared" ref="I205:J205" si="67">SUM(I196,I199:I204)</f>
        <v>41571.043071903441</v>
      </c>
      <c r="J205" s="320">
        <f t="shared" si="67"/>
        <v>374183.9604121095</v>
      </c>
      <c r="K205" s="321">
        <f t="shared" si="65"/>
        <v>28720275.976134565</v>
      </c>
      <c r="L205" s="66"/>
      <c r="M205" s="66"/>
      <c r="N205" s="302"/>
      <c r="O205" s="302"/>
      <c r="P205" s="302"/>
      <c r="Q205" s="302"/>
    </row>
    <row r="206" spans="1:18" s="119" customFormat="1" outlineLevel="1" x14ac:dyDescent="0.15">
      <c r="A206" s="118"/>
      <c r="B206" s="118"/>
      <c r="E206" s="515">
        <f>E205-SUM(E165:K165)</f>
        <v>0</v>
      </c>
      <c r="F206" s="515">
        <f>F205-SUM(E178:K178)</f>
        <v>0</v>
      </c>
      <c r="G206" s="515">
        <f>G205-SUM(E191:K191)</f>
        <v>0</v>
      </c>
      <c r="M206" s="66"/>
      <c r="N206" s="302"/>
      <c r="O206" s="302"/>
      <c r="P206" s="302"/>
      <c r="Q206" s="302"/>
    </row>
    <row r="207" spans="1:18" customFormat="1" ht="15" thickBot="1" x14ac:dyDescent="0.2">
      <c r="B207" s="82" t="s">
        <v>132</v>
      </c>
      <c r="M207" s="66"/>
      <c r="N207" s="302"/>
      <c r="O207" s="302"/>
      <c r="P207" s="302"/>
      <c r="Q207" s="302"/>
    </row>
    <row r="208" spans="1:18" s="133" customFormat="1" ht="15" customHeight="1" x14ac:dyDescent="0.15">
      <c r="B208" s="662" t="s">
        <v>76</v>
      </c>
      <c r="C208" s="665" t="s">
        <v>80</v>
      </c>
      <c r="D208" s="668" t="s">
        <v>77</v>
      </c>
      <c r="E208" s="671" t="s">
        <v>133</v>
      </c>
      <c r="F208" s="674" t="s">
        <v>49</v>
      </c>
      <c r="G208" s="675"/>
      <c r="H208" s="676"/>
      <c r="I208" s="658" t="s">
        <v>129</v>
      </c>
      <c r="J208" s="658"/>
      <c r="K208" s="658"/>
      <c r="L208" s="659"/>
      <c r="M208" s="66"/>
      <c r="N208" s="302"/>
      <c r="O208" s="302"/>
      <c r="P208" s="302"/>
      <c r="Q208" s="302"/>
      <c r="R208"/>
    </row>
    <row r="209" spans="1:18" s="133" customFormat="1" x14ac:dyDescent="0.15">
      <c r="B209" s="663"/>
      <c r="C209" s="666"/>
      <c r="D209" s="669"/>
      <c r="E209" s="672"/>
      <c r="F209" s="332" t="s">
        <v>94</v>
      </c>
      <c r="G209" s="303" t="s">
        <v>95</v>
      </c>
      <c r="H209" s="304" t="s">
        <v>96</v>
      </c>
      <c r="I209" s="660"/>
      <c r="J209" s="660"/>
      <c r="K209" s="660"/>
      <c r="L209" s="661"/>
      <c r="M209" s="66"/>
      <c r="N209" s="302"/>
      <c r="O209" s="302"/>
      <c r="P209" s="302"/>
      <c r="Q209" s="302"/>
      <c r="R209"/>
    </row>
    <row r="210" spans="1:18" s="133" customFormat="1" ht="15" thickBot="1" x14ac:dyDescent="0.2">
      <c r="B210" s="664"/>
      <c r="C210" s="667"/>
      <c r="D210" s="670"/>
      <c r="E210" s="673"/>
      <c r="F210" s="322" t="s">
        <v>134</v>
      </c>
      <c r="G210" s="324" t="s">
        <v>135</v>
      </c>
      <c r="H210" s="323" t="s">
        <v>136</v>
      </c>
      <c r="I210" s="385" t="s">
        <v>94</v>
      </c>
      <c r="J210" s="324" t="s">
        <v>95</v>
      </c>
      <c r="K210" s="324" t="s">
        <v>96</v>
      </c>
      <c r="L210" s="323" t="s">
        <v>130</v>
      </c>
      <c r="M210" s="66"/>
      <c r="N210" s="302"/>
      <c r="O210" s="302"/>
      <c r="P210" s="302"/>
      <c r="Q210" s="302"/>
      <c r="R210"/>
    </row>
    <row r="211" spans="1:18" customFormat="1" ht="15" x14ac:dyDescent="0.15">
      <c r="B211" s="305">
        <f>$B$152</f>
        <v>2010</v>
      </c>
      <c r="C211" s="306">
        <v>2</v>
      </c>
      <c r="D211" s="467" t="s">
        <v>59</v>
      </c>
      <c r="E211" s="408">
        <f>'Onroad Data'!E6</f>
        <v>114927.3932628309</v>
      </c>
      <c r="F211" s="513">
        <f>'Emission Factors'!$B$15</f>
        <v>1135.3900000000001</v>
      </c>
      <c r="G211" s="490">
        <f>'Emission Factors'!$C$15</f>
        <v>1.8200000000000001E-2</v>
      </c>
      <c r="H211" s="491">
        <f>'Emission Factors'!$D$15</f>
        <v>2.4750000000000001E-2</v>
      </c>
      <c r="I211" s="374">
        <f t="shared" ref="I211:I219" si="68">(F211/MWh_kWh)*E211*GWP_CO2*MT_lbs</f>
        <v>59.188094984113697</v>
      </c>
      <c r="J211" s="374">
        <f t="shared" ref="J211:J219" si="69">(G211/MWh_kWh)*E211*GWP_CH4*MT_lbs</f>
        <v>2.6565544177687261E-2</v>
      </c>
      <c r="K211" s="374">
        <f t="shared" ref="K211:K219" si="70">(H211/MWh_kWh)*E211*GWP_N2O*MT_lbs</f>
        <v>0.34190887534420389</v>
      </c>
      <c r="L211" s="312">
        <f t="shared" ref="L211:L220" si="71">SUM(I211:K211)</f>
        <v>59.556569403635585</v>
      </c>
      <c r="M211" s="66"/>
      <c r="N211" s="302">
        <f>I211/mton_per_mmton</f>
        <v>5.9188094984113697E-5</v>
      </c>
      <c r="O211" s="302">
        <f t="shared" ref="O211:O219" si="72">J211/mton_per_mmton</f>
        <v>2.6565544177687261E-8</v>
      </c>
      <c r="P211" s="302">
        <f t="shared" ref="P211:P219" si="73">K211/mton_per_mmton</f>
        <v>3.4190887534420387E-7</v>
      </c>
      <c r="Q211" s="302"/>
    </row>
    <row r="212" spans="1:18" customFormat="1" ht="15" x14ac:dyDescent="0.15">
      <c r="B212" s="305">
        <f t="shared" ref="B212:B220" si="74">$B$152</f>
        <v>2010</v>
      </c>
      <c r="C212" s="306">
        <v>2</v>
      </c>
      <c r="D212" s="468" t="s">
        <v>58</v>
      </c>
      <c r="E212" s="408">
        <f>'Onroad Data'!E7</f>
        <v>67242.663716952826</v>
      </c>
      <c r="F212" s="418">
        <f>'Emission Factors'!$B$15</f>
        <v>1135.3900000000001</v>
      </c>
      <c r="G212" s="401">
        <f>'Emission Factors'!$C$15</f>
        <v>1.8200000000000001E-2</v>
      </c>
      <c r="H212" s="488">
        <f>'Emission Factors'!$D$15</f>
        <v>2.4750000000000001E-2</v>
      </c>
      <c r="I212" s="374">
        <f t="shared" si="68"/>
        <v>34.630257017680009</v>
      </c>
      <c r="J212" s="374">
        <f t="shared" si="69"/>
        <v>1.5543186901601858E-2</v>
      </c>
      <c r="K212" s="374">
        <f t="shared" si="70"/>
        <v>0.20004685457394261</v>
      </c>
      <c r="L212" s="312">
        <f t="shared" si="71"/>
        <v>34.845847059155552</v>
      </c>
      <c r="M212" s="66"/>
      <c r="N212" s="302">
        <f t="shared" ref="N212:N219" si="75">I212/mton_per_mmton</f>
        <v>3.4630257017680012E-5</v>
      </c>
      <c r="O212" s="302">
        <f t="shared" si="72"/>
        <v>1.5543186901601859E-8</v>
      </c>
      <c r="P212" s="302">
        <f t="shared" si="73"/>
        <v>2.0004685457394261E-7</v>
      </c>
      <c r="Q212" s="302"/>
    </row>
    <row r="213" spans="1:18" customFormat="1" ht="15" x14ac:dyDescent="0.15">
      <c r="B213" s="305">
        <f t="shared" si="74"/>
        <v>2010</v>
      </c>
      <c r="C213" s="306">
        <v>2</v>
      </c>
      <c r="D213" s="351" t="s">
        <v>131</v>
      </c>
      <c r="E213" s="408">
        <f>'Onroad Data'!E8</f>
        <v>47684.729545878086</v>
      </c>
      <c r="F213" s="418">
        <f>'Emission Factors'!$B$15</f>
        <v>1135.3900000000001</v>
      </c>
      <c r="G213" s="401">
        <f>'Emission Factors'!$C$15</f>
        <v>1.8200000000000001E-2</v>
      </c>
      <c r="H213" s="488">
        <f>'Emission Factors'!$D$15</f>
        <v>2.4750000000000001E-2</v>
      </c>
      <c r="I213" s="374">
        <f t="shared" si="68"/>
        <v>24.557837966433699</v>
      </c>
      <c r="J213" s="374">
        <f t="shared" si="69"/>
        <v>1.1022357276085408E-2</v>
      </c>
      <c r="K213" s="374">
        <f t="shared" si="70"/>
        <v>0.14186202077026133</v>
      </c>
      <c r="L213" s="312">
        <f t="shared" si="71"/>
        <v>24.710722344480047</v>
      </c>
      <c r="M213" s="66"/>
      <c r="N213" s="302">
        <f t="shared" si="75"/>
        <v>2.4557837966433698E-5</v>
      </c>
      <c r="O213" s="302">
        <f t="shared" si="72"/>
        <v>1.1022357276085409E-8</v>
      </c>
      <c r="P213" s="302">
        <f t="shared" si="73"/>
        <v>1.4186202077026134E-7</v>
      </c>
      <c r="Q213" s="302"/>
    </row>
    <row r="214" spans="1:18" customFormat="1" ht="15" x14ac:dyDescent="0.15">
      <c r="B214" s="305">
        <f t="shared" si="74"/>
        <v>2010</v>
      </c>
      <c r="C214" s="306">
        <v>2</v>
      </c>
      <c r="D214" s="467" t="s">
        <v>60</v>
      </c>
      <c r="E214" s="408">
        <f>'Onroad Data'!E9</f>
        <v>62083.788922824941</v>
      </c>
      <c r="F214" s="418">
        <f>'Emission Factors'!$B$15</f>
        <v>1135.3900000000001</v>
      </c>
      <c r="G214" s="401">
        <f>'Emission Factors'!$C$15</f>
        <v>1.8200000000000001E-2</v>
      </c>
      <c r="H214" s="488">
        <f>'Emission Factors'!$D$15</f>
        <v>2.4750000000000001E-2</v>
      </c>
      <c r="I214" s="374">
        <f t="shared" si="68"/>
        <v>31.973414617820723</v>
      </c>
      <c r="J214" s="374">
        <f t="shared" si="69"/>
        <v>1.4350709526454735E-2</v>
      </c>
      <c r="K214" s="374">
        <f t="shared" si="70"/>
        <v>0.18469920743060239</v>
      </c>
      <c r="L214" s="315">
        <f t="shared" si="71"/>
        <v>32.172464534777781</v>
      </c>
      <c r="M214" s="66"/>
      <c r="N214" s="302">
        <f t="shared" si="75"/>
        <v>3.1973414617820722E-5</v>
      </c>
      <c r="O214" s="302">
        <f t="shared" si="72"/>
        <v>1.4350709526454735E-8</v>
      </c>
      <c r="P214" s="302">
        <f t="shared" si="73"/>
        <v>1.846992074306024E-7</v>
      </c>
      <c r="Q214" s="302"/>
    </row>
    <row r="215" spans="1:18" customFormat="1" ht="15" x14ac:dyDescent="0.15">
      <c r="B215" s="305">
        <f t="shared" si="74"/>
        <v>2010</v>
      </c>
      <c r="C215" s="306">
        <v>2</v>
      </c>
      <c r="D215" s="467" t="s">
        <v>62</v>
      </c>
      <c r="E215" s="408">
        <f>'Onroad Data'!E10</f>
        <v>12500.960964658874</v>
      </c>
      <c r="F215" s="418">
        <f>'Emission Factors'!$B$15</f>
        <v>1135.3900000000001</v>
      </c>
      <c r="G215" s="401">
        <f>'Emission Factors'!$C$15</f>
        <v>1.8200000000000001E-2</v>
      </c>
      <c r="H215" s="488">
        <f>'Emission Factors'!$D$15</f>
        <v>2.4750000000000001E-2</v>
      </c>
      <c r="I215" s="374">
        <f t="shared" si="68"/>
        <v>6.4380479184523844</v>
      </c>
      <c r="J215" s="374">
        <f t="shared" si="69"/>
        <v>2.8896055269496254E-3</v>
      </c>
      <c r="K215" s="374">
        <f t="shared" si="70"/>
        <v>3.7190345859263847E-2</v>
      </c>
      <c r="L215" s="315">
        <f t="shared" si="71"/>
        <v>6.4781278698385982</v>
      </c>
      <c r="M215" s="66"/>
      <c r="N215" s="302">
        <f t="shared" si="75"/>
        <v>6.4380479184523846E-6</v>
      </c>
      <c r="O215" s="302">
        <f t="shared" si="72"/>
        <v>2.8896055269496255E-9</v>
      </c>
      <c r="P215" s="302">
        <f t="shared" si="73"/>
        <v>3.719034585926385E-8</v>
      </c>
      <c r="Q215" s="302"/>
    </row>
    <row r="216" spans="1:18" customFormat="1" ht="15" x14ac:dyDescent="0.15">
      <c r="B216" s="305">
        <f t="shared" si="74"/>
        <v>2010</v>
      </c>
      <c r="C216" s="306">
        <v>2</v>
      </c>
      <c r="D216" s="467" t="s">
        <v>61</v>
      </c>
      <c r="E216" s="408">
        <f>'Onroad Data'!E11</f>
        <v>2336.3347149635379</v>
      </c>
      <c r="F216" s="418">
        <f>'Emission Factors'!$B$15</f>
        <v>1135.3900000000001</v>
      </c>
      <c r="G216" s="401">
        <f>'Emission Factors'!$C$15</f>
        <v>1.8200000000000001E-2</v>
      </c>
      <c r="H216" s="488">
        <f>'Emission Factors'!$D$15</f>
        <v>2.4750000000000001E-2</v>
      </c>
      <c r="I216" s="374">
        <f t="shared" si="68"/>
        <v>1.2032222875507155</v>
      </c>
      <c r="J216" s="374">
        <f t="shared" si="69"/>
        <v>5.4004533925421636E-4</v>
      </c>
      <c r="K216" s="374">
        <f t="shared" si="70"/>
        <v>6.9505933454348332E-3</v>
      </c>
      <c r="L216" s="315">
        <f t="shared" si="71"/>
        <v>1.2107129262354044</v>
      </c>
      <c r="M216" s="66"/>
      <c r="N216" s="302">
        <f t="shared" si="75"/>
        <v>1.2032222875507154E-6</v>
      </c>
      <c r="O216" s="302">
        <f t="shared" si="72"/>
        <v>5.4004533925421637E-10</v>
      </c>
      <c r="P216" s="302">
        <f t="shared" si="73"/>
        <v>6.9505933454348331E-9</v>
      </c>
      <c r="Q216" s="302"/>
    </row>
    <row r="217" spans="1:18" customFormat="1" ht="15" x14ac:dyDescent="0.15">
      <c r="B217" s="305">
        <f t="shared" si="74"/>
        <v>2010</v>
      </c>
      <c r="C217" s="306">
        <v>2</v>
      </c>
      <c r="D217" s="467" t="s">
        <v>63</v>
      </c>
      <c r="E217" s="408">
        <f>'Onroad Data'!E12</f>
        <v>40044.923246925697</v>
      </c>
      <c r="F217" s="418">
        <f>'Emission Factors'!$B$15</f>
        <v>1135.3900000000001</v>
      </c>
      <c r="G217" s="401">
        <f>'Emission Factors'!$C$15</f>
        <v>1.8200000000000001E-2</v>
      </c>
      <c r="H217" s="488">
        <f>'Emission Factors'!$D$15</f>
        <v>2.4750000000000001E-2</v>
      </c>
      <c r="I217" s="374">
        <f t="shared" si="68"/>
        <v>20.623305318951584</v>
      </c>
      <c r="J217" s="374">
        <f t="shared" si="69"/>
        <v>9.2564109165464963E-3</v>
      </c>
      <c r="K217" s="374">
        <f t="shared" si="70"/>
        <v>0.11913360498214155</v>
      </c>
      <c r="L217" s="315">
        <f t="shared" si="71"/>
        <v>20.751695334850272</v>
      </c>
      <c r="M217" s="66"/>
      <c r="N217" s="302">
        <f t="shared" si="75"/>
        <v>2.0623305318951584E-5</v>
      </c>
      <c r="O217" s="302">
        <f t="shared" si="72"/>
        <v>9.2564109165464964E-9</v>
      </c>
      <c r="P217" s="302">
        <f t="shared" si="73"/>
        <v>1.1913360498214155E-7</v>
      </c>
      <c r="Q217" s="302"/>
    </row>
    <row r="218" spans="1:18" customFormat="1" ht="15" x14ac:dyDescent="0.15">
      <c r="B218" s="305">
        <f t="shared" si="74"/>
        <v>2010</v>
      </c>
      <c r="C218" s="306">
        <v>2</v>
      </c>
      <c r="D218" s="467" t="s">
        <v>64</v>
      </c>
      <c r="E218" s="408">
        <f>'Onroad Data'!E13</f>
        <v>16388.17033242248</v>
      </c>
      <c r="F218" s="418">
        <f>'Emission Factors'!$B$15</f>
        <v>1135.3900000000001</v>
      </c>
      <c r="G218" s="401">
        <f>'Emission Factors'!$C$15</f>
        <v>1.8200000000000001E-2</v>
      </c>
      <c r="H218" s="488">
        <f>'Emission Factors'!$D$15</f>
        <v>2.4750000000000001E-2</v>
      </c>
      <c r="I218" s="374">
        <f t="shared" si="68"/>
        <v>8.4399772300844678</v>
      </c>
      <c r="J218" s="374">
        <f t="shared" si="69"/>
        <v>3.7881365843023497E-3</v>
      </c>
      <c r="K218" s="374">
        <f t="shared" si="70"/>
        <v>4.8754789682678643E-2</v>
      </c>
      <c r="L218" s="315">
        <f t="shared" si="71"/>
        <v>8.4925201563514499</v>
      </c>
      <c r="M218" s="66"/>
      <c r="N218" s="302">
        <f t="shared" si="75"/>
        <v>8.4399772300844681E-6</v>
      </c>
      <c r="O218" s="302">
        <f t="shared" si="72"/>
        <v>3.7881365843023498E-9</v>
      </c>
      <c r="P218" s="302">
        <f t="shared" si="73"/>
        <v>4.8754789682678642E-8</v>
      </c>
      <c r="Q218" s="302"/>
    </row>
    <row r="219" spans="1:18" customFormat="1" ht="16" thickBot="1" x14ac:dyDescent="0.2">
      <c r="B219" s="305">
        <f t="shared" si="74"/>
        <v>2010</v>
      </c>
      <c r="C219" s="306">
        <v>2</v>
      </c>
      <c r="D219" s="467" t="s">
        <v>65</v>
      </c>
      <c r="E219" s="408">
        <f>'Onroad Data'!E14</f>
        <v>7295.3114681780889</v>
      </c>
      <c r="F219" s="451">
        <f>'Emission Factors'!$B$15</f>
        <v>1135.3900000000001</v>
      </c>
      <c r="G219" s="494">
        <f>'Emission Factors'!$C$15</f>
        <v>1.8200000000000001E-2</v>
      </c>
      <c r="H219" s="495">
        <f>'Emission Factors'!$D$15</f>
        <v>2.4750000000000001E-2</v>
      </c>
      <c r="I219" s="374">
        <f t="shared" si="68"/>
        <v>3.7571163484908463</v>
      </c>
      <c r="J219" s="374">
        <f t="shared" si="69"/>
        <v>1.6863161479235638E-3</v>
      </c>
      <c r="K219" s="374">
        <f t="shared" si="70"/>
        <v>2.1703544025105326E-2</v>
      </c>
      <c r="L219" s="315">
        <f t="shared" si="71"/>
        <v>3.7805062086638754</v>
      </c>
      <c r="M219" s="66"/>
      <c r="N219" s="302">
        <f t="shared" si="75"/>
        <v>3.7571163484908463E-6</v>
      </c>
      <c r="O219" s="302">
        <f t="shared" si="72"/>
        <v>1.6863161479235637E-9</v>
      </c>
      <c r="P219" s="302">
        <f t="shared" si="73"/>
        <v>2.1703544025105326E-8</v>
      </c>
      <c r="Q219" s="302"/>
    </row>
    <row r="220" spans="1:18" s="19" customFormat="1" ht="16" thickBot="1" x14ac:dyDescent="0.2">
      <c r="B220" s="316">
        <f t="shared" si="74"/>
        <v>2010</v>
      </c>
      <c r="C220" s="317">
        <v>2</v>
      </c>
      <c r="D220" s="469" t="s">
        <v>66</v>
      </c>
      <c r="E220" s="459">
        <f>SUM(E211,E214:E219)</f>
        <v>255576.88291280452</v>
      </c>
      <c r="F220" s="512"/>
      <c r="G220" s="500"/>
      <c r="H220" s="501"/>
      <c r="I220" s="348">
        <f t="shared" ref="I220:K220" si="76">SUM(I211,I214:I219)</f>
        <v>131.62317870546443</v>
      </c>
      <c r="J220" s="319">
        <f t="shared" si="76"/>
        <v>5.9076768219118246E-2</v>
      </c>
      <c r="K220" s="320">
        <f t="shared" si="76"/>
        <v>0.76034096066943047</v>
      </c>
      <c r="L220" s="321">
        <f t="shared" si="71"/>
        <v>132.44259643435296</v>
      </c>
      <c r="M220" s="66"/>
      <c r="N220" s="302"/>
      <c r="O220" s="302"/>
      <c r="P220" s="302"/>
      <c r="Q220" s="302"/>
      <c r="R220"/>
    </row>
    <row r="221" spans="1:18" s="19" customFormat="1" x14ac:dyDescent="0.15">
      <c r="B221" s="57"/>
      <c r="C221" s="57"/>
      <c r="D221" s="326"/>
      <c r="E221" s="327"/>
      <c r="F221" s="326"/>
      <c r="G221" s="326"/>
      <c r="H221" s="326"/>
      <c r="I221" s="327"/>
      <c r="J221" s="327"/>
      <c r="K221" s="327"/>
      <c r="L221" s="327"/>
      <c r="M221" s="327"/>
      <c r="N221" s="327"/>
      <c r="O221" s="327"/>
      <c r="P221" s="327"/>
      <c r="Q221" s="327"/>
      <c r="R221" s="327"/>
    </row>
    <row r="222" spans="1:18" x14ac:dyDescent="0.15">
      <c r="A222" s="66"/>
      <c r="B222" s="82"/>
      <c r="C222" s="114"/>
      <c r="D222" s="114"/>
      <c r="E222" s="66"/>
      <c r="F222" s="114"/>
      <c r="G222" s="114"/>
      <c r="H222" s="114"/>
      <c r="I222" s="114"/>
      <c r="J222" s="114"/>
      <c r="K222" s="114"/>
    </row>
  </sheetData>
  <mergeCells count="34">
    <mergeCell ref="N1:Q1"/>
    <mergeCell ref="H54:K54"/>
    <mergeCell ref="H124:K124"/>
    <mergeCell ref="I68:L69"/>
    <mergeCell ref="B194:B195"/>
    <mergeCell ref="C194:C195"/>
    <mergeCell ref="D194:D195"/>
    <mergeCell ref="E194:G194"/>
    <mergeCell ref="H194:K194"/>
    <mergeCell ref="B54:B55"/>
    <mergeCell ref="C54:C55"/>
    <mergeCell ref="D54:D55"/>
    <mergeCell ref="E54:G54"/>
    <mergeCell ref="B124:B125"/>
    <mergeCell ref="C124:C125"/>
    <mergeCell ref="D124:D125"/>
    <mergeCell ref="E124:G124"/>
    <mergeCell ref="B68:B70"/>
    <mergeCell ref="C68:C70"/>
    <mergeCell ref="D68:D70"/>
    <mergeCell ref="E68:E70"/>
    <mergeCell ref="F68:H68"/>
    <mergeCell ref="I208:L209"/>
    <mergeCell ref="B138:B140"/>
    <mergeCell ref="C138:C140"/>
    <mergeCell ref="D138:D140"/>
    <mergeCell ref="E138:E140"/>
    <mergeCell ref="F138:H138"/>
    <mergeCell ref="I138:L139"/>
    <mergeCell ref="B208:B210"/>
    <mergeCell ref="C208:C210"/>
    <mergeCell ref="D208:D210"/>
    <mergeCell ref="E208:E210"/>
    <mergeCell ref="F208:H20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1326B-7D4D-4A68-B7AE-107EA89AF486}">
  <sheetPr codeName="Sheet6">
    <tabColor theme="4" tint="0.79998168889431442"/>
    <outlinePr summaryBelow="0"/>
  </sheetPr>
  <dimension ref="A1:AC97"/>
  <sheetViews>
    <sheetView showGridLines="0" zoomScale="70" zoomScaleNormal="70" workbookViewId="0">
      <selection activeCell="N45" sqref="N45"/>
    </sheetView>
  </sheetViews>
  <sheetFormatPr baseColWidth="10" defaultColWidth="9" defaultRowHeight="14" outlineLevelRow="1" x14ac:dyDescent="0.15"/>
  <cols>
    <col min="1" max="1" width="4.1640625" customWidth="1"/>
    <col min="2" max="2" width="10.6640625" customWidth="1"/>
    <col min="3" max="3" width="8.5" customWidth="1"/>
    <col min="4" max="4" width="17.1640625" customWidth="1"/>
    <col min="5" max="5" width="14.83203125" customWidth="1"/>
    <col min="6" max="6" width="18.6640625" customWidth="1"/>
    <col min="7" max="7" width="16.1640625" bestFit="1" customWidth="1"/>
    <col min="8" max="8" width="14.83203125" customWidth="1"/>
    <col min="9" max="10" width="15" customWidth="1"/>
    <col min="11" max="17" width="12.6640625" customWidth="1"/>
    <col min="18" max="18" width="12.5" bestFit="1" customWidth="1"/>
    <col min="19" max="19" width="12.6640625" bestFit="1" customWidth="1"/>
    <col min="20" max="22" width="8.6640625" customWidth="1"/>
    <col min="23" max="16384" width="9" style="66"/>
  </cols>
  <sheetData>
    <row r="1" spans="1:29" ht="18" x14ac:dyDescent="0.2">
      <c r="A1" s="28" t="s">
        <v>19</v>
      </c>
      <c r="B1" s="29"/>
      <c r="C1" s="29"/>
      <c r="D1" s="29"/>
      <c r="E1" s="29"/>
      <c r="F1" s="29"/>
      <c r="G1" s="29"/>
      <c r="H1" s="29"/>
      <c r="I1" s="29"/>
      <c r="J1" s="29"/>
      <c r="K1" s="29"/>
      <c r="L1" s="29"/>
      <c r="M1" s="29"/>
      <c r="N1" s="29"/>
      <c r="O1" s="29"/>
      <c r="P1" s="29"/>
      <c r="Q1" s="29"/>
      <c r="R1" s="66"/>
      <c r="S1" s="329" t="s">
        <v>93</v>
      </c>
      <c r="T1" s="330"/>
      <c r="U1" s="330"/>
      <c r="V1" s="330"/>
      <c r="W1" s="189"/>
      <c r="X1" s="189"/>
      <c r="Y1" s="189"/>
      <c r="Z1" s="189"/>
      <c r="AA1" s="189"/>
      <c r="AB1" s="189"/>
      <c r="AC1" s="189"/>
    </row>
    <row r="2" spans="1:29" ht="16" x14ac:dyDescent="0.15">
      <c r="A2" s="66"/>
      <c r="B2" s="66"/>
      <c r="C2" s="66"/>
      <c r="D2" s="66"/>
      <c r="E2" s="66"/>
      <c r="F2" s="66"/>
      <c r="G2" s="66"/>
      <c r="H2" s="66"/>
      <c r="I2" s="66"/>
      <c r="J2" s="66"/>
      <c r="K2" s="66"/>
      <c r="L2" s="66"/>
      <c r="M2" s="66"/>
      <c r="N2" s="66"/>
      <c r="O2" s="66"/>
      <c r="P2" s="66"/>
      <c r="Q2" s="66"/>
      <c r="R2" s="66"/>
      <c r="S2" s="325" t="s">
        <v>94</v>
      </c>
      <c r="T2" s="325" t="s">
        <v>95</v>
      </c>
      <c r="U2" s="325" t="s">
        <v>96</v>
      </c>
      <c r="V2" s="325" t="s">
        <v>89</v>
      </c>
    </row>
    <row r="3" spans="1:29" ht="18" x14ac:dyDescent="0.2">
      <c r="A3" s="300"/>
      <c r="B3" s="301">
        <v>2019</v>
      </c>
      <c r="C3" s="29"/>
      <c r="D3" s="29"/>
      <c r="E3" s="29"/>
      <c r="F3" s="29"/>
      <c r="G3" s="29"/>
      <c r="H3" s="29"/>
      <c r="I3" s="29"/>
      <c r="J3" s="29"/>
      <c r="K3" s="29"/>
      <c r="L3" s="29"/>
      <c r="M3" s="29"/>
      <c r="N3" s="29"/>
      <c r="O3" s="29"/>
      <c r="P3" s="29"/>
      <c r="Q3" s="29"/>
      <c r="R3" s="66"/>
      <c r="S3" s="302"/>
      <c r="T3" s="302"/>
      <c r="U3" s="302"/>
      <c r="V3" s="302"/>
    </row>
    <row r="4" spans="1:29" s="119" customFormat="1" outlineLevel="1" x14ac:dyDescent="0.15">
      <c r="A4" s="141"/>
      <c r="B4" s="142"/>
      <c r="C4" s="142"/>
      <c r="D4" s="142"/>
      <c r="E4" s="142"/>
      <c r="F4" s="142"/>
      <c r="G4" s="142"/>
      <c r="H4" s="142"/>
      <c r="I4" s="142"/>
      <c r="J4" s="142"/>
      <c r="K4" s="142"/>
      <c r="L4" s="142"/>
      <c r="M4" s="142"/>
      <c r="N4" s="142"/>
      <c r="O4" s="142"/>
      <c r="P4" s="142"/>
      <c r="Q4" s="142"/>
      <c r="R4" s="66"/>
      <c r="S4" s="302"/>
      <c r="T4" s="302"/>
      <c r="U4" s="302"/>
      <c r="V4" s="302"/>
    </row>
    <row r="5" spans="1:29" ht="15" thickBot="1" x14ac:dyDescent="0.2">
      <c r="B5" s="82" t="s">
        <v>140</v>
      </c>
      <c r="S5" s="302"/>
      <c r="T5" s="302"/>
      <c r="U5" s="302"/>
      <c r="V5" s="302"/>
    </row>
    <row r="6" spans="1:29" s="479" customFormat="1" ht="15" customHeight="1" x14ac:dyDescent="0.15">
      <c r="A6" s="133"/>
      <c r="B6" s="662" t="s">
        <v>76</v>
      </c>
      <c r="C6" s="665" t="s">
        <v>80</v>
      </c>
      <c r="D6" s="677" t="s">
        <v>77</v>
      </c>
      <c r="E6" s="685" t="s">
        <v>141</v>
      </c>
      <c r="F6" s="686"/>
      <c r="G6" s="687"/>
      <c r="H6" s="691" t="s">
        <v>49</v>
      </c>
      <c r="I6" s="686"/>
      <c r="J6" s="687"/>
      <c r="K6" s="682" t="s">
        <v>128</v>
      </c>
      <c r="L6" s="658"/>
      <c r="M6" s="659"/>
      <c r="N6" s="682" t="s">
        <v>129</v>
      </c>
      <c r="O6" s="658"/>
      <c r="P6" s="658"/>
      <c r="Q6" s="659"/>
      <c r="R6" s="66"/>
      <c r="S6" s="302"/>
      <c r="T6" s="302"/>
      <c r="U6" s="302"/>
      <c r="V6" s="302"/>
    </row>
    <row r="7" spans="1:29" s="479" customFormat="1" x14ac:dyDescent="0.15">
      <c r="A7" s="133"/>
      <c r="B7" s="663"/>
      <c r="C7" s="666"/>
      <c r="D7" s="684"/>
      <c r="E7" s="688"/>
      <c r="F7" s="689"/>
      <c r="G7" s="690"/>
      <c r="H7" s="405" t="s">
        <v>94</v>
      </c>
      <c r="I7" s="303" t="s">
        <v>95</v>
      </c>
      <c r="J7" s="304" t="s">
        <v>96</v>
      </c>
      <c r="K7" s="683"/>
      <c r="L7" s="660"/>
      <c r="M7" s="661"/>
      <c r="N7" s="683"/>
      <c r="O7" s="660"/>
      <c r="P7" s="660"/>
      <c r="Q7" s="661"/>
      <c r="R7" s="66"/>
      <c r="S7" s="302"/>
      <c r="T7" s="302"/>
      <c r="U7" s="302"/>
      <c r="V7" s="302"/>
    </row>
    <row r="8" spans="1:29" s="479" customFormat="1" ht="15" customHeight="1" thickBot="1" x14ac:dyDescent="0.2">
      <c r="A8" s="133"/>
      <c r="B8" s="664"/>
      <c r="C8" s="667"/>
      <c r="D8" s="684"/>
      <c r="E8" s="332" t="s">
        <v>102</v>
      </c>
      <c r="F8" s="410" t="s">
        <v>142</v>
      </c>
      <c r="G8" s="487" t="s">
        <v>88</v>
      </c>
      <c r="H8" s="385" t="s">
        <v>143</v>
      </c>
      <c r="I8" s="324" t="s">
        <v>144</v>
      </c>
      <c r="J8" s="323" t="s">
        <v>145</v>
      </c>
      <c r="K8" s="405" t="s">
        <v>94</v>
      </c>
      <c r="L8" s="303" t="s">
        <v>95</v>
      </c>
      <c r="M8" s="411" t="s">
        <v>96</v>
      </c>
      <c r="N8" s="322" t="s">
        <v>94</v>
      </c>
      <c r="O8" s="324" t="s">
        <v>95</v>
      </c>
      <c r="P8" s="324" t="s">
        <v>96</v>
      </c>
      <c r="Q8" s="323" t="s">
        <v>130</v>
      </c>
      <c r="R8" s="66"/>
      <c r="S8" s="302"/>
      <c r="T8" s="302"/>
      <c r="U8" s="302"/>
      <c r="V8" s="302"/>
    </row>
    <row r="9" spans="1:29" ht="14.75" customHeight="1" x14ac:dyDescent="0.15">
      <c r="B9" s="305">
        <f>$B$3</f>
        <v>2019</v>
      </c>
      <c r="C9" s="306">
        <v>1</v>
      </c>
      <c r="D9" s="409" t="s">
        <v>59</v>
      </c>
      <c r="E9" s="418">
        <f>'Passenger Rail'!J6+'Passenger Rail'!K6</f>
        <v>32478550.361750118</v>
      </c>
      <c r="F9" s="402">
        <f>'Freight Summary'!E6</f>
        <v>9348747.7010035161</v>
      </c>
      <c r="G9" s="497">
        <f>SUM(E9:F9)</f>
        <v>41827298.062753633</v>
      </c>
      <c r="H9" s="489">
        <f>'Emission Factors'!$B$8</f>
        <v>10210</v>
      </c>
      <c r="I9" s="490">
        <f>'Emission Factors'!$C$8</f>
        <v>0.8</v>
      </c>
      <c r="J9" s="491">
        <f>'Emission Factors'!$D$8</f>
        <v>0.26</v>
      </c>
      <c r="K9" s="454">
        <f t="shared" ref="K9:K17" si="0">G9*H9/grams_to_mton</f>
        <v>427056.71322071459</v>
      </c>
      <c r="L9" s="347">
        <f t="shared" ref="L9:L17" si="1">G9*I9/grams_to_mton</f>
        <v>33.461838450202912</v>
      </c>
      <c r="M9" s="503">
        <f t="shared" ref="M9:M17" si="2">G9*J9/grams_to_mton</f>
        <v>10.875097496315945</v>
      </c>
      <c r="N9" s="369">
        <f t="shared" ref="N9:N17" si="3">K9*CO2_GWP</f>
        <v>427056.71322071459</v>
      </c>
      <c r="O9" s="310">
        <f t="shared" ref="O9:O17" si="4">L9*CH4_GWP</f>
        <v>936.9314766056815</v>
      </c>
      <c r="P9" s="311">
        <f t="shared" ref="P9:P17" si="5">M9*N2O_GWP</f>
        <v>2881.9008365237255</v>
      </c>
      <c r="Q9" s="312">
        <f t="shared" ref="Q9:Q17" si="6">SUM(N9:P9)</f>
        <v>430875.54553384404</v>
      </c>
      <c r="R9" s="66"/>
      <c r="S9" s="302">
        <f t="shared" ref="S9:S17" si="7">N9/mton_per_mmton</f>
        <v>0.42705671322071459</v>
      </c>
      <c r="T9" s="302">
        <f t="shared" ref="T9:T17" si="8">O9/mton_per_mmton</f>
        <v>9.3693147660568147E-4</v>
      </c>
      <c r="U9" s="302">
        <f t="shared" ref="U9:U17" si="9">P9/mton_per_mmton</f>
        <v>2.8819008365237255E-3</v>
      </c>
      <c r="V9" s="302"/>
    </row>
    <row r="10" spans="1:29" ht="14.75" customHeight="1" x14ac:dyDescent="0.15">
      <c r="B10" s="305">
        <f t="shared" ref="B10:B18" si="10">$B$3</f>
        <v>2019</v>
      </c>
      <c r="C10" s="306">
        <v>1</v>
      </c>
      <c r="D10" s="450" t="s">
        <v>58</v>
      </c>
      <c r="E10" s="418">
        <f>'Passenger Rail'!J7+'Passenger Rail'!K7</f>
        <v>23492228.275390293</v>
      </c>
      <c r="F10" s="402">
        <f>F9*'Constants &amp; Conversions'!$D$62</f>
        <v>4517091.8346296623</v>
      </c>
      <c r="G10" s="497">
        <f t="shared" ref="G10:G17" si="11">SUM(E10:F10)</f>
        <v>28009320.110019956</v>
      </c>
      <c r="H10" s="492">
        <f>'Emission Factors'!$B$8</f>
        <v>10210</v>
      </c>
      <c r="I10" s="401">
        <f>'Emission Factors'!$C$8</f>
        <v>0.8</v>
      </c>
      <c r="J10" s="488">
        <f>'Emission Factors'!$D$8</f>
        <v>0.26</v>
      </c>
      <c r="K10" s="454">
        <f t="shared" si="0"/>
        <v>285975.1583233038</v>
      </c>
      <c r="L10" s="347">
        <f t="shared" si="1"/>
        <v>22.407456088015966</v>
      </c>
      <c r="M10" s="503">
        <f t="shared" si="2"/>
        <v>7.2824232286051886</v>
      </c>
      <c r="N10" s="369">
        <f t="shared" si="3"/>
        <v>285975.1583233038</v>
      </c>
      <c r="O10" s="310">
        <f t="shared" si="4"/>
        <v>627.408770464447</v>
      </c>
      <c r="P10" s="311">
        <f t="shared" si="5"/>
        <v>1929.842155580375</v>
      </c>
      <c r="Q10" s="312">
        <f t="shared" si="6"/>
        <v>288532.40924934857</v>
      </c>
      <c r="R10" s="66"/>
      <c r="S10" s="302">
        <f t="shared" si="7"/>
        <v>0.28597515832330378</v>
      </c>
      <c r="T10" s="302">
        <f t="shared" si="8"/>
        <v>6.27408770464447E-4</v>
      </c>
      <c r="U10" s="302">
        <f t="shared" si="9"/>
        <v>1.9298421555803749E-3</v>
      </c>
      <c r="V10" s="302"/>
      <c r="Z10" s="111"/>
    </row>
    <row r="11" spans="1:29" ht="14.75" customHeight="1" x14ac:dyDescent="0.15">
      <c r="B11" s="305">
        <f t="shared" si="10"/>
        <v>2019</v>
      </c>
      <c r="C11" s="306">
        <v>1</v>
      </c>
      <c r="D11" s="314" t="s">
        <v>131</v>
      </c>
      <c r="E11" s="418">
        <f>'Passenger Rail'!J8+'Passenger Rail'!K8</f>
        <v>8986322.086359825</v>
      </c>
      <c r="F11" s="502">
        <f>F9-F10</f>
        <v>4831655.8663738538</v>
      </c>
      <c r="G11" s="497">
        <f t="shared" si="11"/>
        <v>13817977.952733679</v>
      </c>
      <c r="H11" s="492">
        <f>'Emission Factors'!$B$8</f>
        <v>10210</v>
      </c>
      <c r="I11" s="401">
        <f>'Emission Factors'!$C$8</f>
        <v>0.8</v>
      </c>
      <c r="J11" s="488">
        <f>'Emission Factors'!$D$8</f>
        <v>0.26</v>
      </c>
      <c r="K11" s="454">
        <f t="shared" si="0"/>
        <v>141081.55489741085</v>
      </c>
      <c r="L11" s="347">
        <f t="shared" si="1"/>
        <v>11.054382362186944</v>
      </c>
      <c r="M11" s="503">
        <f t="shared" si="2"/>
        <v>3.5926742677107564</v>
      </c>
      <c r="N11" s="369">
        <f t="shared" si="3"/>
        <v>141081.55489741085</v>
      </c>
      <c r="O11" s="310">
        <f t="shared" si="4"/>
        <v>309.52270614123444</v>
      </c>
      <c r="P11" s="311">
        <f t="shared" si="5"/>
        <v>952.0586809433504</v>
      </c>
      <c r="Q11" s="312">
        <f t="shared" si="6"/>
        <v>142343.13628449544</v>
      </c>
      <c r="R11" s="66"/>
      <c r="S11" s="302">
        <f t="shared" si="7"/>
        <v>0.14108155489741087</v>
      </c>
      <c r="T11" s="302">
        <f t="shared" si="8"/>
        <v>3.0952270614123442E-4</v>
      </c>
      <c r="U11" s="302">
        <f t="shared" si="9"/>
        <v>9.5205868094335041E-4</v>
      </c>
      <c r="V11" s="302"/>
    </row>
    <row r="12" spans="1:29" ht="14.75" customHeight="1" x14ac:dyDescent="0.15">
      <c r="B12" s="305">
        <f t="shared" si="10"/>
        <v>2019</v>
      </c>
      <c r="C12" s="306">
        <v>1</v>
      </c>
      <c r="D12" s="409" t="s">
        <v>60</v>
      </c>
      <c r="E12" s="418">
        <f>'Passenger Rail'!J9+'Passenger Rail'!K9</f>
        <v>3190273.5787655315</v>
      </c>
      <c r="F12" s="402">
        <f>'Freight Summary'!E7</f>
        <v>2790859.8305972</v>
      </c>
      <c r="G12" s="497">
        <f t="shared" si="11"/>
        <v>5981133.4093627315</v>
      </c>
      <c r="H12" s="492">
        <f>'Emission Factors'!$B$8</f>
        <v>10210</v>
      </c>
      <c r="I12" s="401">
        <f>'Emission Factors'!$C$8</f>
        <v>0.8</v>
      </c>
      <c r="J12" s="488">
        <f>'Emission Factors'!$D$8</f>
        <v>0.26</v>
      </c>
      <c r="K12" s="454">
        <f t="shared" si="0"/>
        <v>61067.372109593489</v>
      </c>
      <c r="L12" s="347">
        <f t="shared" si="1"/>
        <v>4.7849067274901858</v>
      </c>
      <c r="M12" s="503">
        <f t="shared" si="2"/>
        <v>1.5550946864343103</v>
      </c>
      <c r="N12" s="369">
        <f t="shared" si="3"/>
        <v>61067.372109593489</v>
      </c>
      <c r="O12" s="310">
        <f t="shared" si="4"/>
        <v>133.97738836972519</v>
      </c>
      <c r="P12" s="311">
        <f t="shared" si="5"/>
        <v>412.1000919050922</v>
      </c>
      <c r="Q12" s="315">
        <f t="shared" si="6"/>
        <v>61613.449589868309</v>
      </c>
      <c r="R12" s="66"/>
      <c r="S12" s="302">
        <f t="shared" si="7"/>
        <v>6.1067372109593489E-2</v>
      </c>
      <c r="T12" s="302">
        <f t="shared" si="8"/>
        <v>1.3397738836972518E-4</v>
      </c>
      <c r="U12" s="302">
        <f t="shared" si="9"/>
        <v>4.1210009190509219E-4</v>
      </c>
      <c r="V12" s="302"/>
    </row>
    <row r="13" spans="1:29" ht="14.75" customHeight="1" x14ac:dyDescent="0.15">
      <c r="B13" s="305">
        <f t="shared" si="10"/>
        <v>2019</v>
      </c>
      <c r="C13" s="306">
        <v>1</v>
      </c>
      <c r="D13" s="409" t="s">
        <v>62</v>
      </c>
      <c r="E13" s="418">
        <f>'Passenger Rail'!J10+'Passenger Rail'!K10</f>
        <v>1015029.3907180269</v>
      </c>
      <c r="F13" s="402">
        <f>'Freight Summary'!E8</f>
        <v>2204106.0199365662</v>
      </c>
      <c r="G13" s="497">
        <f t="shared" si="11"/>
        <v>3219135.4106545933</v>
      </c>
      <c r="H13" s="492">
        <f>'Emission Factors'!$B$8</f>
        <v>10210</v>
      </c>
      <c r="I13" s="401">
        <f>'Emission Factors'!$C$8</f>
        <v>0.8</v>
      </c>
      <c r="J13" s="488">
        <f>'Emission Factors'!$D$8</f>
        <v>0.26</v>
      </c>
      <c r="K13" s="454">
        <f t="shared" si="0"/>
        <v>32867.3725427834</v>
      </c>
      <c r="L13" s="347">
        <f t="shared" si="1"/>
        <v>2.5753083285236751</v>
      </c>
      <c r="M13" s="503">
        <f t="shared" si="2"/>
        <v>0.83697520677019421</v>
      </c>
      <c r="N13" s="369">
        <f t="shared" si="3"/>
        <v>32867.3725427834</v>
      </c>
      <c r="O13" s="310">
        <f t="shared" si="4"/>
        <v>72.108633198662901</v>
      </c>
      <c r="P13" s="311">
        <f t="shared" si="5"/>
        <v>221.79842979410148</v>
      </c>
      <c r="Q13" s="315">
        <f t="shared" si="6"/>
        <v>33161.279605776166</v>
      </c>
      <c r="R13" s="66"/>
      <c r="S13" s="302">
        <f t="shared" si="7"/>
        <v>3.28673725427834E-2</v>
      </c>
      <c r="T13" s="302">
        <f t="shared" si="8"/>
        <v>7.2108633198662904E-5</v>
      </c>
      <c r="U13" s="302">
        <f t="shared" si="9"/>
        <v>2.2179842979410148E-4</v>
      </c>
      <c r="V13" s="302"/>
    </row>
    <row r="14" spans="1:29" ht="14.75" customHeight="1" x14ac:dyDescent="0.15">
      <c r="B14" s="305">
        <f t="shared" si="10"/>
        <v>2019</v>
      </c>
      <c r="C14" s="306">
        <v>1</v>
      </c>
      <c r="D14" s="409" t="s">
        <v>61</v>
      </c>
      <c r="E14" s="418">
        <f>'Passenger Rail'!J11+'Passenger Rail'!K11</f>
        <v>82189.375247946198</v>
      </c>
      <c r="F14" s="402">
        <f>'Freight Summary'!E9</f>
        <v>481689.60516220774</v>
      </c>
      <c r="G14" s="497">
        <f t="shared" si="11"/>
        <v>563878.98041015398</v>
      </c>
      <c r="H14" s="492">
        <f>'Emission Factors'!$B$8</f>
        <v>10210</v>
      </c>
      <c r="I14" s="401">
        <f>'Emission Factors'!$C$8</f>
        <v>0.8</v>
      </c>
      <c r="J14" s="488">
        <f>'Emission Factors'!$D$8</f>
        <v>0.26</v>
      </c>
      <c r="K14" s="454">
        <f t="shared" si="0"/>
        <v>5757.2043899876717</v>
      </c>
      <c r="L14" s="347">
        <f t="shared" si="1"/>
        <v>0.45110318432812324</v>
      </c>
      <c r="M14" s="503">
        <f t="shared" si="2"/>
        <v>0.14660853490664003</v>
      </c>
      <c r="N14" s="369">
        <f t="shared" si="3"/>
        <v>5757.2043899876717</v>
      </c>
      <c r="O14" s="310">
        <f t="shared" si="4"/>
        <v>12.630889161187451</v>
      </c>
      <c r="P14" s="311">
        <f t="shared" si="5"/>
        <v>38.85126175025961</v>
      </c>
      <c r="Q14" s="315">
        <f t="shared" si="6"/>
        <v>5808.686540899118</v>
      </c>
      <c r="R14" s="66"/>
      <c r="S14" s="302">
        <f t="shared" si="7"/>
        <v>5.7572043899876716E-3</v>
      </c>
      <c r="T14" s="302">
        <f t="shared" si="8"/>
        <v>1.2630889161187451E-5</v>
      </c>
      <c r="U14" s="302">
        <f t="shared" si="9"/>
        <v>3.8851261750259608E-5</v>
      </c>
      <c r="V14" s="302"/>
    </row>
    <row r="15" spans="1:29" ht="14.75" customHeight="1" x14ac:dyDescent="0.15">
      <c r="B15" s="305">
        <f t="shared" si="10"/>
        <v>2019</v>
      </c>
      <c r="C15" s="306">
        <v>1</v>
      </c>
      <c r="D15" s="409" t="s">
        <v>63</v>
      </c>
      <c r="E15" s="418">
        <f>'Passenger Rail'!J12+'Passenger Rail'!K12</f>
        <v>4005756.5160981975</v>
      </c>
      <c r="F15" s="402">
        <f>'Freight Summary'!E10</f>
        <v>2381517.471292601</v>
      </c>
      <c r="G15" s="497">
        <f t="shared" si="11"/>
        <v>6387273.9873907985</v>
      </c>
      <c r="H15" s="492">
        <f>'Emission Factors'!$B$8</f>
        <v>10210</v>
      </c>
      <c r="I15" s="401">
        <f>'Emission Factors'!$C$8</f>
        <v>0.8</v>
      </c>
      <c r="J15" s="488">
        <f>'Emission Factors'!$D$8</f>
        <v>0.26</v>
      </c>
      <c r="K15" s="454">
        <f t="shared" si="0"/>
        <v>65214.067411260054</v>
      </c>
      <c r="L15" s="347">
        <f t="shared" si="1"/>
        <v>5.1098191899126393</v>
      </c>
      <c r="M15" s="503">
        <f t="shared" si="2"/>
        <v>1.6606912367216076</v>
      </c>
      <c r="N15" s="369">
        <f t="shared" si="3"/>
        <v>65214.067411260054</v>
      </c>
      <c r="O15" s="310">
        <f t="shared" si="4"/>
        <v>143.07493731755389</v>
      </c>
      <c r="P15" s="311">
        <f t="shared" si="5"/>
        <v>440.08317773122599</v>
      </c>
      <c r="Q15" s="315">
        <f t="shared" si="6"/>
        <v>65797.22552630883</v>
      </c>
      <c r="R15" s="66"/>
      <c r="S15" s="302">
        <f t="shared" si="7"/>
        <v>6.5214067411260054E-2</v>
      </c>
      <c r="T15" s="302">
        <f t="shared" si="8"/>
        <v>1.430749373175539E-4</v>
      </c>
      <c r="U15" s="302">
        <f t="shared" si="9"/>
        <v>4.4008317773122597E-4</v>
      </c>
      <c r="V15" s="302"/>
    </row>
    <row r="16" spans="1:29" ht="14.75" customHeight="1" x14ac:dyDescent="0.15">
      <c r="B16" s="305">
        <f t="shared" si="10"/>
        <v>2019</v>
      </c>
      <c r="C16" s="306">
        <v>1</v>
      </c>
      <c r="D16" s="409" t="s">
        <v>64</v>
      </c>
      <c r="E16" s="418">
        <f>'Passenger Rail'!J13+'Passenger Rail'!K13</f>
        <v>1588209.1919050307</v>
      </c>
      <c r="F16" s="402">
        <f>'Freight Summary'!E11</f>
        <v>77362.722722601698</v>
      </c>
      <c r="G16" s="497">
        <f t="shared" si="11"/>
        <v>1665571.9146276324</v>
      </c>
      <c r="H16" s="492">
        <f>'Emission Factors'!$B$8</f>
        <v>10210</v>
      </c>
      <c r="I16" s="401">
        <f>'Emission Factors'!$C$8</f>
        <v>0.8</v>
      </c>
      <c r="J16" s="488">
        <f>'Emission Factors'!$D$8</f>
        <v>0.26</v>
      </c>
      <c r="K16" s="454">
        <f t="shared" si="0"/>
        <v>17005.489248348127</v>
      </c>
      <c r="L16" s="347">
        <f t="shared" si="1"/>
        <v>1.3324575317021059</v>
      </c>
      <c r="M16" s="503">
        <f t="shared" si="2"/>
        <v>0.43304869780318445</v>
      </c>
      <c r="N16" s="369">
        <f t="shared" si="3"/>
        <v>17005.489248348127</v>
      </c>
      <c r="O16" s="310">
        <f t="shared" si="4"/>
        <v>37.308810887658964</v>
      </c>
      <c r="P16" s="311">
        <f t="shared" si="5"/>
        <v>114.75790491784387</v>
      </c>
      <c r="Q16" s="315">
        <f t="shared" si="6"/>
        <v>17157.555964153627</v>
      </c>
      <c r="R16" s="66"/>
      <c r="S16" s="302">
        <f t="shared" si="7"/>
        <v>1.7005489248348125E-2</v>
      </c>
      <c r="T16" s="302">
        <f t="shared" si="8"/>
        <v>3.7308810887658963E-5</v>
      </c>
      <c r="U16" s="302">
        <f t="shared" si="9"/>
        <v>1.1475790491784388E-4</v>
      </c>
      <c r="V16" s="302"/>
    </row>
    <row r="17" spans="1:22" ht="14.75" customHeight="1" thickBot="1" x14ac:dyDescent="0.2">
      <c r="B17" s="305">
        <f t="shared" si="10"/>
        <v>2019</v>
      </c>
      <c r="C17" s="306">
        <v>1</v>
      </c>
      <c r="D17" s="486" t="s">
        <v>65</v>
      </c>
      <c r="E17" s="418">
        <f>'Passenger Rail'!J14+'Passenger Rail'!K14</f>
        <v>1679250.3552813667</v>
      </c>
      <c r="F17" s="402">
        <f>'Freight Summary'!E12</f>
        <v>2754683.1815265077</v>
      </c>
      <c r="G17" s="498">
        <f t="shared" si="11"/>
        <v>4433933.5368078742</v>
      </c>
      <c r="H17" s="493">
        <f>'Emission Factors'!$B$8</f>
        <v>10210</v>
      </c>
      <c r="I17" s="494">
        <f>'Emission Factors'!$C$8</f>
        <v>0.8</v>
      </c>
      <c r="J17" s="495">
        <f>'Emission Factors'!$D$8</f>
        <v>0.26</v>
      </c>
      <c r="K17" s="456">
        <f t="shared" si="0"/>
        <v>45270.461410808399</v>
      </c>
      <c r="L17" s="457">
        <f t="shared" si="1"/>
        <v>3.5471468294462993</v>
      </c>
      <c r="M17" s="504">
        <f t="shared" si="2"/>
        <v>1.1528227195700471</v>
      </c>
      <c r="N17" s="369">
        <f t="shared" si="3"/>
        <v>45270.461410808399</v>
      </c>
      <c r="O17" s="310">
        <f t="shared" si="4"/>
        <v>99.320111224496387</v>
      </c>
      <c r="P17" s="311">
        <f t="shared" si="5"/>
        <v>305.49802068606249</v>
      </c>
      <c r="Q17" s="315">
        <f t="shared" si="6"/>
        <v>45675.279542718956</v>
      </c>
      <c r="R17" s="66"/>
      <c r="S17" s="302">
        <f t="shared" si="7"/>
        <v>4.5270461410808399E-2</v>
      </c>
      <c r="T17" s="302">
        <f t="shared" si="8"/>
        <v>9.9320111224496387E-5</v>
      </c>
      <c r="U17" s="302">
        <f t="shared" si="9"/>
        <v>3.0549802068606248E-4</v>
      </c>
      <c r="V17" s="302"/>
    </row>
    <row r="18" spans="1:22" s="82" customFormat="1" ht="16" thickBot="1" x14ac:dyDescent="0.2">
      <c r="A18" s="19"/>
      <c r="B18" s="316">
        <f t="shared" si="10"/>
        <v>2019</v>
      </c>
      <c r="C18" s="317">
        <v>1</v>
      </c>
      <c r="D18" s="485" t="s">
        <v>66</v>
      </c>
      <c r="E18" s="470">
        <f>SUM(E9,E12:E17)</f>
        <v>44039258.769766219</v>
      </c>
      <c r="F18" s="319">
        <f>SUM(F9,F12:F17)</f>
        <v>20038966.532241199</v>
      </c>
      <c r="G18" s="510">
        <f>SUM(E18:F18)</f>
        <v>64078225.302007422</v>
      </c>
      <c r="H18" s="499"/>
      <c r="I18" s="500"/>
      <c r="J18" s="501"/>
      <c r="K18" s="348">
        <f t="shared" ref="K18:M18" si="12">SUM(K9,K12:K17)</f>
        <v>654238.68033349572</v>
      </c>
      <c r="L18" s="319">
        <f t="shared" si="12"/>
        <v>51.262580241605946</v>
      </c>
      <c r="M18" s="320">
        <f t="shared" si="12"/>
        <v>16.66033857852193</v>
      </c>
      <c r="N18" s="470">
        <f>SUM(N9,N12:N17)</f>
        <v>654238.68033349572</v>
      </c>
      <c r="O18" s="319">
        <f t="shared" ref="O18:P18" si="13">SUM(O9,O12:O17)</f>
        <v>1435.3522467649661</v>
      </c>
      <c r="P18" s="320">
        <f t="shared" si="13"/>
        <v>4414.9897233083111</v>
      </c>
      <c r="Q18" s="321">
        <f>SUM(N18:P18)</f>
        <v>660089.02230356901</v>
      </c>
      <c r="R18" s="66"/>
      <c r="S18" s="302"/>
      <c r="T18" s="302"/>
      <c r="U18" s="302"/>
      <c r="V18" s="302"/>
    </row>
    <row r="19" spans="1:22" x14ac:dyDescent="0.15">
      <c r="S19" s="302"/>
      <c r="T19" s="302"/>
      <c r="U19" s="302"/>
      <c r="V19" s="302"/>
    </row>
    <row r="20" spans="1:22" customFormat="1" ht="15" thickBot="1" x14ac:dyDescent="0.2">
      <c r="B20" s="82" t="s">
        <v>132</v>
      </c>
      <c r="S20" s="302"/>
      <c r="T20" s="302"/>
      <c r="U20" s="302"/>
      <c r="V20" s="302"/>
    </row>
    <row r="21" spans="1:22" s="133" customFormat="1" ht="15" customHeight="1" x14ac:dyDescent="0.15">
      <c r="B21" s="662" t="s">
        <v>76</v>
      </c>
      <c r="C21" s="665" t="s">
        <v>80</v>
      </c>
      <c r="D21" s="668" t="s">
        <v>77</v>
      </c>
      <c r="E21" s="671" t="s">
        <v>133</v>
      </c>
      <c r="F21" s="674" t="s">
        <v>49</v>
      </c>
      <c r="G21" s="675"/>
      <c r="H21" s="676"/>
      <c r="I21" s="658" t="s">
        <v>129</v>
      </c>
      <c r="J21" s="658"/>
      <c r="K21" s="658"/>
      <c r="L21" s="659"/>
      <c r="N21"/>
      <c r="O21"/>
      <c r="P21"/>
      <c r="Q21"/>
      <c r="R21"/>
      <c r="S21" s="302"/>
      <c r="T21" s="302"/>
      <c r="U21" s="302"/>
      <c r="V21" s="302"/>
    </row>
    <row r="22" spans="1:22" s="133" customFormat="1" x14ac:dyDescent="0.15">
      <c r="B22" s="663"/>
      <c r="C22" s="666"/>
      <c r="D22" s="669"/>
      <c r="E22" s="672"/>
      <c r="F22" s="332" t="s">
        <v>94</v>
      </c>
      <c r="G22" s="303" t="s">
        <v>95</v>
      </c>
      <c r="H22" s="304" t="s">
        <v>96</v>
      </c>
      <c r="I22" s="660"/>
      <c r="J22" s="660"/>
      <c r="K22" s="660"/>
      <c r="L22" s="661"/>
      <c r="N22"/>
      <c r="O22"/>
      <c r="P22"/>
      <c r="Q22"/>
      <c r="R22"/>
      <c r="S22" s="302"/>
      <c r="T22" s="302"/>
      <c r="U22" s="302"/>
      <c r="V22" s="302"/>
    </row>
    <row r="23" spans="1:22" s="133" customFormat="1" ht="15" thickBot="1" x14ac:dyDescent="0.2">
      <c r="B23" s="664"/>
      <c r="C23" s="667"/>
      <c r="D23" s="670"/>
      <c r="E23" s="673"/>
      <c r="F23" s="322" t="s">
        <v>134</v>
      </c>
      <c r="G23" s="324" t="s">
        <v>135</v>
      </c>
      <c r="H23" s="323" t="s">
        <v>136</v>
      </c>
      <c r="I23" s="385" t="s">
        <v>94</v>
      </c>
      <c r="J23" s="324" t="s">
        <v>95</v>
      </c>
      <c r="K23" s="324" t="s">
        <v>96</v>
      </c>
      <c r="L23" s="323" t="s">
        <v>130</v>
      </c>
      <c r="N23"/>
      <c r="O23"/>
      <c r="P23"/>
      <c r="Q23"/>
      <c r="R23"/>
      <c r="S23" s="302"/>
      <c r="T23" s="302"/>
      <c r="U23" s="302"/>
      <c r="V23" s="302"/>
    </row>
    <row r="24" spans="1:22" customFormat="1" ht="15" x14ac:dyDescent="0.15">
      <c r="B24" s="305">
        <f>$B$3</f>
        <v>2019</v>
      </c>
      <c r="C24" s="306">
        <v>2</v>
      </c>
      <c r="D24" s="467" t="s">
        <v>59</v>
      </c>
      <c r="E24" s="408">
        <f>'Passenger Rail'!I6</f>
        <v>496182468.76342106</v>
      </c>
      <c r="F24" s="513">
        <f>'Emission Factors'!$B$13</f>
        <v>851.19</v>
      </c>
      <c r="G24" s="490">
        <f>'Emission Factors'!$C$13</f>
        <v>9.9000000000000005E-2</v>
      </c>
      <c r="H24" s="491">
        <f>'Emission Factors'!$D$13</f>
        <v>1.4E-2</v>
      </c>
      <c r="I24" s="374">
        <f t="shared" ref="I24:I32" si="14">(F24/MWh_kWh)*E24*GWP_CO2*MT_lbs</f>
        <v>191572.72167820559</v>
      </c>
      <c r="J24" s="374">
        <f t="shared" ref="J24:J32" si="15">(G24/MWh_kWh)*E24*GWP_CH4*MT_lbs</f>
        <v>623.87902171311453</v>
      </c>
      <c r="K24" s="374">
        <f t="shared" ref="K24:K32" si="16">(H24/MWh_kWh)*E24*GWP_N2O*MT_lbs</f>
        <v>834.98959976755214</v>
      </c>
      <c r="L24" s="312">
        <f t="shared" ref="L24:L33" si="17">SUM(I24:K24)</f>
        <v>193031.59029968624</v>
      </c>
      <c r="S24" s="302">
        <f t="shared" ref="S24:S32" si="18">I24/mton_per_mmton</f>
        <v>0.1915727216782056</v>
      </c>
      <c r="T24" s="302">
        <f t="shared" ref="T24:T32" si="19">J24/mton_per_mmton</f>
        <v>6.2387902171311452E-4</v>
      </c>
      <c r="U24" s="302">
        <f t="shared" ref="U24:U32" si="20">K24/mton_per_mmton</f>
        <v>8.3498959976755209E-4</v>
      </c>
      <c r="V24" s="302"/>
    </row>
    <row r="25" spans="1:22" customFormat="1" ht="15" x14ac:dyDescent="0.15">
      <c r="B25" s="305">
        <f t="shared" ref="B25:B33" si="21">$B$3</f>
        <v>2019</v>
      </c>
      <c r="C25" s="306">
        <v>2</v>
      </c>
      <c r="D25" s="468" t="s">
        <v>58</v>
      </c>
      <c r="E25" s="408">
        <f>'Passenger Rail'!I7</f>
        <v>432611124.13316244</v>
      </c>
      <c r="F25" s="418">
        <f>'Emission Factors'!$B$13</f>
        <v>851.19</v>
      </c>
      <c r="G25" s="401">
        <f>'Emission Factors'!$C$13</f>
        <v>9.9000000000000005E-2</v>
      </c>
      <c r="H25" s="488">
        <f>'Emission Factors'!$D$13</f>
        <v>1.4E-2</v>
      </c>
      <c r="I25" s="374">
        <f t="shared" si="14"/>
        <v>167028.25209645476</v>
      </c>
      <c r="J25" s="374">
        <f t="shared" si="15"/>
        <v>543.94707974878997</v>
      </c>
      <c r="K25" s="374">
        <f t="shared" si="16"/>
        <v>728.00998047186545</v>
      </c>
      <c r="L25" s="312">
        <f t="shared" si="17"/>
        <v>168300.20915667541</v>
      </c>
      <c r="S25" s="302">
        <f t="shared" si="18"/>
        <v>0.16702825209645475</v>
      </c>
      <c r="T25" s="302">
        <f t="shared" si="19"/>
        <v>5.4394707974878996E-4</v>
      </c>
      <c r="U25" s="302">
        <f t="shared" si="20"/>
        <v>7.2800998047186543E-4</v>
      </c>
      <c r="V25" s="302"/>
    </row>
    <row r="26" spans="1:22" customFormat="1" ht="15" x14ac:dyDescent="0.15">
      <c r="B26" s="305">
        <f t="shared" si="21"/>
        <v>2019</v>
      </c>
      <c r="C26" s="306">
        <v>2</v>
      </c>
      <c r="D26" s="351" t="s">
        <v>131</v>
      </c>
      <c r="E26" s="408">
        <f>'Passenger Rail'!I8</f>
        <v>63571344.630258627</v>
      </c>
      <c r="F26" s="418">
        <f>'Emission Factors'!$B$13</f>
        <v>851.19</v>
      </c>
      <c r="G26" s="401">
        <f>'Emission Factors'!$C$13</f>
        <v>9.9000000000000005E-2</v>
      </c>
      <c r="H26" s="488">
        <f>'Emission Factors'!$D$13</f>
        <v>1.4E-2</v>
      </c>
      <c r="I26" s="374">
        <f t="shared" si="14"/>
        <v>24544.46958175084</v>
      </c>
      <c r="J26" s="374">
        <f t="shared" si="15"/>
        <v>79.931941964324466</v>
      </c>
      <c r="K26" s="374">
        <f t="shared" si="16"/>
        <v>106.97961929568677</v>
      </c>
      <c r="L26" s="312">
        <f t="shared" si="17"/>
        <v>24731.381143010851</v>
      </c>
      <c r="S26" s="302">
        <f t="shared" si="18"/>
        <v>2.4544469581750841E-2</v>
      </c>
      <c r="T26" s="302">
        <f t="shared" si="19"/>
        <v>7.9931941964324471E-5</v>
      </c>
      <c r="U26" s="302">
        <f t="shared" si="20"/>
        <v>1.0697961929568677E-4</v>
      </c>
      <c r="V26" s="302"/>
    </row>
    <row r="27" spans="1:22" customFormat="1" ht="15" x14ac:dyDescent="0.15">
      <c r="B27" s="305">
        <f t="shared" si="21"/>
        <v>2019</v>
      </c>
      <c r="C27" s="306">
        <v>2</v>
      </c>
      <c r="D27" s="467" t="s">
        <v>60</v>
      </c>
      <c r="E27" s="408">
        <f>'Passenger Rail'!I9</f>
        <v>8897691.7109608706</v>
      </c>
      <c r="F27" s="418">
        <f>'Emission Factors'!$B$13</f>
        <v>851.19</v>
      </c>
      <c r="G27" s="401">
        <f>'Emission Factors'!$C$13</f>
        <v>9.9000000000000005E-2</v>
      </c>
      <c r="H27" s="488">
        <f>'Emission Factors'!$D$13</f>
        <v>1.4E-2</v>
      </c>
      <c r="I27" s="374">
        <f t="shared" si="14"/>
        <v>3435.3390638134629</v>
      </c>
      <c r="J27" s="374">
        <f t="shared" si="15"/>
        <v>11.18758430537356</v>
      </c>
      <c r="K27" s="374">
        <f t="shared" si="16"/>
        <v>14.973282024868652</v>
      </c>
      <c r="L27" s="315">
        <f t="shared" si="17"/>
        <v>3461.4999301437051</v>
      </c>
      <c r="S27" s="302">
        <f t="shared" si="18"/>
        <v>3.4353390638134627E-3</v>
      </c>
      <c r="T27" s="302">
        <f t="shared" si="19"/>
        <v>1.1187584305373561E-5</v>
      </c>
      <c r="U27" s="302">
        <f t="shared" si="20"/>
        <v>1.4973282024868652E-5</v>
      </c>
      <c r="V27" s="302"/>
    </row>
    <row r="28" spans="1:22" customFormat="1" ht="15" x14ac:dyDescent="0.15">
      <c r="B28" s="305">
        <f t="shared" si="21"/>
        <v>2019</v>
      </c>
      <c r="C28" s="306">
        <v>2</v>
      </c>
      <c r="D28" s="467" t="s">
        <v>62</v>
      </c>
      <c r="E28" s="408">
        <f>'Passenger Rail'!I10</f>
        <v>2827180.2323766346</v>
      </c>
      <c r="F28" s="418">
        <f>'Emission Factors'!$B$13</f>
        <v>851.19</v>
      </c>
      <c r="G28" s="401">
        <f>'Emission Factors'!$C$13</f>
        <v>9.9000000000000005E-2</v>
      </c>
      <c r="H28" s="488">
        <f>'Emission Factors'!$D$13</f>
        <v>1.4E-2</v>
      </c>
      <c r="I28" s="374">
        <f t="shared" si="14"/>
        <v>1091.555316617711</v>
      </c>
      <c r="J28" s="374">
        <f t="shared" si="15"/>
        <v>3.5547778259428511</v>
      </c>
      <c r="K28" s="374">
        <f t="shared" si="16"/>
        <v>4.7576571912871497</v>
      </c>
      <c r="L28" s="315">
        <f t="shared" si="17"/>
        <v>1099.867751634941</v>
      </c>
      <c r="S28" s="302">
        <f t="shared" si="18"/>
        <v>1.0915553166177109E-3</v>
      </c>
      <c r="T28" s="302">
        <f t="shared" si="19"/>
        <v>3.5547778259428512E-6</v>
      </c>
      <c r="U28" s="302">
        <f t="shared" si="20"/>
        <v>4.7576571912871497E-6</v>
      </c>
      <c r="V28" s="302"/>
    </row>
    <row r="29" spans="1:22" customFormat="1" ht="15" x14ac:dyDescent="0.15">
      <c r="B29" s="305">
        <f t="shared" si="21"/>
        <v>2019</v>
      </c>
      <c r="C29" s="306">
        <v>2</v>
      </c>
      <c r="D29" s="467" t="s">
        <v>61</v>
      </c>
      <c r="E29" s="408">
        <f>'Passenger Rail'!I11</f>
        <v>0</v>
      </c>
      <c r="F29" s="418">
        <f>'Emission Factors'!$B$13</f>
        <v>851.19</v>
      </c>
      <c r="G29" s="401">
        <f>'Emission Factors'!$C$13</f>
        <v>9.9000000000000005E-2</v>
      </c>
      <c r="H29" s="488">
        <f>'Emission Factors'!$D$13</f>
        <v>1.4E-2</v>
      </c>
      <c r="I29" s="374">
        <f t="shared" si="14"/>
        <v>0</v>
      </c>
      <c r="J29" s="374">
        <f t="shared" si="15"/>
        <v>0</v>
      </c>
      <c r="K29" s="374">
        <f t="shared" si="16"/>
        <v>0</v>
      </c>
      <c r="L29" s="315">
        <f t="shared" si="17"/>
        <v>0</v>
      </c>
      <c r="S29" s="302">
        <f t="shared" si="18"/>
        <v>0</v>
      </c>
      <c r="T29" s="302">
        <f t="shared" si="19"/>
        <v>0</v>
      </c>
      <c r="U29" s="302">
        <f t="shared" si="20"/>
        <v>0</v>
      </c>
      <c r="V29" s="302"/>
    </row>
    <row r="30" spans="1:22" customFormat="1" ht="15" x14ac:dyDescent="0.15">
      <c r="B30" s="305">
        <f t="shared" si="21"/>
        <v>2019</v>
      </c>
      <c r="C30" s="306">
        <v>2</v>
      </c>
      <c r="D30" s="467" t="s">
        <v>63</v>
      </c>
      <c r="E30" s="408">
        <f>'Passenger Rail'!I12</f>
        <v>10761184.718382748</v>
      </c>
      <c r="F30" s="418">
        <f>'Emission Factors'!$B$13</f>
        <v>851.19</v>
      </c>
      <c r="G30" s="401">
        <f>'Emission Factors'!$C$13</f>
        <v>9.9000000000000005E-2</v>
      </c>
      <c r="H30" s="488">
        <f>'Emission Factors'!$D$13</f>
        <v>1.4E-2</v>
      </c>
      <c r="I30" s="374">
        <f t="shared" si="14"/>
        <v>4154.8212094640539</v>
      </c>
      <c r="J30" s="374">
        <f t="shared" si="15"/>
        <v>13.530662240668192</v>
      </c>
      <c r="K30" s="374">
        <f t="shared" si="16"/>
        <v>18.109219665540763</v>
      </c>
      <c r="L30" s="315">
        <f t="shared" si="17"/>
        <v>4186.4610913702627</v>
      </c>
      <c r="S30" s="302">
        <f t="shared" si="18"/>
        <v>4.1548212094640541E-3</v>
      </c>
      <c r="T30" s="302">
        <f t="shared" si="19"/>
        <v>1.3530662240668193E-5</v>
      </c>
      <c r="U30" s="302">
        <f t="shared" si="20"/>
        <v>1.8109219665540764E-5</v>
      </c>
      <c r="V30" s="302"/>
    </row>
    <row r="31" spans="1:22" customFormat="1" ht="15" x14ac:dyDescent="0.15">
      <c r="B31" s="305">
        <f t="shared" si="21"/>
        <v>2019</v>
      </c>
      <c r="C31" s="306">
        <v>2</v>
      </c>
      <c r="D31" s="467" t="s">
        <v>64</v>
      </c>
      <c r="E31" s="408">
        <f>'Passenger Rail'!I13</f>
        <v>4578838.4092489043</v>
      </c>
      <c r="F31" s="418">
        <f>'Emission Factors'!$B$13</f>
        <v>851.19</v>
      </c>
      <c r="G31" s="401">
        <f>'Emission Factors'!$C$13</f>
        <v>9.9000000000000005E-2</v>
      </c>
      <c r="H31" s="488">
        <f>'Emission Factors'!$D$13</f>
        <v>1.4E-2</v>
      </c>
      <c r="I31" s="374">
        <f t="shared" si="14"/>
        <v>1767.8587846334333</v>
      </c>
      <c r="J31" s="374">
        <f t="shared" si="15"/>
        <v>5.7572393366978893</v>
      </c>
      <c r="K31" s="374">
        <f t="shared" si="16"/>
        <v>7.705396081944146</v>
      </c>
      <c r="L31" s="315">
        <f t="shared" si="17"/>
        <v>1781.3214200520754</v>
      </c>
      <c r="S31" s="302">
        <f t="shared" si="18"/>
        <v>1.7678587846334333E-3</v>
      </c>
      <c r="T31" s="302">
        <f t="shared" si="19"/>
        <v>5.7572393366978892E-6</v>
      </c>
      <c r="U31" s="302">
        <f t="shared" si="20"/>
        <v>7.7053960819441457E-6</v>
      </c>
      <c r="V31" s="302"/>
    </row>
    <row r="32" spans="1:22" customFormat="1" ht="16" thickBot="1" x14ac:dyDescent="0.2">
      <c r="B32" s="305">
        <f t="shared" si="21"/>
        <v>2019</v>
      </c>
      <c r="C32" s="306">
        <v>2</v>
      </c>
      <c r="D32" s="467" t="s">
        <v>65</v>
      </c>
      <c r="E32" s="408">
        <f>'Passenger Rail'!I14</f>
        <v>4003466.6139492569</v>
      </c>
      <c r="F32" s="451">
        <f>'Emission Factors'!$B$13</f>
        <v>851.19</v>
      </c>
      <c r="G32" s="494">
        <f>'Emission Factors'!$C$13</f>
        <v>9.9000000000000005E-2</v>
      </c>
      <c r="H32" s="495">
        <f>'Emission Factors'!$D$13</f>
        <v>1.4E-2</v>
      </c>
      <c r="I32" s="374">
        <f t="shared" si="14"/>
        <v>1545.7115953602383</v>
      </c>
      <c r="J32" s="374">
        <f t="shared" si="15"/>
        <v>5.033790977735384</v>
      </c>
      <c r="K32" s="374">
        <f t="shared" si="16"/>
        <v>6.7371444904034163</v>
      </c>
      <c r="L32" s="315">
        <f t="shared" si="17"/>
        <v>1557.4825308283771</v>
      </c>
      <c r="S32" s="302">
        <f t="shared" si="18"/>
        <v>1.5457115953602383E-3</v>
      </c>
      <c r="T32" s="302">
        <f t="shared" si="19"/>
        <v>5.0337909777353836E-6</v>
      </c>
      <c r="U32" s="302">
        <f t="shared" si="20"/>
        <v>6.737144490403416E-6</v>
      </c>
      <c r="V32" s="302"/>
    </row>
    <row r="33" spans="1:26" s="19" customFormat="1" ht="16" thickBot="1" x14ac:dyDescent="0.2">
      <c r="B33" s="316">
        <f t="shared" si="21"/>
        <v>2019</v>
      </c>
      <c r="C33" s="317">
        <v>2</v>
      </c>
      <c r="D33" s="469" t="s">
        <v>66</v>
      </c>
      <c r="E33" s="459">
        <f>SUM(E24,E27:E32)</f>
        <v>527250830.44833946</v>
      </c>
      <c r="F33" s="512"/>
      <c r="G33" s="500"/>
      <c r="H33" s="501"/>
      <c r="I33" s="348">
        <f t="shared" ref="I33:K33" si="22">SUM(I24,I27:I32)</f>
        <v>203568.0076480945</v>
      </c>
      <c r="J33" s="319">
        <f t="shared" si="22"/>
        <v>662.94307639953252</v>
      </c>
      <c r="K33" s="320">
        <f t="shared" si="22"/>
        <v>887.27229922159643</v>
      </c>
      <c r="L33" s="321">
        <f t="shared" si="17"/>
        <v>205118.22302371563</v>
      </c>
      <c r="N33"/>
      <c r="O33"/>
      <c r="P33"/>
      <c r="Q33"/>
      <c r="R33"/>
      <c r="S33" s="302"/>
      <c r="T33" s="302"/>
      <c r="U33" s="302"/>
      <c r="V33" s="302"/>
    </row>
    <row r="34" spans="1:26" x14ac:dyDescent="0.15">
      <c r="S34" s="302"/>
      <c r="T34" s="302"/>
      <c r="U34" s="302"/>
      <c r="V34" s="302"/>
    </row>
    <row r="35" spans="1:26" ht="18" x14ac:dyDescent="0.2">
      <c r="A35" s="300"/>
      <c r="B35" s="301">
        <v>2015</v>
      </c>
      <c r="C35" s="29"/>
      <c r="D35" s="29"/>
      <c r="E35" s="29"/>
      <c r="F35" s="29"/>
      <c r="G35" s="29"/>
      <c r="H35" s="29"/>
      <c r="I35" s="29"/>
      <c r="J35" s="29"/>
      <c r="K35" s="29"/>
      <c r="L35" s="29"/>
      <c r="M35" s="29"/>
      <c r="N35" s="29"/>
      <c r="O35" s="29"/>
      <c r="P35" s="29"/>
      <c r="Q35" s="29"/>
      <c r="S35" s="302"/>
      <c r="T35" s="302"/>
      <c r="U35" s="302"/>
      <c r="V35" s="302"/>
    </row>
    <row r="36" spans="1:26" x14ac:dyDescent="0.15">
      <c r="S36" s="302"/>
      <c r="T36" s="302"/>
      <c r="U36" s="302"/>
      <c r="V36" s="302"/>
    </row>
    <row r="37" spans="1:26" ht="15" thickBot="1" x14ac:dyDescent="0.2">
      <c r="B37" s="82" t="s">
        <v>140</v>
      </c>
      <c r="S37" s="302"/>
      <c r="T37" s="302"/>
      <c r="U37" s="302"/>
      <c r="V37" s="302"/>
    </row>
    <row r="38" spans="1:26" s="479" customFormat="1" ht="15" customHeight="1" x14ac:dyDescent="0.15">
      <c r="A38" s="133"/>
      <c r="B38" s="662" t="s">
        <v>76</v>
      </c>
      <c r="C38" s="665" t="s">
        <v>80</v>
      </c>
      <c r="D38" s="677" t="s">
        <v>77</v>
      </c>
      <c r="E38" s="685" t="s">
        <v>141</v>
      </c>
      <c r="F38" s="686"/>
      <c r="G38" s="687"/>
      <c r="H38" s="691" t="s">
        <v>49</v>
      </c>
      <c r="I38" s="686"/>
      <c r="J38" s="687"/>
      <c r="K38" s="682" t="s">
        <v>128</v>
      </c>
      <c r="L38" s="658"/>
      <c r="M38" s="659"/>
      <c r="N38" s="682" t="s">
        <v>129</v>
      </c>
      <c r="O38" s="658"/>
      <c r="P38" s="658"/>
      <c r="Q38" s="659"/>
      <c r="R38" s="66"/>
      <c r="S38" s="302"/>
      <c r="T38" s="302"/>
      <c r="U38" s="302"/>
      <c r="V38" s="302"/>
    </row>
    <row r="39" spans="1:26" s="479" customFormat="1" x14ac:dyDescent="0.15">
      <c r="A39" s="133"/>
      <c r="B39" s="663"/>
      <c r="C39" s="666"/>
      <c r="D39" s="684"/>
      <c r="E39" s="688"/>
      <c r="F39" s="689"/>
      <c r="G39" s="690"/>
      <c r="H39" s="405" t="s">
        <v>94</v>
      </c>
      <c r="I39" s="303" t="s">
        <v>95</v>
      </c>
      <c r="J39" s="304" t="s">
        <v>96</v>
      </c>
      <c r="K39" s="683"/>
      <c r="L39" s="660"/>
      <c r="M39" s="661"/>
      <c r="N39" s="683"/>
      <c r="O39" s="660"/>
      <c r="P39" s="660"/>
      <c r="Q39" s="661"/>
      <c r="R39" s="66"/>
      <c r="S39" s="302"/>
      <c r="T39" s="302"/>
      <c r="U39" s="302"/>
      <c r="V39" s="302"/>
    </row>
    <row r="40" spans="1:26" s="479" customFormat="1" ht="15" customHeight="1" thickBot="1" x14ac:dyDescent="0.2">
      <c r="A40" s="133"/>
      <c r="B40" s="664"/>
      <c r="C40" s="667"/>
      <c r="D40" s="684"/>
      <c r="E40" s="332" t="s">
        <v>102</v>
      </c>
      <c r="F40" s="410" t="s">
        <v>142</v>
      </c>
      <c r="G40" s="487" t="s">
        <v>88</v>
      </c>
      <c r="H40" s="385" t="s">
        <v>143</v>
      </c>
      <c r="I40" s="324" t="s">
        <v>144</v>
      </c>
      <c r="J40" s="323" t="s">
        <v>145</v>
      </c>
      <c r="K40" s="405" t="s">
        <v>94</v>
      </c>
      <c r="L40" s="303" t="s">
        <v>95</v>
      </c>
      <c r="M40" s="411" t="s">
        <v>96</v>
      </c>
      <c r="N40" s="322" t="s">
        <v>94</v>
      </c>
      <c r="O40" s="324" t="s">
        <v>95</v>
      </c>
      <c r="P40" s="324" t="s">
        <v>96</v>
      </c>
      <c r="Q40" s="323" t="s">
        <v>130</v>
      </c>
      <c r="R40" s="66"/>
      <c r="S40" s="302"/>
      <c r="T40" s="302"/>
      <c r="U40" s="302"/>
      <c r="V40" s="302"/>
    </row>
    <row r="41" spans="1:26" ht="14.75" customHeight="1" x14ac:dyDescent="0.15">
      <c r="B41" s="305">
        <f>$B$35</f>
        <v>2015</v>
      </c>
      <c r="C41" s="306">
        <v>1</v>
      </c>
      <c r="D41" s="409" t="s">
        <v>59</v>
      </c>
      <c r="E41" s="418">
        <f>'Passenger Rail'!G6+'Passenger Rail'!H6</f>
        <v>34964199.3175373</v>
      </c>
      <c r="F41" s="402">
        <f>'Freight Summary'!E27</f>
        <v>10096976.102480192</v>
      </c>
      <c r="G41" s="497">
        <f>SUM(E41:F41)</f>
        <v>45061175.420017496</v>
      </c>
      <c r="H41" s="489">
        <f>'Emission Factors'!$B$8</f>
        <v>10210</v>
      </c>
      <c r="I41" s="490">
        <f>'Emission Factors'!$C$8</f>
        <v>0.8</v>
      </c>
      <c r="J41" s="491">
        <f>'Emission Factors'!$D$8</f>
        <v>0.26</v>
      </c>
      <c r="K41" s="454">
        <f t="shared" ref="K41:K49" si="23">G41*H41/grams_to_mton</f>
        <v>460074.60103837866</v>
      </c>
      <c r="L41" s="347">
        <f t="shared" ref="L41:L49" si="24">G41*I41/grams_to_mton</f>
        <v>36.048940336013992</v>
      </c>
      <c r="M41" s="503">
        <f t="shared" ref="M41:M49" si="25">G41*J41/grams_to_mton</f>
        <v>11.715905609204549</v>
      </c>
      <c r="N41" s="369">
        <f t="shared" ref="N41:N49" si="26">K41*CO2_GWP</f>
        <v>460074.60103837866</v>
      </c>
      <c r="O41" s="310">
        <f t="shared" ref="O41:O49" si="27">L41*CH4_GWP</f>
        <v>1009.3703294083917</v>
      </c>
      <c r="P41" s="311">
        <f t="shared" ref="P41:P49" si="28">M41*N2O_GWP</f>
        <v>3104.7149864392054</v>
      </c>
      <c r="Q41" s="312">
        <f t="shared" ref="Q41:Q49" si="29">SUM(N41:P41)</f>
        <v>464188.68635422626</v>
      </c>
      <c r="R41" s="66"/>
      <c r="S41" s="302">
        <f t="shared" ref="S41:S49" si="30">N41/mton_per_mmton</f>
        <v>0.46007460103837866</v>
      </c>
      <c r="T41" s="302">
        <f t="shared" ref="T41:T49" si="31">O41/mton_per_mmton</f>
        <v>1.0093703294083917E-3</v>
      </c>
      <c r="U41" s="302">
        <f t="shared" ref="U41:U49" si="32">P41/mton_per_mmton</f>
        <v>3.1047149864392052E-3</v>
      </c>
      <c r="V41" s="302"/>
    </row>
    <row r="42" spans="1:26" ht="14.75" customHeight="1" x14ac:dyDescent="0.15">
      <c r="B42" s="305">
        <f t="shared" ref="B42:B50" si="33">$B$35</f>
        <v>2015</v>
      </c>
      <c r="C42" s="306">
        <v>1</v>
      </c>
      <c r="D42" s="450" t="s">
        <v>58</v>
      </c>
      <c r="E42" s="418">
        <f>'Passenger Rail'!G7+'Passenger Rail'!H7</f>
        <v>25499633.019358352</v>
      </c>
      <c r="F42" s="402">
        <f>F41*'Constants &amp; Conversions'!$D$62</f>
        <v>4878617.9460237585</v>
      </c>
      <c r="G42" s="497">
        <f t="shared" ref="G42:G49" si="34">SUM(E42:F42)</f>
        <v>30378250.96538211</v>
      </c>
      <c r="H42" s="492">
        <f>'Emission Factors'!$B$8</f>
        <v>10210</v>
      </c>
      <c r="I42" s="401">
        <f>'Emission Factors'!$C$8</f>
        <v>0.8</v>
      </c>
      <c r="J42" s="488">
        <f>'Emission Factors'!$D$8</f>
        <v>0.26</v>
      </c>
      <c r="K42" s="454">
        <f t="shared" si="23"/>
        <v>310161.94235655136</v>
      </c>
      <c r="L42" s="347">
        <f t="shared" si="24"/>
        <v>24.302600772305691</v>
      </c>
      <c r="M42" s="503">
        <f t="shared" si="25"/>
        <v>7.8983452509993493</v>
      </c>
      <c r="N42" s="369">
        <f t="shared" si="26"/>
        <v>310161.94235655136</v>
      </c>
      <c r="O42" s="310">
        <f t="shared" si="27"/>
        <v>680.4728216245594</v>
      </c>
      <c r="P42" s="311">
        <f t="shared" si="28"/>
        <v>2093.0614915148276</v>
      </c>
      <c r="Q42" s="312">
        <f t="shared" si="29"/>
        <v>312935.47666969075</v>
      </c>
      <c r="R42" s="66"/>
      <c r="S42" s="302">
        <f t="shared" si="30"/>
        <v>0.31016194235655137</v>
      </c>
      <c r="T42" s="302">
        <f t="shared" si="31"/>
        <v>6.804728216245594E-4</v>
      </c>
      <c r="U42" s="302">
        <f t="shared" si="32"/>
        <v>2.0930614915148278E-3</v>
      </c>
      <c r="V42" s="302"/>
      <c r="Z42" s="111"/>
    </row>
    <row r="43" spans="1:26" ht="14.75" customHeight="1" x14ac:dyDescent="0.15">
      <c r="B43" s="305">
        <f t="shared" si="33"/>
        <v>2015</v>
      </c>
      <c r="C43" s="306">
        <v>1</v>
      </c>
      <c r="D43" s="314" t="s">
        <v>131</v>
      </c>
      <c r="E43" s="418">
        <f>'Passenger Rail'!G8+'Passenger Rail'!H8</f>
        <v>9464566.2981789522</v>
      </c>
      <c r="F43" s="502">
        <f>F41-F42</f>
        <v>5218358.1564564332</v>
      </c>
      <c r="G43" s="497">
        <f t="shared" si="34"/>
        <v>14682924.454635385</v>
      </c>
      <c r="H43" s="492">
        <f>'Emission Factors'!$B$8</f>
        <v>10210</v>
      </c>
      <c r="I43" s="401">
        <f>'Emission Factors'!$C$8</f>
        <v>0.8</v>
      </c>
      <c r="J43" s="488">
        <f>'Emission Factors'!$D$8</f>
        <v>0.26</v>
      </c>
      <c r="K43" s="454">
        <f t="shared" si="23"/>
        <v>149912.65868182728</v>
      </c>
      <c r="L43" s="347">
        <f t="shared" si="24"/>
        <v>11.746339563708309</v>
      </c>
      <c r="M43" s="503">
        <f t="shared" si="25"/>
        <v>3.8175603582052</v>
      </c>
      <c r="N43" s="369">
        <f t="shared" si="26"/>
        <v>149912.65868182728</v>
      </c>
      <c r="O43" s="310">
        <f t="shared" si="27"/>
        <v>328.89750778383268</v>
      </c>
      <c r="P43" s="311">
        <f t="shared" si="28"/>
        <v>1011.653494924378</v>
      </c>
      <c r="Q43" s="312">
        <f t="shared" si="29"/>
        <v>151253.20968453548</v>
      </c>
      <c r="R43" s="66"/>
      <c r="S43" s="302">
        <f t="shared" si="30"/>
        <v>0.14991265868182727</v>
      </c>
      <c r="T43" s="302">
        <f t="shared" si="31"/>
        <v>3.288975077838327E-4</v>
      </c>
      <c r="U43" s="302">
        <f t="shared" si="32"/>
        <v>1.0116534949243781E-3</v>
      </c>
      <c r="V43" s="302"/>
    </row>
    <row r="44" spans="1:26" ht="14.75" customHeight="1" x14ac:dyDescent="0.15">
      <c r="B44" s="305">
        <f t="shared" si="33"/>
        <v>2015</v>
      </c>
      <c r="C44" s="306">
        <v>1</v>
      </c>
      <c r="D44" s="409" t="s">
        <v>60</v>
      </c>
      <c r="E44" s="418">
        <f>'Passenger Rail'!G9+'Passenger Rail'!H9</f>
        <v>3742359.2518686964</v>
      </c>
      <c r="F44" s="402">
        <f>'Freight Summary'!E28</f>
        <v>3778282.6596948467</v>
      </c>
      <c r="G44" s="497">
        <f t="shared" si="34"/>
        <v>7520641.9115635436</v>
      </c>
      <c r="H44" s="492">
        <f>'Emission Factors'!$B$8</f>
        <v>10210</v>
      </c>
      <c r="I44" s="401">
        <f>'Emission Factors'!$C$8</f>
        <v>0.8</v>
      </c>
      <c r="J44" s="488">
        <f>'Emission Factors'!$D$8</f>
        <v>0.26</v>
      </c>
      <c r="K44" s="454">
        <f t="shared" si="23"/>
        <v>76785.753917063776</v>
      </c>
      <c r="L44" s="347">
        <f t="shared" si="24"/>
        <v>6.0165135292508349</v>
      </c>
      <c r="M44" s="503">
        <f t="shared" si="25"/>
        <v>1.9553668970065214</v>
      </c>
      <c r="N44" s="369">
        <f t="shared" si="26"/>
        <v>76785.753917063776</v>
      </c>
      <c r="O44" s="310">
        <f t="shared" si="27"/>
        <v>168.46237881902337</v>
      </c>
      <c r="P44" s="311">
        <f t="shared" si="28"/>
        <v>518.17222770672822</v>
      </c>
      <c r="Q44" s="315">
        <f t="shared" si="29"/>
        <v>77472.388523589529</v>
      </c>
      <c r="R44" s="66"/>
      <c r="S44" s="302">
        <f t="shared" si="30"/>
        <v>7.678575391706377E-2</v>
      </c>
      <c r="T44" s="302">
        <f t="shared" si="31"/>
        <v>1.6846237881902338E-4</v>
      </c>
      <c r="U44" s="302">
        <f t="shared" si="32"/>
        <v>5.1817222770672827E-4</v>
      </c>
      <c r="V44" s="302"/>
    </row>
    <row r="45" spans="1:26" ht="14.75" customHeight="1" x14ac:dyDescent="0.15">
      <c r="B45" s="305">
        <f t="shared" si="33"/>
        <v>2015</v>
      </c>
      <c r="C45" s="306">
        <v>1</v>
      </c>
      <c r="D45" s="409" t="s">
        <v>62</v>
      </c>
      <c r="E45" s="418">
        <f>'Passenger Rail'!G10+'Passenger Rail'!H10</f>
        <v>646938.49589510798</v>
      </c>
      <c r="F45" s="402">
        <f>'Freight Summary'!E29</f>
        <v>2950357.8582666647</v>
      </c>
      <c r="G45" s="497">
        <f t="shared" si="34"/>
        <v>3597296.3541617729</v>
      </c>
      <c r="H45" s="492">
        <f>'Emission Factors'!$B$8</f>
        <v>10210</v>
      </c>
      <c r="I45" s="401">
        <f>'Emission Factors'!$C$8</f>
        <v>0.8</v>
      </c>
      <c r="J45" s="488">
        <f>'Emission Factors'!$D$8</f>
        <v>0.26</v>
      </c>
      <c r="K45" s="454">
        <f t="shared" si="23"/>
        <v>36728.395775991696</v>
      </c>
      <c r="L45" s="347">
        <f t="shared" si="24"/>
        <v>2.8778370833294185</v>
      </c>
      <c r="M45" s="503">
        <f t="shared" si="25"/>
        <v>0.93529705208206093</v>
      </c>
      <c r="N45" s="369">
        <f t="shared" si="26"/>
        <v>36728.395775991696</v>
      </c>
      <c r="O45" s="310">
        <f t="shared" si="27"/>
        <v>80.57943833322372</v>
      </c>
      <c r="P45" s="311">
        <f t="shared" si="28"/>
        <v>247.85371880174614</v>
      </c>
      <c r="Q45" s="315">
        <f t="shared" si="29"/>
        <v>37056.828933126664</v>
      </c>
      <c r="R45" s="66"/>
      <c r="S45" s="302">
        <f t="shared" si="30"/>
        <v>3.6728395775991698E-2</v>
      </c>
      <c r="T45" s="302">
        <f t="shared" si="31"/>
        <v>8.0579438333223724E-5</v>
      </c>
      <c r="U45" s="302">
        <f t="shared" si="32"/>
        <v>2.4785371880174612E-4</v>
      </c>
      <c r="V45" s="302"/>
    </row>
    <row r="46" spans="1:26" ht="14.75" customHeight="1" x14ac:dyDescent="0.15">
      <c r="B46" s="305">
        <f t="shared" si="33"/>
        <v>2015</v>
      </c>
      <c r="C46" s="306">
        <v>1</v>
      </c>
      <c r="D46" s="409" t="s">
        <v>61</v>
      </c>
      <c r="E46" s="418">
        <f>'Passenger Rail'!G11+'Passenger Rail'!H11</f>
        <v>83237.84377234093</v>
      </c>
      <c r="F46" s="402">
        <f>'Freight Summary'!E30</f>
        <v>862834.28186714463</v>
      </c>
      <c r="G46" s="497">
        <f t="shared" si="34"/>
        <v>946072.12563948554</v>
      </c>
      <c r="H46" s="492">
        <f>'Emission Factors'!$B$8</f>
        <v>10210</v>
      </c>
      <c r="I46" s="401">
        <f>'Emission Factors'!$C$8</f>
        <v>0.8</v>
      </c>
      <c r="J46" s="488">
        <f>'Emission Factors'!$D$8</f>
        <v>0.26</v>
      </c>
      <c r="K46" s="454">
        <f t="shared" si="23"/>
        <v>9659.396402779148</v>
      </c>
      <c r="L46" s="347">
        <f t="shared" si="24"/>
        <v>0.75685770051158852</v>
      </c>
      <c r="M46" s="503">
        <f t="shared" si="25"/>
        <v>0.24597875266626626</v>
      </c>
      <c r="N46" s="369">
        <f t="shared" si="26"/>
        <v>9659.396402779148</v>
      </c>
      <c r="O46" s="310">
        <f t="shared" si="27"/>
        <v>21.192015614324479</v>
      </c>
      <c r="P46" s="311">
        <f t="shared" si="28"/>
        <v>65.18436945656056</v>
      </c>
      <c r="Q46" s="315">
        <f t="shared" si="29"/>
        <v>9745.7727878500336</v>
      </c>
      <c r="R46" s="66"/>
      <c r="S46" s="302">
        <f t="shared" si="30"/>
        <v>9.6593964027791475E-3</v>
      </c>
      <c r="T46" s="302">
        <f t="shared" si="31"/>
        <v>2.1192015614324479E-5</v>
      </c>
      <c r="U46" s="302">
        <f t="shared" si="32"/>
        <v>6.5184369456560565E-5</v>
      </c>
      <c r="V46" s="302"/>
    </row>
    <row r="47" spans="1:26" ht="14.75" customHeight="1" x14ac:dyDescent="0.15">
      <c r="B47" s="305">
        <f t="shared" si="33"/>
        <v>2015</v>
      </c>
      <c r="C47" s="306">
        <v>1</v>
      </c>
      <c r="D47" s="409" t="s">
        <v>63</v>
      </c>
      <c r="E47" s="418">
        <f>'Passenger Rail'!G12+'Passenger Rail'!H12</f>
        <v>3688003.9275981085</v>
      </c>
      <c r="F47" s="402">
        <f>'Freight Summary'!E31</f>
        <v>2380421.3192853206</v>
      </c>
      <c r="G47" s="497">
        <f t="shared" si="34"/>
        <v>6068425.2468834296</v>
      </c>
      <c r="H47" s="492">
        <f>'Emission Factors'!$B$8</f>
        <v>10210</v>
      </c>
      <c r="I47" s="401">
        <f>'Emission Factors'!$C$8</f>
        <v>0.8</v>
      </c>
      <c r="J47" s="488">
        <f>'Emission Factors'!$D$8</f>
        <v>0.26</v>
      </c>
      <c r="K47" s="454">
        <f t="shared" si="23"/>
        <v>61958.62177067982</v>
      </c>
      <c r="L47" s="347">
        <f t="shared" si="24"/>
        <v>4.8547401975067439</v>
      </c>
      <c r="M47" s="503">
        <f t="shared" si="25"/>
        <v>1.5777905641896919</v>
      </c>
      <c r="N47" s="369">
        <f t="shared" si="26"/>
        <v>61958.62177067982</v>
      </c>
      <c r="O47" s="310">
        <f t="shared" si="27"/>
        <v>135.93272553018883</v>
      </c>
      <c r="P47" s="311">
        <f t="shared" si="28"/>
        <v>418.11449951026833</v>
      </c>
      <c r="Q47" s="315">
        <f t="shared" si="29"/>
        <v>62512.668995720276</v>
      </c>
      <c r="R47" s="66"/>
      <c r="S47" s="302">
        <f t="shared" si="30"/>
        <v>6.1958621770679817E-2</v>
      </c>
      <c r="T47" s="302">
        <f t="shared" si="31"/>
        <v>1.3593272553018884E-4</v>
      </c>
      <c r="U47" s="302">
        <f t="shared" si="32"/>
        <v>4.1811449951026836E-4</v>
      </c>
      <c r="V47" s="302"/>
    </row>
    <row r="48" spans="1:26" ht="14.75" customHeight="1" x14ac:dyDescent="0.15">
      <c r="B48" s="305">
        <f t="shared" si="33"/>
        <v>2015</v>
      </c>
      <c r="C48" s="306">
        <v>1</v>
      </c>
      <c r="D48" s="409" t="s">
        <v>64</v>
      </c>
      <c r="E48" s="418">
        <f>'Passenger Rail'!G13+'Passenger Rail'!H13</f>
        <v>876807.77383339405</v>
      </c>
      <c r="F48" s="402">
        <f>'Freight Summary'!E32</f>
        <v>92036.667113117539</v>
      </c>
      <c r="G48" s="497">
        <f t="shared" si="34"/>
        <v>968844.44094651158</v>
      </c>
      <c r="H48" s="492">
        <f>'Emission Factors'!$B$8</f>
        <v>10210</v>
      </c>
      <c r="I48" s="401">
        <f>'Emission Factors'!$C$8</f>
        <v>0.8</v>
      </c>
      <c r="J48" s="488">
        <f>'Emission Factors'!$D$8</f>
        <v>0.26</v>
      </c>
      <c r="K48" s="454">
        <f t="shared" si="23"/>
        <v>9891.9017420638829</v>
      </c>
      <c r="L48" s="347">
        <f t="shared" si="24"/>
        <v>0.7750755527572093</v>
      </c>
      <c r="M48" s="503">
        <f t="shared" si="25"/>
        <v>0.25189955464609304</v>
      </c>
      <c r="N48" s="369">
        <f t="shared" si="26"/>
        <v>9891.9017420638829</v>
      </c>
      <c r="O48" s="310">
        <f t="shared" si="27"/>
        <v>21.702115477201861</v>
      </c>
      <c r="P48" s="311">
        <f t="shared" si="28"/>
        <v>66.753381981214659</v>
      </c>
      <c r="Q48" s="315">
        <f t="shared" si="29"/>
        <v>9980.3572395222982</v>
      </c>
      <c r="R48" s="66"/>
      <c r="S48" s="302">
        <f t="shared" si="30"/>
        <v>9.8919017420638824E-3</v>
      </c>
      <c r="T48" s="302">
        <f t="shared" si="31"/>
        <v>2.170211547720186E-5</v>
      </c>
      <c r="U48" s="302">
        <f t="shared" si="32"/>
        <v>6.675338198121466E-5</v>
      </c>
      <c r="V48" s="302"/>
    </row>
    <row r="49" spans="1:22" ht="14.75" customHeight="1" thickBot="1" x14ac:dyDescent="0.2">
      <c r="B49" s="305">
        <f t="shared" si="33"/>
        <v>2015</v>
      </c>
      <c r="C49" s="306">
        <v>1</v>
      </c>
      <c r="D49" s="486" t="s">
        <v>65</v>
      </c>
      <c r="E49" s="418">
        <f>'Passenger Rail'!G14+'Passenger Rail'!H14</f>
        <v>1296445.0574578892</v>
      </c>
      <c r="F49" s="402">
        <f>'Freight Summary'!E33</f>
        <v>2220491.8321336079</v>
      </c>
      <c r="G49" s="498">
        <f t="shared" si="34"/>
        <v>3516936.8895914974</v>
      </c>
      <c r="H49" s="493">
        <f>'Emission Factors'!$B$8</f>
        <v>10210</v>
      </c>
      <c r="I49" s="494">
        <f>'Emission Factors'!$C$8</f>
        <v>0.8</v>
      </c>
      <c r="J49" s="495">
        <f>'Emission Factors'!$D$8</f>
        <v>0.26</v>
      </c>
      <c r="K49" s="456">
        <f t="shared" si="23"/>
        <v>35907.925642729184</v>
      </c>
      <c r="L49" s="457">
        <f t="shared" si="24"/>
        <v>2.8135495116731981</v>
      </c>
      <c r="M49" s="504">
        <f t="shared" si="25"/>
        <v>0.91440359129378934</v>
      </c>
      <c r="N49" s="369">
        <f t="shared" si="26"/>
        <v>35907.925642729184</v>
      </c>
      <c r="O49" s="310">
        <f t="shared" si="27"/>
        <v>78.779386326849547</v>
      </c>
      <c r="P49" s="311">
        <f t="shared" si="28"/>
        <v>242.31695169285419</v>
      </c>
      <c r="Q49" s="315">
        <f t="shared" si="29"/>
        <v>36229.02198074889</v>
      </c>
      <c r="R49" s="66"/>
      <c r="S49" s="302">
        <f t="shared" si="30"/>
        <v>3.5907925642729183E-2</v>
      </c>
      <c r="T49" s="302">
        <f t="shared" si="31"/>
        <v>7.8779386326849552E-5</v>
      </c>
      <c r="U49" s="302">
        <f t="shared" si="32"/>
        <v>2.4231695169285418E-4</v>
      </c>
      <c r="V49" s="302"/>
    </row>
    <row r="50" spans="1:22" s="82" customFormat="1" ht="16" thickBot="1" x14ac:dyDescent="0.2">
      <c r="A50" s="19"/>
      <c r="B50" s="316">
        <f t="shared" si="33"/>
        <v>2015</v>
      </c>
      <c r="C50" s="317">
        <v>1</v>
      </c>
      <c r="D50" s="485" t="s">
        <v>66</v>
      </c>
      <c r="E50" s="470">
        <f>SUM(E41,E44:E49)</f>
        <v>45297991.667962842</v>
      </c>
      <c r="F50" s="319">
        <f>SUM(F41,F44:F49)</f>
        <v>22381400.720840901</v>
      </c>
      <c r="G50" s="496">
        <f>SUM(E50:F50)</f>
        <v>67679392.38880375</v>
      </c>
      <c r="H50" s="499"/>
      <c r="I50" s="500"/>
      <c r="J50" s="501"/>
      <c r="K50" s="348">
        <f t="shared" ref="K50:P50" si="35">SUM(K41,K44:K49)</f>
        <v>691006.59628968628</v>
      </c>
      <c r="L50" s="319">
        <f t="shared" si="35"/>
        <v>54.143513911042987</v>
      </c>
      <c r="M50" s="320">
        <f t="shared" si="35"/>
        <v>17.596642021088975</v>
      </c>
      <c r="N50" s="470">
        <f>SUM(N41,N44:N49)</f>
        <v>691006.59628968628</v>
      </c>
      <c r="O50" s="319">
        <f t="shared" si="35"/>
        <v>1516.0183895092039</v>
      </c>
      <c r="P50" s="320">
        <f t="shared" si="35"/>
        <v>4663.1101355885767</v>
      </c>
      <c r="Q50" s="321">
        <f>SUM(N50:P50)</f>
        <v>697185.72481478401</v>
      </c>
      <c r="R50" s="66"/>
      <c r="S50" s="302"/>
      <c r="T50" s="302"/>
      <c r="U50" s="302"/>
      <c r="V50" s="302"/>
    </row>
    <row r="51" spans="1:22" x14ac:dyDescent="0.15">
      <c r="S51" s="302"/>
      <c r="T51" s="302"/>
      <c r="U51" s="302"/>
      <c r="V51" s="302"/>
    </row>
    <row r="52" spans="1:22" customFormat="1" ht="15" thickBot="1" x14ac:dyDescent="0.2">
      <c r="B52" s="82" t="s">
        <v>132</v>
      </c>
      <c r="S52" s="302"/>
      <c r="T52" s="302"/>
      <c r="U52" s="302"/>
      <c r="V52" s="302"/>
    </row>
    <row r="53" spans="1:22" s="133" customFormat="1" ht="15" customHeight="1" x14ac:dyDescent="0.15">
      <c r="B53" s="662" t="s">
        <v>76</v>
      </c>
      <c r="C53" s="665" t="s">
        <v>80</v>
      </c>
      <c r="D53" s="668" t="s">
        <v>77</v>
      </c>
      <c r="E53" s="671" t="s">
        <v>133</v>
      </c>
      <c r="F53" s="674" t="s">
        <v>49</v>
      </c>
      <c r="G53" s="675"/>
      <c r="H53" s="676"/>
      <c r="I53" s="658" t="s">
        <v>129</v>
      </c>
      <c r="J53" s="658"/>
      <c r="K53" s="658"/>
      <c r="L53" s="659"/>
      <c r="N53"/>
      <c r="O53"/>
      <c r="P53"/>
      <c r="Q53"/>
      <c r="R53"/>
      <c r="S53" s="302"/>
      <c r="T53" s="302"/>
      <c r="U53" s="302"/>
      <c r="V53" s="302"/>
    </row>
    <row r="54" spans="1:22" s="133" customFormat="1" x14ac:dyDescent="0.15">
      <c r="B54" s="663"/>
      <c r="C54" s="666"/>
      <c r="D54" s="669"/>
      <c r="E54" s="672"/>
      <c r="F54" s="332" t="s">
        <v>94</v>
      </c>
      <c r="G54" s="303" t="s">
        <v>95</v>
      </c>
      <c r="H54" s="304" t="s">
        <v>96</v>
      </c>
      <c r="I54" s="660"/>
      <c r="J54" s="660"/>
      <c r="K54" s="660"/>
      <c r="L54" s="661"/>
      <c r="N54"/>
      <c r="O54"/>
      <c r="P54"/>
      <c r="Q54"/>
      <c r="R54"/>
      <c r="S54" s="302"/>
      <c r="T54" s="302"/>
      <c r="U54" s="302"/>
      <c r="V54" s="302"/>
    </row>
    <row r="55" spans="1:22" s="133" customFormat="1" ht="15" thickBot="1" x14ac:dyDescent="0.2">
      <c r="B55" s="664"/>
      <c r="C55" s="667"/>
      <c r="D55" s="670"/>
      <c r="E55" s="673"/>
      <c r="F55" s="322" t="s">
        <v>134</v>
      </c>
      <c r="G55" s="324" t="s">
        <v>135</v>
      </c>
      <c r="H55" s="323" t="s">
        <v>136</v>
      </c>
      <c r="I55" s="385" t="s">
        <v>94</v>
      </c>
      <c r="J55" s="324" t="s">
        <v>95</v>
      </c>
      <c r="K55" s="324" t="s">
        <v>96</v>
      </c>
      <c r="L55" s="323" t="s">
        <v>130</v>
      </c>
      <c r="N55"/>
      <c r="O55"/>
      <c r="P55"/>
      <c r="Q55"/>
      <c r="R55"/>
      <c r="S55" s="302"/>
      <c r="T55" s="302"/>
      <c r="U55" s="302"/>
      <c r="V55" s="302"/>
    </row>
    <row r="56" spans="1:22" customFormat="1" ht="15" x14ac:dyDescent="0.15">
      <c r="B56" s="305">
        <f>$B$35</f>
        <v>2015</v>
      </c>
      <c r="C56" s="306">
        <v>2</v>
      </c>
      <c r="D56" s="467" t="s">
        <v>59</v>
      </c>
      <c r="E56" s="408">
        <f>'Passenger Rail'!F6</f>
        <v>482924291.00192738</v>
      </c>
      <c r="F56" s="513">
        <f>'Emission Factors'!$B$14</f>
        <v>903.86</v>
      </c>
      <c r="G56" s="490">
        <f>'Emission Factors'!$C$14</f>
        <v>0.150199</v>
      </c>
      <c r="H56" s="491">
        <f>'Emission Factors'!$D$14</f>
        <v>2.2033999999999998E-2</v>
      </c>
      <c r="I56" s="374">
        <f t="shared" ref="I56:I64" si="36">(F56/MWh_kWh)*E56*GWP_CO2*MT_lbs</f>
        <v>197991.23246998258</v>
      </c>
      <c r="J56" s="374">
        <f t="shared" ref="J56:J64" si="37">(G56/MWh_kWh)*E56*GWP_CH4*MT_lbs</f>
        <v>921.2338011652796</v>
      </c>
      <c r="K56" s="374">
        <f t="shared" ref="K56:K64" si="38">(H56/MWh_kWh)*E56*GWP_N2O*MT_lbs</f>
        <v>1279.0396591336635</v>
      </c>
      <c r="L56" s="312">
        <f t="shared" ref="L56:L65" si="39">SUM(I56:K56)</f>
        <v>200191.50593028154</v>
      </c>
      <c r="S56" s="302">
        <f t="shared" ref="S56:S64" si="40">I56/mton_per_mmton</f>
        <v>0.1979912324699826</v>
      </c>
      <c r="T56" s="302">
        <f t="shared" ref="T56:T64" si="41">J56/mton_per_mmton</f>
        <v>9.2123380116527955E-4</v>
      </c>
      <c r="U56" s="302">
        <f t="shared" ref="U56:U64" si="42">K56/mton_per_mmton</f>
        <v>1.2790396591336635E-3</v>
      </c>
      <c r="V56" s="302"/>
    </row>
    <row r="57" spans="1:22" customFormat="1" ht="15" x14ac:dyDescent="0.15">
      <c r="B57" s="305">
        <f t="shared" ref="B57:B65" si="43">$B$35</f>
        <v>2015</v>
      </c>
      <c r="C57" s="306">
        <v>2</v>
      </c>
      <c r="D57" s="468" t="s">
        <v>58</v>
      </c>
      <c r="E57" s="408">
        <f>'Passenger Rail'!F7</f>
        <v>426845344.79675186</v>
      </c>
      <c r="F57" s="418">
        <f>'Emission Factors'!$B$14</f>
        <v>903.86</v>
      </c>
      <c r="G57" s="401">
        <f>'Emission Factors'!$C$14</f>
        <v>0.150199</v>
      </c>
      <c r="H57" s="488">
        <f>'Emission Factors'!$D$14</f>
        <v>2.2033999999999998E-2</v>
      </c>
      <c r="I57" s="374">
        <f t="shared" si="36"/>
        <v>174999.76179505597</v>
      </c>
      <c r="J57" s="374">
        <f t="shared" si="37"/>
        <v>814.25674132272366</v>
      </c>
      <c r="K57" s="374">
        <f t="shared" si="38"/>
        <v>1130.5128660621663</v>
      </c>
      <c r="L57" s="312">
        <f t="shared" si="39"/>
        <v>176944.53140244086</v>
      </c>
      <c r="S57" s="302">
        <f t="shared" si="40"/>
        <v>0.17499976179505597</v>
      </c>
      <c r="T57" s="302">
        <f t="shared" si="41"/>
        <v>8.1425674132272366E-4</v>
      </c>
      <c r="U57" s="302">
        <f t="shared" si="42"/>
        <v>1.1305128660621662E-3</v>
      </c>
      <c r="V57" s="302"/>
    </row>
    <row r="58" spans="1:22" customFormat="1" ht="15" x14ac:dyDescent="0.15">
      <c r="B58" s="305">
        <f t="shared" si="43"/>
        <v>2015</v>
      </c>
      <c r="C58" s="306">
        <v>2</v>
      </c>
      <c r="D58" s="351" t="s">
        <v>131</v>
      </c>
      <c r="E58" s="408">
        <f>'Passenger Rail'!F8</f>
        <v>56078946.205175489</v>
      </c>
      <c r="F58" s="418">
        <f>'Emission Factors'!$B$14</f>
        <v>903.86</v>
      </c>
      <c r="G58" s="401">
        <f>'Emission Factors'!$C$14</f>
        <v>0.150199</v>
      </c>
      <c r="H58" s="488">
        <f>'Emission Factors'!$D$14</f>
        <v>2.2033999999999998E-2</v>
      </c>
      <c r="I58" s="374">
        <f t="shared" si="36"/>
        <v>22991.470674926633</v>
      </c>
      <c r="J58" s="374">
        <f t="shared" si="37"/>
        <v>106.97705984255589</v>
      </c>
      <c r="K58" s="374">
        <f t="shared" si="38"/>
        <v>148.52679307149708</v>
      </c>
      <c r="L58" s="312">
        <f t="shared" si="39"/>
        <v>23246.974527840688</v>
      </c>
      <c r="S58" s="302">
        <f t="shared" si="40"/>
        <v>2.2991470674926632E-2</v>
      </c>
      <c r="T58" s="302">
        <f t="shared" si="41"/>
        <v>1.0697705984255589E-4</v>
      </c>
      <c r="U58" s="302">
        <f t="shared" si="42"/>
        <v>1.4852679307149707E-4</v>
      </c>
      <c r="V58" s="302"/>
    </row>
    <row r="59" spans="1:22" customFormat="1" ht="15" x14ac:dyDescent="0.15">
      <c r="B59" s="305">
        <f t="shared" si="43"/>
        <v>2015</v>
      </c>
      <c r="C59" s="306">
        <v>2</v>
      </c>
      <c r="D59" s="467" t="s">
        <v>60</v>
      </c>
      <c r="E59" s="408">
        <f>'Passenger Rail'!F9</f>
        <v>10878673.727406267</v>
      </c>
      <c r="F59" s="418">
        <f>'Emission Factors'!$B$14</f>
        <v>903.86</v>
      </c>
      <c r="G59" s="401">
        <f>'Emission Factors'!$C$14</f>
        <v>0.150199</v>
      </c>
      <c r="H59" s="488">
        <f>'Emission Factors'!$D$14</f>
        <v>2.2033999999999998E-2</v>
      </c>
      <c r="I59" s="374">
        <f t="shared" si="36"/>
        <v>4460.0821682821297</v>
      </c>
      <c r="J59" s="374">
        <f t="shared" si="37"/>
        <v>20.752325232476945</v>
      </c>
      <c r="K59" s="374">
        <f t="shared" si="38"/>
        <v>28.812497932667711</v>
      </c>
      <c r="L59" s="315">
        <f t="shared" si="39"/>
        <v>4509.6469914472746</v>
      </c>
      <c r="S59" s="302">
        <f t="shared" si="40"/>
        <v>4.4600821682821293E-3</v>
      </c>
      <c r="T59" s="302">
        <f t="shared" si="41"/>
        <v>2.0752325232476943E-5</v>
      </c>
      <c r="U59" s="302">
        <f t="shared" si="42"/>
        <v>2.8812497932667711E-5</v>
      </c>
      <c r="V59" s="302"/>
    </row>
    <row r="60" spans="1:22" customFormat="1" ht="15" x14ac:dyDescent="0.15">
      <c r="B60" s="305">
        <f t="shared" si="43"/>
        <v>2015</v>
      </c>
      <c r="C60" s="306">
        <v>2</v>
      </c>
      <c r="D60" s="467" t="s">
        <v>62</v>
      </c>
      <c r="E60" s="408">
        <f>'Passenger Rail'!F10</f>
        <v>1830865.8018601055</v>
      </c>
      <c r="F60" s="418">
        <f>'Emission Factors'!$B$14</f>
        <v>903.86</v>
      </c>
      <c r="G60" s="401">
        <f>'Emission Factors'!$C$14</f>
        <v>0.150199</v>
      </c>
      <c r="H60" s="488">
        <f>'Emission Factors'!$D$14</f>
        <v>2.2033999999999998E-2</v>
      </c>
      <c r="I60" s="374">
        <f t="shared" si="36"/>
        <v>750.62568471209602</v>
      </c>
      <c r="J60" s="374">
        <f t="shared" si="37"/>
        <v>3.4925877482198779</v>
      </c>
      <c r="K60" s="374">
        <f t="shared" si="38"/>
        <v>4.8491037099670038</v>
      </c>
      <c r="L60" s="315">
        <f t="shared" si="39"/>
        <v>758.96737617028293</v>
      </c>
      <c r="S60" s="302">
        <f t="shared" si="40"/>
        <v>7.5062568471209604E-4</v>
      </c>
      <c r="T60" s="302">
        <f t="shared" si="41"/>
        <v>3.4925877482198777E-6</v>
      </c>
      <c r="U60" s="302">
        <f t="shared" si="42"/>
        <v>4.8491037099670038E-6</v>
      </c>
      <c r="V60" s="302"/>
    </row>
    <row r="61" spans="1:22" customFormat="1" ht="15" x14ac:dyDescent="0.15">
      <c r="B61" s="305">
        <f t="shared" si="43"/>
        <v>2015</v>
      </c>
      <c r="C61" s="306">
        <v>2</v>
      </c>
      <c r="D61" s="467" t="s">
        <v>61</v>
      </c>
      <c r="E61" s="408">
        <f>'Passenger Rail'!F11</f>
        <v>0</v>
      </c>
      <c r="F61" s="418">
        <f>'Emission Factors'!$B$14</f>
        <v>903.86</v>
      </c>
      <c r="G61" s="401">
        <f>'Emission Factors'!$C$14</f>
        <v>0.150199</v>
      </c>
      <c r="H61" s="488">
        <f>'Emission Factors'!$D$14</f>
        <v>2.2033999999999998E-2</v>
      </c>
      <c r="I61" s="374">
        <f t="shared" si="36"/>
        <v>0</v>
      </c>
      <c r="J61" s="374">
        <f t="shared" si="37"/>
        <v>0</v>
      </c>
      <c r="K61" s="374">
        <f t="shared" si="38"/>
        <v>0</v>
      </c>
      <c r="L61" s="315">
        <f t="shared" si="39"/>
        <v>0</v>
      </c>
      <c r="S61" s="302">
        <f t="shared" si="40"/>
        <v>0</v>
      </c>
      <c r="T61" s="302">
        <f t="shared" si="41"/>
        <v>0</v>
      </c>
      <c r="U61" s="302">
        <f t="shared" si="42"/>
        <v>0</v>
      </c>
      <c r="V61" s="302"/>
    </row>
    <row r="62" spans="1:22" customFormat="1" ht="15" x14ac:dyDescent="0.15">
      <c r="B62" s="305">
        <f t="shared" si="43"/>
        <v>2015</v>
      </c>
      <c r="C62" s="306">
        <v>2</v>
      </c>
      <c r="D62" s="467" t="s">
        <v>63</v>
      </c>
      <c r="E62" s="408">
        <f>'Passenger Rail'!F12</f>
        <v>10203797.473138293</v>
      </c>
      <c r="F62" s="418">
        <f>'Emission Factors'!$B$14</f>
        <v>903.86</v>
      </c>
      <c r="G62" s="401">
        <f>'Emission Factors'!$C$14</f>
        <v>0.150199</v>
      </c>
      <c r="H62" s="488">
        <f>'Emission Factors'!$D$14</f>
        <v>2.2033999999999998E-2</v>
      </c>
      <c r="I62" s="374">
        <f t="shared" si="36"/>
        <v>4183.3937021252095</v>
      </c>
      <c r="J62" s="374">
        <f t="shared" si="37"/>
        <v>19.464920915445003</v>
      </c>
      <c r="K62" s="374">
        <f t="shared" si="38"/>
        <v>27.025067666061247</v>
      </c>
      <c r="L62" s="315">
        <f t="shared" si="39"/>
        <v>4229.8836907067162</v>
      </c>
      <c r="S62" s="302">
        <f t="shared" si="40"/>
        <v>4.1833937021252092E-3</v>
      </c>
      <c r="T62" s="302">
        <f t="shared" si="41"/>
        <v>1.9464920915445002E-5</v>
      </c>
      <c r="U62" s="302">
        <f t="shared" si="42"/>
        <v>2.7025067666061247E-5</v>
      </c>
      <c r="V62" s="302"/>
    </row>
    <row r="63" spans="1:22" customFormat="1" ht="15" x14ac:dyDescent="0.15">
      <c r="B63" s="305">
        <f t="shared" si="43"/>
        <v>2015</v>
      </c>
      <c r="C63" s="306">
        <v>2</v>
      </c>
      <c r="D63" s="467" t="s">
        <v>64</v>
      </c>
      <c r="E63" s="408">
        <f>'Passenger Rail'!F13</f>
        <v>2622630.9146358795</v>
      </c>
      <c r="F63" s="418">
        <f>'Emission Factors'!$B$14</f>
        <v>903.86</v>
      </c>
      <c r="G63" s="401">
        <f>'Emission Factors'!$C$14</f>
        <v>0.150199</v>
      </c>
      <c r="H63" s="488">
        <f>'Emission Factors'!$D$14</f>
        <v>2.2033999999999998E-2</v>
      </c>
      <c r="I63" s="374">
        <f t="shared" si="36"/>
        <v>1075.2367126228553</v>
      </c>
      <c r="J63" s="374">
        <f t="shared" si="37"/>
        <v>5.0029710485901875</v>
      </c>
      <c r="K63" s="374">
        <f t="shared" si="38"/>
        <v>6.9461176701834111</v>
      </c>
      <c r="L63" s="315">
        <f t="shared" si="39"/>
        <v>1087.1858013416288</v>
      </c>
      <c r="S63" s="302">
        <f t="shared" si="40"/>
        <v>1.0752367126228553E-3</v>
      </c>
      <c r="T63" s="302">
        <f t="shared" si="41"/>
        <v>5.0029710485901874E-6</v>
      </c>
      <c r="U63" s="302">
        <f t="shared" si="42"/>
        <v>6.9461176701834108E-6</v>
      </c>
      <c r="V63" s="302"/>
    </row>
    <row r="64" spans="1:22" customFormat="1" ht="16" thickBot="1" x14ac:dyDescent="0.2">
      <c r="B64" s="305">
        <f t="shared" si="43"/>
        <v>2015</v>
      </c>
      <c r="C64" s="306">
        <v>2</v>
      </c>
      <c r="D64" s="467" t="s">
        <v>65</v>
      </c>
      <c r="E64" s="408">
        <f>'Passenger Rail'!F14</f>
        <v>2997465.8480293327</v>
      </c>
      <c r="F64" s="451">
        <f>'Emission Factors'!$B$14</f>
        <v>903.86</v>
      </c>
      <c r="G64" s="494">
        <f>'Emission Factors'!$C$14</f>
        <v>0.150199</v>
      </c>
      <c r="H64" s="495">
        <f>'Emission Factors'!$D$14</f>
        <v>2.2033999999999998E-2</v>
      </c>
      <c r="I64" s="374">
        <f t="shared" si="36"/>
        <v>1228.913037914758</v>
      </c>
      <c r="J64" s="374">
        <f t="shared" si="37"/>
        <v>5.7180119296010945</v>
      </c>
      <c r="K64" s="374">
        <f t="shared" si="38"/>
        <v>7.9388793812256884</v>
      </c>
      <c r="L64" s="315">
        <f t="shared" si="39"/>
        <v>1242.5699292255847</v>
      </c>
      <c r="S64" s="302">
        <f t="shared" si="40"/>
        <v>1.228913037914758E-3</v>
      </c>
      <c r="T64" s="302">
        <f t="shared" si="41"/>
        <v>5.7180119296010949E-6</v>
      </c>
      <c r="U64" s="302">
        <f t="shared" si="42"/>
        <v>7.9388793812256877E-6</v>
      </c>
      <c r="V64" s="302"/>
    </row>
    <row r="65" spans="1:26" s="19" customFormat="1" ht="16" thickBot="1" x14ac:dyDescent="0.2">
      <c r="B65" s="316">
        <f t="shared" si="43"/>
        <v>2015</v>
      </c>
      <c r="C65" s="317">
        <v>2</v>
      </c>
      <c r="D65" s="469" t="s">
        <v>66</v>
      </c>
      <c r="E65" s="459">
        <f>SUM(E56,E59:E64)</f>
        <v>511457724.76699722</v>
      </c>
      <c r="F65" s="512"/>
      <c r="G65" s="500"/>
      <c r="H65" s="501"/>
      <c r="I65" s="348">
        <f t="shared" ref="I65:K65" si="44">SUM(I56,I59:I64)</f>
        <v>209689.48377563962</v>
      </c>
      <c r="J65" s="319">
        <f t="shared" si="44"/>
        <v>975.66461803961261</v>
      </c>
      <c r="K65" s="320">
        <f t="shared" si="44"/>
        <v>1354.6113254937684</v>
      </c>
      <c r="L65" s="321">
        <f t="shared" si="39"/>
        <v>212019.75971917302</v>
      </c>
      <c r="N65"/>
      <c r="O65"/>
      <c r="P65"/>
      <c r="Q65"/>
      <c r="R65"/>
      <c r="S65" s="302"/>
      <c r="T65" s="302"/>
      <c r="U65" s="302"/>
      <c r="V65" s="302"/>
    </row>
    <row r="66" spans="1:26" x14ac:dyDescent="0.15">
      <c r="S66" s="302"/>
      <c r="T66" s="302"/>
      <c r="U66" s="302"/>
      <c r="V66" s="302"/>
    </row>
    <row r="67" spans="1:26" ht="18" x14ac:dyDescent="0.2">
      <c r="A67" s="300"/>
      <c r="B67" s="301">
        <v>2010</v>
      </c>
      <c r="C67" s="29"/>
      <c r="D67" s="29"/>
      <c r="E67" s="29"/>
      <c r="F67" s="29"/>
      <c r="G67" s="29"/>
      <c r="H67" s="29"/>
      <c r="I67" s="29"/>
      <c r="J67" s="29"/>
      <c r="K67" s="29"/>
      <c r="L67" s="29"/>
      <c r="M67" s="29"/>
      <c r="N67" s="29"/>
      <c r="O67" s="29"/>
      <c r="P67" s="29"/>
      <c r="Q67" s="29"/>
      <c r="S67" s="302"/>
      <c r="T67" s="302"/>
      <c r="U67" s="302"/>
      <c r="V67" s="302"/>
    </row>
    <row r="68" spans="1:26" x14ac:dyDescent="0.15">
      <c r="S68" s="302"/>
      <c r="T68" s="302"/>
      <c r="U68" s="302"/>
      <c r="V68" s="302"/>
    </row>
    <row r="69" spans="1:26" ht="15" thickBot="1" x14ac:dyDescent="0.2">
      <c r="B69" s="82" t="s">
        <v>140</v>
      </c>
      <c r="S69" s="302"/>
      <c r="T69" s="302"/>
      <c r="U69" s="302"/>
      <c r="V69" s="302"/>
    </row>
    <row r="70" spans="1:26" s="479" customFormat="1" ht="15" customHeight="1" x14ac:dyDescent="0.15">
      <c r="A70" s="133"/>
      <c r="B70" s="662" t="s">
        <v>76</v>
      </c>
      <c r="C70" s="665" t="s">
        <v>80</v>
      </c>
      <c r="D70" s="677" t="s">
        <v>77</v>
      </c>
      <c r="E70" s="685" t="s">
        <v>141</v>
      </c>
      <c r="F70" s="686"/>
      <c r="G70" s="687"/>
      <c r="H70" s="691" t="s">
        <v>49</v>
      </c>
      <c r="I70" s="686"/>
      <c r="J70" s="687"/>
      <c r="K70" s="682" t="s">
        <v>128</v>
      </c>
      <c r="L70" s="658"/>
      <c r="M70" s="659"/>
      <c r="N70" s="682" t="s">
        <v>129</v>
      </c>
      <c r="O70" s="658"/>
      <c r="P70" s="658"/>
      <c r="Q70" s="659"/>
      <c r="R70" s="66"/>
      <c r="S70" s="302"/>
      <c r="T70" s="302"/>
      <c r="U70" s="302"/>
      <c r="V70" s="302"/>
    </row>
    <row r="71" spans="1:26" s="479" customFormat="1" x14ac:dyDescent="0.15">
      <c r="A71" s="133"/>
      <c r="B71" s="663"/>
      <c r="C71" s="666"/>
      <c r="D71" s="684"/>
      <c r="E71" s="688"/>
      <c r="F71" s="689"/>
      <c r="G71" s="690"/>
      <c r="H71" s="405" t="s">
        <v>94</v>
      </c>
      <c r="I71" s="303" t="s">
        <v>95</v>
      </c>
      <c r="J71" s="304" t="s">
        <v>96</v>
      </c>
      <c r="K71" s="683"/>
      <c r="L71" s="660"/>
      <c r="M71" s="661"/>
      <c r="N71" s="683"/>
      <c r="O71" s="660"/>
      <c r="P71" s="660"/>
      <c r="Q71" s="661"/>
      <c r="R71" s="66"/>
      <c r="S71" s="302"/>
      <c r="T71" s="302"/>
      <c r="U71" s="302"/>
      <c r="V71" s="302"/>
    </row>
    <row r="72" spans="1:26" s="479" customFormat="1" ht="15" customHeight="1" thickBot="1" x14ac:dyDescent="0.2">
      <c r="A72" s="133"/>
      <c r="B72" s="664"/>
      <c r="C72" s="667"/>
      <c r="D72" s="684"/>
      <c r="E72" s="332" t="s">
        <v>102</v>
      </c>
      <c r="F72" s="410" t="s">
        <v>142</v>
      </c>
      <c r="G72" s="487" t="s">
        <v>88</v>
      </c>
      <c r="H72" s="385" t="s">
        <v>143</v>
      </c>
      <c r="I72" s="324" t="s">
        <v>144</v>
      </c>
      <c r="J72" s="323" t="s">
        <v>145</v>
      </c>
      <c r="K72" s="405" t="s">
        <v>94</v>
      </c>
      <c r="L72" s="303" t="s">
        <v>95</v>
      </c>
      <c r="M72" s="411" t="s">
        <v>96</v>
      </c>
      <c r="N72" s="322" t="s">
        <v>94</v>
      </c>
      <c r="O72" s="324" t="s">
        <v>95</v>
      </c>
      <c r="P72" s="324" t="s">
        <v>96</v>
      </c>
      <c r="Q72" s="323" t="s">
        <v>130</v>
      </c>
      <c r="R72" s="66"/>
      <c r="S72" s="302"/>
      <c r="T72" s="302"/>
      <c r="U72" s="302"/>
      <c r="V72" s="302"/>
    </row>
    <row r="73" spans="1:26" ht="14.75" customHeight="1" x14ac:dyDescent="0.15">
      <c r="B73" s="305">
        <f>$B$67</f>
        <v>2010</v>
      </c>
      <c r="C73" s="306">
        <v>1</v>
      </c>
      <c r="D73" s="409" t="s">
        <v>59</v>
      </c>
      <c r="E73" s="418">
        <f>'Passenger Rail'!D6+'Passenger Rail'!E6</f>
        <v>36505961.240175657</v>
      </c>
      <c r="F73" s="402">
        <f>'Freight Summary'!E48</f>
        <v>8768893.2570517194</v>
      </c>
      <c r="G73" s="497">
        <f>SUM(E73:F73)</f>
        <v>45274854.497227378</v>
      </c>
      <c r="H73" s="489">
        <f>'Emission Factors'!$B$8</f>
        <v>10210</v>
      </c>
      <c r="I73" s="490">
        <f>'Emission Factors'!$C$8</f>
        <v>0.8</v>
      </c>
      <c r="J73" s="491">
        <f>'Emission Factors'!$D$8</f>
        <v>0.26</v>
      </c>
      <c r="K73" s="454">
        <f t="shared" ref="K73:K81" si="45">G73*H73/grams_to_mton</f>
        <v>462256.26441669156</v>
      </c>
      <c r="L73" s="347">
        <f t="shared" ref="L73:L81" si="46">G73*I73/grams_to_mton</f>
        <v>36.219883597781902</v>
      </c>
      <c r="M73" s="503">
        <f t="shared" ref="M73:M81" si="47">G73*J73/grams_to_mton</f>
        <v>11.771462169279118</v>
      </c>
      <c r="N73" s="369">
        <f t="shared" ref="N73:N81" si="48">K73*CO2_GWP</f>
        <v>462256.26441669156</v>
      </c>
      <c r="O73" s="310">
        <f t="shared" ref="O73:O81" si="49">L73*CH4_GWP</f>
        <v>1014.1567407378932</v>
      </c>
      <c r="P73" s="311">
        <f t="shared" ref="P73:P81" si="50">M73*N2O_GWP</f>
        <v>3119.4374748589662</v>
      </c>
      <c r="Q73" s="312">
        <f t="shared" ref="Q73:Q82" si="51">SUM(N73:P73)</f>
        <v>466389.85863228841</v>
      </c>
      <c r="R73" s="66"/>
      <c r="S73" s="302">
        <f t="shared" ref="S73:S81" si="52">N73/mton_per_mmton</f>
        <v>0.46225626441669154</v>
      </c>
      <c r="T73" s="302">
        <f t="shared" ref="T73:T81" si="53">O73/mton_per_mmton</f>
        <v>1.0141567407378931E-3</v>
      </c>
      <c r="U73" s="302">
        <f t="shared" ref="U73:U81" si="54">P73/mton_per_mmton</f>
        <v>3.119437474858966E-3</v>
      </c>
      <c r="V73" s="302"/>
    </row>
    <row r="74" spans="1:26" ht="14.75" customHeight="1" x14ac:dyDescent="0.15">
      <c r="B74" s="305">
        <f t="shared" ref="B74:B82" si="55">$B$67</f>
        <v>2010</v>
      </c>
      <c r="C74" s="306">
        <v>1</v>
      </c>
      <c r="D74" s="450" t="s">
        <v>58</v>
      </c>
      <c r="E74" s="418">
        <f>'Passenger Rail'!D7+'Passenger Rail'!E7</f>
        <v>27371912.246811494</v>
      </c>
      <c r="F74" s="402">
        <f>F73*'Constants &amp; Conversions'!$D$62</f>
        <v>4236920.0022282777</v>
      </c>
      <c r="G74" s="497">
        <f t="shared" ref="G74:G81" si="56">SUM(E74:F74)</f>
        <v>31608832.249039773</v>
      </c>
      <c r="H74" s="492">
        <f>'Emission Factors'!$B$8</f>
        <v>10210</v>
      </c>
      <c r="I74" s="401">
        <f>'Emission Factors'!$C$8</f>
        <v>0.8</v>
      </c>
      <c r="J74" s="488">
        <f>'Emission Factors'!$D$8</f>
        <v>0.26</v>
      </c>
      <c r="K74" s="454">
        <f t="shared" si="45"/>
        <v>322726.17726269609</v>
      </c>
      <c r="L74" s="347">
        <f t="shared" si="46"/>
        <v>25.287065799231819</v>
      </c>
      <c r="M74" s="503">
        <f t="shared" si="47"/>
        <v>8.2182963847503405</v>
      </c>
      <c r="N74" s="369">
        <f t="shared" si="48"/>
        <v>322726.17726269609</v>
      </c>
      <c r="O74" s="310">
        <f t="shared" si="49"/>
        <v>708.03784237849095</v>
      </c>
      <c r="P74" s="311">
        <f t="shared" si="50"/>
        <v>2177.8485419588401</v>
      </c>
      <c r="Q74" s="312">
        <f t="shared" si="51"/>
        <v>325612.06364703341</v>
      </c>
      <c r="R74" s="66"/>
      <c r="S74" s="302">
        <f t="shared" si="52"/>
        <v>0.32272617726269609</v>
      </c>
      <c r="T74" s="302">
        <f t="shared" si="53"/>
        <v>7.0803784237849097E-4</v>
      </c>
      <c r="U74" s="302">
        <f t="shared" si="54"/>
        <v>2.1778485419588402E-3</v>
      </c>
      <c r="V74" s="302"/>
      <c r="Z74" s="111"/>
    </row>
    <row r="75" spans="1:26" ht="14.75" customHeight="1" x14ac:dyDescent="0.15">
      <c r="B75" s="305">
        <f t="shared" si="55"/>
        <v>2010</v>
      </c>
      <c r="C75" s="306">
        <v>1</v>
      </c>
      <c r="D75" s="314" t="s">
        <v>131</v>
      </c>
      <c r="E75" s="418">
        <f>'Passenger Rail'!D8+'Passenger Rail'!E8</f>
        <v>9134048.9933641665</v>
      </c>
      <c r="F75" s="502">
        <f>F73-F74</f>
        <v>4531973.2548234416</v>
      </c>
      <c r="G75" s="497">
        <f t="shared" si="56"/>
        <v>13666022.248187609</v>
      </c>
      <c r="H75" s="492">
        <f>'Emission Factors'!$B$8</f>
        <v>10210</v>
      </c>
      <c r="I75" s="401">
        <f>'Emission Factors'!$C$8</f>
        <v>0.8</v>
      </c>
      <c r="J75" s="488">
        <f>'Emission Factors'!$D$8</f>
        <v>0.26</v>
      </c>
      <c r="K75" s="454">
        <f t="shared" si="45"/>
        <v>139530.0871539955</v>
      </c>
      <c r="L75" s="347">
        <f t="shared" si="46"/>
        <v>10.932817798550088</v>
      </c>
      <c r="M75" s="503">
        <f t="shared" si="47"/>
        <v>3.5531657845287783</v>
      </c>
      <c r="N75" s="369">
        <f t="shared" si="48"/>
        <v>139530.0871539955</v>
      </c>
      <c r="O75" s="310">
        <f t="shared" si="49"/>
        <v>306.11889835940246</v>
      </c>
      <c r="P75" s="311">
        <f t="shared" si="50"/>
        <v>941.58893290012622</v>
      </c>
      <c r="Q75" s="312">
        <f t="shared" si="51"/>
        <v>140777.79498525502</v>
      </c>
      <c r="R75" s="66"/>
      <c r="S75" s="302">
        <f t="shared" si="52"/>
        <v>0.13953008715399551</v>
      </c>
      <c r="T75" s="302">
        <f t="shared" si="53"/>
        <v>3.0611889835940246E-4</v>
      </c>
      <c r="U75" s="302">
        <f t="shared" si="54"/>
        <v>9.4158893290012622E-4</v>
      </c>
      <c r="V75" s="302"/>
    </row>
    <row r="76" spans="1:26" ht="14.75" customHeight="1" x14ac:dyDescent="0.15">
      <c r="B76" s="305">
        <f t="shared" si="55"/>
        <v>2010</v>
      </c>
      <c r="C76" s="306">
        <v>1</v>
      </c>
      <c r="D76" s="409" t="s">
        <v>60</v>
      </c>
      <c r="E76" s="418">
        <f>'Passenger Rail'!D9+'Passenger Rail'!E9</f>
        <v>3480102.272739525</v>
      </c>
      <c r="F76" s="402">
        <f>'Freight Summary'!E49</f>
        <v>3186225.606607832</v>
      </c>
      <c r="G76" s="497">
        <f t="shared" si="56"/>
        <v>6666327.879347357</v>
      </c>
      <c r="H76" s="492">
        <f>'Emission Factors'!$B$8</f>
        <v>10210</v>
      </c>
      <c r="I76" s="401">
        <f>'Emission Factors'!$C$8</f>
        <v>0.8</v>
      </c>
      <c r="J76" s="488">
        <f>'Emission Factors'!$D$8</f>
        <v>0.26</v>
      </c>
      <c r="K76" s="454">
        <f t="shared" si="45"/>
        <v>68063.207648136507</v>
      </c>
      <c r="L76" s="347">
        <f t="shared" si="46"/>
        <v>5.3330623034778863</v>
      </c>
      <c r="M76" s="503">
        <f t="shared" si="47"/>
        <v>1.7332452486303129</v>
      </c>
      <c r="N76" s="369">
        <f t="shared" si="48"/>
        <v>68063.207648136507</v>
      </c>
      <c r="O76" s="310">
        <f t="shared" si="49"/>
        <v>149.32574449738081</v>
      </c>
      <c r="P76" s="311">
        <f t="shared" si="50"/>
        <v>459.30999088703294</v>
      </c>
      <c r="Q76" s="315">
        <f t="shared" si="51"/>
        <v>68671.843383520929</v>
      </c>
      <c r="R76" s="66"/>
      <c r="S76" s="302">
        <f t="shared" si="52"/>
        <v>6.8063207648136503E-2</v>
      </c>
      <c r="T76" s="302">
        <f t="shared" si="53"/>
        <v>1.493257444973808E-4</v>
      </c>
      <c r="U76" s="302">
        <f t="shared" si="54"/>
        <v>4.5930999088703294E-4</v>
      </c>
      <c r="V76" s="302"/>
    </row>
    <row r="77" spans="1:26" ht="14.75" customHeight="1" x14ac:dyDescent="0.15">
      <c r="B77" s="305">
        <f t="shared" si="55"/>
        <v>2010</v>
      </c>
      <c r="C77" s="306">
        <v>1</v>
      </c>
      <c r="D77" s="409" t="s">
        <v>62</v>
      </c>
      <c r="E77" s="418">
        <f>'Passenger Rail'!D10+'Passenger Rail'!E10</f>
        <v>603502.57949952665</v>
      </c>
      <c r="F77" s="402">
        <f>'Freight Summary'!E50</f>
        <v>2523041.1380860447</v>
      </c>
      <c r="G77" s="497">
        <f t="shared" si="56"/>
        <v>3126543.7175855711</v>
      </c>
      <c r="H77" s="492">
        <f>'Emission Factors'!$B$8</f>
        <v>10210</v>
      </c>
      <c r="I77" s="401">
        <f>'Emission Factors'!$C$8</f>
        <v>0.8</v>
      </c>
      <c r="J77" s="488">
        <f>'Emission Factors'!$D$8</f>
        <v>0.26</v>
      </c>
      <c r="K77" s="454">
        <f t="shared" si="45"/>
        <v>31922.011356548679</v>
      </c>
      <c r="L77" s="347">
        <f t="shared" si="46"/>
        <v>2.5012349740684567</v>
      </c>
      <c r="M77" s="503">
        <f t="shared" si="47"/>
        <v>0.81290136657224854</v>
      </c>
      <c r="N77" s="369">
        <f t="shared" si="48"/>
        <v>31922.011356548679</v>
      </c>
      <c r="O77" s="310">
        <f t="shared" si="49"/>
        <v>70.03457927391679</v>
      </c>
      <c r="P77" s="311">
        <f t="shared" si="50"/>
        <v>215.41886214164586</v>
      </c>
      <c r="Q77" s="315">
        <f t="shared" si="51"/>
        <v>32207.464797964243</v>
      </c>
      <c r="R77" s="66"/>
      <c r="S77" s="302">
        <f t="shared" si="52"/>
        <v>3.192201135654868E-2</v>
      </c>
      <c r="T77" s="302">
        <f t="shared" si="53"/>
        <v>7.0034579273916785E-5</v>
      </c>
      <c r="U77" s="302">
        <f t="shared" si="54"/>
        <v>2.1541886214164585E-4</v>
      </c>
      <c r="V77" s="302"/>
    </row>
    <row r="78" spans="1:26" ht="14.75" customHeight="1" x14ac:dyDescent="0.15">
      <c r="B78" s="305">
        <f t="shared" si="55"/>
        <v>2010</v>
      </c>
      <c r="C78" s="306">
        <v>1</v>
      </c>
      <c r="D78" s="409" t="s">
        <v>61</v>
      </c>
      <c r="E78" s="418">
        <f>'Passenger Rail'!D11+'Passenger Rail'!E11</f>
        <v>86651.976190297064</v>
      </c>
      <c r="F78" s="402">
        <f>'Freight Summary'!E51</f>
        <v>694581.4183717171</v>
      </c>
      <c r="G78" s="497">
        <f t="shared" si="56"/>
        <v>781233.39456201415</v>
      </c>
      <c r="H78" s="492">
        <f>'Emission Factors'!$B$8</f>
        <v>10210</v>
      </c>
      <c r="I78" s="401">
        <f>'Emission Factors'!$C$8</f>
        <v>0.8</v>
      </c>
      <c r="J78" s="488">
        <f>'Emission Factors'!$D$8</f>
        <v>0.26</v>
      </c>
      <c r="K78" s="454">
        <f t="shared" si="45"/>
        <v>7976.3929584781645</v>
      </c>
      <c r="L78" s="347">
        <f t="shared" si="46"/>
        <v>0.62498671564961128</v>
      </c>
      <c r="M78" s="503">
        <f t="shared" si="47"/>
        <v>0.20312068258612367</v>
      </c>
      <c r="N78" s="369">
        <f t="shared" si="48"/>
        <v>7976.3929584781645</v>
      </c>
      <c r="O78" s="310">
        <f t="shared" si="49"/>
        <v>17.499628038189115</v>
      </c>
      <c r="P78" s="311">
        <f t="shared" si="50"/>
        <v>53.826980885322776</v>
      </c>
      <c r="Q78" s="315">
        <f t="shared" si="51"/>
        <v>8047.7195674016766</v>
      </c>
      <c r="R78" s="66"/>
      <c r="S78" s="302">
        <f t="shared" si="52"/>
        <v>7.9763929584781637E-3</v>
      </c>
      <c r="T78" s="302">
        <f t="shared" si="53"/>
        <v>1.7499628038189115E-5</v>
      </c>
      <c r="U78" s="302">
        <f t="shared" si="54"/>
        <v>5.3826980885322777E-5</v>
      </c>
      <c r="V78" s="302"/>
    </row>
    <row r="79" spans="1:26" ht="14.75" customHeight="1" x14ac:dyDescent="0.15">
      <c r="B79" s="305">
        <f t="shared" si="55"/>
        <v>2010</v>
      </c>
      <c r="C79" s="306">
        <v>1</v>
      </c>
      <c r="D79" s="409" t="s">
        <v>63</v>
      </c>
      <c r="E79" s="418">
        <f>'Passenger Rail'!D12+'Passenger Rail'!E12</f>
        <v>3449309.5664949478</v>
      </c>
      <c r="F79" s="402">
        <f>'Freight Summary'!E52</f>
        <v>1884050.059618846</v>
      </c>
      <c r="G79" s="497">
        <f t="shared" si="56"/>
        <v>5333359.6261137938</v>
      </c>
      <c r="H79" s="492">
        <f>'Emission Factors'!$B$8</f>
        <v>10210</v>
      </c>
      <c r="I79" s="401">
        <f>'Emission Factors'!$C$8</f>
        <v>0.8</v>
      </c>
      <c r="J79" s="488">
        <f>'Emission Factors'!$D$8</f>
        <v>0.26</v>
      </c>
      <c r="K79" s="454">
        <f t="shared" si="45"/>
        <v>54453.60178262183</v>
      </c>
      <c r="L79" s="347">
        <f t="shared" si="46"/>
        <v>4.266687700891036</v>
      </c>
      <c r="M79" s="503">
        <f t="shared" si="47"/>
        <v>1.3866735027895865</v>
      </c>
      <c r="N79" s="369">
        <f t="shared" si="48"/>
        <v>54453.60178262183</v>
      </c>
      <c r="O79" s="310">
        <f t="shared" si="49"/>
        <v>119.467255624949</v>
      </c>
      <c r="P79" s="311">
        <f t="shared" si="50"/>
        <v>367.46847823924043</v>
      </c>
      <c r="Q79" s="315">
        <f t="shared" si="51"/>
        <v>54940.537516486023</v>
      </c>
      <c r="R79" s="66"/>
      <c r="S79" s="302">
        <f t="shared" si="52"/>
        <v>5.4453601782621833E-2</v>
      </c>
      <c r="T79" s="302">
        <f t="shared" si="53"/>
        <v>1.1946725562494901E-4</v>
      </c>
      <c r="U79" s="302">
        <f t="shared" si="54"/>
        <v>3.6746847823924044E-4</v>
      </c>
      <c r="V79" s="302"/>
    </row>
    <row r="80" spans="1:26" ht="14.75" customHeight="1" x14ac:dyDescent="0.15">
      <c r="B80" s="305">
        <f t="shared" si="55"/>
        <v>2010</v>
      </c>
      <c r="C80" s="306">
        <v>1</v>
      </c>
      <c r="D80" s="409" t="s">
        <v>64</v>
      </c>
      <c r="E80" s="418">
        <f>'Passenger Rail'!D13+'Passenger Rail'!E13</f>
        <v>812541.02231770009</v>
      </c>
      <c r="F80" s="402">
        <f>'Freight Summary'!E53</f>
        <v>68545.175605822311</v>
      </c>
      <c r="G80" s="497">
        <f t="shared" si="56"/>
        <v>881086.19792352244</v>
      </c>
      <c r="H80" s="492">
        <f>'Emission Factors'!$B$8</f>
        <v>10210</v>
      </c>
      <c r="I80" s="401">
        <f>'Emission Factors'!$C$8</f>
        <v>0.8</v>
      </c>
      <c r="J80" s="488">
        <f>'Emission Factors'!$D$8</f>
        <v>0.26</v>
      </c>
      <c r="K80" s="454">
        <f t="shared" si="45"/>
        <v>8995.8900807991631</v>
      </c>
      <c r="L80" s="347">
        <f t="shared" si="46"/>
        <v>0.70486895833881802</v>
      </c>
      <c r="M80" s="503">
        <f t="shared" si="47"/>
        <v>0.22908241146011585</v>
      </c>
      <c r="N80" s="369">
        <f t="shared" si="48"/>
        <v>8995.8900807991631</v>
      </c>
      <c r="O80" s="310">
        <f t="shared" si="49"/>
        <v>19.736330833486903</v>
      </c>
      <c r="P80" s="311">
        <f t="shared" si="50"/>
        <v>60.706839036930702</v>
      </c>
      <c r="Q80" s="315">
        <f t="shared" si="51"/>
        <v>9076.3332506695806</v>
      </c>
      <c r="R80" s="66"/>
      <c r="S80" s="302">
        <f t="shared" si="52"/>
        <v>8.9958900807991637E-3</v>
      </c>
      <c r="T80" s="302">
        <f t="shared" si="53"/>
        <v>1.9736330833486903E-5</v>
      </c>
      <c r="U80" s="302">
        <f t="shared" si="54"/>
        <v>6.0706839036930704E-5</v>
      </c>
      <c r="V80" s="302"/>
    </row>
    <row r="81" spans="1:22" ht="14.75" customHeight="1" thickBot="1" x14ac:dyDescent="0.2">
      <c r="B81" s="305">
        <f t="shared" si="55"/>
        <v>2010</v>
      </c>
      <c r="C81" s="306">
        <v>1</v>
      </c>
      <c r="D81" s="486" t="s">
        <v>65</v>
      </c>
      <c r="E81" s="418">
        <f>'Passenger Rail'!D14+'Passenger Rail'!E14</f>
        <v>1235065.1391716278</v>
      </c>
      <c r="F81" s="412">
        <f>'Freight Summary'!E54</f>
        <v>2812934.6918502855</v>
      </c>
      <c r="G81" s="498">
        <f t="shared" si="56"/>
        <v>4047999.8310219133</v>
      </c>
      <c r="H81" s="493">
        <f>'Emission Factors'!$B$8</f>
        <v>10210</v>
      </c>
      <c r="I81" s="494">
        <f>'Emission Factors'!$C$8</f>
        <v>0.8</v>
      </c>
      <c r="J81" s="495">
        <f>'Emission Factors'!$D$8</f>
        <v>0.26</v>
      </c>
      <c r="K81" s="456">
        <f t="shared" si="45"/>
        <v>41330.078274733736</v>
      </c>
      <c r="L81" s="457">
        <f t="shared" si="46"/>
        <v>3.2383998648175307</v>
      </c>
      <c r="M81" s="504">
        <f t="shared" si="47"/>
        <v>1.0524799560656977</v>
      </c>
      <c r="N81" s="369">
        <f t="shared" si="48"/>
        <v>41330.078274733736</v>
      </c>
      <c r="O81" s="310">
        <f t="shared" si="49"/>
        <v>90.67519621489086</v>
      </c>
      <c r="P81" s="311">
        <f t="shared" si="50"/>
        <v>278.90718835740989</v>
      </c>
      <c r="Q81" s="315">
        <f t="shared" si="51"/>
        <v>41699.660659306035</v>
      </c>
      <c r="R81" s="66"/>
      <c r="S81" s="302">
        <f t="shared" si="52"/>
        <v>4.1330078274733735E-2</v>
      </c>
      <c r="T81" s="302">
        <f t="shared" si="53"/>
        <v>9.0675196214890861E-5</v>
      </c>
      <c r="U81" s="302">
        <f t="shared" si="54"/>
        <v>2.7890718835740991E-4</v>
      </c>
      <c r="V81" s="302"/>
    </row>
    <row r="82" spans="1:22" s="82" customFormat="1" ht="16" thickBot="1" x14ac:dyDescent="0.2">
      <c r="A82" s="19"/>
      <c r="B82" s="316">
        <f t="shared" si="55"/>
        <v>2010</v>
      </c>
      <c r="C82" s="317">
        <v>1</v>
      </c>
      <c r="D82" s="485" t="s">
        <v>66</v>
      </c>
      <c r="E82" s="470">
        <f>SUM(E73,E76:E81)</f>
        <v>46173133.796589285</v>
      </c>
      <c r="F82" s="319">
        <f>SUM(F73,F76:F81)</f>
        <v>19938271.347192269</v>
      </c>
      <c r="G82" s="496">
        <f>SUM(E82:F82)</f>
        <v>66111405.143781558</v>
      </c>
      <c r="H82" s="499"/>
      <c r="I82" s="500"/>
      <c r="J82" s="501"/>
      <c r="K82" s="348">
        <f t="shared" ref="K82:P82" si="57">SUM(K73,K76:K81)</f>
        <v>674997.44651800953</v>
      </c>
      <c r="L82" s="319">
        <f t="shared" si="57"/>
        <v>52.889124115025247</v>
      </c>
      <c r="M82" s="320">
        <f t="shared" si="57"/>
        <v>17.188965337383202</v>
      </c>
      <c r="N82" s="470">
        <f t="shared" si="57"/>
        <v>674997.44651800953</v>
      </c>
      <c r="O82" s="319">
        <f t="shared" si="57"/>
        <v>1480.8954752207064</v>
      </c>
      <c r="P82" s="320">
        <f t="shared" si="57"/>
        <v>4555.0758144065485</v>
      </c>
      <c r="Q82" s="321">
        <f t="shared" si="51"/>
        <v>681033.41780763678</v>
      </c>
      <c r="R82" s="66"/>
      <c r="S82" s="302"/>
      <c r="T82" s="302"/>
      <c r="U82" s="302"/>
      <c r="V82" s="302"/>
    </row>
    <row r="83" spans="1:22" x14ac:dyDescent="0.15">
      <c r="S83" s="302"/>
      <c r="T83" s="302"/>
      <c r="U83" s="302"/>
      <c r="V83" s="302"/>
    </row>
    <row r="84" spans="1:22" customFormat="1" ht="15" thickBot="1" x14ac:dyDescent="0.2">
      <c r="B84" s="82" t="s">
        <v>132</v>
      </c>
      <c r="S84" s="302"/>
      <c r="T84" s="302"/>
      <c r="U84" s="302"/>
      <c r="V84" s="302"/>
    </row>
    <row r="85" spans="1:22" s="133" customFormat="1" ht="15" customHeight="1" x14ac:dyDescent="0.15">
      <c r="B85" s="662" t="s">
        <v>76</v>
      </c>
      <c r="C85" s="665" t="s">
        <v>80</v>
      </c>
      <c r="D85" s="668" t="s">
        <v>77</v>
      </c>
      <c r="E85" s="671" t="s">
        <v>133</v>
      </c>
      <c r="F85" s="674" t="s">
        <v>49</v>
      </c>
      <c r="G85" s="675"/>
      <c r="H85" s="676"/>
      <c r="I85" s="658" t="s">
        <v>129</v>
      </c>
      <c r="J85" s="658"/>
      <c r="K85" s="658"/>
      <c r="L85" s="659"/>
      <c r="N85"/>
      <c r="O85"/>
      <c r="P85"/>
      <c r="Q85"/>
      <c r="R85"/>
      <c r="S85" s="302"/>
      <c r="T85" s="302"/>
      <c r="U85" s="302"/>
      <c r="V85" s="302"/>
    </row>
    <row r="86" spans="1:22" s="133" customFormat="1" x14ac:dyDescent="0.15">
      <c r="B86" s="663"/>
      <c r="C86" s="666"/>
      <c r="D86" s="669"/>
      <c r="E86" s="672"/>
      <c r="F86" s="332" t="s">
        <v>94</v>
      </c>
      <c r="G86" s="303" t="s">
        <v>95</v>
      </c>
      <c r="H86" s="304" t="s">
        <v>96</v>
      </c>
      <c r="I86" s="660"/>
      <c r="J86" s="660"/>
      <c r="K86" s="660"/>
      <c r="L86" s="661"/>
      <c r="N86"/>
      <c r="O86"/>
      <c r="P86"/>
      <c r="Q86"/>
      <c r="R86"/>
      <c r="S86" s="302"/>
      <c r="T86" s="302"/>
      <c r="U86" s="302"/>
      <c r="V86" s="302"/>
    </row>
    <row r="87" spans="1:22" s="133" customFormat="1" ht="15" thickBot="1" x14ac:dyDescent="0.2">
      <c r="B87" s="664"/>
      <c r="C87" s="667"/>
      <c r="D87" s="670"/>
      <c r="E87" s="673"/>
      <c r="F87" s="322" t="s">
        <v>134</v>
      </c>
      <c r="G87" s="324" t="s">
        <v>135</v>
      </c>
      <c r="H87" s="323" t="s">
        <v>136</v>
      </c>
      <c r="I87" s="385" t="s">
        <v>94</v>
      </c>
      <c r="J87" s="324" t="s">
        <v>95</v>
      </c>
      <c r="K87" s="324" t="s">
        <v>96</v>
      </c>
      <c r="L87" s="323" t="s">
        <v>130</v>
      </c>
      <c r="N87"/>
      <c r="O87"/>
      <c r="P87"/>
      <c r="Q87"/>
      <c r="R87"/>
      <c r="S87" s="302"/>
      <c r="T87" s="302"/>
      <c r="U87" s="302"/>
      <c r="V87" s="302"/>
    </row>
    <row r="88" spans="1:22" customFormat="1" ht="15" x14ac:dyDescent="0.15">
      <c r="B88" s="305">
        <f>$B$67</f>
        <v>2010</v>
      </c>
      <c r="C88" s="306">
        <v>2</v>
      </c>
      <c r="D88" s="467" t="s">
        <v>59</v>
      </c>
      <c r="E88" s="408">
        <f>'Passenger Rail'!C6</f>
        <v>486224444.30366641</v>
      </c>
      <c r="F88" s="513">
        <f>'Emission Factors'!$B$15</f>
        <v>1135.3900000000001</v>
      </c>
      <c r="G88" s="490">
        <f>'Emission Factors'!$C$15</f>
        <v>1.8200000000000001E-2</v>
      </c>
      <c r="H88" s="491">
        <f>'Emission Factors'!$D$15</f>
        <v>2.4750000000000001E-2</v>
      </c>
      <c r="I88" s="374">
        <f t="shared" ref="I88:I96" si="58">(F88/MWh_kWh)*E88*GWP_CO2*MT_lbs</f>
        <v>250407.65109175007</v>
      </c>
      <c r="J88" s="374">
        <f t="shared" ref="J88:J96" si="59">(G88/MWh_kWh)*E88*GWP_CH4*MT_lbs</f>
        <v>112.39110701728555</v>
      </c>
      <c r="K88" s="374">
        <f t="shared" ref="K88:K96" si="60">(H88/MWh_kWh)*E88*GWP_N2O*MT_lbs</f>
        <v>1446.5172157567142</v>
      </c>
      <c r="L88" s="312">
        <f t="shared" ref="L88:L97" si="61">SUM(I88:K88)</f>
        <v>251966.55941452409</v>
      </c>
      <c r="S88" s="302">
        <f t="shared" ref="S88:S96" si="62">I88/mton_per_mmton</f>
        <v>0.25040765109175006</v>
      </c>
      <c r="T88" s="302">
        <f t="shared" ref="T88:T96" si="63">J88/mton_per_mmton</f>
        <v>1.1239110701728555E-4</v>
      </c>
      <c r="U88" s="302">
        <f t="shared" ref="U88:U96" si="64">K88/mton_per_mmton</f>
        <v>1.4465172157567142E-3</v>
      </c>
      <c r="V88" s="302"/>
    </row>
    <row r="89" spans="1:22" customFormat="1" ht="15" x14ac:dyDescent="0.15">
      <c r="B89" s="305">
        <f t="shared" ref="B89:B97" si="65">$B$67</f>
        <v>2010</v>
      </c>
      <c r="C89" s="306">
        <v>2</v>
      </c>
      <c r="D89" s="468" t="s">
        <v>58</v>
      </c>
      <c r="E89" s="408">
        <f>'Passenger Rail'!C7</f>
        <v>423592315.460958</v>
      </c>
      <c r="F89" s="418">
        <f>'Emission Factors'!$B$15</f>
        <v>1135.3900000000001</v>
      </c>
      <c r="G89" s="401">
        <f>'Emission Factors'!$C$15</f>
        <v>1.8200000000000001E-2</v>
      </c>
      <c r="H89" s="488">
        <f>'Emission Factors'!$D$15</f>
        <v>2.4750000000000001E-2</v>
      </c>
      <c r="I89" s="374">
        <f t="shared" si="58"/>
        <v>218151.83908945703</v>
      </c>
      <c r="J89" s="374">
        <f t="shared" si="59"/>
        <v>97.913648349895013</v>
      </c>
      <c r="K89" s="374">
        <f t="shared" si="60"/>
        <v>1260.1866976351528</v>
      </c>
      <c r="L89" s="312">
        <f t="shared" si="61"/>
        <v>219509.93943544209</v>
      </c>
      <c r="S89" s="302">
        <f t="shared" si="62"/>
        <v>0.21815183908945704</v>
      </c>
      <c r="T89" s="302">
        <f t="shared" si="63"/>
        <v>9.7913648349895008E-5</v>
      </c>
      <c r="U89" s="302">
        <f t="shared" si="64"/>
        <v>1.2601866976351527E-3</v>
      </c>
      <c r="V89" s="302"/>
    </row>
    <row r="90" spans="1:22" customFormat="1" ht="15" x14ac:dyDescent="0.15">
      <c r="B90" s="305">
        <f t="shared" si="65"/>
        <v>2010</v>
      </c>
      <c r="C90" s="306">
        <v>2</v>
      </c>
      <c r="D90" s="351" t="s">
        <v>131</v>
      </c>
      <c r="E90" s="408">
        <f>'Passenger Rail'!C8</f>
        <v>62632128.842708409</v>
      </c>
      <c r="F90" s="418">
        <f>'Emission Factors'!$B$15</f>
        <v>1135.3900000000001</v>
      </c>
      <c r="G90" s="401">
        <f>'Emission Factors'!$C$15</f>
        <v>1.8200000000000001E-2</v>
      </c>
      <c r="H90" s="488">
        <f>'Emission Factors'!$D$15</f>
        <v>2.4750000000000001E-2</v>
      </c>
      <c r="I90" s="374">
        <f t="shared" si="58"/>
        <v>32255.812002293034</v>
      </c>
      <c r="J90" s="374">
        <f t="shared" si="59"/>
        <v>14.477458667390527</v>
      </c>
      <c r="K90" s="374">
        <f t="shared" si="60"/>
        <v>186.33051812156123</v>
      </c>
      <c r="L90" s="312">
        <f t="shared" si="61"/>
        <v>32456.619979081988</v>
      </c>
      <c r="S90" s="302">
        <f t="shared" si="62"/>
        <v>3.2255812002293036E-2</v>
      </c>
      <c r="T90" s="302">
        <f t="shared" si="63"/>
        <v>1.4477458667390527E-5</v>
      </c>
      <c r="U90" s="302">
        <f t="shared" si="64"/>
        <v>1.8633051812156124E-4</v>
      </c>
      <c r="V90" s="302"/>
    </row>
    <row r="91" spans="1:22" customFormat="1" ht="15" x14ac:dyDescent="0.15">
      <c r="B91" s="305">
        <f t="shared" si="65"/>
        <v>2010</v>
      </c>
      <c r="C91" s="306">
        <v>2</v>
      </c>
      <c r="D91" s="467" t="s">
        <v>60</v>
      </c>
      <c r="E91" s="408">
        <f>'Passenger Rail'!C9</f>
        <v>14471703.685319329</v>
      </c>
      <c r="F91" s="418">
        <f>'Emission Factors'!$B$15</f>
        <v>1135.3900000000001</v>
      </c>
      <c r="G91" s="401">
        <f>'Emission Factors'!$C$15</f>
        <v>1.8200000000000001E-2</v>
      </c>
      <c r="H91" s="488">
        <f>'Emission Factors'!$D$15</f>
        <v>2.4750000000000001E-2</v>
      </c>
      <c r="I91" s="374">
        <f t="shared" si="58"/>
        <v>7452.9887783128688</v>
      </c>
      <c r="J91" s="374">
        <f t="shared" si="59"/>
        <v>3.3451440310626634</v>
      </c>
      <c r="K91" s="374">
        <f t="shared" si="60"/>
        <v>43.053303402143342</v>
      </c>
      <c r="L91" s="315">
        <f t="shared" si="61"/>
        <v>7499.3872257460753</v>
      </c>
      <c r="S91" s="302">
        <f t="shared" si="62"/>
        <v>7.4529887783128688E-3</v>
      </c>
      <c r="T91" s="302">
        <f t="shared" si="63"/>
        <v>3.3451440310626636E-6</v>
      </c>
      <c r="U91" s="302">
        <f t="shared" si="64"/>
        <v>4.3053303402143344E-5</v>
      </c>
      <c r="V91" s="302"/>
    </row>
    <row r="92" spans="1:22" customFormat="1" ht="15" x14ac:dyDescent="0.15">
      <c r="B92" s="305">
        <f t="shared" si="65"/>
        <v>2010</v>
      </c>
      <c r="C92" s="306">
        <v>2</v>
      </c>
      <c r="D92" s="467" t="s">
        <v>62</v>
      </c>
      <c r="E92" s="408">
        <f>'Passenger Rail'!C10</f>
        <v>2435567.7940183273</v>
      </c>
      <c r="F92" s="418">
        <f>'Emission Factors'!$B$15</f>
        <v>1135.3900000000001</v>
      </c>
      <c r="G92" s="401">
        <f>'Emission Factors'!$C$15</f>
        <v>1.8200000000000001E-2</v>
      </c>
      <c r="H92" s="488">
        <f>'Emission Factors'!$D$15</f>
        <v>2.4750000000000001E-2</v>
      </c>
      <c r="I92" s="374">
        <f t="shared" si="58"/>
        <v>1254.3277441517266</v>
      </c>
      <c r="J92" s="374">
        <f t="shared" si="59"/>
        <v>0.56298313215698559</v>
      </c>
      <c r="K92" s="374">
        <f t="shared" si="60"/>
        <v>7.2458116523442486</v>
      </c>
      <c r="L92" s="315">
        <f t="shared" si="61"/>
        <v>1262.1365389362277</v>
      </c>
      <c r="S92" s="302">
        <f t="shared" si="62"/>
        <v>1.2543277441517265E-3</v>
      </c>
      <c r="T92" s="302">
        <f t="shared" si="63"/>
        <v>5.6298313215698555E-7</v>
      </c>
      <c r="U92" s="302">
        <f t="shared" si="64"/>
        <v>7.2458116523442482E-6</v>
      </c>
      <c r="V92" s="302"/>
    </row>
    <row r="93" spans="1:22" customFormat="1" ht="15" x14ac:dyDescent="0.15">
      <c r="B93" s="305">
        <f t="shared" si="65"/>
        <v>2010</v>
      </c>
      <c r="C93" s="306">
        <v>2</v>
      </c>
      <c r="D93" s="467" t="s">
        <v>61</v>
      </c>
      <c r="E93" s="408">
        <f>'Passenger Rail'!C11</f>
        <v>0</v>
      </c>
      <c r="F93" s="418">
        <f>'Emission Factors'!$B$15</f>
        <v>1135.3900000000001</v>
      </c>
      <c r="G93" s="401">
        <f>'Emission Factors'!$C$15</f>
        <v>1.8200000000000001E-2</v>
      </c>
      <c r="H93" s="488">
        <f>'Emission Factors'!$D$15</f>
        <v>2.4750000000000001E-2</v>
      </c>
      <c r="I93" s="374">
        <f t="shared" si="58"/>
        <v>0</v>
      </c>
      <c r="J93" s="374">
        <f t="shared" si="59"/>
        <v>0</v>
      </c>
      <c r="K93" s="374">
        <f t="shared" si="60"/>
        <v>0</v>
      </c>
      <c r="L93" s="315">
        <f t="shared" si="61"/>
        <v>0</v>
      </c>
      <c r="S93" s="302">
        <f t="shared" si="62"/>
        <v>0</v>
      </c>
      <c r="T93" s="302">
        <f t="shared" si="63"/>
        <v>0</v>
      </c>
      <c r="U93" s="302">
        <f t="shared" si="64"/>
        <v>0</v>
      </c>
      <c r="V93" s="302"/>
    </row>
    <row r="94" spans="1:22" customFormat="1" ht="15" x14ac:dyDescent="0.15">
      <c r="B94" s="305">
        <f t="shared" si="65"/>
        <v>2010</v>
      </c>
      <c r="C94" s="306">
        <v>2</v>
      </c>
      <c r="D94" s="467" t="s">
        <v>63</v>
      </c>
      <c r="E94" s="408">
        <f>'Passenger Rail'!C12</f>
        <v>13573927.961848585</v>
      </c>
      <c r="F94" s="418">
        <f>'Emission Factors'!$B$15</f>
        <v>1135.3900000000001</v>
      </c>
      <c r="G94" s="401">
        <f>'Emission Factors'!$C$15</f>
        <v>1.8200000000000001E-2</v>
      </c>
      <c r="H94" s="488">
        <f>'Emission Factors'!$D$15</f>
        <v>2.4750000000000001E-2</v>
      </c>
      <c r="I94" s="374">
        <f t="shared" si="58"/>
        <v>6990.6304728939358</v>
      </c>
      <c r="J94" s="374">
        <f t="shared" si="59"/>
        <v>3.137622569325738</v>
      </c>
      <c r="K94" s="374">
        <f t="shared" si="60"/>
        <v>40.382421559193844</v>
      </c>
      <c r="L94" s="315">
        <f t="shared" si="61"/>
        <v>7034.1505170224555</v>
      </c>
      <c r="S94" s="302">
        <f t="shared" si="62"/>
        <v>6.9906304728939361E-3</v>
      </c>
      <c r="T94" s="302">
        <f t="shared" si="63"/>
        <v>3.1376225693257382E-6</v>
      </c>
      <c r="U94" s="302">
        <f t="shared" si="64"/>
        <v>4.0382421559193844E-5</v>
      </c>
      <c r="V94" s="302"/>
    </row>
    <row r="95" spans="1:22" customFormat="1" ht="15" x14ac:dyDescent="0.15">
      <c r="B95" s="305">
        <f t="shared" si="65"/>
        <v>2010</v>
      </c>
      <c r="C95" s="306">
        <v>2</v>
      </c>
      <c r="D95" s="467" t="s">
        <v>64</v>
      </c>
      <c r="E95" s="408">
        <f>'Passenger Rail'!C13</f>
        <v>3488838.6602635593</v>
      </c>
      <c r="F95" s="418">
        <f>'Emission Factors'!$B$15</f>
        <v>1135.3900000000001</v>
      </c>
      <c r="G95" s="401">
        <f>'Emission Factors'!$C$15</f>
        <v>1.8200000000000001E-2</v>
      </c>
      <c r="H95" s="488">
        <f>'Emission Factors'!$D$15</f>
        <v>2.4750000000000001E-2</v>
      </c>
      <c r="I95" s="374">
        <f t="shared" si="58"/>
        <v>1796.7667076175801</v>
      </c>
      <c r="J95" s="374">
        <f t="shared" si="59"/>
        <v>0.80644740063054887</v>
      </c>
      <c r="K95" s="374">
        <f t="shared" si="60"/>
        <v>10.379291383213523</v>
      </c>
      <c r="L95" s="315">
        <f t="shared" si="61"/>
        <v>1807.9524464014241</v>
      </c>
      <c r="S95" s="302">
        <f t="shared" si="62"/>
        <v>1.7967667076175802E-3</v>
      </c>
      <c r="T95" s="302">
        <f t="shared" si="63"/>
        <v>8.0644740063054892E-7</v>
      </c>
      <c r="U95" s="302">
        <f t="shared" si="64"/>
        <v>1.0379291383213524E-5</v>
      </c>
      <c r="V95" s="302"/>
    </row>
    <row r="96" spans="1:22" customFormat="1" ht="16" thickBot="1" x14ac:dyDescent="0.2">
      <c r="B96" s="305">
        <f t="shared" si="65"/>
        <v>2010</v>
      </c>
      <c r="C96" s="306">
        <v>2</v>
      </c>
      <c r="D96" s="467" t="s">
        <v>65</v>
      </c>
      <c r="E96" s="408">
        <f>'Passenger Rail'!C14</f>
        <v>3987474.8196798223</v>
      </c>
      <c r="F96" s="451">
        <f>'Emission Factors'!$B$15</f>
        <v>1135.3900000000001</v>
      </c>
      <c r="G96" s="494">
        <f>'Emission Factors'!$C$15</f>
        <v>1.8200000000000001E-2</v>
      </c>
      <c r="H96" s="495">
        <f>'Emission Factors'!$D$15</f>
        <v>2.4750000000000001E-2</v>
      </c>
      <c r="I96" s="374">
        <f t="shared" si="58"/>
        <v>2053.5664446354426</v>
      </c>
      <c r="J96" s="374">
        <f t="shared" si="59"/>
        <v>0.92170748393611135</v>
      </c>
      <c r="K96" s="374">
        <f t="shared" si="60"/>
        <v>11.862733438512501</v>
      </c>
      <c r="L96" s="315">
        <f t="shared" si="61"/>
        <v>2066.3508855578912</v>
      </c>
      <c r="S96" s="302">
        <f t="shared" si="62"/>
        <v>2.0535664446354428E-3</v>
      </c>
      <c r="T96" s="302">
        <f t="shared" si="63"/>
        <v>9.2170748393611131E-7</v>
      </c>
      <c r="U96" s="302">
        <f t="shared" si="64"/>
        <v>1.1862733438512502E-5</v>
      </c>
      <c r="V96" s="302"/>
    </row>
    <row r="97" spans="2:22" s="19" customFormat="1" ht="16" thickBot="1" x14ac:dyDescent="0.2">
      <c r="B97" s="316">
        <f t="shared" si="65"/>
        <v>2010</v>
      </c>
      <c r="C97" s="317">
        <v>2</v>
      </c>
      <c r="D97" s="469" t="s">
        <v>66</v>
      </c>
      <c r="E97" s="459">
        <f>SUM(E88,E91:E96)</f>
        <v>524181957.22479594</v>
      </c>
      <c r="F97" s="512"/>
      <c r="G97" s="500"/>
      <c r="H97" s="501"/>
      <c r="I97" s="348">
        <f t="shared" ref="I97:K97" si="66">SUM(I88,I91:I96)</f>
        <v>269955.93123936158</v>
      </c>
      <c r="J97" s="319">
        <f t="shared" si="66"/>
        <v>121.1650116343976</v>
      </c>
      <c r="K97" s="320">
        <f t="shared" si="66"/>
        <v>1559.4407771921217</v>
      </c>
      <c r="L97" s="321">
        <f t="shared" si="61"/>
        <v>271636.53702818812</v>
      </c>
      <c r="N97"/>
      <c r="O97"/>
      <c r="P97"/>
      <c r="Q97"/>
      <c r="R97"/>
      <c r="S97" s="302"/>
      <c r="T97" s="302"/>
      <c r="U97" s="302"/>
      <c r="V97" s="302"/>
    </row>
  </sheetData>
  <mergeCells count="39">
    <mergeCell ref="N38:Q39"/>
    <mergeCell ref="K70:M71"/>
    <mergeCell ref="N70:Q71"/>
    <mergeCell ref="B38:B40"/>
    <mergeCell ref="C38:C40"/>
    <mergeCell ref="D38:D40"/>
    <mergeCell ref="E38:G39"/>
    <mergeCell ref="H38:J38"/>
    <mergeCell ref="B70:B72"/>
    <mergeCell ref="C70:C72"/>
    <mergeCell ref="D70:D72"/>
    <mergeCell ref="H70:J70"/>
    <mergeCell ref="E70:G71"/>
    <mergeCell ref="C6:C8"/>
    <mergeCell ref="D6:D8"/>
    <mergeCell ref="E6:G7"/>
    <mergeCell ref="H6:J6"/>
    <mergeCell ref="K38:M39"/>
    <mergeCell ref="K6:M7"/>
    <mergeCell ref="D21:D23"/>
    <mergeCell ref="E21:E23"/>
    <mergeCell ref="F21:H21"/>
    <mergeCell ref="I21:L22"/>
    <mergeCell ref="N6:Q7"/>
    <mergeCell ref="B85:B87"/>
    <mergeCell ref="C85:C87"/>
    <mergeCell ref="D85:D87"/>
    <mergeCell ref="E85:E87"/>
    <mergeCell ref="F85:H85"/>
    <mergeCell ref="I85:L86"/>
    <mergeCell ref="B53:B55"/>
    <mergeCell ref="C53:C55"/>
    <mergeCell ref="D53:D55"/>
    <mergeCell ref="E53:E55"/>
    <mergeCell ref="F53:H53"/>
    <mergeCell ref="I53:L54"/>
    <mergeCell ref="B21:B23"/>
    <mergeCell ref="B6:B8"/>
    <mergeCell ref="C21:C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1E44F-577F-4336-B7C4-BA37E0040B3D}">
  <sheetPr codeName="Sheet7">
    <tabColor theme="4" tint="0.79998168889431442"/>
    <outlinePr summaryBelow="0"/>
  </sheetPr>
  <dimension ref="A1:T98"/>
  <sheetViews>
    <sheetView showGridLines="0" zoomScale="80" zoomScaleNormal="80" workbookViewId="0">
      <selection activeCell="I45" sqref="I45"/>
    </sheetView>
  </sheetViews>
  <sheetFormatPr baseColWidth="10" defaultColWidth="8.83203125" defaultRowHeight="14" outlineLevelRow="1" x14ac:dyDescent="0.15"/>
  <cols>
    <col min="1" max="1" width="4.1640625" customWidth="1"/>
    <col min="2" max="2" width="10.83203125" customWidth="1"/>
    <col min="3" max="3" width="7.83203125" customWidth="1"/>
    <col min="4" max="5" width="17.1640625" customWidth="1"/>
    <col min="6" max="8" width="14.6640625" customWidth="1"/>
    <col min="9" max="15" width="13.1640625" customWidth="1"/>
  </cols>
  <sheetData>
    <row r="1" spans="1:20" ht="18" x14ac:dyDescent="0.2">
      <c r="A1" s="28" t="s">
        <v>91</v>
      </c>
      <c r="B1" s="29"/>
      <c r="C1" s="29"/>
      <c r="D1" s="29"/>
      <c r="E1" s="29"/>
      <c r="F1" s="29"/>
      <c r="G1" s="29"/>
      <c r="H1" s="29"/>
      <c r="I1" s="29"/>
      <c r="J1" s="29"/>
      <c r="K1" s="29"/>
      <c r="L1" s="29"/>
      <c r="M1" s="29"/>
      <c r="N1" s="29"/>
      <c r="O1" s="29"/>
      <c r="Q1" s="329" t="s">
        <v>93</v>
      </c>
      <c r="R1" s="330"/>
      <c r="S1" s="330"/>
      <c r="T1" s="330"/>
    </row>
    <row r="2" spans="1:20" s="66" customFormat="1" ht="16" x14ac:dyDescent="0.15">
      <c r="Q2" s="325" t="s">
        <v>94</v>
      </c>
      <c r="R2" s="325" t="s">
        <v>95</v>
      </c>
      <c r="S2" s="325" t="s">
        <v>96</v>
      </c>
      <c r="T2" s="325" t="s">
        <v>89</v>
      </c>
    </row>
    <row r="3" spans="1:20" ht="18" x14ac:dyDescent="0.2">
      <c r="A3" s="300"/>
      <c r="B3" s="301">
        <v>2019</v>
      </c>
      <c r="C3" s="29"/>
      <c r="D3" s="29"/>
      <c r="E3" s="29"/>
      <c r="F3" s="29"/>
      <c r="G3" s="29"/>
      <c r="H3" s="29"/>
      <c r="I3" s="29"/>
      <c r="J3" s="29"/>
      <c r="K3" s="29"/>
      <c r="L3" s="29"/>
      <c r="M3" s="29"/>
      <c r="N3" s="29"/>
      <c r="O3" s="29"/>
      <c r="Q3" s="302"/>
      <c r="R3" s="302"/>
      <c r="S3" s="302"/>
      <c r="T3" s="302"/>
    </row>
    <row r="4" spans="1:20" s="142" customFormat="1" outlineLevel="1" x14ac:dyDescent="0.15">
      <c r="A4" s="141"/>
      <c r="Q4" s="302"/>
      <c r="R4" s="302"/>
      <c r="S4" s="302"/>
      <c r="T4" s="302"/>
    </row>
    <row r="5" spans="1:20" ht="15" thickBot="1" x14ac:dyDescent="0.2">
      <c r="B5" s="82" t="s">
        <v>146</v>
      </c>
      <c r="P5" s="66"/>
      <c r="Q5" s="302"/>
      <c r="R5" s="302"/>
      <c r="S5" s="302"/>
      <c r="T5" s="302"/>
    </row>
    <row r="6" spans="1:20" s="133" customFormat="1" x14ac:dyDescent="0.15">
      <c r="B6" s="662" t="s">
        <v>76</v>
      </c>
      <c r="C6" s="665" t="s">
        <v>80</v>
      </c>
      <c r="D6" s="668" t="s">
        <v>77</v>
      </c>
      <c r="E6" s="671" t="s">
        <v>141</v>
      </c>
      <c r="F6" s="674" t="s">
        <v>49</v>
      </c>
      <c r="G6" s="675"/>
      <c r="H6" s="676"/>
      <c r="I6" s="682" t="s">
        <v>128</v>
      </c>
      <c r="J6" s="658"/>
      <c r="K6" s="659"/>
      <c r="L6" s="658" t="s">
        <v>129</v>
      </c>
      <c r="M6" s="658"/>
      <c r="N6" s="658"/>
      <c r="O6" s="659"/>
      <c r="Q6" s="302"/>
      <c r="R6" s="302"/>
      <c r="S6" s="302"/>
      <c r="T6" s="302"/>
    </row>
    <row r="7" spans="1:20" s="133" customFormat="1" x14ac:dyDescent="0.15">
      <c r="B7" s="663"/>
      <c r="C7" s="666"/>
      <c r="D7" s="669"/>
      <c r="E7" s="672"/>
      <c r="F7" s="332" t="s">
        <v>94</v>
      </c>
      <c r="G7" s="303" t="s">
        <v>95</v>
      </c>
      <c r="H7" s="304" t="s">
        <v>96</v>
      </c>
      <c r="I7" s="683"/>
      <c r="J7" s="660"/>
      <c r="K7" s="661"/>
      <c r="L7" s="660"/>
      <c r="M7" s="660"/>
      <c r="N7" s="660"/>
      <c r="O7" s="661"/>
      <c r="Q7" s="302"/>
      <c r="R7" s="302"/>
      <c r="S7" s="302"/>
      <c r="T7" s="302"/>
    </row>
    <row r="8" spans="1:20" s="133" customFormat="1" ht="15" thickBot="1" x14ac:dyDescent="0.2">
      <c r="B8" s="664"/>
      <c r="C8" s="667"/>
      <c r="D8" s="670"/>
      <c r="E8" s="673"/>
      <c r="F8" s="332" t="s">
        <v>143</v>
      </c>
      <c r="G8" s="405" t="s">
        <v>144</v>
      </c>
      <c r="H8" s="417" t="s">
        <v>145</v>
      </c>
      <c r="I8" s="332" t="s">
        <v>94</v>
      </c>
      <c r="J8" s="303" t="s">
        <v>95</v>
      </c>
      <c r="K8" s="304" t="s">
        <v>96</v>
      </c>
      <c r="L8" s="385" t="s">
        <v>94</v>
      </c>
      <c r="M8" s="324" t="s">
        <v>95</v>
      </c>
      <c r="N8" s="324" t="s">
        <v>96</v>
      </c>
      <c r="O8" s="323" t="s">
        <v>130</v>
      </c>
      <c r="Q8" s="302"/>
      <c r="R8" s="302"/>
      <c r="S8" s="302"/>
      <c r="T8" s="302"/>
    </row>
    <row r="9" spans="1:20" ht="15" x14ac:dyDescent="0.15">
      <c r="B9" s="305">
        <f>$B$3</f>
        <v>2019</v>
      </c>
      <c r="C9" s="306">
        <v>1</v>
      </c>
      <c r="D9" s="467" t="s">
        <v>59</v>
      </c>
      <c r="E9" s="408">
        <f>'Waterborne Data'!G6</f>
        <v>1017189.4197117309</v>
      </c>
      <c r="F9" s="418">
        <f t="shared" ref="F9:F17" si="0">Diesel_Ships_gCO2_per_gallon</f>
        <v>10210</v>
      </c>
      <c r="G9" s="581">
        <f t="shared" ref="G9:G17" si="1">Diesel_Ships_gCH4_per_gallon</f>
        <v>0.31</v>
      </c>
      <c r="H9" s="488">
        <f t="shared" ref="H9:H17" si="2">Diesel_Ships_gN2O_per_gallon</f>
        <v>0.5</v>
      </c>
      <c r="I9" s="454">
        <f t="shared" ref="I9:I17" si="3">E9*F9/grams_to_mton</f>
        <v>10385.503975256774</v>
      </c>
      <c r="J9" s="347">
        <f t="shared" ref="J9:J17" si="4">E9*G9/grams_to_mton</f>
        <v>0.31532872011063656</v>
      </c>
      <c r="K9" s="455">
        <f t="shared" ref="K9:K17" si="5">E9*H9/grams_to_mton</f>
        <v>0.50859470985586541</v>
      </c>
      <c r="L9" s="374">
        <f t="shared" ref="L9:L17" si="6">I9*CO2_GWP</f>
        <v>10385.503975256774</v>
      </c>
      <c r="M9" s="310">
        <f t="shared" ref="M9:M17" si="7">J9*CH4_GWP</f>
        <v>8.829204163097824</v>
      </c>
      <c r="N9" s="311">
        <f t="shared" ref="N9:N11" si="8">K9*N2O_GWP</f>
        <v>134.77759811180434</v>
      </c>
      <c r="O9" s="312">
        <f t="shared" ref="O9:O18" si="9">SUM(L9:N9)</f>
        <v>10529.110777531676</v>
      </c>
      <c r="Q9" s="302">
        <f t="shared" ref="Q9:Q17" si="10">L9/mton_per_mmton</f>
        <v>1.0385503975256774E-2</v>
      </c>
      <c r="R9" s="302">
        <f t="shared" ref="R9:R17" si="11">M9/mton_per_mmton</f>
        <v>8.8292041630978247E-6</v>
      </c>
      <c r="S9" s="302">
        <f t="shared" ref="S9:S17" si="12">N9/mton_per_mmton</f>
        <v>1.3477759811180435E-4</v>
      </c>
      <c r="T9" s="302"/>
    </row>
    <row r="10" spans="1:20" ht="15" x14ac:dyDescent="0.15">
      <c r="B10" s="305">
        <f t="shared" ref="B10:B18" si="13">$B$3</f>
        <v>2019</v>
      </c>
      <c r="C10" s="306">
        <v>1</v>
      </c>
      <c r="D10" s="468" t="s">
        <v>58</v>
      </c>
      <c r="E10" s="408">
        <f>'Waterborne Data'!G7</f>
        <v>502395.98540820024</v>
      </c>
      <c r="F10" s="418">
        <f t="shared" si="0"/>
        <v>10210</v>
      </c>
      <c r="G10" s="581">
        <f t="shared" si="1"/>
        <v>0.31</v>
      </c>
      <c r="H10" s="488">
        <f t="shared" si="2"/>
        <v>0.5</v>
      </c>
      <c r="I10" s="454">
        <f t="shared" si="3"/>
        <v>5129.4630110177241</v>
      </c>
      <c r="J10" s="347">
        <f t="shared" si="4"/>
        <v>0.15574275547654207</v>
      </c>
      <c r="K10" s="455">
        <f t="shared" si="5"/>
        <v>0.25119799270410015</v>
      </c>
      <c r="L10" s="374">
        <f t="shared" si="6"/>
        <v>5129.4630110177241</v>
      </c>
      <c r="M10" s="310">
        <f t="shared" si="7"/>
        <v>4.360797153343178</v>
      </c>
      <c r="N10" s="311">
        <f t="shared" si="8"/>
        <v>66.567468066586542</v>
      </c>
      <c r="O10" s="312">
        <f t="shared" si="9"/>
        <v>5200.3912762376531</v>
      </c>
      <c r="Q10" s="302">
        <f t="shared" si="10"/>
        <v>5.129463011017724E-3</v>
      </c>
      <c r="R10" s="302">
        <f t="shared" si="11"/>
        <v>4.3607971533431779E-6</v>
      </c>
      <c r="S10" s="302">
        <f t="shared" si="12"/>
        <v>6.6567468066586536E-5</v>
      </c>
      <c r="T10" s="302"/>
    </row>
    <row r="11" spans="1:20" ht="15" x14ac:dyDescent="0.15">
      <c r="B11" s="305">
        <f t="shared" si="13"/>
        <v>2019</v>
      </c>
      <c r="C11" s="306">
        <v>1</v>
      </c>
      <c r="D11" s="351" t="s">
        <v>131</v>
      </c>
      <c r="E11" s="408">
        <f>'Waterborne Data'!G8</f>
        <v>514793.43430353061</v>
      </c>
      <c r="F11" s="418">
        <f t="shared" si="0"/>
        <v>10210</v>
      </c>
      <c r="G11" s="581">
        <f t="shared" si="1"/>
        <v>0.31</v>
      </c>
      <c r="H11" s="488">
        <f t="shared" si="2"/>
        <v>0.5</v>
      </c>
      <c r="I11" s="454">
        <f t="shared" si="3"/>
        <v>5256.0409642390468</v>
      </c>
      <c r="J11" s="347">
        <f t="shared" si="4"/>
        <v>0.15958596463409447</v>
      </c>
      <c r="K11" s="455">
        <f t="shared" si="5"/>
        <v>0.25739671715176532</v>
      </c>
      <c r="L11" s="374">
        <f t="shared" si="6"/>
        <v>5256.0409642390468</v>
      </c>
      <c r="M11" s="310">
        <f t="shared" si="7"/>
        <v>4.4684070097546451</v>
      </c>
      <c r="N11" s="311">
        <f t="shared" si="8"/>
        <v>68.210130045217809</v>
      </c>
      <c r="O11" s="312">
        <f t="shared" si="9"/>
        <v>5328.7195012940192</v>
      </c>
      <c r="Q11" s="302">
        <f t="shared" si="10"/>
        <v>5.2560409642390471E-3</v>
      </c>
      <c r="R11" s="302">
        <f t="shared" si="11"/>
        <v>4.4684070097546451E-6</v>
      </c>
      <c r="S11" s="302">
        <f t="shared" si="12"/>
        <v>6.8210130045217812E-5</v>
      </c>
      <c r="T11" s="302"/>
    </row>
    <row r="12" spans="1:20" ht="15" x14ac:dyDescent="0.15">
      <c r="B12" s="305">
        <f t="shared" si="13"/>
        <v>2019</v>
      </c>
      <c r="C12" s="306">
        <v>1</v>
      </c>
      <c r="D12" s="467" t="s">
        <v>60</v>
      </c>
      <c r="E12" s="408">
        <f>'Waterborne Data'!G9</f>
        <v>14973.382609548937</v>
      </c>
      <c r="F12" s="418">
        <f t="shared" si="0"/>
        <v>10210</v>
      </c>
      <c r="G12" s="581">
        <f t="shared" si="1"/>
        <v>0.31</v>
      </c>
      <c r="H12" s="488">
        <f t="shared" si="2"/>
        <v>0.5</v>
      </c>
      <c r="I12" s="454">
        <f t="shared" si="3"/>
        <v>152.87823644349464</v>
      </c>
      <c r="J12" s="347">
        <f t="shared" si="4"/>
        <v>4.6417486089601707E-3</v>
      </c>
      <c r="K12" s="455">
        <f t="shared" si="5"/>
        <v>7.486691304774468E-3</v>
      </c>
      <c r="L12" s="374">
        <f t="shared" si="6"/>
        <v>152.87823644349464</v>
      </c>
      <c r="M12" s="310">
        <f t="shared" si="7"/>
        <v>0.12996896105088479</v>
      </c>
      <c r="N12" s="311">
        <f>K12*N2O_GWP</f>
        <v>1.983973195765234</v>
      </c>
      <c r="O12" s="315">
        <f t="shared" si="9"/>
        <v>154.99217860031075</v>
      </c>
      <c r="Q12" s="302">
        <f t="shared" si="10"/>
        <v>1.5287823644349465E-4</v>
      </c>
      <c r="R12" s="302">
        <f t="shared" si="11"/>
        <v>1.299689610508848E-7</v>
      </c>
      <c r="S12" s="302">
        <f t="shared" si="12"/>
        <v>1.983973195765234E-6</v>
      </c>
      <c r="T12" s="302"/>
    </row>
    <row r="13" spans="1:20" ht="15" x14ac:dyDescent="0.15">
      <c r="B13" s="305">
        <f t="shared" si="13"/>
        <v>2019</v>
      </c>
      <c r="C13" s="306">
        <v>1</v>
      </c>
      <c r="D13" s="467" t="s">
        <v>62</v>
      </c>
      <c r="E13" s="408">
        <f>'Waterborne Data'!G10</f>
        <v>22460.080307469339</v>
      </c>
      <c r="F13" s="418">
        <f t="shared" si="0"/>
        <v>10210</v>
      </c>
      <c r="G13" s="581">
        <f t="shared" si="1"/>
        <v>0.31</v>
      </c>
      <c r="H13" s="488">
        <f t="shared" si="2"/>
        <v>0.5</v>
      </c>
      <c r="I13" s="454">
        <f t="shared" si="3"/>
        <v>229.31741993926195</v>
      </c>
      <c r="J13" s="347">
        <f t="shared" si="4"/>
        <v>6.9626248953154951E-3</v>
      </c>
      <c r="K13" s="455">
        <f t="shared" si="5"/>
        <v>1.1230040153734669E-2</v>
      </c>
      <c r="L13" s="374">
        <f t="shared" si="6"/>
        <v>229.31741993926195</v>
      </c>
      <c r="M13" s="310">
        <f t="shared" si="7"/>
        <v>0.19495349706883386</v>
      </c>
      <c r="N13" s="311">
        <f t="shared" ref="N13:N17" si="14">K13*N2O_GWP</f>
        <v>2.9759606407396872</v>
      </c>
      <c r="O13" s="315">
        <f t="shared" si="9"/>
        <v>232.48833407707048</v>
      </c>
      <c r="Q13" s="302">
        <f t="shared" si="10"/>
        <v>2.2931741993926195E-4</v>
      </c>
      <c r="R13" s="302">
        <f t="shared" si="11"/>
        <v>1.9495349706883386E-7</v>
      </c>
      <c r="S13" s="302">
        <f t="shared" si="12"/>
        <v>2.9759606407396871E-6</v>
      </c>
      <c r="T13" s="302"/>
    </row>
    <row r="14" spans="1:20" ht="15" x14ac:dyDescent="0.15">
      <c r="B14" s="305">
        <f t="shared" si="13"/>
        <v>2019</v>
      </c>
      <c r="C14" s="306">
        <v>1</v>
      </c>
      <c r="D14" s="467" t="s">
        <v>61</v>
      </c>
      <c r="E14" s="408">
        <f>'Waterborne Data'!G11</f>
        <v>12477.818941461763</v>
      </c>
      <c r="F14" s="418">
        <f t="shared" si="0"/>
        <v>10210</v>
      </c>
      <c r="G14" s="581">
        <f t="shared" si="1"/>
        <v>0.31</v>
      </c>
      <c r="H14" s="488">
        <f t="shared" si="2"/>
        <v>0.5</v>
      </c>
      <c r="I14" s="454">
        <f t="shared" si="3"/>
        <v>127.3985313923246</v>
      </c>
      <c r="J14" s="347">
        <f t="shared" si="4"/>
        <v>3.8681238718531463E-3</v>
      </c>
      <c r="K14" s="455">
        <f t="shared" si="5"/>
        <v>6.2389094707308813E-3</v>
      </c>
      <c r="L14" s="374">
        <f t="shared" si="6"/>
        <v>127.3985313923246</v>
      </c>
      <c r="M14" s="310">
        <f t="shared" si="7"/>
        <v>0.1083074684118881</v>
      </c>
      <c r="N14" s="311">
        <f t="shared" si="14"/>
        <v>1.6533110097436836</v>
      </c>
      <c r="O14" s="315">
        <f t="shared" si="9"/>
        <v>129.16014987048018</v>
      </c>
      <c r="Q14" s="302">
        <f t="shared" si="10"/>
        <v>1.273985313923246E-4</v>
      </c>
      <c r="R14" s="302">
        <f t="shared" si="11"/>
        <v>1.083074684118881E-7</v>
      </c>
      <c r="S14" s="302">
        <f t="shared" si="12"/>
        <v>1.6533110097436836E-6</v>
      </c>
      <c r="T14" s="302"/>
    </row>
    <row r="15" spans="1:20" ht="15" x14ac:dyDescent="0.15">
      <c r="B15" s="305">
        <f t="shared" si="13"/>
        <v>2019</v>
      </c>
      <c r="C15" s="306">
        <v>1</v>
      </c>
      <c r="D15" s="467" t="s">
        <v>63</v>
      </c>
      <c r="E15" s="408">
        <f>'Waterborne Data'!G12</f>
        <v>463023.61232822482</v>
      </c>
      <c r="F15" s="418">
        <f t="shared" si="0"/>
        <v>10210</v>
      </c>
      <c r="G15" s="581">
        <f t="shared" si="1"/>
        <v>0.31</v>
      </c>
      <c r="H15" s="488">
        <f t="shared" si="2"/>
        <v>0.5</v>
      </c>
      <c r="I15" s="454">
        <f t="shared" si="3"/>
        <v>4727.4710818711756</v>
      </c>
      <c r="J15" s="347">
        <f t="shared" si="4"/>
        <v>0.14353731982174969</v>
      </c>
      <c r="K15" s="455">
        <f t="shared" si="5"/>
        <v>0.2315118061641124</v>
      </c>
      <c r="L15" s="374">
        <f t="shared" si="6"/>
        <v>4727.4710818711756</v>
      </c>
      <c r="M15" s="310">
        <f t="shared" si="7"/>
        <v>4.0190449550089911</v>
      </c>
      <c r="N15" s="311">
        <f t="shared" si="14"/>
        <v>61.350628633489791</v>
      </c>
      <c r="O15" s="315">
        <f t="shared" si="9"/>
        <v>4792.8407554596743</v>
      </c>
      <c r="Q15" s="302">
        <f t="shared" si="10"/>
        <v>4.7274710818711752E-3</v>
      </c>
      <c r="R15" s="302">
        <f t="shared" si="11"/>
        <v>4.0190449550089909E-6</v>
      </c>
      <c r="S15" s="302">
        <f t="shared" si="12"/>
        <v>6.1350628633489787E-5</v>
      </c>
      <c r="T15" s="302"/>
    </row>
    <row r="16" spans="1:20" ht="15" x14ac:dyDescent="0.15">
      <c r="B16" s="305">
        <f t="shared" si="13"/>
        <v>2019</v>
      </c>
      <c r="C16" s="306">
        <v>1</v>
      </c>
      <c r="D16" s="467" t="s">
        <v>64</v>
      </c>
      <c r="E16" s="408">
        <f>'Waterborne Data'!G13</f>
        <v>44920.161611423173</v>
      </c>
      <c r="F16" s="418">
        <f t="shared" si="0"/>
        <v>10210</v>
      </c>
      <c r="G16" s="581">
        <f t="shared" si="1"/>
        <v>0.31</v>
      </c>
      <c r="H16" s="488">
        <f t="shared" si="2"/>
        <v>0.5</v>
      </c>
      <c r="I16" s="454">
        <f t="shared" si="3"/>
        <v>458.63485005263061</v>
      </c>
      <c r="J16" s="347">
        <f t="shared" si="4"/>
        <v>1.3925250099541183E-2</v>
      </c>
      <c r="K16" s="455">
        <f t="shared" si="5"/>
        <v>2.2460080805711588E-2</v>
      </c>
      <c r="L16" s="374">
        <f t="shared" si="6"/>
        <v>458.63485005263061</v>
      </c>
      <c r="M16" s="310">
        <f t="shared" si="7"/>
        <v>0.38990700278715312</v>
      </c>
      <c r="N16" s="311">
        <f t="shared" si="14"/>
        <v>5.9519214135135705</v>
      </c>
      <c r="O16" s="315">
        <f t="shared" si="9"/>
        <v>464.97667846893131</v>
      </c>
      <c r="Q16" s="302">
        <f t="shared" si="10"/>
        <v>4.5863485005263063E-4</v>
      </c>
      <c r="R16" s="302">
        <f t="shared" si="11"/>
        <v>3.8990700278715312E-7</v>
      </c>
      <c r="S16" s="302">
        <f t="shared" si="12"/>
        <v>5.9519214135135707E-6</v>
      </c>
      <c r="T16" s="302"/>
    </row>
    <row r="17" spans="2:20" ht="16" thickBot="1" x14ac:dyDescent="0.2">
      <c r="B17" s="305">
        <f t="shared" si="13"/>
        <v>2019</v>
      </c>
      <c r="C17" s="306">
        <v>1</v>
      </c>
      <c r="D17" s="467" t="s">
        <v>65</v>
      </c>
      <c r="E17" s="408">
        <f>'Waterborne Data'!G14</f>
        <v>79858.086687748422</v>
      </c>
      <c r="F17" s="451">
        <f t="shared" si="0"/>
        <v>10210</v>
      </c>
      <c r="G17" s="582">
        <f t="shared" si="1"/>
        <v>0.31</v>
      </c>
      <c r="H17" s="495">
        <f t="shared" si="2"/>
        <v>0.5</v>
      </c>
      <c r="I17" s="456">
        <f t="shared" si="3"/>
        <v>815.35106508191143</v>
      </c>
      <c r="J17" s="457">
        <f t="shared" si="4"/>
        <v>2.4756006873202011E-2</v>
      </c>
      <c r="K17" s="458">
        <f t="shared" si="5"/>
        <v>3.9929043343874211E-2</v>
      </c>
      <c r="L17" s="374">
        <f t="shared" si="6"/>
        <v>815.35106508191143</v>
      </c>
      <c r="M17" s="310">
        <f t="shared" si="7"/>
        <v>0.69316819244965633</v>
      </c>
      <c r="N17" s="311">
        <f t="shared" si="14"/>
        <v>10.581196486126666</v>
      </c>
      <c r="O17" s="315">
        <f t="shared" si="9"/>
        <v>826.6254297604878</v>
      </c>
      <c r="Q17" s="302">
        <f t="shared" si="10"/>
        <v>8.153510650819114E-4</v>
      </c>
      <c r="R17" s="302">
        <f t="shared" si="11"/>
        <v>6.9316819244965635E-7</v>
      </c>
      <c r="S17" s="302">
        <f t="shared" si="12"/>
        <v>1.0581196486126666E-5</v>
      </c>
      <c r="T17" s="302"/>
    </row>
    <row r="18" spans="2:20" s="19" customFormat="1" ht="16" thickBot="1" x14ac:dyDescent="0.2">
      <c r="B18" s="316">
        <f t="shared" si="13"/>
        <v>2019</v>
      </c>
      <c r="C18" s="317">
        <v>1</v>
      </c>
      <c r="D18" s="469" t="s">
        <v>66</v>
      </c>
      <c r="E18" s="459">
        <f>SUM(E9,E12:E17)</f>
        <v>1654902.5621976072</v>
      </c>
      <c r="F18" s="421"/>
      <c r="G18" s="413"/>
      <c r="H18" s="422"/>
      <c r="I18" s="348">
        <f>SUM(I9,I12:I17)</f>
        <v>16896.555160037569</v>
      </c>
      <c r="J18" s="319">
        <f t="shared" ref="J18:N18" si="15">SUM(J9,J12:J17)</f>
        <v>0.51301979428125832</v>
      </c>
      <c r="K18" s="319">
        <f t="shared" si="15"/>
        <v>0.82745128109880361</v>
      </c>
      <c r="L18" s="319">
        <f t="shared" si="15"/>
        <v>16896.555160037569</v>
      </c>
      <c r="M18" s="319">
        <f t="shared" si="15"/>
        <v>14.364554239875233</v>
      </c>
      <c r="N18" s="320">
        <f t="shared" si="15"/>
        <v>219.27458949118295</v>
      </c>
      <c r="O18" s="321">
        <f t="shared" si="9"/>
        <v>17130.194303768625</v>
      </c>
      <c r="Q18" s="302"/>
      <c r="R18" s="302"/>
      <c r="S18" s="302"/>
      <c r="T18" s="302"/>
    </row>
    <row r="19" spans="2:20" s="66" customFormat="1" x14ac:dyDescent="0.15">
      <c r="B19" s="82"/>
      <c r="C19" s="114"/>
      <c r="D19" s="114"/>
      <c r="E19" s="114"/>
      <c r="F19" s="114"/>
      <c r="G19" s="114"/>
      <c r="H19" s="114"/>
      <c r="J19" s="114"/>
      <c r="K19" s="114"/>
      <c r="L19" s="114"/>
      <c r="M19" s="114"/>
      <c r="N19" s="114"/>
      <c r="O19" s="114"/>
      <c r="Q19" s="302"/>
      <c r="R19" s="302"/>
      <c r="S19" s="302"/>
      <c r="T19" s="302"/>
    </row>
    <row r="20" spans="2:20" ht="15" thickBot="1" x14ac:dyDescent="0.2">
      <c r="B20" s="82" t="s">
        <v>147</v>
      </c>
      <c r="P20" s="66"/>
      <c r="Q20" s="302"/>
      <c r="R20" s="302"/>
      <c r="S20" s="302"/>
      <c r="T20" s="302"/>
    </row>
    <row r="21" spans="2:20" s="133" customFormat="1" ht="15" customHeight="1" x14ac:dyDescent="0.15">
      <c r="B21" s="662" t="s">
        <v>76</v>
      </c>
      <c r="C21" s="665" t="s">
        <v>80</v>
      </c>
      <c r="D21" s="668" t="s">
        <v>77</v>
      </c>
      <c r="E21" s="671" t="s">
        <v>141</v>
      </c>
      <c r="F21" s="674" t="s">
        <v>49</v>
      </c>
      <c r="G21" s="675"/>
      <c r="H21" s="676"/>
      <c r="I21" s="682" t="s">
        <v>128</v>
      </c>
      <c r="J21" s="658"/>
      <c r="K21" s="659"/>
      <c r="L21" s="682" t="s">
        <v>129</v>
      </c>
      <c r="M21" s="658"/>
      <c r="N21" s="658"/>
      <c r="O21" s="659"/>
      <c r="Q21" s="302"/>
      <c r="R21" s="302"/>
      <c r="S21" s="302"/>
      <c r="T21" s="302"/>
    </row>
    <row r="22" spans="2:20" s="133" customFormat="1" x14ac:dyDescent="0.15">
      <c r="B22" s="663"/>
      <c r="C22" s="666"/>
      <c r="D22" s="669"/>
      <c r="E22" s="672"/>
      <c r="F22" s="332" t="s">
        <v>94</v>
      </c>
      <c r="G22" s="303" t="s">
        <v>95</v>
      </c>
      <c r="H22" s="304" t="s">
        <v>96</v>
      </c>
      <c r="I22" s="683"/>
      <c r="J22" s="660"/>
      <c r="K22" s="661"/>
      <c r="L22" s="683"/>
      <c r="M22" s="660"/>
      <c r="N22" s="660"/>
      <c r="O22" s="661"/>
      <c r="Q22" s="302"/>
      <c r="R22" s="302"/>
      <c r="S22" s="302"/>
      <c r="T22" s="302"/>
    </row>
    <row r="23" spans="2:20" s="133" customFormat="1" x14ac:dyDescent="0.15">
      <c r="B23" s="664"/>
      <c r="C23" s="667"/>
      <c r="D23" s="670"/>
      <c r="E23" s="673"/>
      <c r="F23" s="332" t="s">
        <v>143</v>
      </c>
      <c r="G23" s="405" t="s">
        <v>144</v>
      </c>
      <c r="H23" s="417" t="s">
        <v>145</v>
      </c>
      <c r="I23" s="332" t="s">
        <v>94</v>
      </c>
      <c r="J23" s="303" t="s">
        <v>95</v>
      </c>
      <c r="K23" s="304" t="s">
        <v>96</v>
      </c>
      <c r="L23" s="322" t="s">
        <v>94</v>
      </c>
      <c r="M23" s="324" t="s">
        <v>95</v>
      </c>
      <c r="N23" s="324" t="s">
        <v>96</v>
      </c>
      <c r="O23" s="323" t="s">
        <v>130</v>
      </c>
      <c r="Q23" s="302"/>
      <c r="R23" s="302"/>
      <c r="S23" s="302"/>
      <c r="T23" s="302"/>
    </row>
    <row r="24" spans="2:20" ht="15" x14ac:dyDescent="0.15">
      <c r="B24" s="305">
        <f>$B$3</f>
        <v>2019</v>
      </c>
      <c r="C24" s="306">
        <v>1</v>
      </c>
      <c r="D24" s="467" t="s">
        <v>59</v>
      </c>
      <c r="E24" s="408">
        <f>'Waterborne Data'!H6</f>
        <v>1205336.7254566483</v>
      </c>
      <c r="F24" s="418">
        <f t="shared" ref="F24:F32" si="16">Gas_Boats_gCO2_per_gallon</f>
        <v>8780</v>
      </c>
      <c r="G24" s="402">
        <f t="shared" ref="G24:G32" si="17">Gas_Boats_gCH4_per_gallon</f>
        <v>4.88</v>
      </c>
      <c r="H24" s="581">
        <f t="shared" ref="H24:H32" si="18">Gas_Boats_gN2O_per_gallon</f>
        <v>0.23</v>
      </c>
      <c r="I24" s="454">
        <f t="shared" ref="I24:I32" si="19">E24*F24/grams_to_mton</f>
        <v>10582.856449509372</v>
      </c>
      <c r="J24" s="347">
        <f t="shared" ref="J24:J32" si="20">E24*G24/grams_to_mton</f>
        <v>5.8820432202284438</v>
      </c>
      <c r="K24" s="455">
        <f t="shared" ref="K24:K32" si="21">E24*H24/grams_to_mton</f>
        <v>0.27722744685502909</v>
      </c>
      <c r="L24" s="374">
        <f t="shared" ref="L24:L32" si="22">I24*CO2_GWP</f>
        <v>10582.856449509372</v>
      </c>
      <c r="M24" s="310">
        <f t="shared" ref="M24:M32" si="23">J24*CH4_GWP</f>
        <v>164.69721016639642</v>
      </c>
      <c r="N24" s="311">
        <f t="shared" ref="N24:N26" si="24">K24*N2O_GWP</f>
        <v>73.465273416582704</v>
      </c>
      <c r="O24" s="312">
        <f t="shared" ref="O24:O33" si="25">SUM(L24:N24)</f>
        <v>10821.018933092351</v>
      </c>
      <c r="Q24" s="302">
        <f t="shared" ref="Q24:Q32" si="26">L24/mton_per_mmton</f>
        <v>1.0582856449509372E-2</v>
      </c>
      <c r="R24" s="302">
        <f t="shared" ref="R24:R32" si="27">M24/mton_per_mmton</f>
        <v>1.6469721016639641E-4</v>
      </c>
      <c r="S24" s="302">
        <f t="shared" ref="S24:S32" si="28">N24/mton_per_mmton</f>
        <v>7.3465273416582698E-5</v>
      </c>
      <c r="T24" s="302"/>
    </row>
    <row r="25" spans="2:20" ht="15" x14ac:dyDescent="0.15">
      <c r="B25" s="305">
        <f t="shared" ref="B25:B33" si="29">$B$3</f>
        <v>2019</v>
      </c>
      <c r="C25" s="306">
        <v>1</v>
      </c>
      <c r="D25" s="468" t="s">
        <v>58</v>
      </c>
      <c r="E25" s="408">
        <f>'Waterborne Data'!H7</f>
        <v>12053.367254566483</v>
      </c>
      <c r="F25" s="418">
        <f t="shared" si="16"/>
        <v>8780</v>
      </c>
      <c r="G25" s="402">
        <f t="shared" si="17"/>
        <v>4.88</v>
      </c>
      <c r="H25" s="581">
        <f t="shared" si="18"/>
        <v>0.23</v>
      </c>
      <c r="I25" s="454">
        <f t="shared" si="19"/>
        <v>105.82856449509372</v>
      </c>
      <c r="J25" s="347">
        <f t="shared" si="20"/>
        <v>5.8820432202284438E-2</v>
      </c>
      <c r="K25" s="455">
        <f t="shared" si="21"/>
        <v>2.7722744685502914E-3</v>
      </c>
      <c r="L25" s="374">
        <f t="shared" si="22"/>
        <v>105.82856449509372</v>
      </c>
      <c r="M25" s="310">
        <f t="shared" si="23"/>
        <v>1.6469721016639642</v>
      </c>
      <c r="N25" s="311">
        <f t="shared" si="24"/>
        <v>0.73465273416582721</v>
      </c>
      <c r="O25" s="312">
        <f t="shared" si="25"/>
        <v>108.2101893309235</v>
      </c>
      <c r="Q25" s="302">
        <f t="shared" si="26"/>
        <v>1.0582856449509371E-4</v>
      </c>
      <c r="R25" s="302">
        <f t="shared" si="27"/>
        <v>1.6469721016639643E-6</v>
      </c>
      <c r="S25" s="302">
        <f t="shared" si="28"/>
        <v>7.3465273416582724E-7</v>
      </c>
      <c r="T25" s="302"/>
    </row>
    <row r="26" spans="2:20" ht="15" x14ac:dyDescent="0.15">
      <c r="B26" s="305">
        <f t="shared" si="29"/>
        <v>2019</v>
      </c>
      <c r="C26" s="306">
        <v>1</v>
      </c>
      <c r="D26" s="351" t="s">
        <v>131</v>
      </c>
      <c r="E26" s="408">
        <f>'Waterborne Data'!H8</f>
        <v>1193283.3582020819</v>
      </c>
      <c r="F26" s="418">
        <f t="shared" si="16"/>
        <v>8780</v>
      </c>
      <c r="G26" s="402">
        <f t="shared" si="17"/>
        <v>4.88</v>
      </c>
      <c r="H26" s="581">
        <f t="shared" si="18"/>
        <v>0.23</v>
      </c>
      <c r="I26" s="454">
        <f t="shared" si="19"/>
        <v>10477.027885014279</v>
      </c>
      <c r="J26" s="347">
        <f t="shared" si="20"/>
        <v>5.8232227880261593</v>
      </c>
      <c r="K26" s="455">
        <f t="shared" si="21"/>
        <v>0.27445517238647887</v>
      </c>
      <c r="L26" s="374">
        <f t="shared" si="22"/>
        <v>10477.027885014279</v>
      </c>
      <c r="M26" s="310">
        <f t="shared" si="23"/>
        <v>163.05023806473247</v>
      </c>
      <c r="N26" s="311">
        <f t="shared" si="24"/>
        <v>72.730620682416898</v>
      </c>
      <c r="O26" s="312">
        <f t="shared" si="25"/>
        <v>10712.808743761429</v>
      </c>
      <c r="Q26" s="302">
        <f t="shared" si="26"/>
        <v>1.0477027885014279E-2</v>
      </c>
      <c r="R26" s="302">
        <f t="shared" si="27"/>
        <v>1.6305023806473246E-4</v>
      </c>
      <c r="S26" s="302">
        <f t="shared" si="28"/>
        <v>7.2730620682416898E-5</v>
      </c>
      <c r="T26" s="302"/>
    </row>
    <row r="27" spans="2:20" ht="15" x14ac:dyDescent="0.15">
      <c r="B27" s="305">
        <f t="shared" si="29"/>
        <v>2019</v>
      </c>
      <c r="C27" s="306">
        <v>1</v>
      </c>
      <c r="D27" s="467" t="s">
        <v>60</v>
      </c>
      <c r="E27" s="408">
        <f>'Waterborne Data'!H9</f>
        <v>72370.212886398658</v>
      </c>
      <c r="F27" s="418">
        <f t="shared" si="16"/>
        <v>8780</v>
      </c>
      <c r="G27" s="402">
        <f t="shared" si="17"/>
        <v>4.88</v>
      </c>
      <c r="H27" s="581">
        <f t="shared" si="18"/>
        <v>0.23</v>
      </c>
      <c r="I27" s="454">
        <f t="shared" si="19"/>
        <v>635.41046914258027</v>
      </c>
      <c r="J27" s="347">
        <f t="shared" si="20"/>
        <v>0.35316663888562544</v>
      </c>
      <c r="K27" s="455">
        <f t="shared" si="21"/>
        <v>1.6645148963871693E-2</v>
      </c>
      <c r="L27" s="374">
        <f t="shared" si="22"/>
        <v>635.41046914258027</v>
      </c>
      <c r="M27" s="310">
        <f t="shared" si="23"/>
        <v>9.8886658887975116</v>
      </c>
      <c r="N27" s="311">
        <f>K27*N2O_GWP</f>
        <v>4.4109644754259989</v>
      </c>
      <c r="O27" s="315">
        <f t="shared" si="25"/>
        <v>649.71009950680377</v>
      </c>
      <c r="Q27" s="302">
        <f t="shared" si="26"/>
        <v>6.3541046914258024E-4</v>
      </c>
      <c r="R27" s="302">
        <f t="shared" si="27"/>
        <v>9.888665888797511E-6</v>
      </c>
      <c r="S27" s="302">
        <f t="shared" si="28"/>
        <v>4.4109644754259989E-6</v>
      </c>
      <c r="T27" s="302"/>
    </row>
    <row r="28" spans="2:20" ht="15" x14ac:dyDescent="0.15">
      <c r="B28" s="305">
        <f t="shared" si="29"/>
        <v>2019</v>
      </c>
      <c r="C28" s="306">
        <v>1</v>
      </c>
      <c r="D28" s="467" t="s">
        <v>62</v>
      </c>
      <c r="E28" s="408">
        <f>'Waterborne Data'!H10</f>
        <v>108555.34797055022</v>
      </c>
      <c r="F28" s="418">
        <f t="shared" si="16"/>
        <v>8780</v>
      </c>
      <c r="G28" s="402">
        <f t="shared" si="17"/>
        <v>4.88</v>
      </c>
      <c r="H28" s="581">
        <f t="shared" si="18"/>
        <v>0.23</v>
      </c>
      <c r="I28" s="454">
        <f t="shared" si="19"/>
        <v>953.11595518143099</v>
      </c>
      <c r="J28" s="347">
        <f t="shared" si="20"/>
        <v>0.52975009809628515</v>
      </c>
      <c r="K28" s="455">
        <f t="shared" si="21"/>
        <v>2.496773003322655E-2</v>
      </c>
      <c r="L28" s="374">
        <f t="shared" si="22"/>
        <v>953.11595518143099</v>
      </c>
      <c r="M28" s="310">
        <f t="shared" si="23"/>
        <v>14.833002746695984</v>
      </c>
      <c r="N28" s="311">
        <f t="shared" ref="N28:N32" si="30">K28*N2O_GWP</f>
        <v>6.6164484588050358</v>
      </c>
      <c r="O28" s="315">
        <f t="shared" si="25"/>
        <v>974.56540638693207</v>
      </c>
      <c r="Q28" s="302">
        <f t="shared" si="26"/>
        <v>9.5311595518143095E-4</v>
      </c>
      <c r="R28" s="302">
        <f t="shared" si="27"/>
        <v>1.4833002746695983E-5</v>
      </c>
      <c r="S28" s="302">
        <f t="shared" si="28"/>
        <v>6.6164484588050355E-6</v>
      </c>
      <c r="T28" s="302"/>
    </row>
    <row r="29" spans="2:20" ht="15" x14ac:dyDescent="0.15">
      <c r="B29" s="305">
        <f t="shared" si="29"/>
        <v>2019</v>
      </c>
      <c r="C29" s="306">
        <v>1</v>
      </c>
      <c r="D29" s="467" t="s">
        <v>61</v>
      </c>
      <c r="E29" s="408">
        <f>'Waterborne Data'!H11</f>
        <v>60308.541272234914</v>
      </c>
      <c r="F29" s="418">
        <f t="shared" si="16"/>
        <v>8780</v>
      </c>
      <c r="G29" s="402">
        <f t="shared" si="17"/>
        <v>4.88</v>
      </c>
      <c r="H29" s="581">
        <f t="shared" si="18"/>
        <v>0.23</v>
      </c>
      <c r="I29" s="454">
        <f t="shared" si="19"/>
        <v>529.50899237022259</v>
      </c>
      <c r="J29" s="347">
        <f t="shared" si="20"/>
        <v>0.29430568140850633</v>
      </c>
      <c r="K29" s="455">
        <f t="shared" si="21"/>
        <v>1.3870964492614031E-2</v>
      </c>
      <c r="L29" s="374">
        <f t="shared" si="22"/>
        <v>529.50899237022259</v>
      </c>
      <c r="M29" s="310">
        <f t="shared" si="23"/>
        <v>8.240559079438178</v>
      </c>
      <c r="N29" s="311">
        <f t="shared" si="30"/>
        <v>3.6758055905427183</v>
      </c>
      <c r="O29" s="315">
        <f t="shared" si="25"/>
        <v>541.42535704020349</v>
      </c>
      <c r="Q29" s="302">
        <f t="shared" si="26"/>
        <v>5.295089923702226E-4</v>
      </c>
      <c r="R29" s="302">
        <f t="shared" si="27"/>
        <v>8.2405590794381784E-6</v>
      </c>
      <c r="S29" s="302">
        <f t="shared" si="28"/>
        <v>3.6758055905427183E-6</v>
      </c>
      <c r="T29" s="302"/>
    </row>
    <row r="30" spans="2:20" ht="15" x14ac:dyDescent="0.15">
      <c r="B30" s="305">
        <f t="shared" si="29"/>
        <v>2019</v>
      </c>
      <c r="C30" s="306">
        <v>1</v>
      </c>
      <c r="D30" s="467" t="s">
        <v>63</v>
      </c>
      <c r="E30" s="408">
        <f>'Waterborne Data'!H12</f>
        <v>1284390.9923011097</v>
      </c>
      <c r="F30" s="418">
        <f t="shared" si="16"/>
        <v>8780</v>
      </c>
      <c r="G30" s="402">
        <f t="shared" si="17"/>
        <v>4.88</v>
      </c>
      <c r="H30" s="581">
        <f t="shared" si="18"/>
        <v>0.23</v>
      </c>
      <c r="I30" s="454">
        <f t="shared" si="19"/>
        <v>11276.952912403744</v>
      </c>
      <c r="J30" s="347">
        <f t="shared" si="20"/>
        <v>6.2678280424294153</v>
      </c>
      <c r="K30" s="455">
        <f t="shared" si="21"/>
        <v>0.29540992822925527</v>
      </c>
      <c r="L30" s="374">
        <f t="shared" si="22"/>
        <v>11276.952912403744</v>
      </c>
      <c r="M30" s="310">
        <f t="shared" si="23"/>
        <v>175.49918518802363</v>
      </c>
      <c r="N30" s="311">
        <f t="shared" si="30"/>
        <v>78.283630980752648</v>
      </c>
      <c r="O30" s="315">
        <f t="shared" si="25"/>
        <v>11530.735728572521</v>
      </c>
      <c r="Q30" s="302">
        <f t="shared" si="26"/>
        <v>1.1276952912403744E-2</v>
      </c>
      <c r="R30" s="302">
        <f t="shared" si="27"/>
        <v>1.7549918518802363E-4</v>
      </c>
      <c r="S30" s="302">
        <f t="shared" si="28"/>
        <v>7.8283630980752642E-5</v>
      </c>
      <c r="T30" s="302"/>
    </row>
    <row r="31" spans="2:20" ht="15" x14ac:dyDescent="0.15">
      <c r="B31" s="305">
        <f t="shared" si="29"/>
        <v>2019</v>
      </c>
      <c r="C31" s="306">
        <v>1</v>
      </c>
      <c r="D31" s="467" t="s">
        <v>64</v>
      </c>
      <c r="E31" s="408">
        <f>'Waterborne Data'!H13</f>
        <v>217110.64220298873</v>
      </c>
      <c r="F31" s="418">
        <f t="shared" si="16"/>
        <v>8780</v>
      </c>
      <c r="G31" s="402">
        <f t="shared" si="17"/>
        <v>4.88</v>
      </c>
      <c r="H31" s="581">
        <f t="shared" si="18"/>
        <v>0.23</v>
      </c>
      <c r="I31" s="454">
        <f t="shared" si="19"/>
        <v>1906.231438542241</v>
      </c>
      <c r="J31" s="347">
        <f t="shared" si="20"/>
        <v>1.0594999339505851</v>
      </c>
      <c r="K31" s="455">
        <f t="shared" si="21"/>
        <v>4.9935447706687411E-2</v>
      </c>
      <c r="L31" s="374">
        <f t="shared" si="22"/>
        <v>1906.231438542241</v>
      </c>
      <c r="M31" s="310">
        <f t="shared" si="23"/>
        <v>29.665998150616382</v>
      </c>
      <c r="N31" s="311">
        <f t="shared" si="30"/>
        <v>13.232893642272163</v>
      </c>
      <c r="O31" s="315">
        <f t="shared" si="25"/>
        <v>1949.1303303351294</v>
      </c>
      <c r="Q31" s="302">
        <f t="shared" si="26"/>
        <v>1.9062314385422409E-3</v>
      </c>
      <c r="R31" s="302">
        <f t="shared" si="27"/>
        <v>2.9665998150616381E-5</v>
      </c>
      <c r="S31" s="302">
        <f t="shared" si="28"/>
        <v>1.3232893642272164E-5</v>
      </c>
      <c r="T31" s="302"/>
    </row>
    <row r="32" spans="2:20" ht="16" thickBot="1" x14ac:dyDescent="0.2">
      <c r="B32" s="305">
        <f t="shared" si="29"/>
        <v>2019</v>
      </c>
      <c r="C32" s="306">
        <v>1</v>
      </c>
      <c r="D32" s="467" t="s">
        <v>65</v>
      </c>
      <c r="E32" s="408">
        <f>'Waterborne Data'!H14</f>
        <v>385974.90549992392</v>
      </c>
      <c r="F32" s="451">
        <f t="shared" si="16"/>
        <v>8780</v>
      </c>
      <c r="G32" s="452">
        <f t="shared" si="17"/>
        <v>4.88</v>
      </c>
      <c r="H32" s="582">
        <f t="shared" si="18"/>
        <v>0.23</v>
      </c>
      <c r="I32" s="456">
        <f t="shared" si="19"/>
        <v>3388.8596702893319</v>
      </c>
      <c r="J32" s="457">
        <f t="shared" si="20"/>
        <v>1.8835575388396286</v>
      </c>
      <c r="K32" s="458">
        <f t="shared" si="21"/>
        <v>8.8774228264982505E-2</v>
      </c>
      <c r="L32" s="374">
        <f t="shared" si="22"/>
        <v>3388.8596702893319</v>
      </c>
      <c r="M32" s="310">
        <f t="shared" si="23"/>
        <v>52.739611087509601</v>
      </c>
      <c r="N32" s="311">
        <f t="shared" si="30"/>
        <v>23.525170490220365</v>
      </c>
      <c r="O32" s="315">
        <f t="shared" si="25"/>
        <v>3465.1244518670619</v>
      </c>
      <c r="Q32" s="302">
        <f t="shared" si="26"/>
        <v>3.388859670289332E-3</v>
      </c>
      <c r="R32" s="302">
        <f t="shared" si="27"/>
        <v>5.2739611087509599E-5</v>
      </c>
      <c r="S32" s="302">
        <f t="shared" si="28"/>
        <v>2.3525170490220363E-5</v>
      </c>
      <c r="T32" s="302"/>
    </row>
    <row r="33" spans="1:20" s="19" customFormat="1" ht="16" thickBot="1" x14ac:dyDescent="0.2">
      <c r="B33" s="316">
        <f t="shared" si="29"/>
        <v>2019</v>
      </c>
      <c r="C33" s="317">
        <v>1</v>
      </c>
      <c r="D33" s="469" t="s">
        <v>66</v>
      </c>
      <c r="E33" s="459">
        <f>SUM(E24,E27:E32)</f>
        <v>3334047.3675898542</v>
      </c>
      <c r="F33" s="421"/>
      <c r="G33" s="413"/>
      <c r="H33" s="422"/>
      <c r="I33" s="348">
        <f t="shared" ref="I33:N33" si="31">SUM(I24,I27:I32)</f>
        <v>29272.935887438922</v>
      </c>
      <c r="J33" s="319">
        <f t="shared" si="31"/>
        <v>16.270151153838491</v>
      </c>
      <c r="K33" s="319">
        <f t="shared" si="31"/>
        <v>0.76683089454566655</v>
      </c>
      <c r="L33" s="319">
        <f t="shared" si="31"/>
        <v>29272.935887438922</v>
      </c>
      <c r="M33" s="319">
        <f t="shared" si="31"/>
        <v>455.56423230747771</v>
      </c>
      <c r="N33" s="320">
        <f t="shared" si="31"/>
        <v>203.21018705460165</v>
      </c>
      <c r="O33" s="321">
        <f t="shared" si="25"/>
        <v>29931.710306801004</v>
      </c>
      <c r="Q33" s="302"/>
      <c r="R33" s="302"/>
      <c r="S33" s="302"/>
      <c r="T33" s="302"/>
    </row>
    <row r="34" spans="1:20" s="66" customFormat="1" x14ac:dyDescent="0.15">
      <c r="B34" s="82"/>
      <c r="C34" s="114"/>
      <c r="D34" s="114"/>
      <c r="E34" s="114"/>
      <c r="F34" s="114"/>
      <c r="G34" s="114"/>
      <c r="H34" s="114"/>
      <c r="J34" s="114"/>
      <c r="K34" s="114"/>
      <c r="L34" s="114"/>
      <c r="M34" s="114"/>
      <c r="N34" s="114"/>
      <c r="O34" s="114"/>
      <c r="Q34" s="302"/>
      <c r="R34" s="302"/>
      <c r="S34" s="302"/>
      <c r="T34" s="302"/>
    </row>
    <row r="35" spans="1:20" ht="18" x14ac:dyDescent="0.2">
      <c r="A35" s="300"/>
      <c r="B35" s="301">
        <v>2015</v>
      </c>
      <c r="C35" s="29"/>
      <c r="D35" s="29"/>
      <c r="E35" s="29"/>
      <c r="F35" s="29"/>
      <c r="G35" s="29"/>
      <c r="H35" s="29"/>
      <c r="I35" s="29"/>
      <c r="J35" s="29"/>
      <c r="K35" s="29"/>
      <c r="L35" s="29"/>
      <c r="M35" s="29"/>
      <c r="N35" s="29"/>
      <c r="O35" s="29"/>
      <c r="Q35" s="302"/>
      <c r="R35" s="302"/>
      <c r="S35" s="302"/>
      <c r="T35" s="302"/>
    </row>
    <row r="36" spans="1:20" x14ac:dyDescent="0.15">
      <c r="Q36" s="302"/>
      <c r="R36" s="302"/>
      <c r="S36" s="302"/>
      <c r="T36" s="302"/>
    </row>
    <row r="37" spans="1:20" ht="15" thickBot="1" x14ac:dyDescent="0.2">
      <c r="B37" s="82" t="s">
        <v>146</v>
      </c>
      <c r="P37" s="66"/>
      <c r="Q37" s="302"/>
      <c r="R37" s="302"/>
      <c r="S37" s="302"/>
      <c r="T37" s="302"/>
    </row>
    <row r="38" spans="1:20" s="133" customFormat="1" x14ac:dyDescent="0.15">
      <c r="B38" s="662" t="s">
        <v>76</v>
      </c>
      <c r="C38" s="665" t="s">
        <v>80</v>
      </c>
      <c r="D38" s="668" t="s">
        <v>77</v>
      </c>
      <c r="E38" s="671" t="s">
        <v>141</v>
      </c>
      <c r="F38" s="674" t="s">
        <v>49</v>
      </c>
      <c r="G38" s="675"/>
      <c r="H38" s="676"/>
      <c r="I38" s="682" t="s">
        <v>128</v>
      </c>
      <c r="J38" s="658"/>
      <c r="K38" s="659"/>
      <c r="L38" s="658" t="s">
        <v>129</v>
      </c>
      <c r="M38" s="658"/>
      <c r="N38" s="658"/>
      <c r="O38" s="659"/>
      <c r="Q38" s="302"/>
      <c r="R38" s="302"/>
      <c r="S38" s="302"/>
      <c r="T38" s="302"/>
    </row>
    <row r="39" spans="1:20" s="133" customFormat="1" ht="15" thickBot="1" x14ac:dyDescent="0.2">
      <c r="B39" s="663"/>
      <c r="C39" s="666"/>
      <c r="D39" s="669"/>
      <c r="E39" s="672"/>
      <c r="F39" s="332" t="s">
        <v>94</v>
      </c>
      <c r="G39" s="303" t="s">
        <v>95</v>
      </c>
      <c r="H39" s="304" t="s">
        <v>96</v>
      </c>
      <c r="I39" s="683"/>
      <c r="J39" s="660"/>
      <c r="K39" s="661"/>
      <c r="L39" s="660"/>
      <c r="M39" s="660"/>
      <c r="N39" s="660"/>
      <c r="O39" s="661"/>
      <c r="Q39" s="302"/>
      <c r="R39" s="302"/>
      <c r="S39" s="302"/>
      <c r="T39" s="302"/>
    </row>
    <row r="40" spans="1:20" s="133" customFormat="1" x14ac:dyDescent="0.15">
      <c r="B40" s="664"/>
      <c r="C40" s="667"/>
      <c r="D40" s="670"/>
      <c r="E40" s="673"/>
      <c r="F40" s="332" t="s">
        <v>143</v>
      </c>
      <c r="G40" s="405" t="s">
        <v>144</v>
      </c>
      <c r="H40" s="417" t="s">
        <v>145</v>
      </c>
      <c r="I40" s="332" t="s">
        <v>94</v>
      </c>
      <c r="J40" s="303" t="s">
        <v>95</v>
      </c>
      <c r="K40" s="304" t="s">
        <v>96</v>
      </c>
      <c r="L40" s="385" t="s">
        <v>94</v>
      </c>
      <c r="M40" s="324" t="s">
        <v>95</v>
      </c>
      <c r="N40" s="324" t="s">
        <v>96</v>
      </c>
      <c r="O40" s="323" t="s">
        <v>130</v>
      </c>
      <c r="Q40" s="302"/>
      <c r="R40" s="302"/>
      <c r="S40" s="302"/>
      <c r="T40" s="302"/>
    </row>
    <row r="41" spans="1:20" ht="15" x14ac:dyDescent="0.15">
      <c r="B41" s="305">
        <f>$B$35</f>
        <v>2015</v>
      </c>
      <c r="C41" s="306">
        <v>1</v>
      </c>
      <c r="D41" s="467" t="s">
        <v>59</v>
      </c>
      <c r="E41" s="408">
        <f>'Waterborne Data'!E6</f>
        <v>903354.9572873807</v>
      </c>
      <c r="F41" s="418">
        <f t="shared" ref="F41:F49" si="32">Diesel_Ships_gCO2_per_gallon</f>
        <v>10210</v>
      </c>
      <c r="G41" s="581">
        <f t="shared" ref="G41:G49" si="33">Diesel_Ships_gCH4_per_gallon</f>
        <v>0.31</v>
      </c>
      <c r="H41" s="419">
        <f t="shared" ref="H41:H49" si="34">Diesel_Ships_gN2O_per_gallon</f>
        <v>0.5</v>
      </c>
      <c r="I41" s="454">
        <f t="shared" ref="I41:I49" si="35">E41*F41/grams_to_mton</f>
        <v>9223.2541139041568</v>
      </c>
      <c r="J41" s="347">
        <f t="shared" ref="J41:J49" si="36">E41*G41/grams_to_mton</f>
        <v>0.28004003675908801</v>
      </c>
      <c r="K41" s="455">
        <f t="shared" ref="K41:K49" si="37">E41*H41/grams_to_mton</f>
        <v>0.45167747864369034</v>
      </c>
      <c r="L41" s="374">
        <f t="shared" ref="L41:L49" si="38">I41*CO2_GWP</f>
        <v>9223.2541139041568</v>
      </c>
      <c r="M41" s="310">
        <f t="shared" ref="M41:M49" si="39">J41*CH4_GWP</f>
        <v>7.841121029254464</v>
      </c>
      <c r="N41" s="311">
        <f t="shared" ref="N41:N43" si="40">K41*N2O_GWP</f>
        <v>119.69453184057794</v>
      </c>
      <c r="O41" s="312">
        <f t="shared" ref="O41:O49" si="41">SUM(L41:N41)</f>
        <v>9350.789766773989</v>
      </c>
      <c r="Q41" s="302">
        <f t="shared" ref="Q41:Q49" si="42">L41/mton_per_mmton</f>
        <v>9.2232541139041571E-3</v>
      </c>
      <c r="R41" s="302">
        <f t="shared" ref="R41:R49" si="43">M41/mton_per_mmton</f>
        <v>7.8411210292544641E-6</v>
      </c>
      <c r="S41" s="302">
        <f t="shared" ref="S41:S49" si="44">N41/mton_per_mmton</f>
        <v>1.1969453184057793E-4</v>
      </c>
      <c r="T41" s="302"/>
    </row>
    <row r="42" spans="1:20" ht="15" x14ac:dyDescent="0.15">
      <c r="B42" s="305">
        <f t="shared" ref="B42:B50" si="45">$B$35</f>
        <v>2015</v>
      </c>
      <c r="C42" s="306">
        <v>1</v>
      </c>
      <c r="D42" s="468" t="s">
        <v>58</v>
      </c>
      <c r="E42" s="408">
        <f>'Waterborne Data'!E7</f>
        <v>425815.62957287382</v>
      </c>
      <c r="F42" s="418">
        <f t="shared" si="32"/>
        <v>10210</v>
      </c>
      <c r="G42" s="581">
        <f t="shared" si="33"/>
        <v>0.31</v>
      </c>
      <c r="H42" s="419">
        <f t="shared" si="34"/>
        <v>0.5</v>
      </c>
      <c r="I42" s="454">
        <f t="shared" si="35"/>
        <v>4347.5775779390424</v>
      </c>
      <c r="J42" s="347">
        <f t="shared" si="36"/>
        <v>0.13200284516759089</v>
      </c>
      <c r="K42" s="455">
        <f t="shared" si="37"/>
        <v>0.21290781478643692</v>
      </c>
      <c r="L42" s="374">
        <f t="shared" si="38"/>
        <v>4347.5775779390424</v>
      </c>
      <c r="M42" s="310">
        <f t="shared" si="39"/>
        <v>3.6960796646925451</v>
      </c>
      <c r="N42" s="311">
        <f t="shared" si="40"/>
        <v>56.42057091840578</v>
      </c>
      <c r="O42" s="312">
        <f t="shared" si="41"/>
        <v>4407.6942285221412</v>
      </c>
      <c r="Q42" s="302">
        <f t="shared" si="42"/>
        <v>4.3475775779390421E-3</v>
      </c>
      <c r="R42" s="302">
        <f t="shared" si="43"/>
        <v>3.6960796646925451E-6</v>
      </c>
      <c r="S42" s="302">
        <f t="shared" si="44"/>
        <v>5.6420570918405778E-5</v>
      </c>
      <c r="T42" s="302"/>
    </row>
    <row r="43" spans="1:20" ht="30" x14ac:dyDescent="0.15">
      <c r="B43" s="305">
        <f t="shared" si="45"/>
        <v>2015</v>
      </c>
      <c r="C43" s="306">
        <v>1</v>
      </c>
      <c r="D43" s="351" t="s">
        <v>131</v>
      </c>
      <c r="E43" s="408">
        <f>'Waterborne Data'!E8</f>
        <v>477539.32771450694</v>
      </c>
      <c r="F43" s="418">
        <f t="shared" si="32"/>
        <v>10210</v>
      </c>
      <c r="G43" s="581">
        <f t="shared" si="33"/>
        <v>0.31</v>
      </c>
      <c r="H43" s="419">
        <f t="shared" si="34"/>
        <v>0.5</v>
      </c>
      <c r="I43" s="454">
        <f t="shared" si="35"/>
        <v>4875.6765359651154</v>
      </c>
      <c r="J43" s="347">
        <f t="shared" si="36"/>
        <v>0.14803719159149717</v>
      </c>
      <c r="K43" s="455">
        <f t="shared" si="37"/>
        <v>0.23876966385725348</v>
      </c>
      <c r="L43" s="374">
        <f t="shared" si="38"/>
        <v>4875.6765359651154</v>
      </c>
      <c r="M43" s="310">
        <f t="shared" si="39"/>
        <v>4.1450413645619211</v>
      </c>
      <c r="N43" s="311">
        <f t="shared" si="40"/>
        <v>63.273960922172172</v>
      </c>
      <c r="O43" s="312">
        <f t="shared" si="41"/>
        <v>4943.0955382518496</v>
      </c>
      <c r="Q43" s="302">
        <f t="shared" si="42"/>
        <v>4.875676535965115E-3</v>
      </c>
      <c r="R43" s="302">
        <f t="shared" si="43"/>
        <v>4.1450413645619215E-6</v>
      </c>
      <c r="S43" s="302">
        <f t="shared" si="44"/>
        <v>6.3273960922172171E-5</v>
      </c>
      <c r="T43" s="302"/>
    </row>
    <row r="44" spans="1:20" ht="15" x14ac:dyDescent="0.15">
      <c r="B44" s="305">
        <f t="shared" si="45"/>
        <v>2015</v>
      </c>
      <c r="C44" s="306">
        <v>1</v>
      </c>
      <c r="D44" s="467" t="s">
        <v>60</v>
      </c>
      <c r="E44" s="408">
        <f>'Waterborne Data'!E9</f>
        <v>13889.804208251569</v>
      </c>
      <c r="F44" s="418">
        <f t="shared" si="32"/>
        <v>10210</v>
      </c>
      <c r="G44" s="581">
        <f t="shared" si="33"/>
        <v>0.31</v>
      </c>
      <c r="H44" s="419">
        <f t="shared" si="34"/>
        <v>0.5</v>
      </c>
      <c r="I44" s="454">
        <f t="shared" si="35"/>
        <v>141.8149009662485</v>
      </c>
      <c r="J44" s="347">
        <f t="shared" si="36"/>
        <v>4.305839304557987E-3</v>
      </c>
      <c r="K44" s="455">
        <f t="shared" si="37"/>
        <v>6.9449021041257846E-3</v>
      </c>
      <c r="L44" s="374">
        <f t="shared" si="38"/>
        <v>141.8149009662485</v>
      </c>
      <c r="M44" s="310">
        <f t="shared" si="39"/>
        <v>0.12056350052762363</v>
      </c>
      <c r="N44" s="311">
        <f>K44*N2O_GWP</f>
        <v>1.8403990575933329</v>
      </c>
      <c r="O44" s="315">
        <f t="shared" si="41"/>
        <v>143.77586352436947</v>
      </c>
      <c r="Q44" s="302">
        <f t="shared" si="42"/>
        <v>1.418149009662485E-4</v>
      </c>
      <c r="R44" s="302">
        <f t="shared" si="43"/>
        <v>1.2056350052762363E-7</v>
      </c>
      <c r="S44" s="302">
        <f t="shared" si="44"/>
        <v>1.8403990575933329E-6</v>
      </c>
      <c r="T44" s="302"/>
    </row>
    <row r="45" spans="1:20" ht="15" x14ac:dyDescent="0.15">
      <c r="B45" s="305">
        <f t="shared" si="45"/>
        <v>2015</v>
      </c>
      <c r="C45" s="306">
        <v>1</v>
      </c>
      <c r="D45" s="467" t="s">
        <v>62</v>
      </c>
      <c r="E45" s="408">
        <f>'Waterborne Data'!E10</f>
        <v>20834.684771113312</v>
      </c>
      <c r="F45" s="418">
        <f t="shared" si="32"/>
        <v>10210</v>
      </c>
      <c r="G45" s="581">
        <f t="shared" si="33"/>
        <v>0.31</v>
      </c>
      <c r="H45" s="419">
        <f t="shared" si="34"/>
        <v>0.5</v>
      </c>
      <c r="I45" s="454">
        <f t="shared" si="35"/>
        <v>212.72213151306693</v>
      </c>
      <c r="J45" s="347">
        <f t="shared" si="36"/>
        <v>6.4587522790451263E-3</v>
      </c>
      <c r="K45" s="455">
        <f t="shared" si="37"/>
        <v>1.0417342385556656E-2</v>
      </c>
      <c r="L45" s="374">
        <f t="shared" si="38"/>
        <v>212.72213151306693</v>
      </c>
      <c r="M45" s="310">
        <f t="shared" si="39"/>
        <v>0.18084506381326354</v>
      </c>
      <c r="N45" s="311">
        <f t="shared" ref="N45:N49" si="46">K45*N2O_GWP</f>
        <v>2.7605957321725136</v>
      </c>
      <c r="O45" s="315">
        <f t="shared" si="41"/>
        <v>215.66357230905268</v>
      </c>
      <c r="Q45" s="302">
        <f t="shared" si="42"/>
        <v>2.1272213151306692E-4</v>
      </c>
      <c r="R45" s="302">
        <f t="shared" si="43"/>
        <v>1.8084506381326354E-7</v>
      </c>
      <c r="S45" s="302">
        <f t="shared" si="44"/>
        <v>2.7605957321725136E-6</v>
      </c>
      <c r="T45" s="302"/>
    </row>
    <row r="46" spans="1:20" ht="15" x14ac:dyDescent="0.15">
      <c r="B46" s="305">
        <f t="shared" si="45"/>
        <v>2015</v>
      </c>
      <c r="C46" s="306">
        <v>1</v>
      </c>
      <c r="D46" s="467" t="s">
        <v>61</v>
      </c>
      <c r="E46" s="408">
        <f>'Waterborne Data'!E11</f>
        <v>11574.838553915632</v>
      </c>
      <c r="F46" s="418">
        <f t="shared" si="32"/>
        <v>10210</v>
      </c>
      <c r="G46" s="581">
        <f t="shared" si="33"/>
        <v>0.31</v>
      </c>
      <c r="H46" s="419">
        <f t="shared" si="34"/>
        <v>0.5</v>
      </c>
      <c r="I46" s="454">
        <f t="shared" si="35"/>
        <v>118.1791016354786</v>
      </c>
      <c r="J46" s="347">
        <f t="shared" si="36"/>
        <v>3.5881999517138456E-3</v>
      </c>
      <c r="K46" s="455">
        <f t="shared" si="37"/>
        <v>5.7874192769578154E-3</v>
      </c>
      <c r="L46" s="374">
        <f t="shared" si="38"/>
        <v>118.1791016354786</v>
      </c>
      <c r="M46" s="310">
        <f t="shared" si="39"/>
        <v>0.10046959864798767</v>
      </c>
      <c r="N46" s="311">
        <f t="shared" si="46"/>
        <v>1.533666108393821</v>
      </c>
      <c r="O46" s="315">
        <f t="shared" si="41"/>
        <v>119.81323734252041</v>
      </c>
      <c r="Q46" s="302">
        <f t="shared" si="42"/>
        <v>1.1817910163547861E-4</v>
      </c>
      <c r="R46" s="302">
        <f t="shared" si="43"/>
        <v>1.0046959864798767E-7</v>
      </c>
      <c r="S46" s="302">
        <f t="shared" si="44"/>
        <v>1.5336661083938211E-6</v>
      </c>
      <c r="T46" s="302"/>
    </row>
    <row r="47" spans="1:20" ht="15" x14ac:dyDescent="0.15">
      <c r="B47" s="305">
        <f t="shared" si="45"/>
        <v>2015</v>
      </c>
      <c r="C47" s="306">
        <v>1</v>
      </c>
      <c r="D47" s="467" t="s">
        <v>63</v>
      </c>
      <c r="E47" s="408">
        <f>'Waterborne Data'!E12</f>
        <v>429515.76898389618</v>
      </c>
      <c r="F47" s="418">
        <f t="shared" si="32"/>
        <v>10210</v>
      </c>
      <c r="G47" s="581">
        <f t="shared" si="33"/>
        <v>0.31</v>
      </c>
      <c r="H47" s="419">
        <f t="shared" si="34"/>
        <v>0.5</v>
      </c>
      <c r="I47" s="454">
        <f t="shared" si="35"/>
        <v>4385.3560013255792</v>
      </c>
      <c r="J47" s="347">
        <f t="shared" si="36"/>
        <v>0.13314988838500783</v>
      </c>
      <c r="K47" s="455">
        <f t="shared" si="37"/>
        <v>0.2147578844919481</v>
      </c>
      <c r="L47" s="374">
        <f t="shared" si="38"/>
        <v>4385.3560013255792</v>
      </c>
      <c r="M47" s="310">
        <f t="shared" si="39"/>
        <v>3.728196874780219</v>
      </c>
      <c r="N47" s="311">
        <f t="shared" si="46"/>
        <v>56.910839390366249</v>
      </c>
      <c r="O47" s="315">
        <f t="shared" si="41"/>
        <v>4445.9950375907256</v>
      </c>
      <c r="Q47" s="302">
        <f t="shared" si="42"/>
        <v>4.3853560013255794E-3</v>
      </c>
      <c r="R47" s="302">
        <f t="shared" si="43"/>
        <v>3.728196874780219E-6</v>
      </c>
      <c r="S47" s="302">
        <f t="shared" si="44"/>
        <v>5.6910839390366251E-5</v>
      </c>
      <c r="T47" s="302"/>
    </row>
    <row r="48" spans="1:20" ht="15" x14ac:dyDescent="0.15">
      <c r="B48" s="305">
        <f t="shared" si="45"/>
        <v>2015</v>
      </c>
      <c r="C48" s="306">
        <v>1</v>
      </c>
      <c r="D48" s="467" t="s">
        <v>64</v>
      </c>
      <c r="E48" s="408">
        <f>'Waterborne Data'!E13</f>
        <v>41669.419392385331</v>
      </c>
      <c r="F48" s="418">
        <f t="shared" si="32"/>
        <v>10210</v>
      </c>
      <c r="G48" s="581">
        <f t="shared" si="33"/>
        <v>0.31</v>
      </c>
      <c r="H48" s="419">
        <f t="shared" si="34"/>
        <v>0.5</v>
      </c>
      <c r="I48" s="454">
        <f t="shared" si="35"/>
        <v>425.44477199625419</v>
      </c>
      <c r="J48" s="347">
        <f t="shared" si="36"/>
        <v>1.2917520011639452E-2</v>
      </c>
      <c r="K48" s="455">
        <f t="shared" si="37"/>
        <v>2.0834709696192666E-2</v>
      </c>
      <c r="L48" s="374">
        <f t="shared" si="38"/>
        <v>425.44477199625419</v>
      </c>
      <c r="M48" s="310">
        <f t="shared" si="39"/>
        <v>0.36169056032590463</v>
      </c>
      <c r="N48" s="311">
        <f t="shared" si="46"/>
        <v>5.5211980694910565</v>
      </c>
      <c r="O48" s="315">
        <f t="shared" si="41"/>
        <v>431.32766062607112</v>
      </c>
      <c r="Q48" s="302">
        <f t="shared" si="42"/>
        <v>4.2544477199625417E-4</v>
      </c>
      <c r="R48" s="302">
        <f t="shared" si="43"/>
        <v>3.6169056032590463E-7</v>
      </c>
      <c r="S48" s="302">
        <f t="shared" si="44"/>
        <v>5.5211980694910566E-6</v>
      </c>
      <c r="T48" s="302"/>
    </row>
    <row r="49" spans="2:20" ht="16" thickBot="1" x14ac:dyDescent="0.2">
      <c r="B49" s="305">
        <f t="shared" si="45"/>
        <v>2015</v>
      </c>
      <c r="C49" s="306">
        <v>1</v>
      </c>
      <c r="D49" s="467" t="s">
        <v>65</v>
      </c>
      <c r="E49" s="408">
        <f>'Waterborne Data'!E14</f>
        <v>74078.986790030511</v>
      </c>
      <c r="F49" s="451">
        <f t="shared" si="32"/>
        <v>10210</v>
      </c>
      <c r="G49" s="582">
        <f t="shared" si="33"/>
        <v>0.31</v>
      </c>
      <c r="H49" s="453">
        <f t="shared" si="34"/>
        <v>0.5</v>
      </c>
      <c r="I49" s="456">
        <f t="shared" si="35"/>
        <v>756.34645512621148</v>
      </c>
      <c r="J49" s="457">
        <f t="shared" si="36"/>
        <v>2.296448590490946E-2</v>
      </c>
      <c r="K49" s="458">
        <f t="shared" si="37"/>
        <v>3.7039493395015256E-2</v>
      </c>
      <c r="L49" s="374">
        <f t="shared" si="38"/>
        <v>756.34645512621148</v>
      </c>
      <c r="M49" s="310">
        <f t="shared" si="39"/>
        <v>0.64300560533746487</v>
      </c>
      <c r="N49" s="311">
        <f t="shared" si="46"/>
        <v>9.8154657496790421</v>
      </c>
      <c r="O49" s="315">
        <f t="shared" si="41"/>
        <v>766.80492648122799</v>
      </c>
      <c r="Q49" s="302">
        <f t="shared" si="42"/>
        <v>7.5634645512621143E-4</v>
      </c>
      <c r="R49" s="302">
        <f t="shared" si="43"/>
        <v>6.4300560533746484E-7</v>
      </c>
      <c r="S49" s="302">
        <f t="shared" si="44"/>
        <v>9.8154657496790414E-6</v>
      </c>
      <c r="T49" s="302"/>
    </row>
    <row r="50" spans="2:20" s="19" customFormat="1" ht="16" thickBot="1" x14ac:dyDescent="0.2">
      <c r="B50" s="316">
        <f t="shared" si="45"/>
        <v>2015</v>
      </c>
      <c r="C50" s="317">
        <v>1</v>
      </c>
      <c r="D50" s="469" t="s">
        <v>66</v>
      </c>
      <c r="E50" s="459">
        <f>SUM(E41,E44:E49)</f>
        <v>1494918.4599869731</v>
      </c>
      <c r="F50" s="421"/>
      <c r="G50" s="413"/>
      <c r="H50" s="422"/>
      <c r="I50" s="470">
        <f>SUM(I41,I44:I49)</f>
        <v>15263.117476466994</v>
      </c>
      <c r="J50" s="319">
        <f t="shared" ref="J50:N50" si="47">SUM(J41,J44:J49)</f>
        <v>0.46342472259596168</v>
      </c>
      <c r="K50" s="471">
        <f t="shared" si="47"/>
        <v>0.74745922999348668</v>
      </c>
      <c r="L50" s="348">
        <f>SUM(L41,L44:L49)</f>
        <v>15263.117476466994</v>
      </c>
      <c r="M50" s="319">
        <f t="shared" si="47"/>
        <v>12.975892232686926</v>
      </c>
      <c r="N50" s="320">
        <f t="shared" si="47"/>
        <v>198.07669594827394</v>
      </c>
      <c r="O50" s="321">
        <f>SUM(L50:N50)</f>
        <v>15474.170064647955</v>
      </c>
      <c r="Q50" s="302"/>
      <c r="R50" s="302"/>
      <c r="S50" s="302"/>
      <c r="T50" s="302"/>
    </row>
    <row r="51" spans="2:20" s="66" customFormat="1" x14ac:dyDescent="0.15">
      <c r="B51" s="82"/>
      <c r="C51" s="114"/>
      <c r="D51" s="114"/>
      <c r="E51" s="114"/>
      <c r="F51" s="114"/>
      <c r="G51" s="114"/>
      <c r="H51" s="114"/>
      <c r="J51" s="114"/>
      <c r="K51" s="114"/>
      <c r="L51" s="114"/>
      <c r="M51" s="114"/>
      <c r="N51" s="114"/>
      <c r="O51" s="114"/>
      <c r="Q51" s="302"/>
      <c r="R51" s="302"/>
      <c r="S51" s="302"/>
      <c r="T51" s="302"/>
    </row>
    <row r="52" spans="2:20" ht="15" thickBot="1" x14ac:dyDescent="0.2">
      <c r="B52" s="82" t="s">
        <v>147</v>
      </c>
      <c r="P52" s="66"/>
      <c r="Q52" s="302"/>
      <c r="R52" s="302"/>
      <c r="S52" s="302"/>
      <c r="T52" s="302"/>
    </row>
    <row r="53" spans="2:20" s="133" customFormat="1" ht="15" customHeight="1" x14ac:dyDescent="0.15">
      <c r="B53" s="662" t="s">
        <v>76</v>
      </c>
      <c r="C53" s="665" t="s">
        <v>80</v>
      </c>
      <c r="D53" s="668" t="s">
        <v>77</v>
      </c>
      <c r="E53" s="671" t="s">
        <v>141</v>
      </c>
      <c r="F53" s="674" t="s">
        <v>49</v>
      </c>
      <c r="G53" s="675"/>
      <c r="H53" s="676"/>
      <c r="I53" s="682" t="s">
        <v>128</v>
      </c>
      <c r="J53" s="658"/>
      <c r="K53" s="659"/>
      <c r="L53" s="658" t="s">
        <v>129</v>
      </c>
      <c r="M53" s="658"/>
      <c r="N53" s="658"/>
      <c r="O53" s="659"/>
      <c r="Q53" s="302"/>
      <c r="R53" s="302"/>
      <c r="S53" s="302"/>
      <c r="T53" s="302"/>
    </row>
    <row r="54" spans="2:20" s="133" customFormat="1" x14ac:dyDescent="0.15">
      <c r="B54" s="663"/>
      <c r="C54" s="666"/>
      <c r="D54" s="669"/>
      <c r="E54" s="672"/>
      <c r="F54" s="332" t="s">
        <v>94</v>
      </c>
      <c r="G54" s="303" t="s">
        <v>95</v>
      </c>
      <c r="H54" s="304" t="s">
        <v>96</v>
      </c>
      <c r="I54" s="683"/>
      <c r="J54" s="660"/>
      <c r="K54" s="661"/>
      <c r="L54" s="660"/>
      <c r="M54" s="660"/>
      <c r="N54" s="660"/>
      <c r="O54" s="661"/>
      <c r="Q54" s="302"/>
      <c r="R54" s="302"/>
      <c r="S54" s="302"/>
      <c r="T54" s="302"/>
    </row>
    <row r="55" spans="2:20" s="133" customFormat="1" x14ac:dyDescent="0.15">
      <c r="B55" s="664"/>
      <c r="C55" s="667"/>
      <c r="D55" s="670"/>
      <c r="E55" s="673"/>
      <c r="F55" s="332" t="s">
        <v>143</v>
      </c>
      <c r="G55" s="405" t="s">
        <v>144</v>
      </c>
      <c r="H55" s="417" t="s">
        <v>145</v>
      </c>
      <c r="I55" s="332" t="s">
        <v>94</v>
      </c>
      <c r="J55" s="303" t="s">
        <v>95</v>
      </c>
      <c r="K55" s="304" t="s">
        <v>96</v>
      </c>
      <c r="L55" s="385" t="s">
        <v>94</v>
      </c>
      <c r="M55" s="324" t="s">
        <v>95</v>
      </c>
      <c r="N55" s="324" t="s">
        <v>96</v>
      </c>
      <c r="O55" s="323" t="s">
        <v>130</v>
      </c>
      <c r="Q55" s="302"/>
      <c r="R55" s="302"/>
      <c r="S55" s="302"/>
      <c r="T55" s="302"/>
    </row>
    <row r="56" spans="2:20" ht="15" x14ac:dyDescent="0.15">
      <c r="B56" s="305">
        <f t="shared" ref="B56:B65" si="48">$B$35</f>
        <v>2015</v>
      </c>
      <c r="C56" s="306">
        <v>1</v>
      </c>
      <c r="D56" s="467" t="s">
        <v>59</v>
      </c>
      <c r="E56" s="408">
        <f>'Waterborne Data'!F6</f>
        <v>1225453.2785689095</v>
      </c>
      <c r="F56" s="418">
        <f t="shared" ref="F56:F64" si="49">Gas_Boats_gCO2_per_gallon</f>
        <v>8780</v>
      </c>
      <c r="G56" s="402">
        <f t="shared" ref="G56:G64" si="50">Gas_Boats_gCH4_per_gallon</f>
        <v>4.88</v>
      </c>
      <c r="H56" s="581">
        <f t="shared" ref="H56:H64" si="51">Gas_Boats_gN2O_per_gallon</f>
        <v>0.23</v>
      </c>
      <c r="I56" s="454">
        <f t="shared" ref="I56:I64" si="52">E56*F56/grams_to_mton</f>
        <v>10759.479785835027</v>
      </c>
      <c r="J56" s="347">
        <f t="shared" ref="J56:J64" si="53">E56*G56/grams_to_mton</f>
        <v>5.9802119994162783</v>
      </c>
      <c r="K56" s="455">
        <f t="shared" ref="K56:K64" si="54">E56*H56/grams_to_mton</f>
        <v>0.28185425407084924</v>
      </c>
      <c r="L56" s="374">
        <f t="shared" ref="L56:L64" si="55">I56*CO2_GWP</f>
        <v>10759.479785835027</v>
      </c>
      <c r="M56" s="310">
        <f t="shared" ref="M56:M64" si="56">J56*CH4_GWP</f>
        <v>167.4459359836558</v>
      </c>
      <c r="N56" s="311">
        <f t="shared" ref="N56:N58" si="57">K56*N2O_GWP</f>
        <v>74.691377328775047</v>
      </c>
      <c r="O56" s="312">
        <f t="shared" ref="O56:O65" si="58">SUM(L56:N56)</f>
        <v>11001.617099147457</v>
      </c>
      <c r="Q56" s="302">
        <f t="shared" ref="Q56:Q64" si="59">L56/mton_per_mmton</f>
        <v>1.0759479785835026E-2</v>
      </c>
      <c r="R56" s="302">
        <f t="shared" ref="R56:R64" si="60">M56/mton_per_mmton</f>
        <v>1.674459359836558E-4</v>
      </c>
      <c r="S56" s="302">
        <f t="shared" ref="S56:S64" si="61">N56/mton_per_mmton</f>
        <v>7.4691377328775044E-5</v>
      </c>
      <c r="T56" s="302"/>
    </row>
    <row r="57" spans="2:20" ht="15" x14ac:dyDescent="0.15">
      <c r="B57" s="305">
        <f t="shared" si="48"/>
        <v>2015</v>
      </c>
      <c r="C57" s="306">
        <v>1</v>
      </c>
      <c r="D57" s="468" t="s">
        <v>58</v>
      </c>
      <c r="E57" s="408">
        <f>'Waterborne Data'!F7</f>
        <v>12254.532785689098</v>
      </c>
      <c r="F57" s="418">
        <f t="shared" si="49"/>
        <v>8780</v>
      </c>
      <c r="G57" s="402">
        <f t="shared" si="50"/>
        <v>4.88</v>
      </c>
      <c r="H57" s="581">
        <f t="shared" si="51"/>
        <v>0.23</v>
      </c>
      <c r="I57" s="454">
        <f t="shared" si="52"/>
        <v>107.59479785835028</v>
      </c>
      <c r="J57" s="347">
        <f t="shared" si="53"/>
        <v>5.9802119994162801E-2</v>
      </c>
      <c r="K57" s="455">
        <f t="shared" si="54"/>
        <v>2.8185425407084926E-3</v>
      </c>
      <c r="L57" s="374">
        <f t="shared" si="55"/>
        <v>107.59479785835028</v>
      </c>
      <c r="M57" s="310">
        <f t="shared" si="56"/>
        <v>1.6744593598365585</v>
      </c>
      <c r="N57" s="311">
        <f t="shared" si="57"/>
        <v>0.74691377328775055</v>
      </c>
      <c r="O57" s="312">
        <f t="shared" si="58"/>
        <v>110.01617099147458</v>
      </c>
      <c r="Q57" s="302">
        <f t="shared" si="59"/>
        <v>1.0759479785835027E-4</v>
      </c>
      <c r="R57" s="302">
        <f t="shared" si="60"/>
        <v>1.6744593598365584E-6</v>
      </c>
      <c r="S57" s="302">
        <f t="shared" si="61"/>
        <v>7.4691377328775052E-7</v>
      </c>
      <c r="T57" s="302"/>
    </row>
    <row r="58" spans="2:20" ht="15" x14ac:dyDescent="0.15">
      <c r="B58" s="305">
        <f t="shared" si="48"/>
        <v>2015</v>
      </c>
      <c r="C58" s="306">
        <v>1</v>
      </c>
      <c r="D58" s="351" t="s">
        <v>131</v>
      </c>
      <c r="E58" s="408">
        <f>'Waterborne Data'!F8</f>
        <v>1213198.7457832205</v>
      </c>
      <c r="F58" s="418">
        <f t="shared" si="49"/>
        <v>8780</v>
      </c>
      <c r="G58" s="402">
        <f t="shared" si="50"/>
        <v>4.88</v>
      </c>
      <c r="H58" s="581">
        <f t="shared" si="51"/>
        <v>0.23</v>
      </c>
      <c r="I58" s="454">
        <f t="shared" si="52"/>
        <v>10651.884987976677</v>
      </c>
      <c r="J58" s="347">
        <f t="shared" si="53"/>
        <v>5.9204098794221158</v>
      </c>
      <c r="K58" s="455">
        <f t="shared" si="54"/>
        <v>0.27903571153014073</v>
      </c>
      <c r="L58" s="374">
        <f t="shared" si="55"/>
        <v>10651.884987976677</v>
      </c>
      <c r="M58" s="310">
        <f t="shared" si="56"/>
        <v>165.77147662381924</v>
      </c>
      <c r="N58" s="311">
        <f t="shared" si="57"/>
        <v>73.944463555487289</v>
      </c>
      <c r="O58" s="312">
        <f t="shared" si="58"/>
        <v>10891.600928155982</v>
      </c>
      <c r="Q58" s="302">
        <f t="shared" si="59"/>
        <v>1.0651884987976677E-2</v>
      </c>
      <c r="R58" s="302">
        <f t="shared" si="60"/>
        <v>1.6577147662381924E-4</v>
      </c>
      <c r="S58" s="302">
        <f t="shared" si="61"/>
        <v>7.3944463555487285E-5</v>
      </c>
      <c r="T58" s="302"/>
    </row>
    <row r="59" spans="2:20" ht="15" x14ac:dyDescent="0.15">
      <c r="B59" s="305">
        <f t="shared" si="48"/>
        <v>2015</v>
      </c>
      <c r="C59" s="306">
        <v>1</v>
      </c>
      <c r="D59" s="467" t="s">
        <v>60</v>
      </c>
      <c r="E59" s="408">
        <f>'Waterborne Data'!F9</f>
        <v>73023.622210902366</v>
      </c>
      <c r="F59" s="418">
        <f t="shared" si="49"/>
        <v>8780</v>
      </c>
      <c r="G59" s="402">
        <f t="shared" si="50"/>
        <v>4.88</v>
      </c>
      <c r="H59" s="581">
        <f t="shared" si="51"/>
        <v>0.23</v>
      </c>
      <c r="I59" s="454">
        <f t="shared" si="52"/>
        <v>641.14740301172276</v>
      </c>
      <c r="J59" s="347">
        <f t="shared" si="53"/>
        <v>0.35635527638920356</v>
      </c>
      <c r="K59" s="455">
        <f t="shared" si="54"/>
        <v>1.6795433108507545E-2</v>
      </c>
      <c r="L59" s="374">
        <f t="shared" si="55"/>
        <v>641.14740301172276</v>
      </c>
      <c r="M59" s="310">
        <f t="shared" si="56"/>
        <v>9.9779477388976989</v>
      </c>
      <c r="N59" s="311">
        <f>K59*N2O_GWP</f>
        <v>4.4507897737544999</v>
      </c>
      <c r="O59" s="315">
        <f t="shared" si="58"/>
        <v>655.57614052437498</v>
      </c>
      <c r="Q59" s="302">
        <f t="shared" si="59"/>
        <v>6.4114740301172274E-4</v>
      </c>
      <c r="R59" s="302">
        <f t="shared" si="60"/>
        <v>9.977947738897699E-6</v>
      </c>
      <c r="S59" s="302">
        <f t="shared" si="61"/>
        <v>4.4507897737544996E-6</v>
      </c>
      <c r="T59" s="302"/>
    </row>
    <row r="60" spans="2:20" ht="15" x14ac:dyDescent="0.15">
      <c r="B60" s="305">
        <f t="shared" si="48"/>
        <v>2015</v>
      </c>
      <c r="C60" s="306">
        <v>1</v>
      </c>
      <c r="D60" s="467" t="s">
        <v>62</v>
      </c>
      <c r="E60" s="408">
        <f>'Waterborne Data'!F10</f>
        <v>109535.44230708716</v>
      </c>
      <c r="F60" s="418">
        <f t="shared" si="49"/>
        <v>8780</v>
      </c>
      <c r="G60" s="402">
        <f t="shared" si="50"/>
        <v>4.88</v>
      </c>
      <c r="H60" s="581">
        <f t="shared" si="51"/>
        <v>0.23</v>
      </c>
      <c r="I60" s="454">
        <f t="shared" si="52"/>
        <v>961.72118345622528</v>
      </c>
      <c r="J60" s="347">
        <f t="shared" si="53"/>
        <v>0.53453295845858528</v>
      </c>
      <c r="K60" s="455">
        <f t="shared" si="54"/>
        <v>2.519315173063005E-2</v>
      </c>
      <c r="L60" s="374">
        <f t="shared" si="55"/>
        <v>961.72118345622528</v>
      </c>
      <c r="M60" s="310">
        <f t="shared" si="56"/>
        <v>14.966922836840387</v>
      </c>
      <c r="N60" s="311">
        <f t="shared" ref="N60:N64" si="62">K60*N2O_GWP</f>
        <v>6.6761852086169631</v>
      </c>
      <c r="O60" s="315">
        <f t="shared" si="58"/>
        <v>983.3642915016826</v>
      </c>
      <c r="Q60" s="302">
        <f t="shared" si="59"/>
        <v>9.6172118345622527E-4</v>
      </c>
      <c r="R60" s="302">
        <f t="shared" si="60"/>
        <v>1.4966922836840387E-5</v>
      </c>
      <c r="S60" s="302">
        <f t="shared" si="61"/>
        <v>6.676185208616963E-6</v>
      </c>
      <c r="T60" s="302"/>
    </row>
    <row r="61" spans="2:20" ht="15" x14ac:dyDescent="0.15">
      <c r="B61" s="305">
        <f t="shared" si="48"/>
        <v>2015</v>
      </c>
      <c r="C61" s="306">
        <v>1</v>
      </c>
      <c r="D61" s="467" t="s">
        <v>61</v>
      </c>
      <c r="E61" s="408">
        <f>'Waterborne Data'!F11</f>
        <v>60853.013906568376</v>
      </c>
      <c r="F61" s="418">
        <f t="shared" si="49"/>
        <v>8780</v>
      </c>
      <c r="G61" s="402">
        <f t="shared" si="50"/>
        <v>4.88</v>
      </c>
      <c r="H61" s="581">
        <f t="shared" si="51"/>
        <v>0.23</v>
      </c>
      <c r="I61" s="454">
        <f t="shared" si="52"/>
        <v>534.28946209967035</v>
      </c>
      <c r="J61" s="347">
        <f t="shared" si="53"/>
        <v>0.29696270786405365</v>
      </c>
      <c r="K61" s="455">
        <f t="shared" si="54"/>
        <v>1.3996193198510727E-2</v>
      </c>
      <c r="L61" s="374">
        <f t="shared" si="55"/>
        <v>534.28946209967035</v>
      </c>
      <c r="M61" s="310">
        <f t="shared" si="56"/>
        <v>8.3149558201935019</v>
      </c>
      <c r="N61" s="311">
        <f t="shared" si="62"/>
        <v>3.7089911976053429</v>
      </c>
      <c r="O61" s="315">
        <f t="shared" si="58"/>
        <v>546.31340911746918</v>
      </c>
      <c r="Q61" s="302">
        <f t="shared" si="59"/>
        <v>5.3428946209967034E-4</v>
      </c>
      <c r="R61" s="302">
        <f t="shared" si="60"/>
        <v>8.3149558201935015E-6</v>
      </c>
      <c r="S61" s="302">
        <f t="shared" si="61"/>
        <v>3.7089911976053428E-6</v>
      </c>
      <c r="T61" s="302"/>
    </row>
    <row r="62" spans="2:20" ht="15" x14ac:dyDescent="0.15">
      <c r="B62" s="305">
        <f t="shared" si="48"/>
        <v>2015</v>
      </c>
      <c r="C62" s="306">
        <v>1</v>
      </c>
      <c r="D62" s="467" t="s">
        <v>63</v>
      </c>
      <c r="E62" s="408">
        <f>'Waterborne Data'!F12</f>
        <v>1302719.0622955733</v>
      </c>
      <c r="F62" s="418">
        <f t="shared" si="49"/>
        <v>8780</v>
      </c>
      <c r="G62" s="402">
        <f t="shared" si="50"/>
        <v>4.88</v>
      </c>
      <c r="H62" s="581">
        <f t="shared" si="51"/>
        <v>0.23</v>
      </c>
      <c r="I62" s="454">
        <f t="shared" si="52"/>
        <v>11437.873366955133</v>
      </c>
      <c r="J62" s="347">
        <f t="shared" si="53"/>
        <v>6.357269024002397</v>
      </c>
      <c r="K62" s="455">
        <f t="shared" si="54"/>
        <v>0.29962538432798186</v>
      </c>
      <c r="L62" s="374">
        <f t="shared" si="55"/>
        <v>11437.873366955133</v>
      </c>
      <c r="M62" s="310">
        <f t="shared" si="56"/>
        <v>178.00353267206711</v>
      </c>
      <c r="N62" s="311">
        <f t="shared" si="62"/>
        <v>79.400726846915191</v>
      </c>
      <c r="O62" s="315">
        <f t="shared" si="58"/>
        <v>11695.277626474115</v>
      </c>
      <c r="Q62" s="302">
        <f t="shared" si="59"/>
        <v>1.1437873366955132E-2</v>
      </c>
      <c r="R62" s="302">
        <f t="shared" si="60"/>
        <v>1.7800353267206711E-4</v>
      </c>
      <c r="S62" s="302">
        <f t="shared" si="61"/>
        <v>7.9400726846915194E-5</v>
      </c>
      <c r="T62" s="302"/>
    </row>
    <row r="63" spans="2:20" ht="15" x14ac:dyDescent="0.15">
      <c r="B63" s="305">
        <f t="shared" si="48"/>
        <v>2015</v>
      </c>
      <c r="C63" s="306">
        <v>1</v>
      </c>
      <c r="D63" s="467" t="s">
        <v>64</v>
      </c>
      <c r="E63" s="408">
        <f>'Waterborne Data'!F13</f>
        <v>219070.79566968966</v>
      </c>
      <c r="F63" s="418">
        <f t="shared" si="49"/>
        <v>8780</v>
      </c>
      <c r="G63" s="402">
        <f t="shared" si="50"/>
        <v>4.88</v>
      </c>
      <c r="H63" s="581">
        <f t="shared" si="51"/>
        <v>0.23</v>
      </c>
      <c r="I63" s="454">
        <f t="shared" si="52"/>
        <v>1923.4415859798751</v>
      </c>
      <c r="J63" s="347">
        <f t="shared" si="53"/>
        <v>1.0690654828680857</v>
      </c>
      <c r="K63" s="455">
        <f t="shared" si="54"/>
        <v>5.0386283004028622E-2</v>
      </c>
      <c r="L63" s="374">
        <f t="shared" si="55"/>
        <v>1923.4415859798751</v>
      </c>
      <c r="M63" s="310">
        <f t="shared" si="56"/>
        <v>29.933833520306401</v>
      </c>
      <c r="N63" s="311">
        <f t="shared" si="62"/>
        <v>13.352364996067585</v>
      </c>
      <c r="O63" s="315">
        <f t="shared" si="58"/>
        <v>1966.7277844962491</v>
      </c>
      <c r="Q63" s="302">
        <f t="shared" si="59"/>
        <v>1.923441585979875E-3</v>
      </c>
      <c r="R63" s="302">
        <f>M63/mton_per_mmton</f>
        <v>2.9933833520306402E-5</v>
      </c>
      <c r="S63" s="302">
        <f t="shared" si="61"/>
        <v>1.3352364996067586E-5</v>
      </c>
      <c r="T63" s="302"/>
    </row>
    <row r="64" spans="2:20" ht="16" thickBot="1" x14ac:dyDescent="0.2">
      <c r="B64" s="305">
        <f t="shared" si="48"/>
        <v>2015</v>
      </c>
      <c r="C64" s="306">
        <v>1</v>
      </c>
      <c r="D64" s="467" t="s">
        <v>65</v>
      </c>
      <c r="E64" s="408">
        <f>'Waterborne Data'!F14</f>
        <v>389459.06843455898</v>
      </c>
      <c r="F64" s="451">
        <f t="shared" si="49"/>
        <v>8780</v>
      </c>
      <c r="G64" s="452">
        <f t="shared" si="50"/>
        <v>4.88</v>
      </c>
      <c r="H64" s="582">
        <f t="shared" si="51"/>
        <v>0.23</v>
      </c>
      <c r="I64" s="456">
        <f t="shared" si="52"/>
        <v>3419.4506208554276</v>
      </c>
      <c r="J64" s="457">
        <f t="shared" si="53"/>
        <v>1.9005602539606479</v>
      </c>
      <c r="K64" s="458">
        <f t="shared" si="54"/>
        <v>8.9575585739948574E-2</v>
      </c>
      <c r="L64" s="374">
        <f t="shared" si="55"/>
        <v>3419.4506208554276</v>
      </c>
      <c r="M64" s="310">
        <f t="shared" si="56"/>
        <v>53.215687110898138</v>
      </c>
      <c r="N64" s="311">
        <f t="shared" si="62"/>
        <v>23.737530221086374</v>
      </c>
      <c r="O64" s="315">
        <f t="shared" si="58"/>
        <v>3496.403838187412</v>
      </c>
      <c r="Q64" s="302">
        <f t="shared" si="59"/>
        <v>3.4194506208554275E-3</v>
      </c>
      <c r="R64" s="302">
        <f t="shared" si="60"/>
        <v>5.3215687110898138E-5</v>
      </c>
      <c r="S64" s="302">
        <f t="shared" si="61"/>
        <v>2.3737530221086373E-5</v>
      </c>
      <c r="T64" s="302"/>
    </row>
    <row r="65" spans="1:20" s="19" customFormat="1" ht="16" thickBot="1" x14ac:dyDescent="0.2">
      <c r="B65" s="316">
        <f t="shared" si="48"/>
        <v>2015</v>
      </c>
      <c r="C65" s="317">
        <v>1</v>
      </c>
      <c r="D65" s="469" t="s">
        <v>66</v>
      </c>
      <c r="E65" s="459">
        <f>SUM(E56,E59:E64)</f>
        <v>3380114.283393289</v>
      </c>
      <c r="F65" s="421"/>
      <c r="G65" s="413"/>
      <c r="H65" s="422"/>
      <c r="I65" s="470">
        <f t="shared" ref="I65:N65" si="63">SUM(I56,I59:I64)</f>
        <v>29677.40340819308</v>
      </c>
      <c r="J65" s="319">
        <f t="shared" si="63"/>
        <v>16.494957702959251</v>
      </c>
      <c r="K65" s="471">
        <f t="shared" si="63"/>
        <v>0.77742628518045664</v>
      </c>
      <c r="L65" s="348">
        <f t="shared" si="63"/>
        <v>29677.40340819308</v>
      </c>
      <c r="M65" s="319">
        <f t="shared" si="63"/>
        <v>461.85881568285907</v>
      </c>
      <c r="N65" s="320">
        <f t="shared" si="63"/>
        <v>206.01796557282103</v>
      </c>
      <c r="O65" s="321">
        <f t="shared" si="58"/>
        <v>30345.28018944876</v>
      </c>
      <c r="Q65" s="302"/>
      <c r="R65" s="302"/>
      <c r="S65" s="302"/>
      <c r="T65" s="302"/>
    </row>
    <row r="66" spans="1:20" x14ac:dyDescent="0.15">
      <c r="Q66" s="302"/>
      <c r="R66" s="302"/>
      <c r="S66" s="302"/>
      <c r="T66" s="302"/>
    </row>
    <row r="67" spans="1:20" ht="18" x14ac:dyDescent="0.2">
      <c r="A67" s="300"/>
      <c r="B67" s="301">
        <v>2010</v>
      </c>
      <c r="C67" s="29"/>
      <c r="D67" s="29"/>
      <c r="E67" s="29"/>
      <c r="F67" s="29"/>
      <c r="G67" s="29"/>
      <c r="H67" s="29"/>
      <c r="I67" s="29"/>
      <c r="J67" s="29"/>
      <c r="K67" s="29"/>
      <c r="L67" s="29"/>
      <c r="M67" s="29"/>
      <c r="N67" s="29"/>
      <c r="O67" s="29"/>
      <c r="Q67" s="302"/>
      <c r="R67" s="302"/>
      <c r="S67" s="302"/>
      <c r="T67" s="302"/>
    </row>
    <row r="68" spans="1:20" collapsed="1" x14ac:dyDescent="0.15">
      <c r="Q68" s="302"/>
      <c r="R68" s="302"/>
      <c r="S68" s="302"/>
      <c r="T68" s="302"/>
    </row>
    <row r="69" spans="1:20" s="66" customFormat="1" hidden="1" outlineLevel="1" x14ac:dyDescent="0.15">
      <c r="B69" s="82"/>
      <c r="C69" s="182"/>
      <c r="D69" s="182"/>
      <c r="E69" s="182"/>
      <c r="F69" s="182"/>
      <c r="G69" s="182"/>
      <c r="H69" s="182"/>
      <c r="I69" s="182"/>
      <c r="J69" s="182"/>
      <c r="K69" s="182"/>
      <c r="L69" s="182"/>
      <c r="M69" s="182"/>
      <c r="N69" s="182"/>
      <c r="O69" s="182"/>
      <c r="Q69" s="302"/>
      <c r="R69" s="302"/>
      <c r="S69" s="302"/>
      <c r="T69" s="302"/>
    </row>
    <row r="70" spans="1:20" ht="15" thickBot="1" x14ac:dyDescent="0.2">
      <c r="B70" s="82" t="s">
        <v>146</v>
      </c>
      <c r="P70" s="66"/>
      <c r="Q70" s="302"/>
      <c r="R70" s="302"/>
      <c r="S70" s="302"/>
      <c r="T70" s="302"/>
    </row>
    <row r="71" spans="1:20" s="133" customFormat="1" x14ac:dyDescent="0.15">
      <c r="B71" s="662" t="s">
        <v>76</v>
      </c>
      <c r="C71" s="665" t="s">
        <v>80</v>
      </c>
      <c r="D71" s="682" t="s">
        <v>77</v>
      </c>
      <c r="E71" s="671" t="s">
        <v>141</v>
      </c>
      <c r="F71" s="674" t="s">
        <v>49</v>
      </c>
      <c r="G71" s="675"/>
      <c r="H71" s="676"/>
      <c r="I71" s="682" t="s">
        <v>128</v>
      </c>
      <c r="J71" s="658"/>
      <c r="K71" s="659"/>
      <c r="L71" s="658" t="s">
        <v>129</v>
      </c>
      <c r="M71" s="658"/>
      <c r="N71" s="658"/>
      <c r="O71" s="659"/>
      <c r="Q71" s="302"/>
      <c r="R71" s="302"/>
      <c r="S71" s="302"/>
      <c r="T71" s="302"/>
    </row>
    <row r="72" spans="1:20" s="133" customFormat="1" x14ac:dyDescent="0.15">
      <c r="B72" s="663"/>
      <c r="C72" s="666"/>
      <c r="D72" s="692"/>
      <c r="E72" s="672"/>
      <c r="F72" s="332" t="s">
        <v>94</v>
      </c>
      <c r="G72" s="303" t="s">
        <v>95</v>
      </c>
      <c r="H72" s="304" t="s">
        <v>96</v>
      </c>
      <c r="I72" s="683"/>
      <c r="J72" s="660"/>
      <c r="K72" s="661"/>
      <c r="L72" s="660"/>
      <c r="M72" s="660"/>
      <c r="N72" s="660"/>
      <c r="O72" s="661"/>
      <c r="Q72" s="302"/>
      <c r="R72" s="302"/>
      <c r="S72" s="302"/>
      <c r="T72" s="302"/>
    </row>
    <row r="73" spans="1:20" s="133" customFormat="1" x14ac:dyDescent="0.15">
      <c r="B73" s="664"/>
      <c r="C73" s="667"/>
      <c r="D73" s="683"/>
      <c r="E73" s="673"/>
      <c r="F73" s="332" t="s">
        <v>143</v>
      </c>
      <c r="G73" s="405" t="s">
        <v>144</v>
      </c>
      <c r="H73" s="417" t="s">
        <v>145</v>
      </c>
      <c r="I73" s="332" t="s">
        <v>94</v>
      </c>
      <c r="J73" s="303" t="s">
        <v>95</v>
      </c>
      <c r="K73" s="304" t="s">
        <v>96</v>
      </c>
      <c r="L73" s="385" t="s">
        <v>94</v>
      </c>
      <c r="M73" s="324" t="s">
        <v>95</v>
      </c>
      <c r="N73" s="324" t="s">
        <v>96</v>
      </c>
      <c r="O73" s="323" t="s">
        <v>130</v>
      </c>
      <c r="Q73" s="302"/>
      <c r="R73" s="302"/>
      <c r="S73" s="302"/>
      <c r="T73" s="302"/>
    </row>
    <row r="74" spans="1:20" ht="15" x14ac:dyDescent="0.15">
      <c r="B74" s="305">
        <f>$B$67</f>
        <v>2010</v>
      </c>
      <c r="C74" s="306">
        <v>1</v>
      </c>
      <c r="D74" s="307" t="s">
        <v>59</v>
      </c>
      <c r="E74" s="408">
        <f>'Waterborne Data'!C6</f>
        <v>959810.99614059902</v>
      </c>
      <c r="F74" s="418">
        <f t="shared" ref="F74:F82" si="64">Diesel_Ships_gCO2_per_gallon</f>
        <v>10210</v>
      </c>
      <c r="G74" s="581">
        <f t="shared" ref="G74:G82" si="65">Diesel_Ships_gCH4_per_gallon</f>
        <v>0.31</v>
      </c>
      <c r="H74" s="419">
        <f t="shared" ref="H74:H82" si="66">Diesel_Ships_gN2O_per_gallon</f>
        <v>0.5</v>
      </c>
      <c r="I74" s="454">
        <f t="shared" ref="I74:I82" si="67">E74*F74/grams_to_mton</f>
        <v>9799.6702705955158</v>
      </c>
      <c r="J74" s="347">
        <f t="shared" ref="J74:J82" si="68">E74*G74/grams_to_mton</f>
        <v>0.29754140880358571</v>
      </c>
      <c r="K74" s="455">
        <f t="shared" ref="K74:K82" si="69">E74*H74/grams_to_mton</f>
        <v>0.47990549807029953</v>
      </c>
      <c r="L74" s="374">
        <f t="shared" ref="L74:L82" si="70">I74*CO2_GWP</f>
        <v>9799.6702705955158</v>
      </c>
      <c r="M74" s="310">
        <f t="shared" ref="M74:M82" si="71">J74*CH4_GWP</f>
        <v>8.3311594465004006</v>
      </c>
      <c r="N74" s="311">
        <f t="shared" ref="N74:N82" si="72">K74*N2O_GWP</f>
        <v>127.17495698862938</v>
      </c>
      <c r="O74" s="312">
        <f t="shared" ref="O74:O83" si="73">SUM(L74:N74)</f>
        <v>9935.1763870306459</v>
      </c>
      <c r="Q74" s="302">
        <f t="shared" ref="Q74:Q82" si="74">L74/mton_per_mmton</f>
        <v>9.7996702705955164E-3</v>
      </c>
      <c r="R74" s="302">
        <f t="shared" ref="R74:R82" si="75">M74/mton_per_mmton</f>
        <v>8.3311594465004013E-6</v>
      </c>
      <c r="S74" s="302">
        <f t="shared" ref="S74:S82" si="76">N74/mton_per_mmton</f>
        <v>1.2717495698862937E-4</v>
      </c>
      <c r="T74" s="302"/>
    </row>
    <row r="75" spans="1:20" ht="15" x14ac:dyDescent="0.15">
      <c r="B75" s="305">
        <f t="shared" ref="B75:B83" si="77">$B$67</f>
        <v>2010</v>
      </c>
      <c r="C75" s="306">
        <v>1</v>
      </c>
      <c r="D75" s="313" t="s">
        <v>58</v>
      </c>
      <c r="E75" s="408">
        <f>'Waterborne Data'!C7</f>
        <v>391327.36463987007</v>
      </c>
      <c r="F75" s="418">
        <f t="shared" si="64"/>
        <v>10210</v>
      </c>
      <c r="G75" s="581">
        <f t="shared" si="65"/>
        <v>0.31</v>
      </c>
      <c r="H75" s="419">
        <f t="shared" si="66"/>
        <v>0.5</v>
      </c>
      <c r="I75" s="454">
        <f t="shared" si="67"/>
        <v>3995.4523929730735</v>
      </c>
      <c r="J75" s="347">
        <f t="shared" si="68"/>
        <v>0.12131148303835972</v>
      </c>
      <c r="K75" s="455">
        <f t="shared" si="69"/>
        <v>0.19566368231993503</v>
      </c>
      <c r="L75" s="374">
        <f t="shared" si="70"/>
        <v>3995.4523929730735</v>
      </c>
      <c r="M75" s="310">
        <f t="shared" si="71"/>
        <v>3.3967215250740721</v>
      </c>
      <c r="N75" s="311">
        <f t="shared" si="72"/>
        <v>51.850875814782782</v>
      </c>
      <c r="O75" s="312">
        <f t="shared" si="73"/>
        <v>4050.6999903129304</v>
      </c>
      <c r="Q75" s="302">
        <f t="shared" si="74"/>
        <v>3.9954523929730734E-3</v>
      </c>
      <c r="R75" s="302">
        <f t="shared" si="75"/>
        <v>3.3967215250740723E-6</v>
      </c>
      <c r="S75" s="302">
        <f t="shared" si="76"/>
        <v>5.1850875814782785E-5</v>
      </c>
      <c r="T75" s="302"/>
    </row>
    <row r="76" spans="1:20" ht="15" x14ac:dyDescent="0.15">
      <c r="B76" s="305">
        <f t="shared" si="77"/>
        <v>2010</v>
      </c>
      <c r="C76" s="306">
        <v>1</v>
      </c>
      <c r="D76" s="314" t="s">
        <v>131</v>
      </c>
      <c r="E76" s="408">
        <f>'Waterborne Data'!C8</f>
        <v>568483.63150072889</v>
      </c>
      <c r="F76" s="418">
        <f t="shared" si="64"/>
        <v>10210</v>
      </c>
      <c r="G76" s="581">
        <f t="shared" si="65"/>
        <v>0.31</v>
      </c>
      <c r="H76" s="419">
        <f t="shared" si="66"/>
        <v>0.5</v>
      </c>
      <c r="I76" s="454">
        <f t="shared" si="67"/>
        <v>5804.2178776224418</v>
      </c>
      <c r="J76" s="347">
        <f t="shared" si="68"/>
        <v>0.17622992576522595</v>
      </c>
      <c r="K76" s="455">
        <f t="shared" si="69"/>
        <v>0.28424181575036445</v>
      </c>
      <c r="L76" s="374">
        <f t="shared" si="70"/>
        <v>5804.2178776224418</v>
      </c>
      <c r="M76" s="310">
        <f t="shared" si="71"/>
        <v>4.9344379214263263</v>
      </c>
      <c r="N76" s="311">
        <f t="shared" si="72"/>
        <v>75.324081173846579</v>
      </c>
      <c r="O76" s="312">
        <f t="shared" si="73"/>
        <v>5884.476396717715</v>
      </c>
      <c r="Q76" s="302">
        <f t="shared" si="74"/>
        <v>5.8042178776224421E-3</v>
      </c>
      <c r="R76" s="302">
        <f t="shared" si="75"/>
        <v>4.9344379214263265E-6</v>
      </c>
      <c r="S76" s="302">
        <f t="shared" si="76"/>
        <v>7.5324081173846574E-5</v>
      </c>
      <c r="T76" s="302"/>
    </row>
    <row r="77" spans="1:20" ht="15" x14ac:dyDescent="0.15">
      <c r="B77" s="305">
        <f t="shared" si="77"/>
        <v>2010</v>
      </c>
      <c r="C77" s="306">
        <v>1</v>
      </c>
      <c r="D77" s="307" t="s">
        <v>60</v>
      </c>
      <c r="E77" s="408">
        <f>'Waterborne Data'!C9</f>
        <v>16535.032847367183</v>
      </c>
      <c r="F77" s="418">
        <f t="shared" si="64"/>
        <v>10210</v>
      </c>
      <c r="G77" s="581">
        <f t="shared" si="65"/>
        <v>0.31</v>
      </c>
      <c r="H77" s="419">
        <f t="shared" si="66"/>
        <v>0.5</v>
      </c>
      <c r="I77" s="454">
        <f t="shared" si="67"/>
        <v>168.82268537161895</v>
      </c>
      <c r="J77" s="347">
        <f t="shared" si="68"/>
        <v>5.1258601826838267E-3</v>
      </c>
      <c r="K77" s="455">
        <f t="shared" si="69"/>
        <v>8.2675164236835925E-3</v>
      </c>
      <c r="L77" s="374">
        <f t="shared" si="70"/>
        <v>168.82268537161895</v>
      </c>
      <c r="M77" s="310">
        <f t="shared" si="71"/>
        <v>0.14352408511514714</v>
      </c>
      <c r="N77" s="311">
        <f>K77*N2O_GWP</f>
        <v>2.190891852276152</v>
      </c>
      <c r="O77" s="315">
        <f t="shared" si="73"/>
        <v>171.15710130901024</v>
      </c>
      <c r="Q77" s="302">
        <f t="shared" si="74"/>
        <v>1.6882268537161895E-4</v>
      </c>
      <c r="R77" s="302">
        <f t="shared" si="75"/>
        <v>1.4352408511514714E-7</v>
      </c>
      <c r="S77" s="302">
        <f t="shared" si="76"/>
        <v>2.190891852276152E-6</v>
      </c>
      <c r="T77" s="302"/>
    </row>
    <row r="78" spans="1:20" ht="15" x14ac:dyDescent="0.15">
      <c r="B78" s="305">
        <f t="shared" si="77"/>
        <v>2010</v>
      </c>
      <c r="C78" s="306">
        <v>1</v>
      </c>
      <c r="D78" s="307" t="s">
        <v>62</v>
      </c>
      <c r="E78" s="408">
        <f>'Waterborne Data'!C10</f>
        <v>24802.556590232933</v>
      </c>
      <c r="F78" s="418">
        <f t="shared" si="64"/>
        <v>10210</v>
      </c>
      <c r="G78" s="581">
        <f t="shared" si="65"/>
        <v>0.31</v>
      </c>
      <c r="H78" s="419">
        <f t="shared" si="66"/>
        <v>0.5</v>
      </c>
      <c r="I78" s="454">
        <f t="shared" si="67"/>
        <v>253.23410278627824</v>
      </c>
      <c r="J78" s="347">
        <f t="shared" si="68"/>
        <v>7.6887925429722087E-3</v>
      </c>
      <c r="K78" s="455">
        <f t="shared" si="69"/>
        <v>1.2401278295116466E-2</v>
      </c>
      <c r="L78" s="374">
        <f t="shared" si="70"/>
        <v>253.23410278627824</v>
      </c>
      <c r="M78" s="310">
        <f t="shared" si="71"/>
        <v>0.21528619120322184</v>
      </c>
      <c r="N78" s="311">
        <f t="shared" si="72"/>
        <v>3.2863387482058637</v>
      </c>
      <c r="O78" s="315">
        <f t="shared" si="73"/>
        <v>256.73572772568735</v>
      </c>
      <c r="Q78" s="302">
        <f t="shared" si="74"/>
        <v>2.5323410278627826E-4</v>
      </c>
      <c r="R78" s="302">
        <f t="shared" si="75"/>
        <v>2.1528619120322186E-7</v>
      </c>
      <c r="S78" s="302">
        <f t="shared" si="76"/>
        <v>3.2863387482058639E-6</v>
      </c>
      <c r="T78" s="302"/>
    </row>
    <row r="79" spans="1:20" ht="15" x14ac:dyDescent="0.15">
      <c r="B79" s="305">
        <f t="shared" si="77"/>
        <v>2010</v>
      </c>
      <c r="C79" s="306">
        <v>1</v>
      </c>
      <c r="D79" s="307" t="s">
        <v>61</v>
      </c>
      <c r="E79" s="408">
        <f>'Waterborne Data'!C11</f>
        <v>13779.183870427285</v>
      </c>
      <c r="F79" s="418">
        <f t="shared" si="64"/>
        <v>10210</v>
      </c>
      <c r="G79" s="581">
        <f t="shared" si="65"/>
        <v>0.31</v>
      </c>
      <c r="H79" s="419">
        <f t="shared" si="66"/>
        <v>0.5</v>
      </c>
      <c r="I79" s="454">
        <f t="shared" si="67"/>
        <v>140.68546731706257</v>
      </c>
      <c r="J79" s="347">
        <f t="shared" si="68"/>
        <v>4.2715469998324583E-3</v>
      </c>
      <c r="K79" s="455">
        <f t="shared" si="69"/>
        <v>6.8895919352136422E-3</v>
      </c>
      <c r="L79" s="374">
        <f t="shared" si="70"/>
        <v>140.68546731706257</v>
      </c>
      <c r="M79" s="310">
        <f t="shared" si="71"/>
        <v>0.11960331599530884</v>
      </c>
      <c r="N79" s="311">
        <f t="shared" si="72"/>
        <v>1.8257418628316151</v>
      </c>
      <c r="O79" s="315">
        <f t="shared" si="73"/>
        <v>142.6308124958895</v>
      </c>
      <c r="Q79" s="302">
        <f t="shared" si="74"/>
        <v>1.4068546731706258E-4</v>
      </c>
      <c r="R79" s="302">
        <f t="shared" si="75"/>
        <v>1.1960331599530884E-7</v>
      </c>
      <c r="S79" s="302">
        <f t="shared" si="76"/>
        <v>1.825741862831615E-6</v>
      </c>
      <c r="T79" s="302"/>
    </row>
    <row r="80" spans="1:20" ht="15" x14ac:dyDescent="0.15">
      <c r="B80" s="305">
        <f t="shared" si="77"/>
        <v>2010</v>
      </c>
      <c r="C80" s="306">
        <v>1</v>
      </c>
      <c r="D80" s="307" t="s">
        <v>63</v>
      </c>
      <c r="E80" s="408">
        <f>'Waterborne Data'!C12</f>
        <v>511314.12915068568</v>
      </c>
      <c r="F80" s="418">
        <f t="shared" si="64"/>
        <v>10210</v>
      </c>
      <c r="G80" s="581">
        <f t="shared" si="65"/>
        <v>0.31</v>
      </c>
      <c r="H80" s="419">
        <f t="shared" si="66"/>
        <v>0.5</v>
      </c>
      <c r="I80" s="454">
        <f t="shared" si="67"/>
        <v>5220.5172586285007</v>
      </c>
      <c r="J80" s="347">
        <f t="shared" si="68"/>
        <v>0.15850738003671255</v>
      </c>
      <c r="K80" s="455">
        <f t="shared" si="69"/>
        <v>0.25565706457534282</v>
      </c>
      <c r="L80" s="374">
        <f t="shared" si="70"/>
        <v>5220.5172586285007</v>
      </c>
      <c r="M80" s="310">
        <f t="shared" si="71"/>
        <v>4.4382066410279517</v>
      </c>
      <c r="N80" s="311">
        <f t="shared" si="72"/>
        <v>67.749122112465841</v>
      </c>
      <c r="O80" s="315">
        <f t="shared" si="73"/>
        <v>5292.7045873819943</v>
      </c>
      <c r="Q80" s="302">
        <f t="shared" si="74"/>
        <v>5.2205172586285006E-3</v>
      </c>
      <c r="R80" s="302">
        <f t="shared" si="75"/>
        <v>4.4382066410279521E-6</v>
      </c>
      <c r="S80" s="302">
        <f t="shared" si="76"/>
        <v>6.7749122112465841E-5</v>
      </c>
      <c r="T80" s="302"/>
    </row>
    <row r="81" spans="2:20" ht="15" x14ac:dyDescent="0.15">
      <c r="B81" s="305">
        <f t="shared" si="77"/>
        <v>2010</v>
      </c>
      <c r="C81" s="306">
        <v>1</v>
      </c>
      <c r="D81" s="307" t="s">
        <v>64</v>
      </c>
      <c r="E81" s="408">
        <f>'Waterborne Data'!C13</f>
        <v>49605.09385843503</v>
      </c>
      <c r="F81" s="418">
        <f t="shared" si="64"/>
        <v>10210</v>
      </c>
      <c r="G81" s="581">
        <f t="shared" si="65"/>
        <v>0.31</v>
      </c>
      <c r="H81" s="419">
        <f t="shared" si="66"/>
        <v>0.5</v>
      </c>
      <c r="I81" s="454">
        <f t="shared" si="67"/>
        <v>506.46800829462165</v>
      </c>
      <c r="J81" s="347">
        <f t="shared" si="68"/>
        <v>1.537757909611486E-2</v>
      </c>
      <c r="K81" s="455">
        <f t="shared" si="69"/>
        <v>2.4802546929217514E-2</v>
      </c>
      <c r="L81" s="374">
        <f t="shared" si="70"/>
        <v>506.46800829462165</v>
      </c>
      <c r="M81" s="310">
        <f t="shared" si="71"/>
        <v>0.43057221469121609</v>
      </c>
      <c r="N81" s="311">
        <f t="shared" si="72"/>
        <v>6.5726749362426409</v>
      </c>
      <c r="O81" s="315">
        <f t="shared" si="73"/>
        <v>513.47125544555547</v>
      </c>
      <c r="Q81" s="302">
        <f t="shared" si="74"/>
        <v>5.0646800829462165E-4</v>
      </c>
      <c r="R81" s="302">
        <f t="shared" si="75"/>
        <v>4.3057221469121611E-7</v>
      </c>
      <c r="S81" s="302">
        <f t="shared" si="76"/>
        <v>6.5726749362426405E-6</v>
      </c>
      <c r="T81" s="302"/>
    </row>
    <row r="82" spans="2:20" ht="16" thickBot="1" x14ac:dyDescent="0.2">
      <c r="B82" s="305">
        <f t="shared" si="77"/>
        <v>2010</v>
      </c>
      <c r="C82" s="306">
        <v>1</v>
      </c>
      <c r="D82" s="307" t="s">
        <v>65</v>
      </c>
      <c r="E82" s="408">
        <f>'Waterborne Data'!C14</f>
        <v>88186.790531404506</v>
      </c>
      <c r="F82" s="451">
        <f t="shared" si="64"/>
        <v>10210</v>
      </c>
      <c r="G82" s="582">
        <f t="shared" si="65"/>
        <v>0.31</v>
      </c>
      <c r="H82" s="453">
        <f t="shared" si="66"/>
        <v>0.5</v>
      </c>
      <c r="I82" s="456">
        <f t="shared" si="67"/>
        <v>900.38713132563998</v>
      </c>
      <c r="J82" s="457">
        <f t="shared" si="68"/>
        <v>2.7337905064735397E-2</v>
      </c>
      <c r="K82" s="458">
        <f t="shared" si="69"/>
        <v>4.4093395265702252E-2</v>
      </c>
      <c r="L82" s="374">
        <f t="shared" si="70"/>
        <v>900.38713132563998</v>
      </c>
      <c r="M82" s="310">
        <f t="shared" si="71"/>
        <v>0.76546134181259107</v>
      </c>
      <c r="N82" s="311">
        <f t="shared" si="72"/>
        <v>11.684749745411096</v>
      </c>
      <c r="O82" s="315">
        <f t="shared" si="73"/>
        <v>912.83734241286368</v>
      </c>
      <c r="Q82" s="302">
        <f t="shared" si="74"/>
        <v>9.0038713132564003E-4</v>
      </c>
      <c r="R82" s="302">
        <f t="shared" si="75"/>
        <v>7.6546134181259107E-7</v>
      </c>
      <c r="S82" s="302">
        <f t="shared" si="76"/>
        <v>1.1684749745411097E-5</v>
      </c>
      <c r="T82" s="302"/>
    </row>
    <row r="83" spans="2:20" s="19" customFormat="1" ht="16" thickBot="1" x14ac:dyDescent="0.2">
      <c r="B83" s="316">
        <f t="shared" si="77"/>
        <v>2010</v>
      </c>
      <c r="C83" s="317">
        <v>1</v>
      </c>
      <c r="D83" s="318" t="s">
        <v>66</v>
      </c>
      <c r="E83" s="459">
        <f>SUM(E74,E77:E82)</f>
        <v>1664033.7829891518</v>
      </c>
      <c r="F83" s="421"/>
      <c r="G83" s="413"/>
      <c r="H83" s="422"/>
      <c r="I83" s="348">
        <f>SUM(I74,I77:I82)</f>
        <v>16989.784924319236</v>
      </c>
      <c r="J83" s="319">
        <f t="shared" ref="J83:N83" si="78">SUM(J74,J77:J82)</f>
        <v>0.51585047272663709</v>
      </c>
      <c r="K83" s="319">
        <f t="shared" si="78"/>
        <v>0.83201689149457569</v>
      </c>
      <c r="L83" s="319">
        <f t="shared" si="78"/>
        <v>16989.784924319236</v>
      </c>
      <c r="M83" s="319">
        <f t="shared" si="78"/>
        <v>14.443813236345836</v>
      </c>
      <c r="N83" s="320">
        <f t="shared" si="78"/>
        <v>220.48447624606257</v>
      </c>
      <c r="O83" s="321">
        <f t="shared" si="73"/>
        <v>17224.713213801646</v>
      </c>
      <c r="Q83" s="302"/>
      <c r="R83" s="302"/>
      <c r="S83" s="302"/>
      <c r="T83" s="302"/>
    </row>
    <row r="84" spans="2:20" s="66" customFormat="1" x14ac:dyDescent="0.15">
      <c r="B84" s="82"/>
      <c r="C84" s="114"/>
      <c r="D84" s="114"/>
      <c r="E84" s="114"/>
      <c r="F84" s="114"/>
      <c r="G84" s="114"/>
      <c r="H84" s="114"/>
      <c r="J84" s="114"/>
      <c r="K84" s="114"/>
      <c r="L84" s="114"/>
      <c r="M84" s="114"/>
      <c r="N84" s="114"/>
      <c r="O84" s="114"/>
      <c r="Q84" s="302"/>
      <c r="R84" s="302"/>
      <c r="S84" s="302"/>
      <c r="T84" s="302"/>
    </row>
    <row r="85" spans="2:20" ht="15" thickBot="1" x14ac:dyDescent="0.2">
      <c r="B85" s="82" t="s">
        <v>147</v>
      </c>
      <c r="P85" s="66"/>
      <c r="Q85" s="302"/>
      <c r="R85" s="302"/>
      <c r="S85" s="302"/>
      <c r="T85" s="302"/>
    </row>
    <row r="86" spans="2:20" s="133" customFormat="1" ht="15" customHeight="1" x14ac:dyDescent="0.15">
      <c r="B86" s="662" t="s">
        <v>76</v>
      </c>
      <c r="C86" s="665" t="s">
        <v>80</v>
      </c>
      <c r="D86" s="668" t="s">
        <v>77</v>
      </c>
      <c r="E86" s="671" t="s">
        <v>141</v>
      </c>
      <c r="F86" s="674" t="s">
        <v>49</v>
      </c>
      <c r="G86" s="675"/>
      <c r="H86" s="676"/>
      <c r="I86" s="682" t="s">
        <v>128</v>
      </c>
      <c r="J86" s="658"/>
      <c r="K86" s="659"/>
      <c r="L86" s="682" t="s">
        <v>129</v>
      </c>
      <c r="M86" s="658"/>
      <c r="N86" s="658"/>
      <c r="O86" s="659"/>
      <c r="Q86" s="302"/>
      <c r="R86" s="302"/>
      <c r="S86" s="302"/>
      <c r="T86" s="302"/>
    </row>
    <row r="87" spans="2:20" s="133" customFormat="1" x14ac:dyDescent="0.15">
      <c r="B87" s="663"/>
      <c r="C87" s="666"/>
      <c r="D87" s="669"/>
      <c r="E87" s="672"/>
      <c r="F87" s="332" t="s">
        <v>94</v>
      </c>
      <c r="G87" s="303" t="s">
        <v>95</v>
      </c>
      <c r="H87" s="304" t="s">
        <v>96</v>
      </c>
      <c r="I87" s="683"/>
      <c r="J87" s="660"/>
      <c r="K87" s="661"/>
      <c r="L87" s="683"/>
      <c r="M87" s="660"/>
      <c r="N87" s="660"/>
      <c r="O87" s="661"/>
      <c r="Q87" s="302"/>
      <c r="R87" s="302"/>
      <c r="S87" s="302"/>
      <c r="T87" s="302"/>
    </row>
    <row r="88" spans="2:20" s="133" customFormat="1" x14ac:dyDescent="0.15">
      <c r="B88" s="664"/>
      <c r="C88" s="667"/>
      <c r="D88" s="670"/>
      <c r="E88" s="673"/>
      <c r="F88" s="332" t="s">
        <v>143</v>
      </c>
      <c r="G88" s="405" t="s">
        <v>144</v>
      </c>
      <c r="H88" s="417" t="s">
        <v>145</v>
      </c>
      <c r="I88" s="332" t="s">
        <v>94</v>
      </c>
      <c r="J88" s="303" t="s">
        <v>95</v>
      </c>
      <c r="K88" s="304" t="s">
        <v>96</v>
      </c>
      <c r="L88" s="322" t="s">
        <v>94</v>
      </c>
      <c r="M88" s="324" t="s">
        <v>95</v>
      </c>
      <c r="N88" s="324" t="s">
        <v>96</v>
      </c>
      <c r="O88" s="323" t="s">
        <v>130</v>
      </c>
      <c r="Q88" s="302"/>
      <c r="R88" s="302"/>
      <c r="S88" s="302"/>
      <c r="T88" s="302"/>
    </row>
    <row r="89" spans="2:20" ht="15" x14ac:dyDescent="0.15">
      <c r="B89" s="305">
        <f>$B$67</f>
        <v>2010</v>
      </c>
      <c r="C89" s="306">
        <v>1</v>
      </c>
      <c r="D89" s="307" t="s">
        <v>59</v>
      </c>
      <c r="E89" s="408">
        <f>'Waterborne Data'!D6</f>
        <v>1544668.6735772092</v>
      </c>
      <c r="F89" s="418">
        <f t="shared" ref="F89:F97" si="79">Gas_Boats_gCO2_per_gallon</f>
        <v>8780</v>
      </c>
      <c r="G89" s="402">
        <f t="shared" ref="G89:G97" si="80">Gas_Boats_gCH4_per_gallon</f>
        <v>4.88</v>
      </c>
      <c r="H89" s="581">
        <f t="shared" ref="H89:H97" si="81">Gas_Boats_gN2O_per_gallon</f>
        <v>0.23</v>
      </c>
      <c r="I89" s="454">
        <f t="shared" ref="I89:I97" si="82">E89*F89/grams_to_mton</f>
        <v>13562.190954007896</v>
      </c>
      <c r="J89" s="347">
        <f t="shared" ref="J89:J97" si="83">E89*G89/grams_to_mton</f>
        <v>7.5379831270567816</v>
      </c>
      <c r="K89" s="455">
        <f t="shared" ref="K89:K97" si="84">E89*H89/grams_to_mton</f>
        <v>0.35527379492275812</v>
      </c>
      <c r="L89" s="374">
        <f t="shared" ref="L89:L97" si="85">I89*CO2_GWP</f>
        <v>13562.190954007896</v>
      </c>
      <c r="M89" s="310">
        <f t="shared" ref="M89:M97" si="86">J89*CH4_GWP</f>
        <v>211.06352755758988</v>
      </c>
      <c r="N89" s="311">
        <f t="shared" ref="N89:N91" si="87">K89*N2O_GWP</f>
        <v>94.147555654530905</v>
      </c>
      <c r="O89" s="312">
        <f t="shared" ref="O89:O98" si="88">SUM(L89:N89)</f>
        <v>13867.402037220016</v>
      </c>
      <c r="Q89" s="302">
        <f t="shared" ref="Q89:Q97" si="89">L89/mton_per_mmton</f>
        <v>1.3562190954007895E-2</v>
      </c>
      <c r="R89" s="302">
        <f t="shared" ref="R89:R97" si="90">M89/mton_per_mmton</f>
        <v>2.1106352755758987E-4</v>
      </c>
      <c r="S89" s="302">
        <f t="shared" ref="S89:S97" si="91">N89/mton_per_mmton</f>
        <v>9.414755565453091E-5</v>
      </c>
      <c r="T89" s="302"/>
    </row>
    <row r="90" spans="2:20" ht="15" x14ac:dyDescent="0.15">
      <c r="B90" s="305">
        <f t="shared" ref="B90:B98" si="92">$B$67</f>
        <v>2010</v>
      </c>
      <c r="C90" s="306">
        <v>1</v>
      </c>
      <c r="D90" s="313" t="s">
        <v>58</v>
      </c>
      <c r="E90" s="408">
        <f>'Waterborne Data'!D7</f>
        <v>15446.686735772093</v>
      </c>
      <c r="F90" s="418">
        <f t="shared" si="79"/>
        <v>8780</v>
      </c>
      <c r="G90" s="402">
        <f t="shared" si="80"/>
        <v>4.88</v>
      </c>
      <c r="H90" s="581">
        <f t="shared" si="81"/>
        <v>0.23</v>
      </c>
      <c r="I90" s="454">
        <f t="shared" si="82"/>
        <v>135.62190954007897</v>
      </c>
      <c r="J90" s="347">
        <f t="shared" si="83"/>
        <v>7.5379831270567813E-2</v>
      </c>
      <c r="K90" s="455">
        <f t="shared" si="84"/>
        <v>3.5527379492275813E-3</v>
      </c>
      <c r="L90" s="374">
        <f t="shared" si="85"/>
        <v>135.62190954007897</v>
      </c>
      <c r="M90" s="310">
        <f t="shared" si="86"/>
        <v>2.1106352755758988</v>
      </c>
      <c r="N90" s="311">
        <f t="shared" si="87"/>
        <v>0.94147555654530901</v>
      </c>
      <c r="O90" s="312">
        <f t="shared" si="88"/>
        <v>138.67402037220018</v>
      </c>
      <c r="Q90" s="302">
        <f t="shared" si="89"/>
        <v>1.3562190954007896E-4</v>
      </c>
      <c r="R90" s="302">
        <f t="shared" si="90"/>
        <v>2.1106352755758989E-6</v>
      </c>
      <c r="S90" s="302">
        <f t="shared" si="91"/>
        <v>9.4147555654530897E-7</v>
      </c>
      <c r="T90" s="302"/>
    </row>
    <row r="91" spans="2:20" ht="15" x14ac:dyDescent="0.15">
      <c r="B91" s="305">
        <f t="shared" si="92"/>
        <v>2010</v>
      </c>
      <c r="C91" s="306">
        <v>1</v>
      </c>
      <c r="D91" s="314" t="s">
        <v>131</v>
      </c>
      <c r="E91" s="408">
        <f>'Waterborne Data'!D8</f>
        <v>1529221.9868414372</v>
      </c>
      <c r="F91" s="418">
        <f t="shared" si="79"/>
        <v>8780</v>
      </c>
      <c r="G91" s="402">
        <f t="shared" si="80"/>
        <v>4.88</v>
      </c>
      <c r="H91" s="581">
        <f t="shared" si="81"/>
        <v>0.23</v>
      </c>
      <c r="I91" s="454">
        <f t="shared" si="82"/>
        <v>13426.569044467818</v>
      </c>
      <c r="J91" s="347">
        <f t="shared" si="83"/>
        <v>7.462603295786213</v>
      </c>
      <c r="K91" s="455">
        <f t="shared" si="84"/>
        <v>0.35172105697353057</v>
      </c>
      <c r="L91" s="374">
        <f t="shared" si="85"/>
        <v>13426.569044467818</v>
      </c>
      <c r="M91" s="310">
        <f t="shared" si="86"/>
        <v>208.95289228201398</v>
      </c>
      <c r="N91" s="311">
        <f t="shared" si="87"/>
        <v>93.206080097985605</v>
      </c>
      <c r="O91" s="312">
        <f t="shared" si="88"/>
        <v>13728.728016847817</v>
      </c>
      <c r="Q91" s="302">
        <f t="shared" si="89"/>
        <v>1.3426569044467818E-2</v>
      </c>
      <c r="R91" s="302">
        <f t="shared" si="90"/>
        <v>2.0895289228201397E-4</v>
      </c>
      <c r="S91" s="302">
        <f t="shared" si="91"/>
        <v>9.3206080097985605E-5</v>
      </c>
      <c r="T91" s="302"/>
    </row>
    <row r="92" spans="2:20" ht="15" x14ac:dyDescent="0.15">
      <c r="B92" s="305">
        <f t="shared" si="92"/>
        <v>2010</v>
      </c>
      <c r="C92" s="306">
        <v>1</v>
      </c>
      <c r="D92" s="307" t="s">
        <v>60</v>
      </c>
      <c r="E92" s="408">
        <f>'Waterborne Data'!D9</f>
        <v>94548.872982304718</v>
      </c>
      <c r="F92" s="418">
        <f t="shared" si="79"/>
        <v>8780</v>
      </c>
      <c r="G92" s="402">
        <f t="shared" si="80"/>
        <v>4.88</v>
      </c>
      <c r="H92" s="581">
        <f t="shared" si="81"/>
        <v>0.23</v>
      </c>
      <c r="I92" s="454">
        <f t="shared" si="82"/>
        <v>830.13910478463538</v>
      </c>
      <c r="J92" s="347">
        <f t="shared" si="83"/>
        <v>0.46139850015364703</v>
      </c>
      <c r="K92" s="455">
        <f t="shared" si="84"/>
        <v>2.1746240785930088E-2</v>
      </c>
      <c r="L92" s="374">
        <f t="shared" si="85"/>
        <v>830.13910478463538</v>
      </c>
      <c r="M92" s="310">
        <f t="shared" si="86"/>
        <v>12.919158004302117</v>
      </c>
      <c r="N92" s="311">
        <f>K92*N2O_GWP</f>
        <v>5.7627538082714738</v>
      </c>
      <c r="O92" s="315">
        <f t="shared" si="88"/>
        <v>848.82101659720888</v>
      </c>
      <c r="Q92" s="302">
        <f t="shared" si="89"/>
        <v>8.3013910478463542E-4</v>
      </c>
      <c r="R92" s="302">
        <f t="shared" si="90"/>
        <v>1.2919158004302118E-5</v>
      </c>
      <c r="S92" s="302">
        <f t="shared" si="91"/>
        <v>5.7627538082714735E-6</v>
      </c>
      <c r="T92" s="302"/>
    </row>
    <row r="93" spans="2:20" ht="15" x14ac:dyDescent="0.15">
      <c r="B93" s="305">
        <f t="shared" si="92"/>
        <v>2010</v>
      </c>
      <c r="C93" s="306">
        <v>1</v>
      </c>
      <c r="D93" s="307" t="s">
        <v>62</v>
      </c>
      <c r="E93" s="408">
        <f>'Waterborne Data'!D10</f>
        <v>141823.36960126465</v>
      </c>
      <c r="F93" s="418">
        <f t="shared" si="79"/>
        <v>8780</v>
      </c>
      <c r="G93" s="402">
        <f t="shared" si="80"/>
        <v>4.88</v>
      </c>
      <c r="H93" s="581">
        <f t="shared" si="81"/>
        <v>0.23</v>
      </c>
      <c r="I93" s="454">
        <f t="shared" si="82"/>
        <v>1245.2091850991037</v>
      </c>
      <c r="J93" s="347">
        <f t="shared" si="83"/>
        <v>0.69209804365417149</v>
      </c>
      <c r="K93" s="455">
        <f t="shared" si="84"/>
        <v>3.2619375008290874E-2</v>
      </c>
      <c r="L93" s="374">
        <f t="shared" si="85"/>
        <v>1245.2091850991037</v>
      </c>
      <c r="M93" s="310">
        <f t="shared" si="86"/>
        <v>19.378745222316802</v>
      </c>
      <c r="N93" s="311">
        <f t="shared" ref="N93:N97" si="93">K93*N2O_GWP</f>
        <v>8.6441343771970818</v>
      </c>
      <c r="O93" s="315">
        <f t="shared" si="88"/>
        <v>1273.2320646986177</v>
      </c>
      <c r="Q93" s="302">
        <f t="shared" si="89"/>
        <v>1.2452091850991037E-3</v>
      </c>
      <c r="R93" s="302">
        <f t="shared" si="90"/>
        <v>1.9378745222316802E-5</v>
      </c>
      <c r="S93" s="302">
        <f t="shared" si="91"/>
        <v>8.6441343771970822E-6</v>
      </c>
      <c r="T93" s="302"/>
    </row>
    <row r="94" spans="2:20" ht="15" x14ac:dyDescent="0.15">
      <c r="B94" s="305">
        <f t="shared" si="92"/>
        <v>2010</v>
      </c>
      <c r="C94" s="306">
        <v>1</v>
      </c>
      <c r="D94" s="307" t="s">
        <v>61</v>
      </c>
      <c r="E94" s="408">
        <f>'Waterborne Data'!D11</f>
        <v>78790.731665411033</v>
      </c>
      <c r="F94" s="418">
        <f t="shared" si="79"/>
        <v>8780</v>
      </c>
      <c r="G94" s="402">
        <f t="shared" si="80"/>
        <v>4.88</v>
      </c>
      <c r="H94" s="581">
        <f t="shared" si="81"/>
        <v>0.23</v>
      </c>
      <c r="I94" s="454">
        <f t="shared" si="82"/>
        <v>691.78262402230882</v>
      </c>
      <c r="J94" s="347">
        <f t="shared" si="83"/>
        <v>0.38449877052720582</v>
      </c>
      <c r="K94" s="455">
        <f t="shared" si="84"/>
        <v>1.8121868283044539E-2</v>
      </c>
      <c r="L94" s="374">
        <f t="shared" si="85"/>
        <v>691.78262402230882</v>
      </c>
      <c r="M94" s="310">
        <f t="shared" si="86"/>
        <v>10.765965574761763</v>
      </c>
      <c r="N94" s="311">
        <f t="shared" si="93"/>
        <v>4.8022950950068024</v>
      </c>
      <c r="O94" s="315">
        <f t="shared" si="88"/>
        <v>707.35088469207733</v>
      </c>
      <c r="Q94" s="302">
        <f t="shared" si="89"/>
        <v>6.9178262402230881E-4</v>
      </c>
      <c r="R94" s="302">
        <f t="shared" si="90"/>
        <v>1.0765965574761763E-5</v>
      </c>
      <c r="S94" s="302">
        <f t="shared" si="91"/>
        <v>4.8022950950068028E-6</v>
      </c>
      <c r="T94" s="302"/>
    </row>
    <row r="95" spans="2:20" ht="15" x14ac:dyDescent="0.15">
      <c r="B95" s="305">
        <f t="shared" si="92"/>
        <v>2010</v>
      </c>
      <c r="C95" s="306">
        <v>1</v>
      </c>
      <c r="D95" s="307" t="s">
        <v>63</v>
      </c>
      <c r="E95" s="408">
        <f>'Waterborne Data'!D12</f>
        <v>1656095.4886026217</v>
      </c>
      <c r="F95" s="418">
        <f t="shared" si="79"/>
        <v>8780</v>
      </c>
      <c r="G95" s="402">
        <f t="shared" si="80"/>
        <v>4.88</v>
      </c>
      <c r="H95" s="581">
        <f t="shared" si="81"/>
        <v>0.23</v>
      </c>
      <c r="I95" s="454">
        <f t="shared" si="82"/>
        <v>14540.51838993102</v>
      </c>
      <c r="J95" s="347">
        <f t="shared" si="83"/>
        <v>8.0817459843807935</v>
      </c>
      <c r="K95" s="455">
        <f t="shared" si="84"/>
        <v>0.38090196237860302</v>
      </c>
      <c r="L95" s="374">
        <f t="shared" si="85"/>
        <v>14540.51838993102</v>
      </c>
      <c r="M95" s="310">
        <f t="shared" si="86"/>
        <v>226.28888756266221</v>
      </c>
      <c r="N95" s="311">
        <f t="shared" si="93"/>
        <v>100.9390200303298</v>
      </c>
      <c r="O95" s="315">
        <f t="shared" si="88"/>
        <v>14867.746297524011</v>
      </c>
      <c r="Q95" s="302">
        <f t="shared" si="89"/>
        <v>1.454051838993102E-2</v>
      </c>
      <c r="R95" s="302">
        <f t="shared" si="90"/>
        <v>2.262888875626622E-4</v>
      </c>
      <c r="S95" s="302">
        <f t="shared" si="91"/>
        <v>1.009390200303298E-4</v>
      </c>
      <c r="T95" s="302"/>
    </row>
    <row r="96" spans="2:20" ht="15" x14ac:dyDescent="0.15">
      <c r="B96" s="305">
        <f t="shared" si="92"/>
        <v>2010</v>
      </c>
      <c r="C96" s="306">
        <v>1</v>
      </c>
      <c r="D96" s="307" t="s">
        <v>64</v>
      </c>
      <c r="E96" s="408">
        <f>'Waterborne Data'!D13</f>
        <v>283646.53092135052</v>
      </c>
      <c r="F96" s="418">
        <f t="shared" si="79"/>
        <v>8780</v>
      </c>
      <c r="G96" s="402">
        <f t="shared" si="80"/>
        <v>4.88</v>
      </c>
      <c r="H96" s="581">
        <f t="shared" si="81"/>
        <v>0.23</v>
      </c>
      <c r="I96" s="454">
        <f t="shared" si="82"/>
        <v>2490.4165414894578</v>
      </c>
      <c r="J96" s="347">
        <f t="shared" si="83"/>
        <v>1.3841950708961905</v>
      </c>
      <c r="K96" s="455">
        <f t="shared" si="84"/>
        <v>6.5238702111910615E-2</v>
      </c>
      <c r="L96" s="374">
        <f t="shared" si="85"/>
        <v>2490.4165414894578</v>
      </c>
      <c r="M96" s="310">
        <f t="shared" si="86"/>
        <v>38.757461985093336</v>
      </c>
      <c r="N96" s="311">
        <f t="shared" si="93"/>
        <v>17.288256059656312</v>
      </c>
      <c r="O96" s="315">
        <f t="shared" si="88"/>
        <v>2546.4622595342075</v>
      </c>
      <c r="Q96" s="302">
        <f t="shared" si="89"/>
        <v>2.4904165414894579E-3</v>
      </c>
      <c r="R96" s="302">
        <f t="shared" si="90"/>
        <v>3.8757461985093337E-5</v>
      </c>
      <c r="S96" s="302">
        <f t="shared" si="91"/>
        <v>1.7288256059656312E-5</v>
      </c>
      <c r="T96" s="302"/>
    </row>
    <row r="97" spans="2:20" ht="16" thickBot="1" x14ac:dyDescent="0.2">
      <c r="B97" s="305">
        <f t="shared" si="92"/>
        <v>2010</v>
      </c>
      <c r="C97" s="306">
        <v>1</v>
      </c>
      <c r="D97" s="307" t="s">
        <v>65</v>
      </c>
      <c r="E97" s="408">
        <f>'Waterborne Data'!D14</f>
        <v>504260.61591103446</v>
      </c>
      <c r="F97" s="451">
        <f t="shared" si="79"/>
        <v>8780</v>
      </c>
      <c r="G97" s="452">
        <f t="shared" si="80"/>
        <v>4.88</v>
      </c>
      <c r="H97" s="582">
        <f t="shared" si="81"/>
        <v>0.23</v>
      </c>
      <c r="I97" s="456">
        <f t="shared" si="82"/>
        <v>4427.4082076988825</v>
      </c>
      <c r="J97" s="457">
        <f t="shared" si="83"/>
        <v>2.4607918056458482</v>
      </c>
      <c r="K97" s="458">
        <f t="shared" si="84"/>
        <v>0.11597994165953793</v>
      </c>
      <c r="L97" s="374">
        <f t="shared" si="85"/>
        <v>4427.4082076988825</v>
      </c>
      <c r="M97" s="310">
        <f t="shared" si="86"/>
        <v>68.902170558083753</v>
      </c>
      <c r="N97" s="311">
        <f t="shared" si="93"/>
        <v>30.73468453977755</v>
      </c>
      <c r="O97" s="315">
        <f t="shared" si="88"/>
        <v>4527.0450627967439</v>
      </c>
      <c r="Q97" s="302">
        <f t="shared" si="89"/>
        <v>4.4274082076988823E-3</v>
      </c>
      <c r="R97" s="302">
        <f t="shared" si="90"/>
        <v>6.8902170558083755E-5</v>
      </c>
      <c r="S97" s="302">
        <f t="shared" si="91"/>
        <v>3.0734684539777551E-5</v>
      </c>
      <c r="T97" s="302"/>
    </row>
    <row r="98" spans="2:20" s="19" customFormat="1" ht="16" thickBot="1" x14ac:dyDescent="0.2">
      <c r="B98" s="316">
        <f t="shared" si="92"/>
        <v>2010</v>
      </c>
      <c r="C98" s="317">
        <v>1</v>
      </c>
      <c r="D98" s="318" t="s">
        <v>66</v>
      </c>
      <c r="E98" s="459">
        <f>SUM(E89,E92:E97)</f>
        <v>4303834.2832611967</v>
      </c>
      <c r="F98" s="421"/>
      <c r="G98" s="413"/>
      <c r="H98" s="422"/>
      <c r="I98" s="348">
        <f t="shared" ref="I98:N98" si="94">SUM(I89,I92:I97)</f>
        <v>37787.665007033305</v>
      </c>
      <c r="J98" s="319">
        <f t="shared" si="94"/>
        <v>21.002711302314637</v>
      </c>
      <c r="K98" s="319">
        <f t="shared" si="94"/>
        <v>0.98988188515007514</v>
      </c>
      <c r="L98" s="319">
        <f t="shared" si="94"/>
        <v>37787.665007033305</v>
      </c>
      <c r="M98" s="319">
        <f t="shared" si="94"/>
        <v>588.07591646480989</v>
      </c>
      <c r="N98" s="320">
        <f t="shared" si="94"/>
        <v>262.31869956476993</v>
      </c>
      <c r="O98" s="321">
        <f t="shared" si="88"/>
        <v>38638.059623062887</v>
      </c>
      <c r="Q98" s="302"/>
      <c r="R98" s="302"/>
      <c r="S98" s="302"/>
      <c r="T98" s="302"/>
    </row>
  </sheetData>
  <mergeCells count="42">
    <mergeCell ref="L71:O72"/>
    <mergeCell ref="I71:K72"/>
    <mergeCell ref="B71:B73"/>
    <mergeCell ref="C71:C73"/>
    <mergeCell ref="D71:D73"/>
    <mergeCell ref="E71:E73"/>
    <mergeCell ref="F71:H71"/>
    <mergeCell ref="E86:E88"/>
    <mergeCell ref="F86:H86"/>
    <mergeCell ref="I86:K87"/>
    <mergeCell ref="L86:O87"/>
    <mergeCell ref="B86:B88"/>
    <mergeCell ref="C86:C88"/>
    <mergeCell ref="D86:D88"/>
    <mergeCell ref="I38:K39"/>
    <mergeCell ref="L38:O39"/>
    <mergeCell ref="B53:B55"/>
    <mergeCell ref="C53:C55"/>
    <mergeCell ref="D53:D55"/>
    <mergeCell ref="E53:E55"/>
    <mergeCell ref="F53:H53"/>
    <mergeCell ref="I53:K54"/>
    <mergeCell ref="L53:O54"/>
    <mergeCell ref="B38:B40"/>
    <mergeCell ref="C38:C40"/>
    <mergeCell ref="D38:D40"/>
    <mergeCell ref="E38:E40"/>
    <mergeCell ref="F38:H38"/>
    <mergeCell ref="I6:K7"/>
    <mergeCell ref="L6:O7"/>
    <mergeCell ref="B21:B23"/>
    <mergeCell ref="C21:C23"/>
    <mergeCell ref="D21:D23"/>
    <mergeCell ref="E21:E23"/>
    <mergeCell ref="F21:H21"/>
    <mergeCell ref="I21:K22"/>
    <mergeCell ref="L21:O22"/>
    <mergeCell ref="B6:B8"/>
    <mergeCell ref="C6:C8"/>
    <mergeCell ref="D6:D8"/>
    <mergeCell ref="E6:E8"/>
    <mergeCell ref="F6:H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E77B6-F441-468F-B620-5DD88A05CB01}">
  <sheetPr codeName="Sheet8">
    <tabColor theme="4" tint="0.79998168889431442"/>
    <outlinePr summaryBelow="0"/>
  </sheetPr>
  <dimension ref="A1:X103"/>
  <sheetViews>
    <sheetView showGridLines="0" zoomScale="90" zoomScaleNormal="90" workbookViewId="0"/>
  </sheetViews>
  <sheetFormatPr baseColWidth="10" defaultColWidth="8.83203125" defaultRowHeight="14" x14ac:dyDescent="0.15"/>
  <cols>
    <col min="1" max="1" width="4.1640625" customWidth="1"/>
    <col min="2" max="2" width="12.33203125" customWidth="1"/>
    <col min="3" max="3" width="8" customWidth="1"/>
    <col min="4" max="5" width="17.1640625" customWidth="1"/>
    <col min="6" max="8" width="13.1640625" customWidth="1"/>
    <col min="9" max="12" width="10.5" customWidth="1"/>
    <col min="13" max="13" width="8.83203125" customWidth="1"/>
  </cols>
  <sheetData>
    <row r="1" spans="1:24" ht="18" x14ac:dyDescent="0.2">
      <c r="A1" s="28" t="s">
        <v>148</v>
      </c>
      <c r="B1" s="29"/>
      <c r="C1" s="29"/>
      <c r="D1" s="29"/>
      <c r="E1" s="29"/>
      <c r="F1" s="29"/>
      <c r="G1" s="29"/>
      <c r="H1" s="29"/>
      <c r="I1" s="29"/>
      <c r="J1" s="29"/>
      <c r="K1" s="29"/>
      <c r="L1" s="29"/>
      <c r="N1" s="329" t="s">
        <v>93</v>
      </c>
      <c r="O1" s="330"/>
      <c r="P1" s="330"/>
      <c r="Q1" s="330"/>
      <c r="R1" s="32"/>
      <c r="S1" s="32"/>
      <c r="T1" s="32"/>
      <c r="U1" s="32"/>
      <c r="V1" s="32"/>
      <c r="W1" s="32"/>
      <c r="X1" s="32"/>
    </row>
    <row r="2" spans="1:24" s="66" customFormat="1" ht="16" x14ac:dyDescent="0.15">
      <c r="N2" s="325" t="s">
        <v>94</v>
      </c>
      <c r="O2" s="325" t="s">
        <v>95</v>
      </c>
      <c r="P2" s="325" t="s">
        <v>96</v>
      </c>
      <c r="Q2" s="325" t="s">
        <v>89</v>
      </c>
    </row>
    <row r="3" spans="1:24" ht="18" x14ac:dyDescent="0.2">
      <c r="A3" s="300"/>
      <c r="B3" s="301">
        <v>2019</v>
      </c>
      <c r="C3" s="29"/>
      <c r="D3" s="29"/>
      <c r="E3" s="29"/>
      <c r="F3" s="29"/>
      <c r="G3" s="29"/>
      <c r="H3" s="29"/>
      <c r="I3" s="29"/>
      <c r="J3" s="29"/>
      <c r="K3" s="29"/>
      <c r="L3" s="29"/>
      <c r="N3" s="302"/>
      <c r="O3" s="302"/>
      <c r="P3" s="302"/>
      <c r="Q3" s="302"/>
    </row>
    <row r="4" spans="1:24" x14ac:dyDescent="0.15">
      <c r="N4" s="302"/>
      <c r="O4" s="302"/>
      <c r="P4" s="302"/>
      <c r="Q4" s="302"/>
    </row>
    <row r="5" spans="1:24" ht="15" thickBot="1" x14ac:dyDescent="0.2">
      <c r="B5" s="19" t="s">
        <v>149</v>
      </c>
      <c r="N5" s="302"/>
      <c r="O5" s="302"/>
      <c r="P5" s="302"/>
      <c r="Q5" s="302"/>
    </row>
    <row r="6" spans="1:24" s="66" customFormat="1" ht="15" customHeight="1" x14ac:dyDescent="0.15">
      <c r="B6" s="701" t="s">
        <v>76</v>
      </c>
      <c r="C6" s="703" t="s">
        <v>80</v>
      </c>
      <c r="D6" s="665" t="s">
        <v>77</v>
      </c>
      <c r="E6" s="705" t="s">
        <v>141</v>
      </c>
      <c r="F6" s="674" t="s">
        <v>49</v>
      </c>
      <c r="G6" s="675"/>
      <c r="H6" s="676"/>
      <c r="I6" s="693" t="s">
        <v>129</v>
      </c>
      <c r="J6" s="694"/>
      <c r="K6" s="694"/>
      <c r="L6" s="695"/>
      <c r="N6" s="302"/>
      <c r="O6" s="302"/>
      <c r="P6" s="302"/>
      <c r="Q6" s="302"/>
    </row>
    <row r="7" spans="1:24" s="66" customFormat="1" x14ac:dyDescent="0.15">
      <c r="B7" s="702"/>
      <c r="C7" s="704"/>
      <c r="D7" s="666"/>
      <c r="E7" s="706"/>
      <c r="F7" s="332" t="s">
        <v>94</v>
      </c>
      <c r="G7" s="303" t="s">
        <v>95</v>
      </c>
      <c r="H7" s="304" t="s">
        <v>96</v>
      </c>
      <c r="I7" s="696" t="s">
        <v>94</v>
      </c>
      <c r="J7" s="698" t="s">
        <v>95</v>
      </c>
      <c r="K7" s="698" t="s">
        <v>96</v>
      </c>
      <c r="L7" s="700" t="s">
        <v>130</v>
      </c>
      <c r="N7" s="302"/>
      <c r="O7" s="302"/>
      <c r="P7" s="302"/>
      <c r="Q7" s="302"/>
    </row>
    <row r="8" spans="1:24" s="66" customFormat="1" x14ac:dyDescent="0.15">
      <c r="B8" s="663"/>
      <c r="C8" s="699"/>
      <c r="D8" s="667"/>
      <c r="E8" s="707"/>
      <c r="F8" s="332" t="s">
        <v>143</v>
      </c>
      <c r="G8" s="405" t="s">
        <v>144</v>
      </c>
      <c r="H8" s="417" t="s">
        <v>145</v>
      </c>
      <c r="I8" s="697"/>
      <c r="J8" s="699"/>
      <c r="K8" s="699"/>
      <c r="L8" s="667"/>
      <c r="N8" s="302"/>
      <c r="O8" s="302"/>
      <c r="P8" s="302"/>
      <c r="Q8" s="302"/>
    </row>
    <row r="9" spans="1:24" s="66" customFormat="1" ht="15" x14ac:dyDescent="0.15">
      <c r="B9" s="305">
        <f>$B$3</f>
        <v>2019</v>
      </c>
      <c r="C9" s="44">
        <v>1</v>
      </c>
      <c r="D9" s="430" t="s">
        <v>59</v>
      </c>
      <c r="E9" s="407">
        <f>'Aviation Data'!G6</f>
        <v>104.98744585725626</v>
      </c>
      <c r="F9" s="418">
        <f t="shared" ref="F9:F17" si="0">Aviation_Gas_gCO2_per_gallon</f>
        <v>8310</v>
      </c>
      <c r="G9" s="402">
        <f t="shared" ref="G9:G17" si="1">Aviation_Gas_gCH4_per_gallon</f>
        <v>7.06</v>
      </c>
      <c r="H9" s="578">
        <f t="shared" ref="H9:H17" si="2">Aviation_Gas_gN2O_per_gallon</f>
        <v>0.11</v>
      </c>
      <c r="I9" s="374">
        <f t="shared" ref="I9:I17" si="3">E9*F9/grams_to_mton*CO2_GWP</f>
        <v>0.87244567507379955</v>
      </c>
      <c r="J9" s="347">
        <f t="shared" ref="J9:J17" si="4">E9*G9/grams_to_mton*CH4_GWP</f>
        <v>2.0753918297062416E-2</v>
      </c>
      <c r="K9" s="347">
        <f t="shared" ref="K9:K17" si="5">E9*H9/grams_to_mton*N2O_GWP</f>
        <v>3.06038404673902E-3</v>
      </c>
      <c r="L9" s="312">
        <f>SUM(I9:K9)</f>
        <v>0.89625997741760099</v>
      </c>
      <c r="N9" s="302">
        <f t="shared" ref="N9:N17" si="6">I9/mton_per_mmton</f>
        <v>8.7244567507379953E-7</v>
      </c>
      <c r="O9" s="302">
        <f t="shared" ref="O9:O17" si="7">J9/mton_per_mmton</f>
        <v>2.0753918297062417E-8</v>
      </c>
      <c r="P9" s="302">
        <f t="shared" ref="P9:P17" si="8">K9/mton_per_mmton</f>
        <v>3.0603840467390201E-9</v>
      </c>
      <c r="Q9" s="302"/>
    </row>
    <row r="10" spans="1:24" ht="15" x14ac:dyDescent="0.15">
      <c r="B10" s="305">
        <f t="shared" ref="B10:B18" si="9">$B$3</f>
        <v>2019</v>
      </c>
      <c r="C10" s="44">
        <v>1</v>
      </c>
      <c r="D10" s="431" t="s">
        <v>58</v>
      </c>
      <c r="E10" s="407">
        <f>'Aviation Data'!G7</f>
        <v>0</v>
      </c>
      <c r="F10" s="418">
        <f t="shared" si="0"/>
        <v>8310</v>
      </c>
      <c r="G10" s="402">
        <f t="shared" si="1"/>
        <v>7.06</v>
      </c>
      <c r="H10" s="578">
        <f t="shared" si="2"/>
        <v>0.11</v>
      </c>
      <c r="I10" s="374">
        <f t="shared" si="3"/>
        <v>0</v>
      </c>
      <c r="J10" s="347">
        <f t="shared" si="4"/>
        <v>0</v>
      </c>
      <c r="K10" s="347">
        <f t="shared" si="5"/>
        <v>0</v>
      </c>
      <c r="L10" s="312">
        <f t="shared" ref="L10:L17" si="10">SUM(I10:K10)</f>
        <v>0</v>
      </c>
      <c r="N10" s="302">
        <f t="shared" si="6"/>
        <v>0</v>
      </c>
      <c r="O10" s="302">
        <f t="shared" si="7"/>
        <v>0</v>
      </c>
      <c r="P10" s="302">
        <f t="shared" si="8"/>
        <v>0</v>
      </c>
      <c r="Q10" s="302"/>
    </row>
    <row r="11" spans="1:24" ht="15" x14ac:dyDescent="0.15">
      <c r="B11" s="305">
        <f t="shared" si="9"/>
        <v>2019</v>
      </c>
      <c r="C11" s="44">
        <v>1</v>
      </c>
      <c r="D11" s="431" t="s">
        <v>131</v>
      </c>
      <c r="E11" s="407">
        <f>'Aviation Data'!G8</f>
        <v>104.98744585725626</v>
      </c>
      <c r="F11" s="418">
        <f t="shared" si="0"/>
        <v>8310</v>
      </c>
      <c r="G11" s="402">
        <f t="shared" si="1"/>
        <v>7.06</v>
      </c>
      <c r="H11" s="578">
        <f t="shared" si="2"/>
        <v>0.11</v>
      </c>
      <c r="I11" s="374">
        <f t="shared" si="3"/>
        <v>0.87244567507379955</v>
      </c>
      <c r="J11" s="347">
        <f t="shared" si="4"/>
        <v>2.0753918297062416E-2</v>
      </c>
      <c r="K11" s="347">
        <f t="shared" si="5"/>
        <v>3.06038404673902E-3</v>
      </c>
      <c r="L11" s="312">
        <f t="shared" si="10"/>
        <v>0.89625997741760099</v>
      </c>
      <c r="N11" s="302">
        <f t="shared" si="6"/>
        <v>8.7244567507379953E-7</v>
      </c>
      <c r="O11" s="302">
        <f t="shared" si="7"/>
        <v>2.0753918297062417E-8</v>
      </c>
      <c r="P11" s="302">
        <f t="shared" si="8"/>
        <v>3.0603840467390201E-9</v>
      </c>
      <c r="Q11" s="302"/>
    </row>
    <row r="12" spans="1:24" ht="15" x14ac:dyDescent="0.15">
      <c r="B12" s="305">
        <f t="shared" si="9"/>
        <v>2019</v>
      </c>
      <c r="C12" s="44">
        <v>1</v>
      </c>
      <c r="D12" s="430" t="s">
        <v>60</v>
      </c>
      <c r="E12" s="407">
        <f>'Aviation Data'!G9</f>
        <v>0</v>
      </c>
      <c r="F12" s="418">
        <f t="shared" si="0"/>
        <v>8310</v>
      </c>
      <c r="G12" s="402">
        <f t="shared" si="1"/>
        <v>7.06</v>
      </c>
      <c r="H12" s="578">
        <f t="shared" si="2"/>
        <v>0.11</v>
      </c>
      <c r="I12" s="374">
        <f t="shared" si="3"/>
        <v>0</v>
      </c>
      <c r="J12" s="347">
        <f t="shared" si="4"/>
        <v>0</v>
      </c>
      <c r="K12" s="347">
        <f t="shared" si="5"/>
        <v>0</v>
      </c>
      <c r="L12" s="312">
        <f t="shared" si="10"/>
        <v>0</v>
      </c>
      <c r="N12" s="302">
        <f t="shared" si="6"/>
        <v>0</v>
      </c>
      <c r="O12" s="302">
        <f t="shared" si="7"/>
        <v>0</v>
      </c>
      <c r="P12" s="302">
        <f t="shared" si="8"/>
        <v>0</v>
      </c>
      <c r="Q12" s="302"/>
    </row>
    <row r="13" spans="1:24" ht="15" x14ac:dyDescent="0.15">
      <c r="B13" s="305">
        <f t="shared" si="9"/>
        <v>2019</v>
      </c>
      <c r="C13" s="44">
        <v>1</v>
      </c>
      <c r="D13" s="430" t="s">
        <v>62</v>
      </c>
      <c r="E13" s="407">
        <f>'Aviation Data'!G10</f>
        <v>0</v>
      </c>
      <c r="F13" s="418">
        <f t="shared" si="0"/>
        <v>8310</v>
      </c>
      <c r="G13" s="402">
        <f t="shared" si="1"/>
        <v>7.06</v>
      </c>
      <c r="H13" s="578">
        <f t="shared" si="2"/>
        <v>0.11</v>
      </c>
      <c r="I13" s="374">
        <f t="shared" si="3"/>
        <v>0</v>
      </c>
      <c r="J13" s="347">
        <f t="shared" si="4"/>
        <v>0</v>
      </c>
      <c r="K13" s="347">
        <f t="shared" si="5"/>
        <v>0</v>
      </c>
      <c r="L13" s="312">
        <f t="shared" si="10"/>
        <v>0</v>
      </c>
      <c r="N13" s="302">
        <f t="shared" si="6"/>
        <v>0</v>
      </c>
      <c r="O13" s="302">
        <f t="shared" si="7"/>
        <v>0</v>
      </c>
      <c r="P13" s="302">
        <f t="shared" si="8"/>
        <v>0</v>
      </c>
      <c r="Q13" s="302"/>
    </row>
    <row r="14" spans="1:24" ht="15" x14ac:dyDescent="0.15">
      <c r="B14" s="305">
        <f t="shared" si="9"/>
        <v>2019</v>
      </c>
      <c r="C14" s="44">
        <v>1</v>
      </c>
      <c r="D14" s="430" t="s">
        <v>61</v>
      </c>
      <c r="E14" s="407">
        <f>'Aviation Data'!G11</f>
        <v>0</v>
      </c>
      <c r="F14" s="418">
        <f t="shared" si="0"/>
        <v>8310</v>
      </c>
      <c r="G14" s="402">
        <f t="shared" si="1"/>
        <v>7.06</v>
      </c>
      <c r="H14" s="578">
        <f t="shared" si="2"/>
        <v>0.11</v>
      </c>
      <c r="I14" s="374">
        <f t="shared" si="3"/>
        <v>0</v>
      </c>
      <c r="J14" s="347">
        <f t="shared" si="4"/>
        <v>0</v>
      </c>
      <c r="K14" s="347">
        <f t="shared" si="5"/>
        <v>0</v>
      </c>
      <c r="L14" s="312">
        <f t="shared" si="10"/>
        <v>0</v>
      </c>
      <c r="N14" s="302">
        <f t="shared" si="6"/>
        <v>0</v>
      </c>
      <c r="O14" s="302">
        <f t="shared" si="7"/>
        <v>0</v>
      </c>
      <c r="P14" s="302">
        <f t="shared" si="8"/>
        <v>0</v>
      </c>
      <c r="Q14" s="302"/>
    </row>
    <row r="15" spans="1:24" ht="15" x14ac:dyDescent="0.15">
      <c r="B15" s="305">
        <f t="shared" si="9"/>
        <v>2019</v>
      </c>
      <c r="C15" s="44">
        <v>1</v>
      </c>
      <c r="D15" s="430" t="s">
        <v>63</v>
      </c>
      <c r="E15" s="407">
        <f>'Aviation Data'!G12</f>
        <v>0</v>
      </c>
      <c r="F15" s="418">
        <f t="shared" si="0"/>
        <v>8310</v>
      </c>
      <c r="G15" s="402">
        <f t="shared" si="1"/>
        <v>7.06</v>
      </c>
      <c r="H15" s="578">
        <f t="shared" si="2"/>
        <v>0.11</v>
      </c>
      <c r="I15" s="374">
        <f t="shared" si="3"/>
        <v>0</v>
      </c>
      <c r="J15" s="347">
        <f t="shared" si="4"/>
        <v>0</v>
      </c>
      <c r="K15" s="347">
        <f t="shared" si="5"/>
        <v>0</v>
      </c>
      <c r="L15" s="312">
        <f t="shared" si="10"/>
        <v>0</v>
      </c>
      <c r="N15" s="302">
        <f t="shared" si="6"/>
        <v>0</v>
      </c>
      <c r="O15" s="302">
        <f t="shared" si="7"/>
        <v>0</v>
      </c>
      <c r="P15" s="302">
        <f t="shared" si="8"/>
        <v>0</v>
      </c>
      <c r="Q15" s="302"/>
    </row>
    <row r="16" spans="1:24" ht="15" x14ac:dyDescent="0.15">
      <c r="B16" s="305">
        <f t="shared" si="9"/>
        <v>2019</v>
      </c>
      <c r="C16" s="44">
        <v>1</v>
      </c>
      <c r="D16" s="430" t="s">
        <v>64</v>
      </c>
      <c r="E16" s="407">
        <f>'Aviation Data'!G13</f>
        <v>0</v>
      </c>
      <c r="F16" s="418">
        <f t="shared" si="0"/>
        <v>8310</v>
      </c>
      <c r="G16" s="402">
        <f t="shared" si="1"/>
        <v>7.06</v>
      </c>
      <c r="H16" s="578">
        <f t="shared" si="2"/>
        <v>0.11</v>
      </c>
      <c r="I16" s="374">
        <f t="shared" si="3"/>
        <v>0</v>
      </c>
      <c r="J16" s="347">
        <f t="shared" si="4"/>
        <v>0</v>
      </c>
      <c r="K16" s="347">
        <f t="shared" si="5"/>
        <v>0</v>
      </c>
      <c r="L16" s="312">
        <f t="shared" si="10"/>
        <v>0</v>
      </c>
      <c r="N16" s="302">
        <f t="shared" si="6"/>
        <v>0</v>
      </c>
      <c r="O16" s="302">
        <f t="shared" si="7"/>
        <v>0</v>
      </c>
      <c r="P16" s="302">
        <f t="shared" si="8"/>
        <v>0</v>
      </c>
      <c r="Q16" s="302"/>
    </row>
    <row r="17" spans="2:17" ht="16" thickBot="1" x14ac:dyDescent="0.2">
      <c r="B17" s="305">
        <f t="shared" si="9"/>
        <v>2019</v>
      </c>
      <c r="C17" s="44">
        <v>1</v>
      </c>
      <c r="D17" s="430" t="s">
        <v>65</v>
      </c>
      <c r="E17" s="407">
        <f>'Aviation Data'!G14</f>
        <v>0</v>
      </c>
      <c r="F17" s="420">
        <f t="shared" si="0"/>
        <v>8310</v>
      </c>
      <c r="G17" s="412">
        <f t="shared" si="1"/>
        <v>7.06</v>
      </c>
      <c r="H17" s="578">
        <f t="shared" si="2"/>
        <v>0.11</v>
      </c>
      <c r="I17" s="374">
        <f t="shared" si="3"/>
        <v>0</v>
      </c>
      <c r="J17" s="347">
        <f t="shared" si="4"/>
        <v>0</v>
      </c>
      <c r="K17" s="347">
        <f t="shared" si="5"/>
        <v>0</v>
      </c>
      <c r="L17" s="312">
        <f t="shared" si="10"/>
        <v>0</v>
      </c>
      <c r="N17" s="302">
        <f t="shared" si="6"/>
        <v>0</v>
      </c>
      <c r="O17" s="302">
        <f t="shared" si="7"/>
        <v>0</v>
      </c>
      <c r="P17" s="302">
        <f t="shared" si="8"/>
        <v>0</v>
      </c>
      <c r="Q17" s="302"/>
    </row>
    <row r="18" spans="2:17" ht="16" thickBot="1" x14ac:dyDescent="0.2">
      <c r="B18" s="316">
        <f t="shared" si="9"/>
        <v>2019</v>
      </c>
      <c r="C18" s="415">
        <v>1</v>
      </c>
      <c r="D18" s="432" t="s">
        <v>66</v>
      </c>
      <c r="E18" s="414">
        <f>SUM(E9,E12:E17)</f>
        <v>104.98744585725626</v>
      </c>
      <c r="F18" s="421"/>
      <c r="G18" s="413"/>
      <c r="H18" s="422"/>
      <c r="I18" s="447">
        <f t="shared" ref="I18" si="11">SUM(I9,I12:I17)</f>
        <v>0.87244567507379955</v>
      </c>
      <c r="J18" s="448">
        <f t="shared" ref="J18" si="12">SUM(J9,J12:J17)</f>
        <v>2.0753918297062416E-2</v>
      </c>
      <c r="K18" s="448">
        <f t="shared" ref="K18" si="13">SUM(K9,K12:K17)</f>
        <v>3.06038404673902E-3</v>
      </c>
      <c r="L18" s="449">
        <f t="shared" ref="L18" si="14">SUM(L9,L12:L17)</f>
        <v>0.89625997741760099</v>
      </c>
      <c r="N18" s="302"/>
      <c r="O18" s="302"/>
      <c r="P18" s="302"/>
      <c r="Q18" s="302"/>
    </row>
    <row r="19" spans="2:17" x14ac:dyDescent="0.15">
      <c r="B19" s="66" t="s">
        <v>150</v>
      </c>
      <c r="N19" s="302"/>
      <c r="O19" s="302"/>
      <c r="P19" s="302"/>
      <c r="Q19" s="302"/>
    </row>
    <row r="20" spans="2:17" x14ac:dyDescent="0.15">
      <c r="N20" s="302"/>
      <c r="O20" s="302"/>
      <c r="P20" s="302"/>
      <c r="Q20" s="302"/>
    </row>
    <row r="21" spans="2:17" ht="15" thickBot="1" x14ac:dyDescent="0.2">
      <c r="B21" s="19" t="s">
        <v>151</v>
      </c>
      <c r="N21" s="302"/>
      <c r="O21" s="302"/>
      <c r="P21" s="302"/>
      <c r="Q21" s="302"/>
    </row>
    <row r="22" spans="2:17" s="66" customFormat="1" ht="15" customHeight="1" x14ac:dyDescent="0.15">
      <c r="B22" s="701" t="s">
        <v>76</v>
      </c>
      <c r="C22" s="703" t="s">
        <v>80</v>
      </c>
      <c r="D22" s="665" t="s">
        <v>77</v>
      </c>
      <c r="E22" s="705" t="s">
        <v>141</v>
      </c>
      <c r="F22" s="674" t="s">
        <v>49</v>
      </c>
      <c r="G22" s="675"/>
      <c r="H22" s="676"/>
      <c r="I22" s="693" t="s">
        <v>129</v>
      </c>
      <c r="J22" s="694"/>
      <c r="K22" s="694"/>
      <c r="L22" s="695"/>
      <c r="N22" s="302"/>
      <c r="O22" s="302"/>
      <c r="P22" s="302"/>
      <c r="Q22" s="302"/>
    </row>
    <row r="23" spans="2:17" s="66" customFormat="1" x14ac:dyDescent="0.15">
      <c r="B23" s="702"/>
      <c r="C23" s="704"/>
      <c r="D23" s="666"/>
      <c r="E23" s="706"/>
      <c r="F23" s="332" t="s">
        <v>94</v>
      </c>
      <c r="G23" s="303" t="s">
        <v>95</v>
      </c>
      <c r="H23" s="304" t="s">
        <v>96</v>
      </c>
      <c r="I23" s="696" t="s">
        <v>94</v>
      </c>
      <c r="J23" s="698" t="s">
        <v>95</v>
      </c>
      <c r="K23" s="698" t="s">
        <v>96</v>
      </c>
      <c r="L23" s="700" t="s">
        <v>130</v>
      </c>
      <c r="N23" s="302"/>
      <c r="O23" s="302"/>
      <c r="P23" s="302"/>
      <c r="Q23" s="302"/>
    </row>
    <row r="24" spans="2:17" s="66" customFormat="1" x14ac:dyDescent="0.15">
      <c r="B24" s="663"/>
      <c r="C24" s="699"/>
      <c r="D24" s="667"/>
      <c r="E24" s="707"/>
      <c r="F24" s="332" t="s">
        <v>143</v>
      </c>
      <c r="G24" s="405" t="s">
        <v>144</v>
      </c>
      <c r="H24" s="417" t="s">
        <v>145</v>
      </c>
      <c r="I24" s="697"/>
      <c r="J24" s="699"/>
      <c r="K24" s="699"/>
      <c r="L24" s="667"/>
      <c r="N24" s="302"/>
      <c r="O24" s="302"/>
      <c r="P24" s="302"/>
      <c r="Q24" s="302"/>
    </row>
    <row r="25" spans="2:17" s="66" customFormat="1" ht="15" x14ac:dyDescent="0.15">
      <c r="B25" s="305">
        <f t="shared" ref="B25:B34" si="15">$B$3</f>
        <v>2019</v>
      </c>
      <c r="C25" s="44">
        <v>1</v>
      </c>
      <c r="D25" s="430" t="s">
        <v>59</v>
      </c>
      <c r="E25" s="407">
        <f>'Aviation Data'!H6</f>
        <v>164428582.78970376</v>
      </c>
      <c r="F25" s="418">
        <f t="shared" ref="F25:F33" si="16">Jet_Fuel_gCO2_per_gallon</f>
        <v>9750</v>
      </c>
      <c r="G25" s="402">
        <f t="shared" ref="G25:G33" si="17">Jet_Fuel_gCH4_per_gallon</f>
        <v>0</v>
      </c>
      <c r="H25" s="578">
        <f t="shared" ref="H25:H33" si="18">Jet_Fuel_gN2O_per_gallon</f>
        <v>0.3</v>
      </c>
      <c r="I25" s="374">
        <f t="shared" ref="I25:I33" si="19">E25*F25/grams_to_mton*CO2_GWP</f>
        <v>1603178.6821996116</v>
      </c>
      <c r="J25" s="347">
        <f t="shared" ref="J25:J33" si="20">E25*G25/grams_to_mton*CH4_GWP</f>
        <v>0</v>
      </c>
      <c r="K25" s="347">
        <f t="shared" ref="K25:K33" si="21">E25*H25/grams_to_mton*N2O_GWP</f>
        <v>13072.07233178145</v>
      </c>
      <c r="L25" s="312">
        <f>SUM(I25:K25)</f>
        <v>1616250.7545313931</v>
      </c>
      <c r="N25" s="302">
        <f t="shared" ref="N25:N33" si="22">I25/mton_per_mmton</f>
        <v>1.6031786821996115</v>
      </c>
      <c r="O25" s="302">
        <f t="shared" ref="O25:O33" si="23">J25/mton_per_mmton</f>
        <v>0</v>
      </c>
      <c r="P25" s="302">
        <f t="shared" ref="P25:P33" si="24">K25/mton_per_mmton</f>
        <v>1.307207233178145E-2</v>
      </c>
      <c r="Q25" s="302"/>
    </row>
    <row r="26" spans="2:17" ht="15" x14ac:dyDescent="0.15">
      <c r="B26" s="305">
        <f t="shared" si="15"/>
        <v>2019</v>
      </c>
      <c r="C26" s="44">
        <v>1</v>
      </c>
      <c r="D26" s="431" t="s">
        <v>58</v>
      </c>
      <c r="E26" s="407">
        <f>'Aviation Data'!H7</f>
        <v>164427532.91524518</v>
      </c>
      <c r="F26" s="418">
        <f t="shared" si="16"/>
        <v>9750</v>
      </c>
      <c r="G26" s="402">
        <f t="shared" si="17"/>
        <v>0</v>
      </c>
      <c r="H26" s="578">
        <f t="shared" si="18"/>
        <v>0.3</v>
      </c>
      <c r="I26" s="374">
        <f t="shared" si="19"/>
        <v>1603168.4459236404</v>
      </c>
      <c r="J26" s="347">
        <f t="shared" si="20"/>
        <v>0</v>
      </c>
      <c r="K26" s="347">
        <f t="shared" si="21"/>
        <v>13071.988866761993</v>
      </c>
      <c r="L26" s="312">
        <f t="shared" ref="L26:L33" si="25">SUM(I26:K26)</f>
        <v>1616240.4347904024</v>
      </c>
      <c r="N26" s="302">
        <f t="shared" si="22"/>
        <v>1.6031684459236404</v>
      </c>
      <c r="O26" s="302">
        <f t="shared" si="23"/>
        <v>0</v>
      </c>
      <c r="P26" s="302">
        <f t="shared" si="24"/>
        <v>1.3071988866761992E-2</v>
      </c>
      <c r="Q26" s="302"/>
    </row>
    <row r="27" spans="2:17" ht="15" x14ac:dyDescent="0.15">
      <c r="B27" s="305">
        <f t="shared" si="15"/>
        <v>2019</v>
      </c>
      <c r="C27" s="44">
        <v>1</v>
      </c>
      <c r="D27" s="431" t="s">
        <v>131</v>
      </c>
      <c r="E27" s="407">
        <f>'Aviation Data'!H8</f>
        <v>1049.8744585725626</v>
      </c>
      <c r="F27" s="418">
        <f t="shared" si="16"/>
        <v>9750</v>
      </c>
      <c r="G27" s="402">
        <f t="shared" si="17"/>
        <v>0</v>
      </c>
      <c r="H27" s="578">
        <f t="shared" si="18"/>
        <v>0.3</v>
      </c>
      <c r="I27" s="374">
        <f t="shared" si="19"/>
        <v>10.236275971082486</v>
      </c>
      <c r="J27" s="347">
        <f t="shared" si="20"/>
        <v>0</v>
      </c>
      <c r="K27" s="347">
        <f t="shared" si="21"/>
        <v>8.3465019456518727E-2</v>
      </c>
      <c r="L27" s="312">
        <f t="shared" si="25"/>
        <v>10.319740990539005</v>
      </c>
      <c r="N27" s="302">
        <f t="shared" si="22"/>
        <v>1.0236275971082487E-5</v>
      </c>
      <c r="O27" s="302">
        <f t="shared" si="23"/>
        <v>0</v>
      </c>
      <c r="P27" s="302">
        <f t="shared" si="24"/>
        <v>8.3465019456518733E-8</v>
      </c>
      <c r="Q27" s="302"/>
    </row>
    <row r="28" spans="2:17" ht="15" x14ac:dyDescent="0.15">
      <c r="B28" s="305">
        <f t="shared" si="15"/>
        <v>2019</v>
      </c>
      <c r="C28" s="44">
        <v>1</v>
      </c>
      <c r="D28" s="430" t="s">
        <v>60</v>
      </c>
      <c r="E28" s="407">
        <f>'Aviation Data'!H9</f>
        <v>0</v>
      </c>
      <c r="F28" s="418">
        <f t="shared" si="16"/>
        <v>9750</v>
      </c>
      <c r="G28" s="402">
        <f t="shared" si="17"/>
        <v>0</v>
      </c>
      <c r="H28" s="578">
        <f t="shared" si="18"/>
        <v>0.3</v>
      </c>
      <c r="I28" s="374">
        <f t="shared" si="19"/>
        <v>0</v>
      </c>
      <c r="J28" s="347">
        <f t="shared" si="20"/>
        <v>0</v>
      </c>
      <c r="K28" s="347">
        <f t="shared" si="21"/>
        <v>0</v>
      </c>
      <c r="L28" s="312">
        <f t="shared" si="25"/>
        <v>0</v>
      </c>
      <c r="N28" s="302">
        <f t="shared" si="22"/>
        <v>0</v>
      </c>
      <c r="O28" s="302">
        <f t="shared" si="23"/>
        <v>0</v>
      </c>
      <c r="P28" s="302">
        <f t="shared" si="24"/>
        <v>0</v>
      </c>
      <c r="Q28" s="302"/>
    </row>
    <row r="29" spans="2:17" ht="15" x14ac:dyDescent="0.15">
      <c r="B29" s="305">
        <f t="shared" si="15"/>
        <v>2019</v>
      </c>
      <c r="C29" s="44">
        <v>1</v>
      </c>
      <c r="D29" s="430" t="s">
        <v>62</v>
      </c>
      <c r="E29" s="407">
        <f>'Aviation Data'!H10</f>
        <v>0</v>
      </c>
      <c r="F29" s="418">
        <f t="shared" si="16"/>
        <v>9750</v>
      </c>
      <c r="G29" s="402">
        <f t="shared" si="17"/>
        <v>0</v>
      </c>
      <c r="H29" s="578">
        <f t="shared" si="18"/>
        <v>0.3</v>
      </c>
      <c r="I29" s="374">
        <f t="shared" si="19"/>
        <v>0</v>
      </c>
      <c r="J29" s="347">
        <f t="shared" si="20"/>
        <v>0</v>
      </c>
      <c r="K29" s="347">
        <f t="shared" si="21"/>
        <v>0</v>
      </c>
      <c r="L29" s="312">
        <f t="shared" si="25"/>
        <v>0</v>
      </c>
      <c r="N29" s="302">
        <f t="shared" si="22"/>
        <v>0</v>
      </c>
      <c r="O29" s="302">
        <f t="shared" si="23"/>
        <v>0</v>
      </c>
      <c r="P29" s="302">
        <f t="shared" si="24"/>
        <v>0</v>
      </c>
      <c r="Q29" s="302"/>
    </row>
    <row r="30" spans="2:17" ht="15" x14ac:dyDescent="0.15">
      <c r="B30" s="305">
        <f t="shared" si="15"/>
        <v>2019</v>
      </c>
      <c r="C30" s="44">
        <v>1</v>
      </c>
      <c r="D30" s="430" t="s">
        <v>61</v>
      </c>
      <c r="E30" s="407">
        <f>'Aviation Data'!H11</f>
        <v>0</v>
      </c>
      <c r="F30" s="418">
        <f t="shared" si="16"/>
        <v>9750</v>
      </c>
      <c r="G30" s="402">
        <f t="shared" si="17"/>
        <v>0</v>
      </c>
      <c r="H30" s="578">
        <f t="shared" si="18"/>
        <v>0.3</v>
      </c>
      <c r="I30" s="374">
        <f t="shared" si="19"/>
        <v>0</v>
      </c>
      <c r="J30" s="347">
        <f t="shared" si="20"/>
        <v>0</v>
      </c>
      <c r="K30" s="347">
        <f t="shared" si="21"/>
        <v>0</v>
      </c>
      <c r="L30" s="312">
        <f t="shared" si="25"/>
        <v>0</v>
      </c>
      <c r="N30" s="302">
        <f t="shared" si="22"/>
        <v>0</v>
      </c>
      <c r="O30" s="302">
        <f t="shared" si="23"/>
        <v>0</v>
      </c>
      <c r="P30" s="302">
        <f t="shared" si="24"/>
        <v>0</v>
      </c>
      <c r="Q30" s="302"/>
    </row>
    <row r="31" spans="2:17" ht="15" x14ac:dyDescent="0.15">
      <c r="B31" s="305">
        <f t="shared" si="15"/>
        <v>2019</v>
      </c>
      <c r="C31" s="44">
        <v>1</v>
      </c>
      <c r="D31" s="430" t="s">
        <v>63</v>
      </c>
      <c r="E31" s="407">
        <f>'Aviation Data'!H12</f>
        <v>0</v>
      </c>
      <c r="F31" s="418">
        <f t="shared" si="16"/>
        <v>9750</v>
      </c>
      <c r="G31" s="402">
        <f t="shared" si="17"/>
        <v>0</v>
      </c>
      <c r="H31" s="578">
        <f t="shared" si="18"/>
        <v>0.3</v>
      </c>
      <c r="I31" s="374">
        <f t="shared" si="19"/>
        <v>0</v>
      </c>
      <c r="J31" s="347">
        <f t="shared" si="20"/>
        <v>0</v>
      </c>
      <c r="K31" s="347">
        <f t="shared" si="21"/>
        <v>0</v>
      </c>
      <c r="L31" s="312">
        <f t="shared" si="25"/>
        <v>0</v>
      </c>
      <c r="N31" s="302">
        <f t="shared" si="22"/>
        <v>0</v>
      </c>
      <c r="O31" s="302">
        <f t="shared" si="23"/>
        <v>0</v>
      </c>
      <c r="P31" s="302">
        <f t="shared" si="24"/>
        <v>0</v>
      </c>
      <c r="Q31" s="302"/>
    </row>
    <row r="32" spans="2:17" ht="15" x14ac:dyDescent="0.15">
      <c r="B32" s="305">
        <f t="shared" si="15"/>
        <v>2019</v>
      </c>
      <c r="C32" s="44">
        <v>1</v>
      </c>
      <c r="D32" s="430" t="s">
        <v>64</v>
      </c>
      <c r="E32" s="407">
        <f>'Aviation Data'!H13</f>
        <v>0</v>
      </c>
      <c r="F32" s="418">
        <f t="shared" si="16"/>
        <v>9750</v>
      </c>
      <c r="G32" s="402">
        <f t="shared" si="17"/>
        <v>0</v>
      </c>
      <c r="H32" s="578">
        <f t="shared" si="18"/>
        <v>0.3</v>
      </c>
      <c r="I32" s="374">
        <f t="shared" si="19"/>
        <v>0</v>
      </c>
      <c r="J32" s="347">
        <f t="shared" si="20"/>
        <v>0</v>
      </c>
      <c r="K32" s="347">
        <f t="shared" si="21"/>
        <v>0</v>
      </c>
      <c r="L32" s="312">
        <f t="shared" si="25"/>
        <v>0</v>
      </c>
      <c r="N32" s="302">
        <f t="shared" si="22"/>
        <v>0</v>
      </c>
      <c r="O32" s="302">
        <f t="shared" si="23"/>
        <v>0</v>
      </c>
      <c r="P32" s="302">
        <f t="shared" si="24"/>
        <v>0</v>
      </c>
      <c r="Q32" s="302"/>
    </row>
    <row r="33" spans="1:17" ht="16" thickBot="1" x14ac:dyDescent="0.2">
      <c r="B33" s="305">
        <f t="shared" si="15"/>
        <v>2019</v>
      </c>
      <c r="C33" s="44">
        <v>1</v>
      </c>
      <c r="D33" s="430" t="s">
        <v>65</v>
      </c>
      <c r="E33" s="407">
        <f>'Aviation Data'!H14</f>
        <v>0</v>
      </c>
      <c r="F33" s="418">
        <f t="shared" si="16"/>
        <v>9750</v>
      </c>
      <c r="G33" s="402">
        <f t="shared" si="17"/>
        <v>0</v>
      </c>
      <c r="H33" s="578">
        <f t="shared" si="18"/>
        <v>0.3</v>
      </c>
      <c r="I33" s="374">
        <f t="shared" si="19"/>
        <v>0</v>
      </c>
      <c r="J33" s="347">
        <f t="shared" si="20"/>
        <v>0</v>
      </c>
      <c r="K33" s="347">
        <f t="shared" si="21"/>
        <v>0</v>
      </c>
      <c r="L33" s="312">
        <f t="shared" si="25"/>
        <v>0</v>
      </c>
      <c r="N33" s="302">
        <f t="shared" si="22"/>
        <v>0</v>
      </c>
      <c r="O33" s="302">
        <f t="shared" si="23"/>
        <v>0</v>
      </c>
      <c r="P33" s="302">
        <f t="shared" si="24"/>
        <v>0</v>
      </c>
      <c r="Q33" s="302"/>
    </row>
    <row r="34" spans="1:17" ht="16" thickBot="1" x14ac:dyDescent="0.2">
      <c r="B34" s="316">
        <f t="shared" si="15"/>
        <v>2019</v>
      </c>
      <c r="C34" s="415">
        <v>1</v>
      </c>
      <c r="D34" s="432" t="s">
        <v>66</v>
      </c>
      <c r="E34" s="414">
        <f>SUM(E25,E28:E33)</f>
        <v>164428582.78970376</v>
      </c>
      <c r="F34" s="421"/>
      <c r="G34" s="413"/>
      <c r="H34" s="422"/>
      <c r="I34" s="447">
        <f t="shared" ref="I34" si="26">SUM(I25,I28:I33)</f>
        <v>1603178.6821996116</v>
      </c>
      <c r="J34" s="448">
        <f t="shared" ref="J34" si="27">SUM(J25,J28:J33)</f>
        <v>0</v>
      </c>
      <c r="K34" s="448">
        <f t="shared" ref="K34" si="28">SUM(K25,K28:K33)</f>
        <v>13072.07233178145</v>
      </c>
      <c r="L34" s="449">
        <f t="shared" ref="L34" si="29">SUM(L25,L28:L33)</f>
        <v>1616250.7545313931</v>
      </c>
      <c r="N34" s="302"/>
      <c r="O34" s="302"/>
      <c r="P34" s="302"/>
      <c r="Q34" s="302"/>
    </row>
    <row r="35" spans="1:17" x14ac:dyDescent="0.15">
      <c r="B35" s="66" t="s">
        <v>150</v>
      </c>
      <c r="N35" s="302"/>
      <c r="O35" s="302"/>
      <c r="P35" s="302"/>
      <c r="Q35" s="302"/>
    </row>
    <row r="36" spans="1:17" x14ac:dyDescent="0.15">
      <c r="N36" s="302"/>
      <c r="O36" s="302"/>
      <c r="P36" s="302"/>
      <c r="Q36" s="302"/>
    </row>
    <row r="37" spans="1:17" ht="18" x14ac:dyDescent="0.2">
      <c r="A37" s="300"/>
      <c r="B37" s="301">
        <v>2015</v>
      </c>
      <c r="C37" s="29"/>
      <c r="D37" s="29"/>
      <c r="E37" s="29"/>
      <c r="F37" s="29"/>
      <c r="G37" s="29"/>
      <c r="H37" s="29"/>
      <c r="I37" s="29"/>
      <c r="J37" s="29"/>
      <c r="K37" s="29"/>
      <c r="L37" s="29"/>
      <c r="N37" s="302"/>
      <c r="O37" s="302"/>
      <c r="P37" s="302"/>
      <c r="Q37" s="302"/>
    </row>
    <row r="38" spans="1:17" x14ac:dyDescent="0.15">
      <c r="N38" s="302"/>
      <c r="O38" s="302"/>
      <c r="P38" s="302"/>
      <c r="Q38" s="302"/>
    </row>
    <row r="39" spans="1:17" ht="15" thickBot="1" x14ac:dyDescent="0.2">
      <c r="B39" s="19" t="s">
        <v>149</v>
      </c>
      <c r="N39" s="302"/>
      <c r="O39" s="302"/>
      <c r="P39" s="302"/>
      <c r="Q39" s="302"/>
    </row>
    <row r="40" spans="1:17" s="66" customFormat="1" ht="15" customHeight="1" x14ac:dyDescent="0.15">
      <c r="B40" s="701" t="s">
        <v>76</v>
      </c>
      <c r="C40" s="703" t="s">
        <v>80</v>
      </c>
      <c r="D40" s="665" t="s">
        <v>77</v>
      </c>
      <c r="E40" s="705" t="s">
        <v>141</v>
      </c>
      <c r="F40" s="674" t="s">
        <v>49</v>
      </c>
      <c r="G40" s="675"/>
      <c r="H40" s="676"/>
      <c r="I40" s="693" t="s">
        <v>129</v>
      </c>
      <c r="J40" s="694"/>
      <c r="K40" s="694"/>
      <c r="L40" s="695"/>
      <c r="N40" s="302"/>
      <c r="O40" s="302"/>
      <c r="P40" s="302"/>
      <c r="Q40" s="302"/>
    </row>
    <row r="41" spans="1:17" s="66" customFormat="1" x14ac:dyDescent="0.15">
      <c r="B41" s="702"/>
      <c r="C41" s="704"/>
      <c r="D41" s="666"/>
      <c r="E41" s="706"/>
      <c r="F41" s="332" t="s">
        <v>94</v>
      </c>
      <c r="G41" s="303" t="s">
        <v>95</v>
      </c>
      <c r="H41" s="304" t="s">
        <v>96</v>
      </c>
      <c r="I41" s="696" t="s">
        <v>94</v>
      </c>
      <c r="J41" s="698" t="s">
        <v>95</v>
      </c>
      <c r="K41" s="698" t="s">
        <v>96</v>
      </c>
      <c r="L41" s="700" t="s">
        <v>130</v>
      </c>
      <c r="N41" s="302"/>
      <c r="O41" s="302"/>
      <c r="P41" s="302"/>
      <c r="Q41" s="302"/>
    </row>
    <row r="42" spans="1:17" s="66" customFormat="1" x14ac:dyDescent="0.15">
      <c r="B42" s="663"/>
      <c r="C42" s="699"/>
      <c r="D42" s="667"/>
      <c r="E42" s="707"/>
      <c r="F42" s="332" t="s">
        <v>143</v>
      </c>
      <c r="G42" s="405" t="s">
        <v>144</v>
      </c>
      <c r="H42" s="417" t="s">
        <v>145</v>
      </c>
      <c r="I42" s="697"/>
      <c r="J42" s="699"/>
      <c r="K42" s="699"/>
      <c r="L42" s="667"/>
      <c r="N42" s="302"/>
      <c r="O42" s="302"/>
      <c r="P42" s="302"/>
      <c r="Q42" s="302"/>
    </row>
    <row r="43" spans="1:17" s="66" customFormat="1" ht="15" x14ac:dyDescent="0.15">
      <c r="B43" s="305">
        <f t="shared" ref="B43:B52" si="30">$B$37</f>
        <v>2015</v>
      </c>
      <c r="C43" s="44">
        <v>1</v>
      </c>
      <c r="D43" s="430" t="s">
        <v>59</v>
      </c>
      <c r="E43" s="407">
        <f>'Aviation Data'!E6</f>
        <v>100</v>
      </c>
      <c r="F43" s="418">
        <f t="shared" ref="F43:F51" si="31">Aviation_Gas_gCO2_per_gallon</f>
        <v>8310</v>
      </c>
      <c r="G43" s="402">
        <f t="shared" ref="G43:G51" si="32">Aviation_Gas_gCH4_per_gallon</f>
        <v>7.06</v>
      </c>
      <c r="H43" s="578">
        <f t="shared" ref="H43:H51" si="33">Aviation_Gas_gN2O_per_gallon</f>
        <v>0.11</v>
      </c>
      <c r="I43" s="374">
        <f t="shared" ref="I43:I51" si="34">E43*F43/grams_to_mton*CO2_GWP</f>
        <v>0.83099999999999996</v>
      </c>
      <c r="J43" s="347">
        <f t="shared" ref="J43:J51" si="35">E43*G43/grams_to_mton*CH4_GWP</f>
        <v>1.9768000000000001E-2</v>
      </c>
      <c r="K43" s="347">
        <f t="shared" ref="K43:K51" si="36">E43*H43/grams_to_mton*N2O_GWP</f>
        <v>2.9150000000000001E-3</v>
      </c>
      <c r="L43" s="312">
        <f>SUM(I43:K43)</f>
        <v>0.85368299999999997</v>
      </c>
      <c r="N43" s="302">
        <f t="shared" ref="N43:N51" si="37">I43/mton_per_mmton</f>
        <v>8.3099999999999996E-7</v>
      </c>
      <c r="O43" s="302">
        <f t="shared" ref="O43:O51" si="38">J43/mton_per_mmton</f>
        <v>1.9768000000000002E-8</v>
      </c>
      <c r="P43" s="302">
        <f t="shared" ref="P43:P51" si="39">K43/mton_per_mmton</f>
        <v>2.915E-9</v>
      </c>
      <c r="Q43" s="302"/>
    </row>
    <row r="44" spans="1:17" ht="15" x14ac:dyDescent="0.15">
      <c r="B44" s="305">
        <f t="shared" si="30"/>
        <v>2015</v>
      </c>
      <c r="C44" s="44">
        <v>1</v>
      </c>
      <c r="D44" s="431" t="s">
        <v>58</v>
      </c>
      <c r="E44" s="407">
        <f>'Aviation Data'!E7</f>
        <v>0</v>
      </c>
      <c r="F44" s="418">
        <f t="shared" si="31"/>
        <v>8310</v>
      </c>
      <c r="G44" s="402">
        <f t="shared" si="32"/>
        <v>7.06</v>
      </c>
      <c r="H44" s="578">
        <f t="shared" si="33"/>
        <v>0.11</v>
      </c>
      <c r="I44" s="374">
        <f t="shared" si="34"/>
        <v>0</v>
      </c>
      <c r="J44" s="347">
        <f t="shared" si="35"/>
        <v>0</v>
      </c>
      <c r="K44" s="347">
        <f t="shared" si="36"/>
        <v>0</v>
      </c>
      <c r="L44" s="312">
        <f t="shared" ref="L44:L51" si="40">SUM(I44:K44)</f>
        <v>0</v>
      </c>
      <c r="N44" s="302">
        <f t="shared" si="37"/>
        <v>0</v>
      </c>
      <c r="O44" s="302">
        <f t="shared" si="38"/>
        <v>0</v>
      </c>
      <c r="P44" s="302">
        <f t="shared" si="39"/>
        <v>0</v>
      </c>
      <c r="Q44" s="302"/>
    </row>
    <row r="45" spans="1:17" ht="15" x14ac:dyDescent="0.15">
      <c r="B45" s="305">
        <f t="shared" si="30"/>
        <v>2015</v>
      </c>
      <c r="C45" s="44">
        <v>1</v>
      </c>
      <c r="D45" s="431" t="s">
        <v>131</v>
      </c>
      <c r="E45" s="407">
        <f>'Aviation Data'!E8</f>
        <v>100</v>
      </c>
      <c r="F45" s="418">
        <f t="shared" si="31"/>
        <v>8310</v>
      </c>
      <c r="G45" s="402">
        <f t="shared" si="32"/>
        <v>7.06</v>
      </c>
      <c r="H45" s="578">
        <f t="shared" si="33"/>
        <v>0.11</v>
      </c>
      <c r="I45" s="374">
        <f t="shared" si="34"/>
        <v>0.83099999999999996</v>
      </c>
      <c r="J45" s="347">
        <f t="shared" si="35"/>
        <v>1.9768000000000001E-2</v>
      </c>
      <c r="K45" s="347">
        <f t="shared" si="36"/>
        <v>2.9150000000000001E-3</v>
      </c>
      <c r="L45" s="312">
        <f t="shared" si="40"/>
        <v>0.85368299999999997</v>
      </c>
      <c r="N45" s="302">
        <f t="shared" si="37"/>
        <v>8.3099999999999996E-7</v>
      </c>
      <c r="O45" s="302">
        <f t="shared" si="38"/>
        <v>1.9768000000000002E-8</v>
      </c>
      <c r="P45" s="302">
        <f t="shared" si="39"/>
        <v>2.915E-9</v>
      </c>
      <c r="Q45" s="302"/>
    </row>
    <row r="46" spans="1:17" ht="15" x14ac:dyDescent="0.15">
      <c r="B46" s="305">
        <f t="shared" si="30"/>
        <v>2015</v>
      </c>
      <c r="C46" s="44">
        <v>1</v>
      </c>
      <c r="D46" s="430" t="s">
        <v>60</v>
      </c>
      <c r="E46" s="407">
        <f>'Aviation Data'!E9</f>
        <v>0</v>
      </c>
      <c r="F46" s="418">
        <f t="shared" si="31"/>
        <v>8310</v>
      </c>
      <c r="G46" s="402">
        <f t="shared" si="32"/>
        <v>7.06</v>
      </c>
      <c r="H46" s="578">
        <f t="shared" si="33"/>
        <v>0.11</v>
      </c>
      <c r="I46" s="374">
        <f t="shared" si="34"/>
        <v>0</v>
      </c>
      <c r="J46" s="347">
        <f t="shared" si="35"/>
        <v>0</v>
      </c>
      <c r="K46" s="347">
        <f t="shared" si="36"/>
        <v>0</v>
      </c>
      <c r="L46" s="312">
        <f t="shared" si="40"/>
        <v>0</v>
      </c>
      <c r="N46" s="302">
        <f t="shared" si="37"/>
        <v>0</v>
      </c>
      <c r="O46" s="302">
        <f t="shared" si="38"/>
        <v>0</v>
      </c>
      <c r="P46" s="302">
        <f t="shared" si="39"/>
        <v>0</v>
      </c>
      <c r="Q46" s="302"/>
    </row>
    <row r="47" spans="1:17" ht="15" x14ac:dyDescent="0.15">
      <c r="B47" s="305">
        <f t="shared" si="30"/>
        <v>2015</v>
      </c>
      <c r="C47" s="44">
        <v>1</v>
      </c>
      <c r="D47" s="430" t="s">
        <v>62</v>
      </c>
      <c r="E47" s="407">
        <f>'Aviation Data'!E10</f>
        <v>0</v>
      </c>
      <c r="F47" s="418">
        <f t="shared" si="31"/>
        <v>8310</v>
      </c>
      <c r="G47" s="402">
        <f t="shared" si="32"/>
        <v>7.06</v>
      </c>
      <c r="H47" s="578">
        <f t="shared" si="33"/>
        <v>0.11</v>
      </c>
      <c r="I47" s="374">
        <f t="shared" si="34"/>
        <v>0</v>
      </c>
      <c r="J47" s="347">
        <f t="shared" si="35"/>
        <v>0</v>
      </c>
      <c r="K47" s="347">
        <f t="shared" si="36"/>
        <v>0</v>
      </c>
      <c r="L47" s="312">
        <f t="shared" si="40"/>
        <v>0</v>
      </c>
      <c r="N47" s="302">
        <f t="shared" si="37"/>
        <v>0</v>
      </c>
      <c r="O47" s="302">
        <f t="shared" si="38"/>
        <v>0</v>
      </c>
      <c r="P47" s="302">
        <f t="shared" si="39"/>
        <v>0</v>
      </c>
      <c r="Q47" s="302"/>
    </row>
    <row r="48" spans="1:17" ht="15" x14ac:dyDescent="0.15">
      <c r="B48" s="305">
        <f t="shared" si="30"/>
        <v>2015</v>
      </c>
      <c r="C48" s="44">
        <v>1</v>
      </c>
      <c r="D48" s="430" t="s">
        <v>61</v>
      </c>
      <c r="E48" s="407">
        <f>'Aviation Data'!E11</f>
        <v>0</v>
      </c>
      <c r="F48" s="418">
        <f t="shared" si="31"/>
        <v>8310</v>
      </c>
      <c r="G48" s="402">
        <f t="shared" si="32"/>
        <v>7.06</v>
      </c>
      <c r="H48" s="578">
        <f t="shared" si="33"/>
        <v>0.11</v>
      </c>
      <c r="I48" s="374">
        <f t="shared" si="34"/>
        <v>0</v>
      </c>
      <c r="J48" s="347">
        <f t="shared" si="35"/>
        <v>0</v>
      </c>
      <c r="K48" s="347">
        <f t="shared" si="36"/>
        <v>0</v>
      </c>
      <c r="L48" s="312">
        <f t="shared" si="40"/>
        <v>0</v>
      </c>
      <c r="N48" s="302">
        <f t="shared" si="37"/>
        <v>0</v>
      </c>
      <c r="O48" s="302">
        <f t="shared" si="38"/>
        <v>0</v>
      </c>
      <c r="P48" s="302">
        <f t="shared" si="39"/>
        <v>0</v>
      </c>
      <c r="Q48" s="302"/>
    </row>
    <row r="49" spans="2:17" ht="15" x14ac:dyDescent="0.15">
      <c r="B49" s="305">
        <f t="shared" si="30"/>
        <v>2015</v>
      </c>
      <c r="C49" s="44">
        <v>1</v>
      </c>
      <c r="D49" s="430" t="s">
        <v>63</v>
      </c>
      <c r="E49" s="407">
        <f>'Aviation Data'!E12</f>
        <v>0</v>
      </c>
      <c r="F49" s="418">
        <f t="shared" si="31"/>
        <v>8310</v>
      </c>
      <c r="G49" s="402">
        <f t="shared" si="32"/>
        <v>7.06</v>
      </c>
      <c r="H49" s="578">
        <f t="shared" si="33"/>
        <v>0.11</v>
      </c>
      <c r="I49" s="374">
        <f t="shared" si="34"/>
        <v>0</v>
      </c>
      <c r="J49" s="347">
        <f t="shared" si="35"/>
        <v>0</v>
      </c>
      <c r="K49" s="347">
        <f t="shared" si="36"/>
        <v>0</v>
      </c>
      <c r="L49" s="312">
        <f t="shared" si="40"/>
        <v>0</v>
      </c>
      <c r="N49" s="302">
        <f t="shared" si="37"/>
        <v>0</v>
      </c>
      <c r="O49" s="302">
        <f t="shared" si="38"/>
        <v>0</v>
      </c>
      <c r="P49" s="302">
        <f t="shared" si="39"/>
        <v>0</v>
      </c>
      <c r="Q49" s="302"/>
    </row>
    <row r="50" spans="2:17" ht="15" x14ac:dyDescent="0.15">
      <c r="B50" s="305">
        <f t="shared" si="30"/>
        <v>2015</v>
      </c>
      <c r="C50" s="44">
        <v>1</v>
      </c>
      <c r="D50" s="430" t="s">
        <v>64</v>
      </c>
      <c r="E50" s="407">
        <f>'Aviation Data'!E13</f>
        <v>0</v>
      </c>
      <c r="F50" s="418">
        <f t="shared" si="31"/>
        <v>8310</v>
      </c>
      <c r="G50" s="402">
        <f t="shared" si="32"/>
        <v>7.06</v>
      </c>
      <c r="H50" s="578">
        <f t="shared" si="33"/>
        <v>0.11</v>
      </c>
      <c r="I50" s="374">
        <f t="shared" si="34"/>
        <v>0</v>
      </c>
      <c r="J50" s="347">
        <f t="shared" si="35"/>
        <v>0</v>
      </c>
      <c r="K50" s="347">
        <f t="shared" si="36"/>
        <v>0</v>
      </c>
      <c r="L50" s="312">
        <f t="shared" si="40"/>
        <v>0</v>
      </c>
      <c r="N50" s="302">
        <f t="shared" si="37"/>
        <v>0</v>
      </c>
      <c r="O50" s="302">
        <f t="shared" si="38"/>
        <v>0</v>
      </c>
      <c r="P50" s="302">
        <f t="shared" si="39"/>
        <v>0</v>
      </c>
      <c r="Q50" s="302"/>
    </row>
    <row r="51" spans="2:17" ht="16" thickBot="1" x14ac:dyDescent="0.2">
      <c r="B51" s="305">
        <f t="shared" si="30"/>
        <v>2015</v>
      </c>
      <c r="C51" s="44">
        <v>1</v>
      </c>
      <c r="D51" s="430" t="s">
        <v>65</v>
      </c>
      <c r="E51" s="407">
        <f>'Aviation Data'!E14</f>
        <v>0</v>
      </c>
      <c r="F51" s="420">
        <f t="shared" si="31"/>
        <v>8310</v>
      </c>
      <c r="G51" s="412">
        <f t="shared" si="32"/>
        <v>7.06</v>
      </c>
      <c r="H51" s="578">
        <f t="shared" si="33"/>
        <v>0.11</v>
      </c>
      <c r="I51" s="374">
        <f t="shared" si="34"/>
        <v>0</v>
      </c>
      <c r="J51" s="347">
        <f t="shared" si="35"/>
        <v>0</v>
      </c>
      <c r="K51" s="347">
        <f t="shared" si="36"/>
        <v>0</v>
      </c>
      <c r="L51" s="312">
        <f t="shared" si="40"/>
        <v>0</v>
      </c>
      <c r="N51" s="302">
        <f t="shared" si="37"/>
        <v>0</v>
      </c>
      <c r="O51" s="302">
        <f t="shared" si="38"/>
        <v>0</v>
      </c>
      <c r="P51" s="302">
        <f t="shared" si="39"/>
        <v>0</v>
      </c>
      <c r="Q51" s="302"/>
    </row>
    <row r="52" spans="2:17" ht="16" thickBot="1" x14ac:dyDescent="0.2">
      <c r="B52" s="316">
        <f t="shared" si="30"/>
        <v>2015</v>
      </c>
      <c r="C52" s="415">
        <v>1</v>
      </c>
      <c r="D52" s="432" t="s">
        <v>66</v>
      </c>
      <c r="E52" s="414">
        <f>SUM(E43,E46:E51)</f>
        <v>100</v>
      </c>
      <c r="F52" s="421"/>
      <c r="G52" s="413"/>
      <c r="H52" s="422"/>
      <c r="I52" s="447">
        <f t="shared" ref="I52" si="41">SUM(I43,I46:I51)</f>
        <v>0.83099999999999996</v>
      </c>
      <c r="J52" s="448">
        <f t="shared" ref="J52" si="42">SUM(J43,J46:J51)</f>
        <v>1.9768000000000001E-2</v>
      </c>
      <c r="K52" s="448">
        <f t="shared" ref="K52" si="43">SUM(K43,K46:K51)</f>
        <v>2.9150000000000001E-3</v>
      </c>
      <c r="L52" s="449">
        <f t="shared" ref="L52" si="44">SUM(L43,L46:L51)</f>
        <v>0.85368299999999997</v>
      </c>
      <c r="N52" s="302"/>
      <c r="O52" s="302"/>
      <c r="P52" s="302"/>
      <c r="Q52" s="302"/>
    </row>
    <row r="53" spans="2:17" x14ac:dyDescent="0.15">
      <c r="B53" s="66" t="s">
        <v>150</v>
      </c>
      <c r="N53" s="302"/>
      <c r="O53" s="302"/>
      <c r="P53" s="302"/>
      <c r="Q53" s="302"/>
    </row>
    <row r="54" spans="2:17" x14ac:dyDescent="0.15">
      <c r="N54" s="302"/>
      <c r="O54" s="302"/>
      <c r="P54" s="302"/>
      <c r="Q54" s="302"/>
    </row>
    <row r="55" spans="2:17" ht="15" thickBot="1" x14ac:dyDescent="0.2">
      <c r="B55" s="19" t="s">
        <v>151</v>
      </c>
      <c r="N55" s="302"/>
      <c r="O55" s="302"/>
      <c r="P55" s="302"/>
      <c r="Q55" s="302"/>
    </row>
    <row r="56" spans="2:17" s="66" customFormat="1" ht="15" customHeight="1" x14ac:dyDescent="0.15">
      <c r="B56" s="701" t="s">
        <v>76</v>
      </c>
      <c r="C56" s="703" t="s">
        <v>80</v>
      </c>
      <c r="D56" s="665" t="s">
        <v>77</v>
      </c>
      <c r="E56" s="705" t="s">
        <v>141</v>
      </c>
      <c r="F56" s="674" t="s">
        <v>49</v>
      </c>
      <c r="G56" s="675"/>
      <c r="H56" s="676"/>
      <c r="I56" s="693" t="s">
        <v>129</v>
      </c>
      <c r="J56" s="694"/>
      <c r="K56" s="694"/>
      <c r="L56" s="695"/>
      <c r="N56" s="302"/>
      <c r="O56" s="302"/>
      <c r="P56" s="302"/>
      <c r="Q56" s="302"/>
    </row>
    <row r="57" spans="2:17" s="66" customFormat="1" x14ac:dyDescent="0.15">
      <c r="B57" s="702"/>
      <c r="C57" s="704"/>
      <c r="D57" s="666"/>
      <c r="E57" s="706"/>
      <c r="F57" s="332" t="s">
        <v>94</v>
      </c>
      <c r="G57" s="303" t="s">
        <v>95</v>
      </c>
      <c r="H57" s="304" t="s">
        <v>96</v>
      </c>
      <c r="I57" s="696" t="s">
        <v>94</v>
      </c>
      <c r="J57" s="698" t="s">
        <v>95</v>
      </c>
      <c r="K57" s="698" t="s">
        <v>96</v>
      </c>
      <c r="L57" s="700" t="s">
        <v>130</v>
      </c>
      <c r="N57" s="302"/>
      <c r="O57" s="302"/>
      <c r="P57" s="302"/>
      <c r="Q57" s="302"/>
    </row>
    <row r="58" spans="2:17" s="66" customFormat="1" x14ac:dyDescent="0.15">
      <c r="B58" s="663"/>
      <c r="C58" s="699"/>
      <c r="D58" s="667"/>
      <c r="E58" s="707"/>
      <c r="F58" s="332" t="s">
        <v>143</v>
      </c>
      <c r="G58" s="405" t="s">
        <v>144</v>
      </c>
      <c r="H58" s="417" t="s">
        <v>145</v>
      </c>
      <c r="I58" s="697"/>
      <c r="J58" s="699"/>
      <c r="K58" s="699"/>
      <c r="L58" s="667"/>
      <c r="N58" s="302"/>
      <c r="O58" s="302"/>
      <c r="P58" s="302"/>
      <c r="Q58" s="302"/>
    </row>
    <row r="59" spans="2:17" s="66" customFormat="1" ht="15" x14ac:dyDescent="0.15">
      <c r="B59" s="305">
        <f>$B$37</f>
        <v>2015</v>
      </c>
      <c r="C59" s="44">
        <v>1</v>
      </c>
      <c r="D59" s="430" t="s">
        <v>59</v>
      </c>
      <c r="E59" s="407">
        <f>'Aviation Data'!F6</f>
        <v>161126100.41991758</v>
      </c>
      <c r="F59" s="418">
        <f t="shared" ref="F59:F67" si="45">Jet_Fuel_gCO2_per_gallon</f>
        <v>9750</v>
      </c>
      <c r="G59" s="402">
        <f t="shared" ref="G59:G67" si="46">Jet_Fuel_gCH4_per_gallon</f>
        <v>0</v>
      </c>
      <c r="H59" s="578">
        <f t="shared" ref="H59:H67" si="47">Jet_Fuel_gN2O_per_gallon</f>
        <v>0.3</v>
      </c>
      <c r="I59" s="374">
        <f t="shared" ref="I59:I67" si="48">E59*F59/grams_to_mton*CO2_GWP</f>
        <v>1570979.4790941966</v>
      </c>
      <c r="J59" s="347">
        <f t="shared" ref="J59:J67" si="49">E59*G59/grams_to_mton*CH4_GWP</f>
        <v>0</v>
      </c>
      <c r="K59" s="347">
        <f t="shared" ref="K59:K67" si="50">E59*H59/grams_to_mton*N2O_GWP</f>
        <v>12809.524983383448</v>
      </c>
      <c r="L59" s="312">
        <f>SUM(I59:K59)</f>
        <v>1583789.0040775801</v>
      </c>
      <c r="N59" s="302">
        <f t="shared" ref="N59:N67" si="51">I59/mton_per_mmton</f>
        <v>1.5709794790941967</v>
      </c>
      <c r="O59" s="302">
        <f t="shared" ref="O59:O67" si="52">J59/mton_per_mmton</f>
        <v>0</v>
      </c>
      <c r="P59" s="302">
        <f t="shared" ref="P59:P67" si="53">K59/mton_per_mmton</f>
        <v>1.2809524983383449E-2</v>
      </c>
      <c r="Q59" s="302"/>
    </row>
    <row r="60" spans="2:17" ht="15" x14ac:dyDescent="0.15">
      <c r="B60" s="305">
        <f t="shared" ref="B60:B68" si="54">$B$37</f>
        <v>2015</v>
      </c>
      <c r="C60" s="44">
        <v>1</v>
      </c>
      <c r="D60" s="431" t="s">
        <v>58</v>
      </c>
      <c r="E60" s="407">
        <f>'Aviation Data'!F7</f>
        <v>161125100.41991758</v>
      </c>
      <c r="F60" s="418">
        <f t="shared" si="45"/>
        <v>9750</v>
      </c>
      <c r="G60" s="402">
        <f t="shared" si="46"/>
        <v>0</v>
      </c>
      <c r="H60" s="578">
        <f t="shared" si="47"/>
        <v>0.3</v>
      </c>
      <c r="I60" s="374">
        <f t="shared" si="48"/>
        <v>1570969.7290941966</v>
      </c>
      <c r="J60" s="347">
        <f t="shared" si="49"/>
        <v>0</v>
      </c>
      <c r="K60" s="347">
        <f t="shared" si="50"/>
        <v>12809.445483383446</v>
      </c>
      <c r="L60" s="312">
        <f t="shared" ref="L60:L67" si="55">SUM(I60:K60)</f>
        <v>1583779.1745775801</v>
      </c>
      <c r="N60" s="302">
        <f t="shared" si="51"/>
        <v>1.5709697290941966</v>
      </c>
      <c r="O60" s="302">
        <f t="shared" si="52"/>
        <v>0</v>
      </c>
      <c r="P60" s="302">
        <f t="shared" si="53"/>
        <v>1.2809445483383445E-2</v>
      </c>
      <c r="Q60" s="302"/>
    </row>
    <row r="61" spans="2:17" ht="15" x14ac:dyDescent="0.15">
      <c r="B61" s="305">
        <f t="shared" si="54"/>
        <v>2015</v>
      </c>
      <c r="C61" s="44">
        <v>1</v>
      </c>
      <c r="D61" s="431" t="s">
        <v>131</v>
      </c>
      <c r="E61" s="407">
        <f>'Aviation Data'!F8</f>
        <v>1000</v>
      </c>
      <c r="F61" s="418">
        <f t="shared" si="45"/>
        <v>9750</v>
      </c>
      <c r="G61" s="402">
        <f t="shared" si="46"/>
        <v>0</v>
      </c>
      <c r="H61" s="578">
        <f t="shared" si="47"/>
        <v>0.3</v>
      </c>
      <c r="I61" s="374">
        <f t="shared" si="48"/>
        <v>9.75</v>
      </c>
      <c r="J61" s="347">
        <f t="shared" si="49"/>
        <v>0</v>
      </c>
      <c r="K61" s="347">
        <f t="shared" si="50"/>
        <v>7.9499999999999987E-2</v>
      </c>
      <c r="L61" s="312">
        <f t="shared" si="55"/>
        <v>9.8294999999999995</v>
      </c>
      <c r="N61" s="302">
        <f t="shared" si="51"/>
        <v>9.7499999999999998E-6</v>
      </c>
      <c r="O61" s="302">
        <f t="shared" si="52"/>
        <v>0</v>
      </c>
      <c r="P61" s="302">
        <f t="shared" si="53"/>
        <v>7.9499999999999991E-8</v>
      </c>
      <c r="Q61" s="302"/>
    </row>
    <row r="62" spans="2:17" ht="15" x14ac:dyDescent="0.15">
      <c r="B62" s="305">
        <f t="shared" si="54"/>
        <v>2015</v>
      </c>
      <c r="C62" s="44">
        <v>1</v>
      </c>
      <c r="D62" s="430" t="s">
        <v>60</v>
      </c>
      <c r="E62" s="407">
        <f>'Aviation Data'!F9</f>
        <v>0</v>
      </c>
      <c r="F62" s="418">
        <f t="shared" si="45"/>
        <v>9750</v>
      </c>
      <c r="G62" s="402">
        <f t="shared" si="46"/>
        <v>0</v>
      </c>
      <c r="H62" s="578">
        <f t="shared" si="47"/>
        <v>0.3</v>
      </c>
      <c r="I62" s="374">
        <f t="shared" si="48"/>
        <v>0</v>
      </c>
      <c r="J62" s="347">
        <f t="shared" si="49"/>
        <v>0</v>
      </c>
      <c r="K62" s="347">
        <f t="shared" si="50"/>
        <v>0</v>
      </c>
      <c r="L62" s="312">
        <f t="shared" si="55"/>
        <v>0</v>
      </c>
      <c r="N62" s="302">
        <f t="shared" si="51"/>
        <v>0</v>
      </c>
      <c r="O62" s="302">
        <f t="shared" si="52"/>
        <v>0</v>
      </c>
      <c r="P62" s="302">
        <f t="shared" si="53"/>
        <v>0</v>
      </c>
      <c r="Q62" s="302"/>
    </row>
    <row r="63" spans="2:17" ht="15" x14ac:dyDescent="0.15">
      <c r="B63" s="305">
        <f t="shared" si="54"/>
        <v>2015</v>
      </c>
      <c r="C63" s="44">
        <v>1</v>
      </c>
      <c r="D63" s="430" t="s">
        <v>62</v>
      </c>
      <c r="E63" s="407">
        <f>'Aviation Data'!F10</f>
        <v>0</v>
      </c>
      <c r="F63" s="418">
        <f t="shared" si="45"/>
        <v>9750</v>
      </c>
      <c r="G63" s="402">
        <f t="shared" si="46"/>
        <v>0</v>
      </c>
      <c r="H63" s="578">
        <f t="shared" si="47"/>
        <v>0.3</v>
      </c>
      <c r="I63" s="374">
        <f t="shared" si="48"/>
        <v>0</v>
      </c>
      <c r="J63" s="347">
        <f t="shared" si="49"/>
        <v>0</v>
      </c>
      <c r="K63" s="347">
        <f t="shared" si="50"/>
        <v>0</v>
      </c>
      <c r="L63" s="312">
        <f t="shared" si="55"/>
        <v>0</v>
      </c>
      <c r="N63" s="302">
        <f t="shared" si="51"/>
        <v>0</v>
      </c>
      <c r="O63" s="302">
        <f t="shared" si="52"/>
        <v>0</v>
      </c>
      <c r="P63" s="302">
        <f t="shared" si="53"/>
        <v>0</v>
      </c>
      <c r="Q63" s="302"/>
    </row>
    <row r="64" spans="2:17" ht="15" x14ac:dyDescent="0.15">
      <c r="B64" s="305">
        <f t="shared" si="54"/>
        <v>2015</v>
      </c>
      <c r="C64" s="44">
        <v>1</v>
      </c>
      <c r="D64" s="430" t="s">
        <v>61</v>
      </c>
      <c r="E64" s="407">
        <f>'Aviation Data'!F11</f>
        <v>0</v>
      </c>
      <c r="F64" s="418">
        <f t="shared" si="45"/>
        <v>9750</v>
      </c>
      <c r="G64" s="402">
        <f t="shared" si="46"/>
        <v>0</v>
      </c>
      <c r="H64" s="578">
        <f t="shared" si="47"/>
        <v>0.3</v>
      </c>
      <c r="I64" s="374">
        <f t="shared" si="48"/>
        <v>0</v>
      </c>
      <c r="J64" s="347">
        <f t="shared" si="49"/>
        <v>0</v>
      </c>
      <c r="K64" s="347">
        <f t="shared" si="50"/>
        <v>0</v>
      </c>
      <c r="L64" s="312">
        <f t="shared" si="55"/>
        <v>0</v>
      </c>
      <c r="N64" s="302">
        <f t="shared" si="51"/>
        <v>0</v>
      </c>
      <c r="O64" s="302">
        <f t="shared" si="52"/>
        <v>0</v>
      </c>
      <c r="P64" s="302">
        <f t="shared" si="53"/>
        <v>0</v>
      </c>
      <c r="Q64" s="302"/>
    </row>
    <row r="65" spans="1:17" ht="15" x14ac:dyDescent="0.15">
      <c r="B65" s="305">
        <f t="shared" si="54"/>
        <v>2015</v>
      </c>
      <c r="C65" s="44">
        <v>1</v>
      </c>
      <c r="D65" s="430" t="s">
        <v>63</v>
      </c>
      <c r="E65" s="407">
        <f>'Aviation Data'!F12</f>
        <v>0</v>
      </c>
      <c r="F65" s="418">
        <f t="shared" si="45"/>
        <v>9750</v>
      </c>
      <c r="G65" s="402">
        <f t="shared" si="46"/>
        <v>0</v>
      </c>
      <c r="H65" s="578">
        <f t="shared" si="47"/>
        <v>0.3</v>
      </c>
      <c r="I65" s="374">
        <f t="shared" si="48"/>
        <v>0</v>
      </c>
      <c r="J65" s="347">
        <f t="shared" si="49"/>
        <v>0</v>
      </c>
      <c r="K65" s="347">
        <f t="shared" si="50"/>
        <v>0</v>
      </c>
      <c r="L65" s="312">
        <f t="shared" si="55"/>
        <v>0</v>
      </c>
      <c r="N65" s="302">
        <f t="shared" si="51"/>
        <v>0</v>
      </c>
      <c r="O65" s="302">
        <f t="shared" si="52"/>
        <v>0</v>
      </c>
      <c r="P65" s="302">
        <f t="shared" si="53"/>
        <v>0</v>
      </c>
      <c r="Q65" s="302"/>
    </row>
    <row r="66" spans="1:17" ht="15" x14ac:dyDescent="0.15">
      <c r="B66" s="305">
        <f t="shared" si="54"/>
        <v>2015</v>
      </c>
      <c r="C66" s="44">
        <v>1</v>
      </c>
      <c r="D66" s="430" t="s">
        <v>64</v>
      </c>
      <c r="E66" s="407">
        <f>'Aviation Data'!F13</f>
        <v>0</v>
      </c>
      <c r="F66" s="418">
        <f t="shared" si="45"/>
        <v>9750</v>
      </c>
      <c r="G66" s="402">
        <f t="shared" si="46"/>
        <v>0</v>
      </c>
      <c r="H66" s="578">
        <f t="shared" si="47"/>
        <v>0.3</v>
      </c>
      <c r="I66" s="374">
        <f t="shared" si="48"/>
        <v>0</v>
      </c>
      <c r="J66" s="347">
        <f t="shared" si="49"/>
        <v>0</v>
      </c>
      <c r="K66" s="347">
        <f t="shared" si="50"/>
        <v>0</v>
      </c>
      <c r="L66" s="312">
        <f t="shared" si="55"/>
        <v>0</v>
      </c>
      <c r="N66" s="302">
        <f t="shared" si="51"/>
        <v>0</v>
      </c>
      <c r="O66" s="302">
        <f t="shared" si="52"/>
        <v>0</v>
      </c>
      <c r="P66" s="302">
        <f t="shared" si="53"/>
        <v>0</v>
      </c>
      <c r="Q66" s="302"/>
    </row>
    <row r="67" spans="1:17" ht="16" thickBot="1" x14ac:dyDescent="0.2">
      <c r="B67" s="305">
        <f t="shared" si="54"/>
        <v>2015</v>
      </c>
      <c r="C67" s="44">
        <v>1</v>
      </c>
      <c r="D67" s="430" t="s">
        <v>65</v>
      </c>
      <c r="E67" s="407">
        <f>'Aviation Data'!F14</f>
        <v>0</v>
      </c>
      <c r="F67" s="418">
        <f t="shared" si="45"/>
        <v>9750</v>
      </c>
      <c r="G67" s="402">
        <f t="shared" si="46"/>
        <v>0</v>
      </c>
      <c r="H67" s="578">
        <f t="shared" si="47"/>
        <v>0.3</v>
      </c>
      <c r="I67" s="444">
        <f t="shared" si="48"/>
        <v>0</v>
      </c>
      <c r="J67" s="445">
        <f t="shared" si="49"/>
        <v>0</v>
      </c>
      <c r="K67" s="445">
        <f t="shared" si="50"/>
        <v>0</v>
      </c>
      <c r="L67" s="446">
        <f t="shared" si="55"/>
        <v>0</v>
      </c>
      <c r="N67" s="302">
        <f t="shared" si="51"/>
        <v>0</v>
      </c>
      <c r="O67" s="302">
        <f t="shared" si="52"/>
        <v>0</v>
      </c>
      <c r="P67" s="302">
        <f t="shared" si="53"/>
        <v>0</v>
      </c>
      <c r="Q67" s="302"/>
    </row>
    <row r="68" spans="1:17" ht="16" thickBot="1" x14ac:dyDescent="0.2">
      <c r="B68" s="316">
        <f t="shared" si="54"/>
        <v>2015</v>
      </c>
      <c r="C68" s="415">
        <v>1</v>
      </c>
      <c r="D68" s="432" t="s">
        <v>66</v>
      </c>
      <c r="E68" s="414">
        <f>SUM(E59,E62:E67)</f>
        <v>161126100.41991758</v>
      </c>
      <c r="F68" s="421"/>
      <c r="G68" s="413"/>
      <c r="H68" s="443"/>
      <c r="I68" s="447">
        <f t="shared" ref="I68:L68" si="56">SUM(I59,I62:I67)</f>
        <v>1570979.4790941966</v>
      </c>
      <c r="J68" s="448">
        <f t="shared" si="56"/>
        <v>0</v>
      </c>
      <c r="K68" s="448">
        <f t="shared" si="56"/>
        <v>12809.524983383448</v>
      </c>
      <c r="L68" s="449">
        <f t="shared" si="56"/>
        <v>1583789.0040775801</v>
      </c>
      <c r="N68" s="302"/>
      <c r="O68" s="302"/>
      <c r="P68" s="302"/>
      <c r="Q68" s="302"/>
    </row>
    <row r="69" spans="1:17" x14ac:dyDescent="0.15">
      <c r="B69" s="66" t="s">
        <v>150</v>
      </c>
      <c r="N69" s="302"/>
      <c r="O69" s="302"/>
      <c r="P69" s="302"/>
      <c r="Q69" s="302"/>
    </row>
    <row r="70" spans="1:17" x14ac:dyDescent="0.15">
      <c r="N70" s="302"/>
      <c r="O70" s="302"/>
      <c r="P70" s="302"/>
      <c r="Q70" s="302"/>
    </row>
    <row r="71" spans="1:17" ht="18" x14ac:dyDescent="0.2">
      <c r="A71" s="300"/>
      <c r="B71" s="301">
        <v>2010</v>
      </c>
      <c r="C71" s="29"/>
      <c r="D71" s="29"/>
      <c r="E71" s="29"/>
      <c r="F71" s="29"/>
      <c r="G71" s="29"/>
      <c r="H71" s="29"/>
      <c r="I71" s="29"/>
      <c r="J71" s="29"/>
      <c r="K71" s="29"/>
      <c r="L71" s="29"/>
      <c r="N71" s="302"/>
      <c r="O71" s="302"/>
      <c r="P71" s="302"/>
      <c r="Q71" s="302"/>
    </row>
    <row r="72" spans="1:17" x14ac:dyDescent="0.15">
      <c r="N72" s="302"/>
      <c r="O72" s="302"/>
      <c r="P72" s="302"/>
      <c r="Q72" s="302"/>
    </row>
    <row r="73" spans="1:17" ht="15" thickBot="1" x14ac:dyDescent="0.2">
      <c r="B73" s="19" t="s">
        <v>149</v>
      </c>
      <c r="N73" s="302"/>
      <c r="O73" s="302"/>
      <c r="P73" s="302"/>
      <c r="Q73" s="406"/>
    </row>
    <row r="74" spans="1:17" s="66" customFormat="1" ht="15" customHeight="1" x14ac:dyDescent="0.15">
      <c r="B74" s="701" t="s">
        <v>76</v>
      </c>
      <c r="C74" s="703" t="s">
        <v>80</v>
      </c>
      <c r="D74" s="665" t="s">
        <v>77</v>
      </c>
      <c r="E74" s="705" t="s">
        <v>141</v>
      </c>
      <c r="F74" s="674" t="s">
        <v>49</v>
      </c>
      <c r="G74" s="675"/>
      <c r="H74" s="676"/>
      <c r="I74" s="693" t="s">
        <v>129</v>
      </c>
      <c r="J74" s="694"/>
      <c r="K74" s="694"/>
      <c r="L74" s="695"/>
      <c r="N74" s="302"/>
      <c r="O74" s="302"/>
      <c r="P74" s="302"/>
      <c r="Q74" s="302"/>
    </row>
    <row r="75" spans="1:17" s="66" customFormat="1" x14ac:dyDescent="0.15">
      <c r="B75" s="702"/>
      <c r="C75" s="704"/>
      <c r="D75" s="666"/>
      <c r="E75" s="706"/>
      <c r="F75" s="332" t="s">
        <v>94</v>
      </c>
      <c r="G75" s="303" t="s">
        <v>95</v>
      </c>
      <c r="H75" s="304" t="s">
        <v>96</v>
      </c>
      <c r="I75" s="696" t="s">
        <v>94</v>
      </c>
      <c r="J75" s="698" t="s">
        <v>95</v>
      </c>
      <c r="K75" s="698" t="s">
        <v>96</v>
      </c>
      <c r="L75" s="700" t="s">
        <v>130</v>
      </c>
      <c r="N75" s="302"/>
      <c r="O75" s="302"/>
      <c r="P75" s="302"/>
      <c r="Q75" s="302"/>
    </row>
    <row r="76" spans="1:17" s="66" customFormat="1" x14ac:dyDescent="0.15">
      <c r="B76" s="663"/>
      <c r="C76" s="699"/>
      <c r="D76" s="667"/>
      <c r="E76" s="707"/>
      <c r="F76" s="332" t="s">
        <v>143</v>
      </c>
      <c r="G76" s="405" t="s">
        <v>144</v>
      </c>
      <c r="H76" s="417" t="s">
        <v>145</v>
      </c>
      <c r="I76" s="697"/>
      <c r="J76" s="699"/>
      <c r="K76" s="699"/>
      <c r="L76" s="667"/>
      <c r="N76" s="302"/>
      <c r="O76" s="302"/>
      <c r="P76" s="302"/>
      <c r="Q76" s="302"/>
    </row>
    <row r="77" spans="1:17" s="66" customFormat="1" ht="15" x14ac:dyDescent="0.15">
      <c r="B77" s="305">
        <f>$B$71</f>
        <v>2010</v>
      </c>
      <c r="C77" s="44">
        <v>1</v>
      </c>
      <c r="D77" s="430" t="s">
        <v>59</v>
      </c>
      <c r="E77" s="407">
        <f>'Aviation Data'!C6</f>
        <v>91.589651522076977</v>
      </c>
      <c r="F77" s="418">
        <f t="shared" ref="F77:F85" si="57">Aviation_Gas_gCO2_per_gallon</f>
        <v>8310</v>
      </c>
      <c r="G77" s="402">
        <f t="shared" ref="G77:G85" si="58">Aviation_Gas_gCH4_per_gallon</f>
        <v>7.06</v>
      </c>
      <c r="H77" s="578">
        <f t="shared" ref="H77:H85" si="59">Aviation_Gas_gN2O_per_gallon</f>
        <v>0.11</v>
      </c>
      <c r="I77" s="374">
        <f t="shared" ref="I77:I85" si="60">E77*F77/grams_to_mton*CO2_GWP</f>
        <v>0.76111000414845964</v>
      </c>
      <c r="J77" s="347">
        <f t="shared" ref="J77:J85" si="61">E77*G77/grams_to_mton*CH4_GWP</f>
        <v>1.8105442312884176E-2</v>
      </c>
      <c r="K77" s="347">
        <f t="shared" ref="K77:K85" si="62">E77*H77/grams_to_mton*N2O_GWP</f>
        <v>2.6698383418685442E-3</v>
      </c>
      <c r="L77" s="312">
        <f>SUM(I77:K77)</f>
        <v>0.78188528480321229</v>
      </c>
      <c r="N77" s="302">
        <f t="shared" ref="N77:N85" si="63">I77/mton_per_mmton</f>
        <v>7.6111000414845966E-7</v>
      </c>
      <c r="O77" s="302">
        <f t="shared" ref="O77:O85" si="64">J77/mton_per_mmton</f>
        <v>1.8105442312884178E-8</v>
      </c>
      <c r="P77" s="302">
        <f t="shared" ref="P77:P85" si="65">K77/mton_per_mmton</f>
        <v>2.6698383418685443E-9</v>
      </c>
      <c r="Q77" s="302"/>
    </row>
    <row r="78" spans="1:17" ht="15" x14ac:dyDescent="0.15">
      <c r="B78" s="305">
        <f t="shared" ref="B78:B86" si="66">$B$71</f>
        <v>2010</v>
      </c>
      <c r="C78" s="44">
        <v>1</v>
      </c>
      <c r="D78" s="431" t="s">
        <v>58</v>
      </c>
      <c r="E78" s="407">
        <f>'Aviation Data'!C7</f>
        <v>0</v>
      </c>
      <c r="F78" s="418">
        <f t="shared" si="57"/>
        <v>8310</v>
      </c>
      <c r="G78" s="402">
        <f t="shared" si="58"/>
        <v>7.06</v>
      </c>
      <c r="H78" s="578">
        <f t="shared" si="59"/>
        <v>0.11</v>
      </c>
      <c r="I78" s="374">
        <f t="shared" si="60"/>
        <v>0</v>
      </c>
      <c r="J78" s="347">
        <f t="shared" si="61"/>
        <v>0</v>
      </c>
      <c r="K78" s="347">
        <f t="shared" si="62"/>
        <v>0</v>
      </c>
      <c r="L78" s="312">
        <f t="shared" ref="L78:L85" si="67">SUM(I78:K78)</f>
        <v>0</v>
      </c>
      <c r="N78" s="302">
        <f t="shared" si="63"/>
        <v>0</v>
      </c>
      <c r="O78" s="302">
        <f t="shared" si="64"/>
        <v>0</v>
      </c>
      <c r="P78" s="302">
        <f t="shared" si="65"/>
        <v>0</v>
      </c>
      <c r="Q78" s="302"/>
    </row>
    <row r="79" spans="1:17" ht="15" x14ac:dyDescent="0.15">
      <c r="B79" s="305">
        <f t="shared" si="66"/>
        <v>2010</v>
      </c>
      <c r="C79" s="44">
        <v>1</v>
      </c>
      <c r="D79" s="431" t="s">
        <v>131</v>
      </c>
      <c r="E79" s="407">
        <f>'Aviation Data'!C8</f>
        <v>91.589651522076977</v>
      </c>
      <c r="F79" s="418">
        <f t="shared" si="57"/>
        <v>8310</v>
      </c>
      <c r="G79" s="402">
        <f t="shared" si="58"/>
        <v>7.06</v>
      </c>
      <c r="H79" s="578">
        <f t="shared" si="59"/>
        <v>0.11</v>
      </c>
      <c r="I79" s="374">
        <f t="shared" si="60"/>
        <v>0.76111000414845964</v>
      </c>
      <c r="J79" s="347">
        <f t="shared" si="61"/>
        <v>1.8105442312884176E-2</v>
      </c>
      <c r="K79" s="347">
        <f t="shared" si="62"/>
        <v>2.6698383418685442E-3</v>
      </c>
      <c r="L79" s="312">
        <f t="shared" si="67"/>
        <v>0.78188528480321229</v>
      </c>
      <c r="N79" s="302">
        <f t="shared" si="63"/>
        <v>7.6111000414845966E-7</v>
      </c>
      <c r="O79" s="302">
        <f t="shared" si="64"/>
        <v>1.8105442312884178E-8</v>
      </c>
      <c r="P79" s="302">
        <f t="shared" si="65"/>
        <v>2.6698383418685443E-9</v>
      </c>
      <c r="Q79" s="302"/>
    </row>
    <row r="80" spans="1:17" ht="15" x14ac:dyDescent="0.15">
      <c r="B80" s="305">
        <f t="shared" si="66"/>
        <v>2010</v>
      </c>
      <c r="C80" s="44">
        <v>1</v>
      </c>
      <c r="D80" s="430" t="s">
        <v>60</v>
      </c>
      <c r="E80" s="407">
        <f>'Aviation Data'!C9</f>
        <v>0</v>
      </c>
      <c r="F80" s="418">
        <f t="shared" si="57"/>
        <v>8310</v>
      </c>
      <c r="G80" s="402">
        <f t="shared" si="58"/>
        <v>7.06</v>
      </c>
      <c r="H80" s="578">
        <f t="shared" si="59"/>
        <v>0.11</v>
      </c>
      <c r="I80" s="374">
        <f t="shared" si="60"/>
        <v>0</v>
      </c>
      <c r="J80" s="347">
        <f t="shared" si="61"/>
        <v>0</v>
      </c>
      <c r="K80" s="347">
        <f t="shared" si="62"/>
        <v>0</v>
      </c>
      <c r="L80" s="312">
        <f t="shared" si="67"/>
        <v>0</v>
      </c>
      <c r="N80" s="302">
        <f t="shared" si="63"/>
        <v>0</v>
      </c>
      <c r="O80" s="302">
        <f t="shared" si="64"/>
        <v>0</v>
      </c>
      <c r="P80" s="302">
        <f t="shared" si="65"/>
        <v>0</v>
      </c>
      <c r="Q80" s="302"/>
    </row>
    <row r="81" spans="2:17" ht="15" x14ac:dyDescent="0.15">
      <c r="B81" s="305">
        <f t="shared" si="66"/>
        <v>2010</v>
      </c>
      <c r="C81" s="44">
        <v>1</v>
      </c>
      <c r="D81" s="430" t="s">
        <v>62</v>
      </c>
      <c r="E81" s="407">
        <f>'Aviation Data'!C10</f>
        <v>0</v>
      </c>
      <c r="F81" s="418">
        <f t="shared" si="57"/>
        <v>8310</v>
      </c>
      <c r="G81" s="402">
        <f t="shared" si="58"/>
        <v>7.06</v>
      </c>
      <c r="H81" s="578">
        <f t="shared" si="59"/>
        <v>0.11</v>
      </c>
      <c r="I81" s="374">
        <f t="shared" si="60"/>
        <v>0</v>
      </c>
      <c r="J81" s="347">
        <f t="shared" si="61"/>
        <v>0</v>
      </c>
      <c r="K81" s="347">
        <f t="shared" si="62"/>
        <v>0</v>
      </c>
      <c r="L81" s="312">
        <f t="shared" si="67"/>
        <v>0</v>
      </c>
      <c r="N81" s="302">
        <f t="shared" si="63"/>
        <v>0</v>
      </c>
      <c r="O81" s="302">
        <f t="shared" si="64"/>
        <v>0</v>
      </c>
      <c r="P81" s="302">
        <f t="shared" si="65"/>
        <v>0</v>
      </c>
      <c r="Q81" s="302"/>
    </row>
    <row r="82" spans="2:17" ht="15" x14ac:dyDescent="0.15">
      <c r="B82" s="305">
        <f t="shared" si="66"/>
        <v>2010</v>
      </c>
      <c r="C82" s="44">
        <v>1</v>
      </c>
      <c r="D82" s="430" t="s">
        <v>61</v>
      </c>
      <c r="E82" s="407">
        <f>'Aviation Data'!C11</f>
        <v>0</v>
      </c>
      <c r="F82" s="418">
        <f t="shared" si="57"/>
        <v>8310</v>
      </c>
      <c r="G82" s="402">
        <f t="shared" si="58"/>
        <v>7.06</v>
      </c>
      <c r="H82" s="578">
        <f t="shared" si="59"/>
        <v>0.11</v>
      </c>
      <c r="I82" s="374">
        <f t="shared" si="60"/>
        <v>0</v>
      </c>
      <c r="J82" s="347">
        <f t="shared" si="61"/>
        <v>0</v>
      </c>
      <c r="K82" s="347">
        <f t="shared" si="62"/>
        <v>0</v>
      </c>
      <c r="L82" s="312">
        <f t="shared" si="67"/>
        <v>0</v>
      </c>
      <c r="N82" s="302">
        <f t="shared" si="63"/>
        <v>0</v>
      </c>
      <c r="O82" s="302">
        <f t="shared" si="64"/>
        <v>0</v>
      </c>
      <c r="P82" s="302">
        <f t="shared" si="65"/>
        <v>0</v>
      </c>
      <c r="Q82" s="302"/>
    </row>
    <row r="83" spans="2:17" ht="15" x14ac:dyDescent="0.15">
      <c r="B83" s="305">
        <f t="shared" si="66"/>
        <v>2010</v>
      </c>
      <c r="C83" s="44">
        <v>1</v>
      </c>
      <c r="D83" s="430" t="s">
        <v>63</v>
      </c>
      <c r="E83" s="407">
        <f>'Aviation Data'!C12</f>
        <v>0</v>
      </c>
      <c r="F83" s="418">
        <f t="shared" si="57"/>
        <v>8310</v>
      </c>
      <c r="G83" s="402">
        <f t="shared" si="58"/>
        <v>7.06</v>
      </c>
      <c r="H83" s="578">
        <f t="shared" si="59"/>
        <v>0.11</v>
      </c>
      <c r="I83" s="374">
        <f t="shared" si="60"/>
        <v>0</v>
      </c>
      <c r="J83" s="347">
        <f t="shared" si="61"/>
        <v>0</v>
      </c>
      <c r="K83" s="347">
        <f t="shared" si="62"/>
        <v>0</v>
      </c>
      <c r="L83" s="312">
        <f t="shared" si="67"/>
        <v>0</v>
      </c>
      <c r="N83" s="302">
        <f t="shared" si="63"/>
        <v>0</v>
      </c>
      <c r="O83" s="302">
        <f t="shared" si="64"/>
        <v>0</v>
      </c>
      <c r="P83" s="302">
        <f t="shared" si="65"/>
        <v>0</v>
      </c>
      <c r="Q83" s="302"/>
    </row>
    <row r="84" spans="2:17" ht="15" x14ac:dyDescent="0.15">
      <c r="B84" s="305">
        <f t="shared" si="66"/>
        <v>2010</v>
      </c>
      <c r="C84" s="44">
        <v>1</v>
      </c>
      <c r="D84" s="430" t="s">
        <v>64</v>
      </c>
      <c r="E84" s="407">
        <f>'Aviation Data'!C13</f>
        <v>0</v>
      </c>
      <c r="F84" s="418">
        <f t="shared" si="57"/>
        <v>8310</v>
      </c>
      <c r="G84" s="402">
        <f t="shared" si="58"/>
        <v>7.06</v>
      </c>
      <c r="H84" s="578">
        <f t="shared" si="59"/>
        <v>0.11</v>
      </c>
      <c r="I84" s="374">
        <f t="shared" si="60"/>
        <v>0</v>
      </c>
      <c r="J84" s="347">
        <f t="shared" si="61"/>
        <v>0</v>
      </c>
      <c r="K84" s="347">
        <f t="shared" si="62"/>
        <v>0</v>
      </c>
      <c r="L84" s="312">
        <f t="shared" si="67"/>
        <v>0</v>
      </c>
      <c r="N84" s="302">
        <f t="shared" si="63"/>
        <v>0</v>
      </c>
      <c r="O84" s="302">
        <f t="shared" si="64"/>
        <v>0</v>
      </c>
      <c r="P84" s="302">
        <f t="shared" si="65"/>
        <v>0</v>
      </c>
      <c r="Q84" s="302"/>
    </row>
    <row r="85" spans="2:17" ht="16" thickBot="1" x14ac:dyDescent="0.2">
      <c r="B85" s="305">
        <f t="shared" si="66"/>
        <v>2010</v>
      </c>
      <c r="C85" s="44">
        <v>1</v>
      </c>
      <c r="D85" s="430" t="s">
        <v>65</v>
      </c>
      <c r="E85" s="407">
        <f>'Aviation Data'!C14</f>
        <v>0</v>
      </c>
      <c r="F85" s="420">
        <f t="shared" si="57"/>
        <v>8310</v>
      </c>
      <c r="G85" s="412">
        <f t="shared" si="58"/>
        <v>7.06</v>
      </c>
      <c r="H85" s="578">
        <f t="shared" si="59"/>
        <v>0.11</v>
      </c>
      <c r="I85" s="374">
        <f t="shared" si="60"/>
        <v>0</v>
      </c>
      <c r="J85" s="347">
        <f t="shared" si="61"/>
        <v>0</v>
      </c>
      <c r="K85" s="347">
        <f t="shared" si="62"/>
        <v>0</v>
      </c>
      <c r="L85" s="312">
        <f t="shared" si="67"/>
        <v>0</v>
      </c>
      <c r="N85" s="302">
        <f t="shared" si="63"/>
        <v>0</v>
      </c>
      <c r="O85" s="302">
        <f t="shared" si="64"/>
        <v>0</v>
      </c>
      <c r="P85" s="302">
        <f t="shared" si="65"/>
        <v>0</v>
      </c>
      <c r="Q85" s="302"/>
    </row>
    <row r="86" spans="2:17" ht="16" thickBot="1" x14ac:dyDescent="0.2">
      <c r="B86" s="316">
        <f t="shared" si="66"/>
        <v>2010</v>
      </c>
      <c r="C86" s="415">
        <v>1</v>
      </c>
      <c r="D86" s="432" t="s">
        <v>66</v>
      </c>
      <c r="E86" s="414">
        <f>SUM(E77,E80:E85)</f>
        <v>91.589651522076977</v>
      </c>
      <c r="F86" s="421"/>
      <c r="G86" s="413"/>
      <c r="H86" s="422"/>
      <c r="I86" s="447">
        <f t="shared" ref="I86" si="68">SUM(I77,I80:I85)</f>
        <v>0.76111000414845964</v>
      </c>
      <c r="J86" s="448">
        <f t="shared" ref="J86" si="69">SUM(J77,J80:J85)</f>
        <v>1.8105442312884176E-2</v>
      </c>
      <c r="K86" s="448">
        <f t="shared" ref="K86" si="70">SUM(K77,K80:K85)</f>
        <v>2.6698383418685442E-3</v>
      </c>
      <c r="L86" s="449">
        <f t="shared" ref="L86" si="71">SUM(L77,L80:L85)</f>
        <v>0.78188528480321229</v>
      </c>
      <c r="N86" s="302"/>
      <c r="O86" s="302"/>
      <c r="P86" s="302"/>
      <c r="Q86" s="302"/>
    </row>
    <row r="87" spans="2:17" x14ac:dyDescent="0.15">
      <c r="B87" s="66" t="s">
        <v>150</v>
      </c>
      <c r="N87" s="302"/>
      <c r="O87" s="302"/>
      <c r="P87" s="302"/>
      <c r="Q87" s="302"/>
    </row>
    <row r="88" spans="2:17" x14ac:dyDescent="0.15">
      <c r="N88" s="302"/>
      <c r="O88" s="302"/>
      <c r="P88" s="302"/>
      <c r="Q88" s="302"/>
    </row>
    <row r="89" spans="2:17" ht="15" thickBot="1" x14ac:dyDescent="0.2">
      <c r="B89" s="19" t="s">
        <v>151</v>
      </c>
      <c r="N89" s="302"/>
      <c r="O89" s="302"/>
      <c r="P89" s="302"/>
      <c r="Q89" s="406"/>
    </row>
    <row r="90" spans="2:17" s="66" customFormat="1" ht="15" customHeight="1" x14ac:dyDescent="0.15">
      <c r="B90" s="701" t="s">
        <v>76</v>
      </c>
      <c r="C90" s="703" t="s">
        <v>80</v>
      </c>
      <c r="D90" s="665" t="s">
        <v>77</v>
      </c>
      <c r="E90" s="705" t="s">
        <v>141</v>
      </c>
      <c r="F90" s="674" t="s">
        <v>49</v>
      </c>
      <c r="G90" s="675"/>
      <c r="H90" s="676"/>
      <c r="I90" s="693" t="s">
        <v>129</v>
      </c>
      <c r="J90" s="694"/>
      <c r="K90" s="694"/>
      <c r="L90" s="695"/>
      <c r="N90" s="302"/>
      <c r="O90" s="302"/>
      <c r="P90" s="302"/>
      <c r="Q90" s="302"/>
    </row>
    <row r="91" spans="2:17" s="66" customFormat="1" x14ac:dyDescent="0.15">
      <c r="B91" s="702"/>
      <c r="C91" s="704"/>
      <c r="D91" s="666"/>
      <c r="E91" s="706"/>
      <c r="F91" s="332" t="s">
        <v>94</v>
      </c>
      <c r="G91" s="303" t="s">
        <v>95</v>
      </c>
      <c r="H91" s="304" t="s">
        <v>96</v>
      </c>
      <c r="I91" s="696" t="s">
        <v>94</v>
      </c>
      <c r="J91" s="698" t="s">
        <v>95</v>
      </c>
      <c r="K91" s="698" t="s">
        <v>96</v>
      </c>
      <c r="L91" s="700" t="s">
        <v>130</v>
      </c>
      <c r="N91" s="302"/>
      <c r="O91" s="302"/>
      <c r="P91" s="302"/>
      <c r="Q91" s="302"/>
    </row>
    <row r="92" spans="2:17" s="66" customFormat="1" x14ac:dyDescent="0.15">
      <c r="B92" s="663"/>
      <c r="C92" s="699"/>
      <c r="D92" s="667"/>
      <c r="E92" s="707"/>
      <c r="F92" s="332" t="s">
        <v>143</v>
      </c>
      <c r="G92" s="405" t="s">
        <v>144</v>
      </c>
      <c r="H92" s="417" t="s">
        <v>145</v>
      </c>
      <c r="I92" s="697"/>
      <c r="J92" s="699"/>
      <c r="K92" s="699"/>
      <c r="L92" s="667"/>
      <c r="N92" s="302"/>
      <c r="O92" s="302"/>
      <c r="P92" s="302"/>
      <c r="Q92" s="302"/>
    </row>
    <row r="93" spans="2:17" s="66" customFormat="1" ht="15" x14ac:dyDescent="0.15">
      <c r="B93" s="305">
        <f>$B$71</f>
        <v>2010</v>
      </c>
      <c r="C93" s="44">
        <v>1</v>
      </c>
      <c r="D93" s="403" t="s">
        <v>59</v>
      </c>
      <c r="E93" s="407">
        <f>'Aviation Data'!D6</f>
        <v>161053923.27142611</v>
      </c>
      <c r="F93" s="418">
        <f t="shared" ref="F93:F101" si="72">Jet_Fuel_gCO2_per_gallon</f>
        <v>9750</v>
      </c>
      <c r="G93" s="402">
        <f t="shared" ref="G93:G101" si="73">Jet_Fuel_gCH4_per_gallon</f>
        <v>0</v>
      </c>
      <c r="H93" s="578">
        <f t="shared" ref="H93:H101" si="74">Jet_Fuel_gN2O_per_gallon</f>
        <v>0.3</v>
      </c>
      <c r="I93" s="374">
        <f t="shared" ref="I93:I101" si="75">E93*F93/grams_to_mton*CO2_GWP</f>
        <v>1570275.7518964044</v>
      </c>
      <c r="J93" s="347">
        <f t="shared" ref="J93:J101" si="76">E93*G93/grams_to_mton*CH4_GWP</f>
        <v>0</v>
      </c>
      <c r="K93" s="347">
        <f t="shared" ref="K93:K101" si="77">E93*H93/grams_to_mton*N2O_GWP</f>
        <v>12803.786900078376</v>
      </c>
      <c r="L93" s="312">
        <f>SUM(I93:K93)</f>
        <v>1583079.5387964828</v>
      </c>
      <c r="N93" s="302">
        <f t="shared" ref="N93:N101" si="78">I93/mton_per_mmton</f>
        <v>1.5702757518964043</v>
      </c>
      <c r="O93" s="302">
        <f t="shared" ref="O93:O101" si="79">J93/mton_per_mmton</f>
        <v>0</v>
      </c>
      <c r="P93" s="302">
        <f t="shared" ref="P93:P101" si="80">K93/mton_per_mmton</f>
        <v>1.2803786900078376E-2</v>
      </c>
      <c r="Q93" s="302"/>
    </row>
    <row r="94" spans="2:17" ht="15" x14ac:dyDescent="0.15">
      <c r="B94" s="305">
        <f t="shared" ref="B94:B102" si="81">$B$71</f>
        <v>2010</v>
      </c>
      <c r="C94" s="44">
        <v>1</v>
      </c>
      <c r="D94" s="404" t="s">
        <v>58</v>
      </c>
      <c r="E94" s="407">
        <f>'Aviation Data'!D7</f>
        <v>161053007.37491089</v>
      </c>
      <c r="F94" s="418">
        <f t="shared" si="72"/>
        <v>9750</v>
      </c>
      <c r="G94" s="402">
        <f t="shared" si="73"/>
        <v>0</v>
      </c>
      <c r="H94" s="578">
        <f t="shared" si="74"/>
        <v>0.3</v>
      </c>
      <c r="I94" s="374">
        <f t="shared" si="75"/>
        <v>1570266.821905381</v>
      </c>
      <c r="J94" s="347">
        <f t="shared" si="76"/>
        <v>0</v>
      </c>
      <c r="K94" s="347">
        <f t="shared" si="77"/>
        <v>12803.714086305416</v>
      </c>
      <c r="L94" s="312">
        <f t="shared" ref="L94:L101" si="82">SUM(I94:K94)</f>
        <v>1583070.5359916864</v>
      </c>
      <c r="N94" s="302">
        <f t="shared" si="78"/>
        <v>1.570266821905381</v>
      </c>
      <c r="O94" s="302">
        <f t="shared" si="79"/>
        <v>0</v>
      </c>
      <c r="P94" s="302">
        <f t="shared" si="80"/>
        <v>1.2803714086305415E-2</v>
      </c>
      <c r="Q94" s="302"/>
    </row>
    <row r="95" spans="2:17" ht="15" x14ac:dyDescent="0.15">
      <c r="B95" s="305">
        <f t="shared" si="81"/>
        <v>2010</v>
      </c>
      <c r="C95" s="44">
        <v>1</v>
      </c>
      <c r="D95" s="404" t="s">
        <v>131</v>
      </c>
      <c r="E95" s="407">
        <f>'Aviation Data'!D8</f>
        <v>915.89651522076974</v>
      </c>
      <c r="F95" s="418">
        <f t="shared" si="72"/>
        <v>9750</v>
      </c>
      <c r="G95" s="402">
        <f t="shared" si="73"/>
        <v>0</v>
      </c>
      <c r="H95" s="578">
        <f t="shared" si="74"/>
        <v>0.3</v>
      </c>
      <c r="I95" s="374">
        <f t="shared" si="75"/>
        <v>8.9299910234025042</v>
      </c>
      <c r="J95" s="347">
        <f t="shared" si="76"/>
        <v>0</v>
      </c>
      <c r="K95" s="347">
        <f t="shared" si="77"/>
        <v>7.281377296005119E-2</v>
      </c>
      <c r="L95" s="312">
        <f t="shared" si="82"/>
        <v>9.0028047963625557</v>
      </c>
      <c r="N95" s="302">
        <f t="shared" si="78"/>
        <v>8.9299910234025035E-6</v>
      </c>
      <c r="O95" s="302">
        <f t="shared" si="79"/>
        <v>0</v>
      </c>
      <c r="P95" s="302">
        <f t="shared" si="80"/>
        <v>7.281377296005119E-8</v>
      </c>
      <c r="Q95" s="302"/>
    </row>
    <row r="96" spans="2:17" ht="15" x14ac:dyDescent="0.15">
      <c r="B96" s="305">
        <f t="shared" si="81"/>
        <v>2010</v>
      </c>
      <c r="C96" s="44">
        <v>1</v>
      </c>
      <c r="D96" s="403" t="s">
        <v>60</v>
      </c>
      <c r="E96" s="407">
        <f>'Aviation Data'!D9</f>
        <v>0</v>
      </c>
      <c r="F96" s="418">
        <f t="shared" si="72"/>
        <v>9750</v>
      </c>
      <c r="G96" s="402">
        <f t="shared" si="73"/>
        <v>0</v>
      </c>
      <c r="H96" s="578">
        <f t="shared" si="74"/>
        <v>0.3</v>
      </c>
      <c r="I96" s="374">
        <f t="shared" si="75"/>
        <v>0</v>
      </c>
      <c r="J96" s="347">
        <f t="shared" si="76"/>
        <v>0</v>
      </c>
      <c r="K96" s="347">
        <f t="shared" si="77"/>
        <v>0</v>
      </c>
      <c r="L96" s="312">
        <f t="shared" si="82"/>
        <v>0</v>
      </c>
      <c r="N96" s="302">
        <f t="shared" si="78"/>
        <v>0</v>
      </c>
      <c r="O96" s="302">
        <f t="shared" si="79"/>
        <v>0</v>
      </c>
      <c r="P96" s="302">
        <f t="shared" si="80"/>
        <v>0</v>
      </c>
      <c r="Q96" s="302"/>
    </row>
    <row r="97" spans="2:17" ht="15" x14ac:dyDescent="0.15">
      <c r="B97" s="305">
        <f t="shared" si="81"/>
        <v>2010</v>
      </c>
      <c r="C97" s="44">
        <v>1</v>
      </c>
      <c r="D97" s="403" t="s">
        <v>62</v>
      </c>
      <c r="E97" s="407">
        <f>'Aviation Data'!D10</f>
        <v>0</v>
      </c>
      <c r="F97" s="418">
        <f t="shared" si="72"/>
        <v>9750</v>
      </c>
      <c r="G97" s="402">
        <f t="shared" si="73"/>
        <v>0</v>
      </c>
      <c r="H97" s="578">
        <f t="shared" si="74"/>
        <v>0.3</v>
      </c>
      <c r="I97" s="374">
        <f t="shared" si="75"/>
        <v>0</v>
      </c>
      <c r="J97" s="347">
        <f t="shared" si="76"/>
        <v>0</v>
      </c>
      <c r="K97" s="347">
        <f t="shared" si="77"/>
        <v>0</v>
      </c>
      <c r="L97" s="312">
        <f t="shared" si="82"/>
        <v>0</v>
      </c>
      <c r="N97" s="302">
        <f t="shared" si="78"/>
        <v>0</v>
      </c>
      <c r="O97" s="302">
        <f t="shared" si="79"/>
        <v>0</v>
      </c>
      <c r="P97" s="302">
        <f t="shared" si="80"/>
        <v>0</v>
      </c>
      <c r="Q97" s="302"/>
    </row>
    <row r="98" spans="2:17" ht="15" x14ac:dyDescent="0.15">
      <c r="B98" s="305">
        <f t="shared" si="81"/>
        <v>2010</v>
      </c>
      <c r="C98" s="44">
        <v>1</v>
      </c>
      <c r="D98" s="403" t="s">
        <v>61</v>
      </c>
      <c r="E98" s="407">
        <f>'Aviation Data'!D11</f>
        <v>0</v>
      </c>
      <c r="F98" s="418">
        <f t="shared" si="72"/>
        <v>9750</v>
      </c>
      <c r="G98" s="402">
        <f t="shared" si="73"/>
        <v>0</v>
      </c>
      <c r="H98" s="578">
        <f t="shared" si="74"/>
        <v>0.3</v>
      </c>
      <c r="I98" s="374">
        <f t="shared" si="75"/>
        <v>0</v>
      </c>
      <c r="J98" s="347">
        <f t="shared" si="76"/>
        <v>0</v>
      </c>
      <c r="K98" s="347">
        <f t="shared" si="77"/>
        <v>0</v>
      </c>
      <c r="L98" s="312">
        <f t="shared" si="82"/>
        <v>0</v>
      </c>
      <c r="N98" s="302">
        <f t="shared" si="78"/>
        <v>0</v>
      </c>
      <c r="O98" s="302">
        <f t="shared" si="79"/>
        <v>0</v>
      </c>
      <c r="P98" s="302">
        <f t="shared" si="80"/>
        <v>0</v>
      </c>
      <c r="Q98" s="302"/>
    </row>
    <row r="99" spans="2:17" ht="15" x14ac:dyDescent="0.15">
      <c r="B99" s="305">
        <f t="shared" si="81"/>
        <v>2010</v>
      </c>
      <c r="C99" s="44">
        <v>1</v>
      </c>
      <c r="D99" s="403" t="s">
        <v>63</v>
      </c>
      <c r="E99" s="407">
        <f>'Aviation Data'!D12</f>
        <v>0</v>
      </c>
      <c r="F99" s="418">
        <f t="shared" si="72"/>
        <v>9750</v>
      </c>
      <c r="G99" s="402">
        <f t="shared" si="73"/>
        <v>0</v>
      </c>
      <c r="H99" s="578">
        <f t="shared" si="74"/>
        <v>0.3</v>
      </c>
      <c r="I99" s="374">
        <f t="shared" si="75"/>
        <v>0</v>
      </c>
      <c r="J99" s="347">
        <f t="shared" si="76"/>
        <v>0</v>
      </c>
      <c r="K99" s="347">
        <f t="shared" si="77"/>
        <v>0</v>
      </c>
      <c r="L99" s="312">
        <f t="shared" si="82"/>
        <v>0</v>
      </c>
      <c r="N99" s="302">
        <f t="shared" si="78"/>
        <v>0</v>
      </c>
      <c r="O99" s="302">
        <f t="shared" si="79"/>
        <v>0</v>
      </c>
      <c r="P99" s="302">
        <f t="shared" si="80"/>
        <v>0</v>
      </c>
      <c r="Q99" s="302"/>
    </row>
    <row r="100" spans="2:17" ht="15" x14ac:dyDescent="0.15">
      <c r="B100" s="305">
        <f t="shared" si="81"/>
        <v>2010</v>
      </c>
      <c r="C100" s="44">
        <v>1</v>
      </c>
      <c r="D100" s="403" t="s">
        <v>64</v>
      </c>
      <c r="E100" s="407">
        <f>'Aviation Data'!D13</f>
        <v>0</v>
      </c>
      <c r="F100" s="418">
        <f t="shared" si="72"/>
        <v>9750</v>
      </c>
      <c r="G100" s="402">
        <f t="shared" si="73"/>
        <v>0</v>
      </c>
      <c r="H100" s="578">
        <f t="shared" si="74"/>
        <v>0.3</v>
      </c>
      <c r="I100" s="374">
        <f t="shared" si="75"/>
        <v>0</v>
      </c>
      <c r="J100" s="347">
        <f t="shared" si="76"/>
        <v>0</v>
      </c>
      <c r="K100" s="347">
        <f t="shared" si="77"/>
        <v>0</v>
      </c>
      <c r="L100" s="312">
        <f t="shared" si="82"/>
        <v>0</v>
      </c>
      <c r="N100" s="302">
        <f t="shared" si="78"/>
        <v>0</v>
      </c>
      <c r="O100" s="302">
        <f t="shared" si="79"/>
        <v>0</v>
      </c>
      <c r="P100" s="302">
        <f t="shared" si="80"/>
        <v>0</v>
      </c>
      <c r="Q100" s="302"/>
    </row>
    <row r="101" spans="2:17" ht="16" thickBot="1" x14ac:dyDescent="0.2">
      <c r="B101" s="305">
        <f t="shared" si="81"/>
        <v>2010</v>
      </c>
      <c r="C101" s="44">
        <v>1</v>
      </c>
      <c r="D101" s="403" t="s">
        <v>65</v>
      </c>
      <c r="E101" s="407">
        <f>'Aviation Data'!D14</f>
        <v>0</v>
      </c>
      <c r="F101" s="418">
        <f t="shared" si="72"/>
        <v>9750</v>
      </c>
      <c r="G101" s="402">
        <f t="shared" si="73"/>
        <v>0</v>
      </c>
      <c r="H101" s="578">
        <f t="shared" si="74"/>
        <v>0.3</v>
      </c>
      <c r="I101" s="374">
        <f t="shared" si="75"/>
        <v>0</v>
      </c>
      <c r="J101" s="347">
        <f t="shared" si="76"/>
        <v>0</v>
      </c>
      <c r="K101" s="347">
        <f t="shared" si="77"/>
        <v>0</v>
      </c>
      <c r="L101" s="312">
        <f t="shared" si="82"/>
        <v>0</v>
      </c>
      <c r="N101" s="302">
        <f t="shared" si="78"/>
        <v>0</v>
      </c>
      <c r="O101" s="302">
        <f t="shared" si="79"/>
        <v>0</v>
      </c>
      <c r="P101" s="302">
        <f t="shared" si="80"/>
        <v>0</v>
      </c>
      <c r="Q101" s="302"/>
    </row>
    <row r="102" spans="2:17" ht="16" thickBot="1" x14ac:dyDescent="0.2">
      <c r="B102" s="316">
        <f t="shared" si="81"/>
        <v>2010</v>
      </c>
      <c r="C102" s="415">
        <v>1</v>
      </c>
      <c r="D102" s="416" t="s">
        <v>66</v>
      </c>
      <c r="E102" s="414">
        <f>SUM(E93,E96:E101)</f>
        <v>161053923.27142611</v>
      </c>
      <c r="F102" s="421"/>
      <c r="G102" s="413"/>
      <c r="H102" s="422"/>
      <c r="I102" s="447">
        <f t="shared" ref="I102" si="83">SUM(I93,I96:I101)</f>
        <v>1570275.7518964044</v>
      </c>
      <c r="J102" s="448">
        <f t="shared" ref="J102" si="84">SUM(J93,J96:J101)</f>
        <v>0</v>
      </c>
      <c r="K102" s="448">
        <f t="shared" ref="K102" si="85">SUM(K93,K96:K101)</f>
        <v>12803.786900078376</v>
      </c>
      <c r="L102" s="449">
        <f t="shared" ref="L102" si="86">SUM(L93,L96:L101)</f>
        <v>1583079.5387964828</v>
      </c>
      <c r="N102" s="302"/>
      <c r="O102" s="302"/>
      <c r="P102" s="302"/>
      <c r="Q102" s="302"/>
    </row>
    <row r="103" spans="2:17" x14ac:dyDescent="0.15">
      <c r="B103" s="66" t="s">
        <v>150</v>
      </c>
    </row>
  </sheetData>
  <mergeCells count="60">
    <mergeCell ref="L75:L76"/>
    <mergeCell ref="C74:C76"/>
    <mergeCell ref="D74:D76"/>
    <mergeCell ref="E74:E76"/>
    <mergeCell ref="B90:B92"/>
    <mergeCell ref="C90:C92"/>
    <mergeCell ref="D90:D92"/>
    <mergeCell ref="I90:L90"/>
    <mergeCell ref="E90:E92"/>
    <mergeCell ref="L91:L92"/>
    <mergeCell ref="I74:L74"/>
    <mergeCell ref="F74:H74"/>
    <mergeCell ref="B74:B76"/>
    <mergeCell ref="F90:H90"/>
    <mergeCell ref="I91:I92"/>
    <mergeCell ref="J91:J92"/>
    <mergeCell ref="K91:K92"/>
    <mergeCell ref="I75:I76"/>
    <mergeCell ref="J75:J76"/>
    <mergeCell ref="K75:K76"/>
    <mergeCell ref="B40:B42"/>
    <mergeCell ref="C40:C42"/>
    <mergeCell ref="D40:D42"/>
    <mergeCell ref="E40:E42"/>
    <mergeCell ref="F40:H40"/>
    <mergeCell ref="I40:L40"/>
    <mergeCell ref="I41:I42"/>
    <mergeCell ref="J41:J42"/>
    <mergeCell ref="K41:K42"/>
    <mergeCell ref="L41:L42"/>
    <mergeCell ref="B56:B58"/>
    <mergeCell ref="C56:C58"/>
    <mergeCell ref="D56:D58"/>
    <mergeCell ref="E56:E58"/>
    <mergeCell ref="F56:H56"/>
    <mergeCell ref="I56:L56"/>
    <mergeCell ref="I57:I58"/>
    <mergeCell ref="J57:J58"/>
    <mergeCell ref="K57:K58"/>
    <mergeCell ref="L57:L58"/>
    <mergeCell ref="B6:B8"/>
    <mergeCell ref="C6:C8"/>
    <mergeCell ref="D6:D8"/>
    <mergeCell ref="E6:E8"/>
    <mergeCell ref="F6:H6"/>
    <mergeCell ref="I6:L6"/>
    <mergeCell ref="I7:I8"/>
    <mergeCell ref="J7:J8"/>
    <mergeCell ref="K7:K8"/>
    <mergeCell ref="L7:L8"/>
    <mergeCell ref="B22:B24"/>
    <mergeCell ref="C22:C24"/>
    <mergeCell ref="D22:D24"/>
    <mergeCell ref="E22:E24"/>
    <mergeCell ref="F22:H22"/>
    <mergeCell ref="I22:L22"/>
    <mergeCell ref="I23:I24"/>
    <mergeCell ref="J23:J24"/>
    <mergeCell ref="K23:K24"/>
    <mergeCell ref="L23:L2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937DA-0192-4B89-BABD-F7D2DBA0856F}">
  <sheetPr codeName="Sheet9">
    <tabColor theme="4" tint="0.79998168889431442"/>
    <outlinePr summaryBelow="0"/>
  </sheetPr>
  <dimension ref="A1:W275"/>
  <sheetViews>
    <sheetView showGridLines="0" zoomScale="85" zoomScaleNormal="85" workbookViewId="0">
      <selection activeCell="B3" sqref="B3"/>
    </sheetView>
  </sheetViews>
  <sheetFormatPr baseColWidth="10" defaultColWidth="9" defaultRowHeight="14" outlineLevelRow="1" x14ac:dyDescent="0.15"/>
  <cols>
    <col min="1" max="1" width="4.1640625" customWidth="1"/>
    <col min="2" max="2" width="17.1640625" customWidth="1"/>
    <col min="3" max="3" width="30.6640625" customWidth="1"/>
    <col min="4" max="4" width="17.6640625" customWidth="1"/>
    <col min="5" max="12" width="16.1640625" customWidth="1"/>
    <col min="13" max="13" width="16.1640625" style="382" customWidth="1"/>
    <col min="14" max="18" width="8.6640625" customWidth="1"/>
  </cols>
  <sheetData>
    <row r="1" spans="1:23" ht="18" x14ac:dyDescent="0.2">
      <c r="A1" s="28" t="s">
        <v>25</v>
      </c>
      <c r="B1" s="29"/>
      <c r="C1" s="29"/>
      <c r="D1" s="29"/>
      <c r="E1" s="29"/>
      <c r="F1" s="29"/>
      <c r="G1" s="29"/>
      <c r="H1" s="29"/>
      <c r="I1" s="29"/>
      <c r="J1" s="29"/>
      <c r="K1" s="29"/>
      <c r="L1" s="29"/>
      <c r="M1" s="378"/>
      <c r="O1" s="329" t="s">
        <v>93</v>
      </c>
      <c r="P1" s="330"/>
      <c r="Q1" s="330"/>
      <c r="R1" s="330"/>
      <c r="S1" s="32"/>
      <c r="T1" s="32"/>
      <c r="U1" s="32"/>
      <c r="V1" s="32"/>
      <c r="W1" s="32"/>
    </row>
    <row r="2" spans="1:23" ht="16" x14ac:dyDescent="0.15">
      <c r="A2" s="66"/>
      <c r="B2" s="66"/>
      <c r="C2" s="66"/>
      <c r="D2" s="66"/>
      <c r="E2" s="66"/>
      <c r="F2" s="66"/>
      <c r="G2" s="66"/>
      <c r="H2" s="66"/>
      <c r="I2" s="66"/>
      <c r="J2" s="66"/>
      <c r="K2" s="66"/>
      <c r="L2" s="66"/>
      <c r="M2" s="110"/>
      <c r="N2" s="66"/>
      <c r="O2" s="325" t="s">
        <v>94</v>
      </c>
      <c r="P2" s="325" t="s">
        <v>95</v>
      </c>
      <c r="Q2" s="325" t="s">
        <v>96</v>
      </c>
      <c r="R2" s="325" t="s">
        <v>89</v>
      </c>
    </row>
    <row r="3" spans="1:23" ht="18" x14ac:dyDescent="0.2">
      <c r="A3" s="300"/>
      <c r="B3" s="301">
        <v>2019</v>
      </c>
      <c r="C3" s="29"/>
      <c r="D3" s="29"/>
      <c r="E3" s="29"/>
      <c r="F3" s="29"/>
      <c r="G3" s="29"/>
      <c r="H3" s="29"/>
      <c r="I3" s="29"/>
      <c r="J3" s="29"/>
      <c r="K3" s="29"/>
      <c r="L3" s="29"/>
      <c r="M3" s="378"/>
      <c r="O3" s="302"/>
      <c r="P3" s="302"/>
      <c r="Q3" s="302"/>
      <c r="R3" s="302"/>
    </row>
    <row r="4" spans="1:23" s="142" customFormat="1" x14ac:dyDescent="0.15">
      <c r="A4" s="118"/>
      <c r="B4" s="118"/>
      <c r="C4" s="119"/>
      <c r="D4" s="119"/>
      <c r="E4" s="119"/>
      <c r="F4" s="119"/>
      <c r="G4" s="119"/>
      <c r="H4" s="119"/>
      <c r="I4" s="119"/>
      <c r="J4" s="119"/>
      <c r="K4" s="119"/>
      <c r="L4" s="119"/>
      <c r="M4" s="379"/>
      <c r="N4"/>
      <c r="O4" s="302"/>
      <c r="P4" s="302"/>
      <c r="Q4" s="302"/>
      <c r="R4" s="302"/>
    </row>
    <row r="5" spans="1:23" s="142" customFormat="1" x14ac:dyDescent="0.15">
      <c r="A5" s="119"/>
      <c r="B5" s="82" t="s">
        <v>138</v>
      </c>
      <c r="C5" s="119"/>
      <c r="D5" s="119"/>
      <c r="E5" s="119"/>
      <c r="F5" s="119"/>
      <c r="G5" s="119"/>
      <c r="H5" s="119"/>
      <c r="I5" s="119"/>
      <c r="J5" s="119"/>
      <c r="K5" s="119"/>
      <c r="L5" s="119"/>
      <c r="M5" s="379"/>
      <c r="N5" s="119"/>
      <c r="O5" s="302"/>
      <c r="P5" s="302"/>
      <c r="Q5" s="302"/>
      <c r="R5" s="302"/>
    </row>
    <row r="6" spans="1:23" s="142" customFormat="1" x14ac:dyDescent="0.15">
      <c r="A6" s="118"/>
      <c r="B6" s="372" t="s">
        <v>152</v>
      </c>
      <c r="C6" s="372" t="s">
        <v>153</v>
      </c>
      <c r="D6" s="373" t="s">
        <v>58</v>
      </c>
      <c r="E6" s="373" t="s">
        <v>100</v>
      </c>
      <c r="F6" s="373" t="s">
        <v>59</v>
      </c>
      <c r="G6" s="373" t="s">
        <v>60</v>
      </c>
      <c r="H6" s="373" t="s">
        <v>62</v>
      </c>
      <c r="I6" s="373" t="s">
        <v>61</v>
      </c>
      <c r="J6" s="373" t="s">
        <v>63</v>
      </c>
      <c r="K6" s="373" t="s">
        <v>64</v>
      </c>
      <c r="L6" s="373" t="s">
        <v>65</v>
      </c>
      <c r="M6" s="380" t="s">
        <v>88</v>
      </c>
      <c r="N6" s="119"/>
      <c r="O6" s="302"/>
      <c r="P6" s="302"/>
      <c r="Q6" s="302"/>
      <c r="R6" s="302"/>
    </row>
    <row r="7" spans="1:23" s="142" customFormat="1" x14ac:dyDescent="0.15">
      <c r="A7" s="118"/>
      <c r="B7" s="72" t="s">
        <v>154</v>
      </c>
      <c r="C7" s="72" t="s">
        <v>155</v>
      </c>
      <c r="D7" s="477">
        <f>'Offroad Data'!C70/'Constants &amp; Conversions'!$D$32</f>
        <v>0</v>
      </c>
      <c r="E7" s="477">
        <f>'Offroad Data'!D70/'Constants &amp; Conversions'!$D$32</f>
        <v>1.8319944352422398E-2</v>
      </c>
      <c r="F7" s="477">
        <f>'Offroad Data'!E70/'Constants &amp; Conversions'!$D$32</f>
        <v>1.8319944352422398E-2</v>
      </c>
      <c r="G7" s="477">
        <f>'Offroad Data'!F70/'Constants &amp; Conversions'!$D$32</f>
        <v>6.1523363542386389E-3</v>
      </c>
      <c r="H7" s="477">
        <f>'Offroad Data'!G70/'Constants &amp; Conversions'!$D$32</f>
        <v>0.21993065915843321</v>
      </c>
      <c r="I7" s="477">
        <f>'Offroad Data'!H70/'Constants &amp; Conversions'!$D$32</f>
        <v>0.1925825878661013</v>
      </c>
      <c r="J7" s="477">
        <f>'Offroad Data'!I70/'Constants &amp; Conversions'!$D$32</f>
        <v>3.6490562543187811E-2</v>
      </c>
      <c r="K7" s="477">
        <f>'Offroad Data'!J70/'Constants &amp; Conversions'!$D$32</f>
        <v>0.2480014043053218</v>
      </c>
      <c r="L7" s="477">
        <f>'Offroad Data'!K70/'Constants &amp; Conversions'!$D$32</f>
        <v>0.29989784831837191</v>
      </c>
      <c r="M7" s="375">
        <f t="shared" ref="M7:M39" si="0">SUM(F7:L7)</f>
        <v>1.0213753428980772</v>
      </c>
      <c r="N7" s="119"/>
      <c r="O7" s="302"/>
      <c r="P7" s="302"/>
      <c r="Q7" s="302"/>
      <c r="R7" s="302"/>
    </row>
    <row r="8" spans="1:23" s="142" customFormat="1" x14ac:dyDescent="0.15">
      <c r="A8" s="118"/>
      <c r="B8" s="72" t="s">
        <v>154</v>
      </c>
      <c r="C8" s="72" t="s">
        <v>104</v>
      </c>
      <c r="D8" s="477">
        <f>'Offroad Data'!C71/'Constants &amp; Conversions'!$D$32</f>
        <v>28.121356322103079</v>
      </c>
      <c r="E8" s="477">
        <f>'Offroad Data'!D71/'Constants &amp; Conversions'!$D$32</f>
        <v>54.381805052652638</v>
      </c>
      <c r="F8" s="477">
        <f>'Offroad Data'!E71/'Constants &amp; Conversions'!$D$32</f>
        <v>82.503161374755706</v>
      </c>
      <c r="G8" s="477">
        <f>'Offroad Data'!F71/'Constants &amp; Conversions'!$D$32</f>
        <v>29.923115075796893</v>
      </c>
      <c r="H8" s="477">
        <f>'Offroad Data'!G71/'Constants &amp; Conversions'!$D$32</f>
        <v>8.2696284657985082</v>
      </c>
      <c r="I8" s="477">
        <f>'Offroad Data'!H71/'Constants &amp; Conversions'!$D$32</f>
        <v>0.70441395262118622</v>
      </c>
      <c r="J8" s="477">
        <f>'Offroad Data'!I71/'Constants &amp; Conversions'!$D$32</f>
        <v>14.078624348161961</v>
      </c>
      <c r="K8" s="477">
        <f>'Offroad Data'!J71/'Constants &amp; Conversions'!$D$32</f>
        <v>5.191437985837652</v>
      </c>
      <c r="L8" s="477">
        <f>'Offroad Data'!K71/'Constants &amp; Conversions'!$D$32</f>
        <v>6.793253252001068</v>
      </c>
      <c r="M8" s="375">
        <f t="shared" si="0"/>
        <v>147.46363445497298</v>
      </c>
      <c r="N8" s="119"/>
      <c r="O8" s="302"/>
      <c r="P8" s="302"/>
      <c r="Q8" s="302"/>
      <c r="R8" s="302"/>
    </row>
    <row r="9" spans="1:23" s="142" customFormat="1" x14ac:dyDescent="0.15">
      <c r="A9" s="118"/>
      <c r="B9" s="72" t="s">
        <v>154</v>
      </c>
      <c r="C9" s="72" t="s">
        <v>156</v>
      </c>
      <c r="D9" s="477">
        <f>'Offroad Data'!C72/'Constants &amp; Conversions'!$D$32</f>
        <v>4.7815004295366406E-2</v>
      </c>
      <c r="E9" s="477">
        <f>'Offroad Data'!D72/'Constants &amp; Conversions'!$D$32</f>
        <v>9.2465890065856593E-2</v>
      </c>
      <c r="F9" s="477">
        <f>'Offroad Data'!E72/'Constants &amp; Conversions'!$D$32</f>
        <v>0.14028089436122301</v>
      </c>
      <c r="G9" s="477">
        <f>'Offroad Data'!F72/'Constants &amp; Conversions'!$D$32</f>
        <v>3.5179963946751103E-2</v>
      </c>
      <c r="H9" s="477">
        <f>'Offroad Data'!G72/'Constants &amp; Conversions'!$D$32</f>
        <v>3.2226061593191899E-2</v>
      </c>
      <c r="I9" s="477">
        <f>'Offroad Data'!H72/'Constants &amp; Conversions'!$D$32</f>
        <v>7.5118246143886002E-3</v>
      </c>
      <c r="J9" s="477">
        <f>'Offroad Data'!I72/'Constants &amp; Conversions'!$D$32</f>
        <v>2.5983458623613596E-2</v>
      </c>
      <c r="K9" s="477">
        <f>'Offroad Data'!J72/'Constants &amp; Conversions'!$D$32</f>
        <v>1.96871692755562E-2</v>
      </c>
      <c r="L9" s="477">
        <f>'Offroad Data'!K72/'Constants &amp; Conversions'!$D$32</f>
        <v>4.6153754132952002E-2</v>
      </c>
      <c r="M9" s="375">
        <f t="shared" si="0"/>
        <v>0.30702312654767638</v>
      </c>
      <c r="N9" s="119"/>
      <c r="O9" s="302"/>
      <c r="P9" s="302"/>
      <c r="Q9" s="302"/>
      <c r="R9" s="302"/>
    </row>
    <row r="10" spans="1:23" s="142" customFormat="1" x14ac:dyDescent="0.15">
      <c r="A10" s="118"/>
      <c r="B10" s="72" t="s">
        <v>154</v>
      </c>
      <c r="C10" s="72" t="s">
        <v>157</v>
      </c>
      <c r="D10" s="477">
        <f>'Offroad Data'!C73/'Constants &amp; Conversions'!$D$32</f>
        <v>25.104302302560182</v>
      </c>
      <c r="E10" s="477">
        <f>'Offroad Data'!D73/'Constants &amp; Conversions'!$D$32</f>
        <v>48.547348078216295</v>
      </c>
      <c r="F10" s="477">
        <f>'Offroad Data'!E73/'Constants &amp; Conversions'!$D$32</f>
        <v>73.651650380776488</v>
      </c>
      <c r="G10" s="477">
        <f>'Offroad Data'!F73/'Constants &amp; Conversions'!$D$32</f>
        <v>18.867277286648299</v>
      </c>
      <c r="H10" s="477">
        <f>'Offroad Data'!G73/'Constants &amp; Conversions'!$D$32</f>
        <v>10.041979209839957</v>
      </c>
      <c r="I10" s="477">
        <f>'Offroad Data'!H73/'Constants &amp; Conversions'!$D$32</f>
        <v>0.58353690390304158</v>
      </c>
      <c r="J10" s="477">
        <f>'Offroad Data'!I73/'Constants &amp; Conversions'!$D$32</f>
        <v>14.326432144831728</v>
      </c>
      <c r="K10" s="477">
        <f>'Offroad Data'!J73/'Constants &amp; Conversions'!$D$32</f>
        <v>7.4644078175456094</v>
      </c>
      <c r="L10" s="477">
        <f>'Offroad Data'!K73/'Constants &amp; Conversions'!$D$32</f>
        <v>6.8883829400750498</v>
      </c>
      <c r="M10" s="375">
        <f t="shared" si="0"/>
        <v>131.82366668362016</v>
      </c>
      <c r="N10" s="119"/>
      <c r="O10" s="302"/>
      <c r="P10" s="302"/>
      <c r="Q10" s="302"/>
      <c r="R10" s="302"/>
    </row>
    <row r="11" spans="1:23" s="142" customFormat="1" x14ac:dyDescent="0.15">
      <c r="A11" s="118"/>
      <c r="B11" s="174" t="s">
        <v>154</v>
      </c>
      <c r="C11" s="174" t="s">
        <v>158</v>
      </c>
      <c r="D11" s="478">
        <f>'Offroad Data'!C74/'Constants &amp; Conversions'!$D$32</f>
        <v>0.29683983624568433</v>
      </c>
      <c r="E11" s="478">
        <f>'Offroad Data'!D74/'Constants &amp; Conversions'!$D$32</f>
        <v>0.57403654082951061</v>
      </c>
      <c r="F11" s="478">
        <f>'Offroad Data'!E74/'Constants &amp; Conversions'!$D$32</f>
        <v>0.87087637707519494</v>
      </c>
      <c r="G11" s="478">
        <f>'Offroad Data'!F74/'Constants &amp; Conversions'!$D$32</f>
        <v>0.71121438183593699</v>
      </c>
      <c r="H11" s="478">
        <f>'Offroad Data'!G74/'Constants &amp; Conversions'!$D$32</f>
        <v>8.708763682556149E-2</v>
      </c>
      <c r="I11" s="478">
        <f>'Offroad Data'!H74/'Constants &amp; Conversions'!$D$32</f>
        <v>0</v>
      </c>
      <c r="J11" s="478">
        <f>'Offroad Data'!I74/'Constants &amp; Conversions'!$D$32</f>
        <v>0.56606862756347598</v>
      </c>
      <c r="K11" s="478">
        <f>'Offroad Data'!J74/'Constants &amp; Conversions'!$D$32</f>
        <v>0</v>
      </c>
      <c r="L11" s="478">
        <f>'Offroad Data'!K74/'Constants &amp; Conversions'!$D$32</f>
        <v>0.87087637707519494</v>
      </c>
      <c r="M11" s="376">
        <f t="shared" si="0"/>
        <v>3.1061234003753646</v>
      </c>
      <c r="N11" s="119"/>
      <c r="O11" s="302"/>
      <c r="P11" s="302"/>
      <c r="Q11" s="302"/>
      <c r="R11" s="302"/>
    </row>
    <row r="12" spans="1:23" s="142" customFormat="1" x14ac:dyDescent="0.15">
      <c r="A12" s="118"/>
      <c r="B12" s="173" t="s">
        <v>146</v>
      </c>
      <c r="C12" s="173" t="s">
        <v>155</v>
      </c>
      <c r="D12" s="476">
        <f>'Offroad Data'!C120/'Constants &amp; Conversions'!$D$32</f>
        <v>0</v>
      </c>
      <c r="E12" s="476">
        <f>'Offroad Data'!D120/'Constants &amp; Conversions'!$D$32</f>
        <v>5.2956291669364733E-2</v>
      </c>
      <c r="F12" s="476">
        <f>'Offroad Data'!E120/'Constants &amp; Conversions'!$D$32</f>
        <v>5.2956291669364733E-2</v>
      </c>
      <c r="G12" s="476">
        <f>'Offroad Data'!F120/'Constants &amp; Conversions'!$D$32</f>
        <v>1.7784178499958177E-2</v>
      </c>
      <c r="H12" s="476">
        <f>'Offroad Data'!G120/'Constants &amp; Conversions'!$D$32</f>
        <v>0.63574127400161951</v>
      </c>
      <c r="I12" s="476">
        <f>'Offroad Data'!H120/'Constants &amp; Conversions'!$D$32</f>
        <v>0.55668642458661199</v>
      </c>
      <c r="J12" s="476">
        <f>'Offroad Data'!I120/'Constants &amp; Conversions'!$D$32</f>
        <v>0.10548097574324712</v>
      </c>
      <c r="K12" s="476">
        <f>'Offroad Data'!J120/'Constants &amp; Conversions'!$D$32</f>
        <v>0.71688262993227247</v>
      </c>
      <c r="L12" s="476">
        <f>'Offroad Data'!K120/'Constants &amp; Conversions'!$D$32</f>
        <v>0.86689575941903718</v>
      </c>
      <c r="M12" s="377">
        <f t="shared" si="0"/>
        <v>2.9524275338521111</v>
      </c>
      <c r="N12" s="119"/>
      <c r="O12" s="302"/>
      <c r="P12" s="302"/>
      <c r="Q12" s="302"/>
      <c r="R12" s="302"/>
    </row>
    <row r="13" spans="1:23" s="142" customFormat="1" x14ac:dyDescent="0.15">
      <c r="A13" s="118"/>
      <c r="B13" s="72" t="s">
        <v>146</v>
      </c>
      <c r="C13" s="72" t="s">
        <v>159</v>
      </c>
      <c r="D13" s="476">
        <f>'Offroad Data'!C121/'Constants &amp; Conversions'!$D$32</f>
        <v>0.55703982385253892</v>
      </c>
      <c r="E13" s="476">
        <f>'Offroad Data'!D121/'Constants &amp; Conversions'!$D$32</f>
        <v>0</v>
      </c>
      <c r="F13" s="476">
        <f>'Offroad Data'!E121/'Constants &amp; Conversions'!$D$32</f>
        <v>0.55703982385253892</v>
      </c>
      <c r="G13" s="476">
        <f>'Offroad Data'!F121/'Constants &amp; Conversions'!$D$32</f>
        <v>1.31141521483659E-4</v>
      </c>
      <c r="H13" s="476">
        <f>'Offroad Data'!G121/'Constants &amp; Conversions'!$D$32</f>
        <v>5.9722821906208899E-5</v>
      </c>
      <c r="I13" s="476">
        <f>'Offroad Data'!H121/'Constants &amp; Conversions'!$D$32</f>
        <v>0</v>
      </c>
      <c r="J13" s="476">
        <f>'Offroad Data'!I121/'Constants &amp; Conversions'!$D$32</f>
        <v>6.5944067493080993E-5</v>
      </c>
      <c r="K13" s="476">
        <f>'Offroad Data'!J121/'Constants &amp; Conversions'!$D$32</f>
        <v>5.7234499230980802E-5</v>
      </c>
      <c r="L13" s="476">
        <f>'Offroad Data'!K121/'Constants &amp; Conversions'!$D$32</f>
        <v>1.3437646123766901E-4</v>
      </c>
      <c r="M13" s="375">
        <f t="shared" si="0"/>
        <v>0.55748824322389057</v>
      </c>
      <c r="N13" s="119"/>
      <c r="O13" s="302"/>
      <c r="P13" s="302"/>
      <c r="Q13" s="302"/>
      <c r="R13" s="302"/>
    </row>
    <row r="14" spans="1:23" s="142" customFormat="1" x14ac:dyDescent="0.15">
      <c r="A14" s="118"/>
      <c r="B14" s="72" t="s">
        <v>146</v>
      </c>
      <c r="C14" s="72" t="s">
        <v>104</v>
      </c>
      <c r="D14" s="476">
        <f>'Offroad Data'!C122/'Constants &amp; Conversions'!$D$32</f>
        <v>1.183590880338363</v>
      </c>
      <c r="E14" s="476">
        <f>'Offroad Data'!D122/'Constants &amp; Conversions'!$D$32</f>
        <v>2.2888586090731171</v>
      </c>
      <c r="F14" s="476">
        <f>'Offroad Data'!E122/'Constants &amp; Conversions'!$D$32</f>
        <v>3.4724494894114799</v>
      </c>
      <c r="G14" s="476">
        <f>'Offroad Data'!F122/'Constants &amp; Conversions'!$D$32</f>
        <v>1.2594215788279921</v>
      </c>
      <c r="H14" s="476">
        <f>'Offroad Data'!G122/'Constants &amp; Conversions'!$D$32</f>
        <v>0.34805704114723185</v>
      </c>
      <c r="I14" s="476">
        <f>'Offroad Data'!H122/'Constants &amp; Conversions'!$D$32</f>
        <v>2.9647811598684074E-2</v>
      </c>
      <c r="J14" s="476">
        <f>'Offroad Data'!I122/'Constants &amp; Conversions'!$D$32</f>
        <v>0.59254991592570638</v>
      </c>
      <c r="K14" s="476">
        <f>'Offroad Data'!J122/'Constants &amp; Conversions'!$D$32</f>
        <v>0.21850022873401626</v>
      </c>
      <c r="L14" s="476">
        <f>'Offroad Data'!K122/'Constants &amp; Conversions'!$D$32</f>
        <v>0.28591861155128445</v>
      </c>
      <c r="M14" s="375">
        <f t="shared" si="0"/>
        <v>6.206544677196395</v>
      </c>
      <c r="N14" s="119"/>
      <c r="O14" s="302"/>
      <c r="P14" s="302"/>
      <c r="Q14" s="302"/>
      <c r="R14" s="302"/>
    </row>
    <row r="15" spans="1:23" s="142" customFormat="1" x14ac:dyDescent="0.15">
      <c r="A15" s="118"/>
      <c r="B15" s="72" t="s">
        <v>146</v>
      </c>
      <c r="C15" s="72" t="s">
        <v>156</v>
      </c>
      <c r="D15" s="476">
        <f>'Offroad Data'!C123/'Constants &amp; Conversions'!$D$32</f>
        <v>4.1866971809050018</v>
      </c>
      <c r="E15" s="476">
        <f>'Offroad Data'!D123/'Constants &amp; Conversions'!$D$32</f>
        <v>8.0963431243717103</v>
      </c>
      <c r="F15" s="476">
        <f>'Offroad Data'!E123/'Constants &amp; Conversions'!$D$32</f>
        <v>12.283040305276712</v>
      </c>
      <c r="G15" s="476">
        <f>'Offroad Data'!F123/'Constants &amp; Conversions'!$D$32</f>
        <v>3.0803668640795747</v>
      </c>
      <c r="H15" s="476">
        <f>'Offroad Data'!G123/'Constants &amp; Conversions'!$D$32</f>
        <v>2.8217260976615761</v>
      </c>
      <c r="I15" s="476">
        <f>'Offroad Data'!H123/'Constants &amp; Conversions'!$D$32</f>
        <v>0.65773839991939331</v>
      </c>
      <c r="J15" s="476">
        <f>'Offroad Data'!I123/'Constants &amp; Conversions'!$D$32</f>
        <v>2.2751207368873843</v>
      </c>
      <c r="K15" s="476">
        <f>'Offroad Data'!J123/'Constants &amp; Conversions'!$D$32</f>
        <v>1.723815029262916</v>
      </c>
      <c r="L15" s="476">
        <f>'Offroad Data'!K123/'Constants &amp; Conversions'!$D$32</f>
        <v>4.0412386532401472</v>
      </c>
      <c r="M15" s="375">
        <f t="shared" si="0"/>
        <v>26.883046086327699</v>
      </c>
      <c r="N15" s="119"/>
      <c r="O15" s="302"/>
      <c r="P15" s="302"/>
      <c r="Q15" s="302"/>
      <c r="R15" s="302"/>
    </row>
    <row r="16" spans="1:23" s="142" customFormat="1" x14ac:dyDescent="0.15">
      <c r="A16" s="118"/>
      <c r="B16" s="72" t="s">
        <v>146</v>
      </c>
      <c r="C16" s="72" t="s">
        <v>157</v>
      </c>
      <c r="D16" s="476">
        <f>'Offroad Data'!C124/'Constants &amp; Conversions'!$D$32</f>
        <v>1.4857438974118482</v>
      </c>
      <c r="E16" s="476">
        <f>'Offroad Data'!D124/'Constants &amp; Conversions'!$D$32</f>
        <v>2.8731699161933224</v>
      </c>
      <c r="F16" s="476">
        <f>'Offroad Data'!E124/'Constants &amp; Conversions'!$D$32</f>
        <v>4.3589138136051711</v>
      </c>
      <c r="G16" s="476">
        <f>'Offroad Data'!F124/'Constants &amp; Conversions'!$D$32</f>
        <v>0.91821652766527229</v>
      </c>
      <c r="H16" s="476">
        <f>'Offroad Data'!G124/'Constants &amp; Conversions'!$D$32</f>
        <v>0.46782421538707136</v>
      </c>
      <c r="I16" s="476">
        <f>'Offroad Data'!H124/'Constants &amp; Conversions'!$D$32</f>
        <v>4.2980892436368073E-2</v>
      </c>
      <c r="J16" s="476">
        <f>'Offroad Data'!I124/'Constants &amp; Conversions'!$D$32</f>
        <v>0.68655602416774175</v>
      </c>
      <c r="K16" s="476">
        <f>'Offroad Data'!J124/'Constants &amp; Conversions'!$D$32</f>
        <v>0.3259240301247997</v>
      </c>
      <c r="L16" s="476">
        <f>'Offroad Data'!K124/'Constants &amp; Conversions'!$D$32</f>
        <v>0.43210728004646259</v>
      </c>
      <c r="M16" s="375">
        <f t="shared" si="0"/>
        <v>7.2325227834328878</v>
      </c>
      <c r="N16" s="119"/>
      <c r="O16" s="302"/>
      <c r="P16" s="302"/>
      <c r="Q16" s="302"/>
      <c r="R16" s="302"/>
    </row>
    <row r="17" spans="1:18" s="142" customFormat="1" x14ac:dyDescent="0.15">
      <c r="A17" s="118"/>
      <c r="B17" s="72" t="s">
        <v>146</v>
      </c>
      <c r="C17" s="72" t="s">
        <v>160</v>
      </c>
      <c r="D17" s="476">
        <f>'Offroad Data'!C125/'Constants &amp; Conversions'!$D$32</f>
        <v>0.23578763412795631</v>
      </c>
      <c r="E17" s="476">
        <f>'Offroad Data'!D125/'Constants &amp; Conversions'!$D$32</f>
        <v>0.7459689762815801</v>
      </c>
      <c r="F17" s="476">
        <f>'Offroad Data'!E125/'Constants &amp; Conversions'!$D$32</f>
        <v>0.98175661040953643</v>
      </c>
      <c r="G17" s="476">
        <f>'Offroad Data'!F125/'Constants &amp; Conversions'!$D$32</f>
        <v>0.6266024391846825</v>
      </c>
      <c r="H17" s="476">
        <f>'Offroad Data'!G125/'Constants &amp; Conversions'!$D$32</f>
        <v>0.33112522231303254</v>
      </c>
      <c r="I17" s="476">
        <f>'Offroad Data'!H125/'Constants &amp; Conversions'!$D$32</f>
        <v>2.7461720830557902E-2</v>
      </c>
      <c r="J17" s="476">
        <f>'Offroad Data'!I125/'Constants &amp; Conversions'!$D$32</f>
        <v>0.56798250696405506</v>
      </c>
      <c r="K17" s="476">
        <f>'Offroad Data'!J125/'Constants &amp; Conversions'!$D$32</f>
        <v>0.14839893197667098</v>
      </c>
      <c r="L17" s="476">
        <f>'Offroad Data'!K125/'Constants &amp; Conversions'!$D$32</f>
        <v>0.23817761565868825</v>
      </c>
      <c r="M17" s="375">
        <f t="shared" si="0"/>
        <v>2.9215050473372242</v>
      </c>
      <c r="N17" s="119"/>
      <c r="O17" s="302"/>
      <c r="P17" s="302"/>
      <c r="Q17" s="302"/>
      <c r="R17" s="302"/>
    </row>
    <row r="18" spans="1:18" s="142" customFormat="1" x14ac:dyDescent="0.15">
      <c r="A18" s="118"/>
      <c r="B18" s="72" t="s">
        <v>146</v>
      </c>
      <c r="C18" s="72" t="s">
        <v>161</v>
      </c>
      <c r="D18" s="476">
        <f>'Offroad Data'!C126/'Constants &amp; Conversions'!$D$32</f>
        <v>0</v>
      </c>
      <c r="E18" s="476">
        <f>'Offroad Data'!D126/'Constants &amp; Conversions'!$D$32</f>
        <v>8.5122055664062501E-3</v>
      </c>
      <c r="F18" s="476">
        <f>'Offroad Data'!E126/'Constants &amp; Conversions'!$D$32</f>
        <v>8.5122055664062501E-3</v>
      </c>
      <c r="G18" s="476">
        <f>'Offroad Data'!F126/'Constants &amp; Conversions'!$D$32</f>
        <v>1.3810292977605501E-3</v>
      </c>
      <c r="H18" s="476">
        <f>'Offroad Data'!G126/'Constants &amp; Conversions'!$D$32</f>
        <v>2.0931437691961E-3</v>
      </c>
      <c r="I18" s="476">
        <f>'Offroad Data'!H126/'Constants &amp; Conversions'!$D$32</f>
        <v>3.6753632726669299E-3</v>
      </c>
      <c r="J18" s="476">
        <f>'Offroad Data'!I126/'Constants &amp; Conversions'!$D$32</f>
        <v>5.0764551751273004E-3</v>
      </c>
      <c r="K18" s="476">
        <f>'Offroad Data'!J126/'Constants &amp; Conversions'!$D$32</f>
        <v>1.21710267050606E-2</v>
      </c>
      <c r="L18" s="476">
        <f>'Offroad Data'!K126/'Constants &amp; Conversions'!$D$32</f>
        <v>1.2752898807525601E-2</v>
      </c>
      <c r="M18" s="375">
        <f t="shared" si="0"/>
        <v>4.5662122593743332E-2</v>
      </c>
      <c r="N18" s="119"/>
      <c r="O18" s="302"/>
      <c r="P18" s="302"/>
      <c r="Q18" s="302"/>
      <c r="R18" s="302"/>
    </row>
    <row r="19" spans="1:18" s="142" customFormat="1" x14ac:dyDescent="0.15">
      <c r="A19" s="118"/>
      <c r="B19" s="72" t="s">
        <v>146</v>
      </c>
      <c r="C19" s="72" t="s">
        <v>158</v>
      </c>
      <c r="D19" s="476">
        <f>'Offroad Data'!C127/'Constants &amp; Conversions'!$D$32</f>
        <v>1.0160114914358571E-2</v>
      </c>
      <c r="E19" s="476">
        <f>'Offroad Data'!D127/'Constants &amp; Conversions'!$D$32</f>
        <v>1.9647892592965632E-2</v>
      </c>
      <c r="F19" s="476">
        <f>'Offroad Data'!E127/'Constants &amp; Conversions'!$D$32</f>
        <v>2.9808007507324201E-2</v>
      </c>
      <c r="G19" s="476">
        <f>'Offroad Data'!F127/'Constants &amp; Conversions'!$D$32</f>
        <v>2.4343215816497801E-2</v>
      </c>
      <c r="H19" s="476">
        <f>'Offroad Data'!G127/'Constants &amp; Conversions'!$D$32</f>
        <v>2.9808007183074903E-3</v>
      </c>
      <c r="I19" s="476">
        <f>'Offroad Data'!H127/'Constants &amp; Conversions'!$D$32</f>
        <v>0</v>
      </c>
      <c r="J19" s="476">
        <f>'Offroad Data'!I127/'Constants &amp; Conversions'!$D$32</f>
        <v>1.9375218345642001E-2</v>
      </c>
      <c r="K19" s="476">
        <f>'Offroad Data'!J127/'Constants &amp; Conversions'!$D$32</f>
        <v>0</v>
      </c>
      <c r="L19" s="476">
        <f>'Offroad Data'!K127/'Constants &amp; Conversions'!$D$32</f>
        <v>2.9808007507324201E-2</v>
      </c>
      <c r="M19" s="375">
        <f t="shared" si="0"/>
        <v>0.10631524989509569</v>
      </c>
      <c r="N19" s="119"/>
      <c r="O19" s="302"/>
      <c r="P19" s="302"/>
      <c r="Q19" s="302"/>
      <c r="R19" s="302"/>
    </row>
    <row r="20" spans="1:18" s="142" customFormat="1" x14ac:dyDescent="0.15">
      <c r="A20" s="118"/>
      <c r="B20" s="72" t="s">
        <v>146</v>
      </c>
      <c r="C20" s="72" t="s">
        <v>162</v>
      </c>
      <c r="D20" s="476">
        <f>'Offroad Data'!C128/'Constants &amp; Conversions'!$D$32</f>
        <v>5.3772716184754772E-2</v>
      </c>
      <c r="E20" s="476">
        <f>'Offroad Data'!D128/'Constants &amp; Conversions'!$D$32</f>
        <v>1.9154382145061717E-2</v>
      </c>
      <c r="F20" s="476">
        <f>'Offroad Data'!E128/'Constants &amp; Conversions'!$D$32</f>
        <v>7.2927098329816489E-2</v>
      </c>
      <c r="G20" s="476">
        <f>'Offroad Data'!F128/'Constants &amp; Conversions'!$D$32</f>
        <v>3.01613064351763E-2</v>
      </c>
      <c r="H20" s="476">
        <f>'Offroad Data'!G128/'Constants &amp; Conversions'!$D$32</f>
        <v>1.31237807609013E-2</v>
      </c>
      <c r="I20" s="476">
        <f>'Offroad Data'!H128/'Constants &amp; Conversions'!$D$32</f>
        <v>2.1007548829827904E-3</v>
      </c>
      <c r="J20" s="476">
        <f>'Offroad Data'!I128/'Constants &amp; Conversions'!$D$32</f>
        <v>9.7430326298304903E-3</v>
      </c>
      <c r="K20" s="476">
        <f>'Offroad Data'!J128/'Constants &amp; Conversions'!$D$32</f>
        <v>1.90213391058785E-3</v>
      </c>
      <c r="L20" s="476">
        <f>'Offroad Data'!K128/'Constants &amp; Conversions'!$D$32</f>
        <v>1.6118114615304102E-2</v>
      </c>
      <c r="M20" s="375">
        <f t="shared" si="0"/>
        <v>0.14607622156459932</v>
      </c>
      <c r="N20" s="119"/>
      <c r="O20" s="302"/>
      <c r="P20" s="302"/>
      <c r="Q20" s="302"/>
      <c r="R20" s="302"/>
    </row>
    <row r="21" spans="1:18" s="142" customFormat="1" x14ac:dyDescent="0.15">
      <c r="A21" s="118"/>
      <c r="B21" s="174" t="s">
        <v>146</v>
      </c>
      <c r="C21" s="174" t="s">
        <v>163</v>
      </c>
      <c r="D21" s="478">
        <f>'Offroad Data'!C129/'Constants &amp; Conversions'!$D$32</f>
        <v>1.5694416683617655E-2</v>
      </c>
      <c r="E21" s="478">
        <f>'Offroad Data'!D129/'Constants &amp; Conversions'!$D$32</f>
        <v>1.4450371265535642E-2</v>
      </c>
      <c r="F21" s="478">
        <f>'Offroad Data'!E129/'Constants &amp; Conversions'!$D$32</f>
        <v>3.0144787949153297E-2</v>
      </c>
      <c r="G21" s="478">
        <f>'Offroad Data'!F129/'Constants &amp; Conversions'!$D$32</f>
        <v>5.2425662826129302E-3</v>
      </c>
      <c r="H21" s="478">
        <f>'Offroad Data'!G129/'Constants &amp; Conversions'!$D$32</f>
        <v>2.6212837440626902E-3</v>
      </c>
      <c r="I21" s="478">
        <f>'Offroad Data'!H129/'Constants &amp; Conversions'!$D$32</f>
        <v>5.2425662826129302E-3</v>
      </c>
      <c r="J21" s="478">
        <f>'Offroad Data'!I129/'Constants &amp; Conversions'!$D$32</f>
        <v>1.5727702942711901E-2</v>
      </c>
      <c r="K21" s="478">
        <f>'Offroad Data'!J129/'Constants &amp; Conversions'!$D$32</f>
        <v>3.9319233788762701E-3</v>
      </c>
      <c r="L21" s="478">
        <f>'Offroad Data'!K129/'Constants &amp; Conversions'!$D$32</f>
        <v>6.5532095361437101E-3</v>
      </c>
      <c r="M21" s="376">
        <f t="shared" si="0"/>
        <v>6.9464040116173714E-2</v>
      </c>
      <c r="N21" s="119"/>
      <c r="O21" s="302"/>
      <c r="P21" s="302"/>
      <c r="Q21" s="302"/>
      <c r="R21" s="302"/>
    </row>
    <row r="22" spans="1:18" s="142" customFormat="1" x14ac:dyDescent="0.15">
      <c r="A22" s="118"/>
      <c r="B22" s="72" t="s">
        <v>164</v>
      </c>
      <c r="C22" s="72" t="s">
        <v>155</v>
      </c>
      <c r="D22" s="476">
        <f>'Offroad Data'!C199/'Constants &amp; Conversions'!$D$32</f>
        <v>0</v>
      </c>
      <c r="E22" s="476">
        <f>'Offroad Data'!D199/'Constants &amp; Conversions'!$D$32</f>
        <v>3.4634850032840399E-4</v>
      </c>
      <c r="F22" s="476">
        <f>'Offroad Data'!E199/'Constants &amp; Conversions'!$D$32</f>
        <v>3.4634850032840399E-4</v>
      </c>
      <c r="G22" s="476">
        <f>'Offroad Data'!F199/'Constants &amp; Conversions'!$D$32</f>
        <v>1.16313384911843E-4</v>
      </c>
      <c r="H22" s="476">
        <f>'Offroad Data'!G199/'Constants &amp; Conversions'!$D$32</f>
        <v>4.1579163605826195E-3</v>
      </c>
      <c r="I22" s="476">
        <f>'Offroad Data'!H199/'Constants &amp; Conversions'!$D$32</f>
        <v>3.6408849573135301E-3</v>
      </c>
      <c r="J22" s="476">
        <f>'Offroad Data'!I199/'Constants &amp; Conversions'!$D$32</f>
        <v>6.8987457299232399E-4</v>
      </c>
      <c r="K22" s="476">
        <f>'Offroad Data'!J199/'Constants &amp; Conversions'!$D$32</f>
        <v>4.6886067183358297E-3</v>
      </c>
      <c r="L22" s="476">
        <f>'Offroad Data'!K199/'Constants &amp; Conversions'!$D$32</f>
        <v>5.6697346517017907E-3</v>
      </c>
      <c r="M22" s="377">
        <f t="shared" si="0"/>
        <v>1.9309679146166339E-2</v>
      </c>
      <c r="N22" s="119"/>
      <c r="O22" s="302"/>
      <c r="P22" s="302"/>
      <c r="Q22" s="302"/>
      <c r="R22" s="302"/>
    </row>
    <row r="23" spans="1:18" s="142" customFormat="1" x14ac:dyDescent="0.15">
      <c r="A23" s="118"/>
      <c r="B23" s="72" t="s">
        <v>164</v>
      </c>
      <c r="C23" s="72" t="s">
        <v>104</v>
      </c>
      <c r="D23" s="476">
        <f>'Offroad Data'!C200/'Constants &amp; Conversions'!$D$32</f>
        <v>1.6797961144236175</v>
      </c>
      <c r="E23" s="476">
        <f>'Offroad Data'!D200/'Constants &amp; Conversions'!$D$32</f>
        <v>3.2484331045934716</v>
      </c>
      <c r="F23" s="476">
        <f>'Offroad Data'!E200/'Constants &amp; Conversions'!$D$32</f>
        <v>4.9282292190170889</v>
      </c>
      <c r="G23" s="476">
        <f>'Offroad Data'!F200/'Constants &amp; Conversions'!$D$32</f>
        <v>1.7874184946279463</v>
      </c>
      <c r="H23" s="476">
        <f>'Offroad Data'!G200/'Constants &amp; Conversions'!$D$32</f>
        <v>0.49397533570751079</v>
      </c>
      <c r="I23" s="476">
        <f>'Offroad Data'!H200/'Constants &amp; Conversions'!$D$32</f>
        <v>4.2077342076960358E-2</v>
      </c>
      <c r="J23" s="476">
        <f>'Offroad Data'!I200/'Constants &amp; Conversions'!$D$32</f>
        <v>0.8409684523179527</v>
      </c>
      <c r="K23" s="476">
        <f>'Offroad Data'!J200/'Constants &amp; Conversions'!$D$32</f>
        <v>0.31010329806527398</v>
      </c>
      <c r="L23" s="476">
        <f>'Offroad Data'!K200/'Constants &amp; Conversions'!$D$32</f>
        <v>0.40578568813551313</v>
      </c>
      <c r="M23" s="375">
        <f t="shared" si="0"/>
        <v>8.8085578299482457</v>
      </c>
      <c r="N23" s="119"/>
      <c r="O23" s="302"/>
      <c r="P23" s="302"/>
      <c r="Q23" s="302"/>
      <c r="R23" s="302"/>
    </row>
    <row r="24" spans="1:18" s="142" customFormat="1" x14ac:dyDescent="0.15">
      <c r="A24" s="118"/>
      <c r="B24" s="72" t="s">
        <v>164</v>
      </c>
      <c r="C24" s="72" t="s">
        <v>156</v>
      </c>
      <c r="D24" s="476">
        <f>'Offroad Data'!C201/'Constants &amp; Conversions'!$D$32</f>
        <v>1.1496556514549103</v>
      </c>
      <c r="E24" s="476">
        <f>'Offroad Data'!D201/'Constants &amp; Conversions'!$D$32</f>
        <v>2.2232337871257295</v>
      </c>
      <c r="F24" s="476">
        <f>'Offroad Data'!E201/'Constants &amp; Conversions'!$D$32</f>
        <v>3.3728894385806396</v>
      </c>
      <c r="G24" s="476">
        <f>'Offroad Data'!F201/'Constants &amp; Conversions'!$D$32</f>
        <v>0.84586110564970485</v>
      </c>
      <c r="H24" s="476">
        <f>'Offroad Data'!G201/'Constants &amp; Conversions'!$D$32</f>
        <v>0.7748379613163251</v>
      </c>
      <c r="I24" s="476">
        <f>'Offroad Data'!H201/'Constants &amp; Conversions'!$D$32</f>
        <v>0.18061322297298352</v>
      </c>
      <c r="J24" s="476">
        <f>'Offroad Data'!I201/'Constants &amp; Conversions'!$D$32</f>
        <v>0.62474122871899063</v>
      </c>
      <c r="K24" s="476">
        <f>'Offroad Data'!J201/'Constants &amp; Conversions'!$D$32</f>
        <v>0.47335468479385001</v>
      </c>
      <c r="L24" s="476">
        <f>'Offroad Data'!K201/'Constants &amp; Conversions'!$D$32</f>
        <v>1.1097135323799159</v>
      </c>
      <c r="M24" s="375">
        <f t="shared" si="0"/>
        <v>7.3820111744124084</v>
      </c>
      <c r="N24" s="119"/>
      <c r="O24" s="302"/>
      <c r="P24" s="302"/>
      <c r="Q24" s="302"/>
      <c r="R24" s="302"/>
    </row>
    <row r="25" spans="1:18" s="142" customFormat="1" x14ac:dyDescent="0.15">
      <c r="A25" s="118"/>
      <c r="B25" s="72" t="s">
        <v>164</v>
      </c>
      <c r="C25" s="72" t="s">
        <v>157</v>
      </c>
      <c r="D25" s="476">
        <f>'Offroad Data'!C202/'Constants &amp; Conversions'!$D$32</f>
        <v>3.6699115586008767E-2</v>
      </c>
      <c r="E25" s="476">
        <f>'Offroad Data'!D202/'Constants &amp; Conversions'!$D$32</f>
        <v>7.0969697426522996E-2</v>
      </c>
      <c r="F25" s="476">
        <f>'Offroad Data'!E202/'Constants &amp; Conversions'!$D$32</f>
        <v>0.10766881301253176</v>
      </c>
      <c r="G25" s="476">
        <f>'Offroad Data'!F202/'Constants &amp; Conversions'!$D$32</f>
        <v>2.7601994470391879E-2</v>
      </c>
      <c r="H25" s="476">
        <f>'Offroad Data'!G202/'Constants &amp; Conversions'!$D$32</f>
        <v>1.469314158827908E-2</v>
      </c>
      <c r="I25" s="476">
        <f>'Offroad Data'!H202/'Constants &amp; Conversions'!$D$32</f>
        <v>8.5217758687904869E-4</v>
      </c>
      <c r="J25" s="476">
        <f>'Offroad Data'!I202/'Constants &amp; Conversions'!$D$32</f>
        <v>2.0960064476081272E-2</v>
      </c>
      <c r="K25" s="476">
        <f>'Offroad Data'!J202/'Constants &amp; Conversions'!$D$32</f>
        <v>1.0923979224749924E-2</v>
      </c>
      <c r="L25" s="476">
        <f>'Offroad Data'!K202/'Constants &amp; Conversions'!$D$32</f>
        <v>1.006736010657038E-2</v>
      </c>
      <c r="M25" s="375">
        <f t="shared" si="0"/>
        <v>0.19276753046548334</v>
      </c>
      <c r="N25" s="119"/>
      <c r="O25" s="302"/>
      <c r="P25" s="302"/>
      <c r="Q25" s="302"/>
      <c r="R25" s="302"/>
    </row>
    <row r="26" spans="1:18" s="142" customFormat="1" x14ac:dyDescent="0.15">
      <c r="A26" s="118"/>
      <c r="B26" s="72" t="s">
        <v>164</v>
      </c>
      <c r="C26" s="72" t="s">
        <v>160</v>
      </c>
      <c r="D26" s="476">
        <f>'Offroad Data'!C203/'Constants &amp; Conversions'!$D$32</f>
        <v>14.28184649701859</v>
      </c>
      <c r="E26" s="476">
        <f>'Offroad Data'!D203/'Constants &amp; Conversions'!$D$32</f>
        <v>45.183940413983116</v>
      </c>
      <c r="F26" s="476">
        <f>'Offroad Data'!E203/'Constants &amp; Conversions'!$D$32</f>
        <v>59.465786911001707</v>
      </c>
      <c r="G26" s="476">
        <f>'Offroad Data'!F203/'Constants &amp; Conversions'!$D$32</f>
        <v>29.209952867166088</v>
      </c>
      <c r="H26" s="476">
        <f>'Offroad Data'!G203/'Constants &amp; Conversions'!$D$32</f>
        <v>15.151414608670597</v>
      </c>
      <c r="I26" s="476">
        <f>'Offroad Data'!H203/'Constants &amp; Conversions'!$D$32</f>
        <v>1.3456352308723221</v>
      </c>
      <c r="J26" s="476">
        <f>'Offroad Data'!I203/'Constants &amp; Conversions'!$D$32</f>
        <v>25.797994589975477</v>
      </c>
      <c r="K26" s="476">
        <f>'Offroad Data'!J203/'Constants &amp; Conversions'!$D$32</f>
        <v>7.0752059994021765</v>
      </c>
      <c r="L26" s="476">
        <f>'Offroad Data'!K203/'Constants &amp; Conversions'!$D$32</f>
        <v>11.631431177700822</v>
      </c>
      <c r="M26" s="375">
        <f t="shared" si="0"/>
        <v>149.6774213847892</v>
      </c>
      <c r="N26" s="119"/>
      <c r="O26" s="302"/>
      <c r="P26" s="302"/>
      <c r="Q26" s="302"/>
      <c r="R26" s="302"/>
    </row>
    <row r="27" spans="1:18" s="142" customFormat="1" x14ac:dyDescent="0.15">
      <c r="A27" s="118"/>
      <c r="B27" s="72" t="s">
        <v>164</v>
      </c>
      <c r="C27" s="72" t="s">
        <v>161</v>
      </c>
      <c r="D27" s="476">
        <f>'Offroad Data'!C204/'Constants &amp; Conversions'!$D$32</f>
        <v>0</v>
      </c>
      <c r="E27" s="476">
        <f>'Offroad Data'!D204/'Constants &amp; Conversions'!$D$32</f>
        <v>1.6298221541813401E-2</v>
      </c>
      <c r="F27" s="476">
        <f>'Offroad Data'!E204/'Constants &amp; Conversions'!$D$32</f>
        <v>1.6298221541813401E-2</v>
      </c>
      <c r="G27" s="476">
        <f>'Offroad Data'!F204/'Constants &amp; Conversions'!$D$32</f>
        <v>2.6442372676304402E-3</v>
      </c>
      <c r="H27" s="476">
        <f>'Offroad Data'!G204/'Constants &amp; Conversions'!$D$32</f>
        <v>4.0077148066929398E-3</v>
      </c>
      <c r="I27" s="476">
        <f>'Offroad Data'!H204/'Constants &amp; Conversions'!$D$32</f>
        <v>7.0371433560507601E-3</v>
      </c>
      <c r="J27" s="476">
        <f>'Offroad Data'!I204/'Constants &amp; Conversions'!$D$32</f>
        <v>9.7198176062447596E-3</v>
      </c>
      <c r="K27" s="476">
        <f>'Offroad Data'!J204/'Constants &amp; Conversions'!$D$32</f>
        <v>2.3303684399196001E-2</v>
      </c>
      <c r="L27" s="476">
        <f>'Offroad Data'!K204/'Constants &amp; Conversions'!$D$32</f>
        <v>2.4417773882184701E-2</v>
      </c>
      <c r="M27" s="375">
        <f t="shared" si="0"/>
        <v>8.7428592859813012E-2</v>
      </c>
      <c r="N27" s="119"/>
      <c r="O27" s="302"/>
      <c r="P27" s="302"/>
      <c r="Q27" s="302"/>
      <c r="R27" s="302"/>
    </row>
    <row r="28" spans="1:18" s="142" customFormat="1" x14ac:dyDescent="0.15">
      <c r="A28" s="118"/>
      <c r="B28" s="72" t="s">
        <v>164</v>
      </c>
      <c r="C28" s="72" t="s">
        <v>163</v>
      </c>
      <c r="D28" s="476">
        <f>'Offroad Data'!C205/'Constants &amp; Conversions'!$D$32</f>
        <v>3.0188452502086092</v>
      </c>
      <c r="E28" s="476">
        <f>'Offroad Data'!D205/'Constants &amp; Conversions'!$D$32</f>
        <v>2.7795511956967993</v>
      </c>
      <c r="F28" s="476">
        <f>'Offroad Data'!E205/'Constants &amp; Conversions'!$D$32</f>
        <v>5.7983964459054089</v>
      </c>
      <c r="G28" s="476">
        <f>'Offroad Data'!F205/'Constants &amp; Conversions'!$D$32</f>
        <v>1.0084171711185996</v>
      </c>
      <c r="H28" s="476">
        <f>'Offroad Data'!G205/'Constants &amp; Conversions'!$D$32</f>
        <v>0.50420831961604451</v>
      </c>
      <c r="I28" s="476">
        <f>'Offroad Data'!H205/'Constants &amp; Conversions'!$D$32</f>
        <v>6.4056479501364505</v>
      </c>
      <c r="J28" s="476">
        <f>'Offroad Data'!I205/'Constants &amp; Conversions'!$D$32</f>
        <v>3.0252491412702209</v>
      </c>
      <c r="K28" s="476">
        <f>'Offroad Data'!J205/'Constants &amp; Conversions'!$D$32</f>
        <v>0.75631293285369761</v>
      </c>
      <c r="L28" s="476">
        <f>'Offroad Data'!K205/'Constants &amp; Conversions'!$D$32</f>
        <v>1.2605215130528029</v>
      </c>
      <c r="M28" s="375">
        <f t="shared" si="0"/>
        <v>18.758753473953224</v>
      </c>
      <c r="N28" s="119"/>
      <c r="O28" s="302"/>
      <c r="P28" s="302"/>
      <c r="Q28" s="302"/>
      <c r="R28" s="302"/>
    </row>
    <row r="29" spans="1:18" s="142" customFormat="1" x14ac:dyDescent="0.15">
      <c r="A29" s="118"/>
      <c r="B29" s="72" t="s">
        <v>165</v>
      </c>
      <c r="C29" s="72" t="s">
        <v>155</v>
      </c>
      <c r="D29" s="476">
        <f>'Offroad Data'!C207/'Constants &amp; Conversions'!$D$32</f>
        <v>0</v>
      </c>
      <c r="E29" s="476">
        <f>'Offroad Data'!D207/'Constants &amp; Conversions'!$D$32</f>
        <v>1.9772428285835277E-2</v>
      </c>
      <c r="F29" s="476">
        <f>'Offroad Data'!E207/'Constants &amp; Conversions'!$D$32</f>
        <v>1.9772428285835277E-2</v>
      </c>
      <c r="G29" s="476">
        <f>'Offroad Data'!F207/'Constants &amp; Conversions'!$D$32</f>
        <v>6.6401266802548504E-3</v>
      </c>
      <c r="H29" s="476">
        <f>'Offroad Data'!G207/'Constants &amp; Conversions'!$D$32</f>
        <v>0.23736821585481718</v>
      </c>
      <c r="I29" s="476">
        <f>'Offroad Data'!H207/'Constants &amp; Conversions'!$D$32</f>
        <v>0.20785163206377477</v>
      </c>
      <c r="J29" s="476">
        <f>'Offroad Data'!I207/'Constants &amp; Conversions'!$D$32</f>
        <v>3.9383729903377913E-2</v>
      </c>
      <c r="K29" s="476">
        <f>'Offroad Data'!J207/'Constants &amp; Conversions'!$D$32</f>
        <v>0.26766422650989685</v>
      </c>
      <c r="L29" s="476">
        <f>'Offroad Data'!K207/'Constants &amp; Conversions'!$D$32</f>
        <v>0.32367539482221852</v>
      </c>
      <c r="M29" s="375">
        <f t="shared" si="0"/>
        <v>1.1023557541201754</v>
      </c>
      <c r="N29" s="119"/>
      <c r="O29" s="302"/>
      <c r="P29" s="302"/>
      <c r="Q29" s="302"/>
      <c r="R29" s="302"/>
    </row>
    <row r="30" spans="1:18" s="142" customFormat="1" x14ac:dyDescent="0.15">
      <c r="A30" s="118"/>
      <c r="B30" s="72" t="s">
        <v>165</v>
      </c>
      <c r="C30" s="72" t="s">
        <v>159</v>
      </c>
      <c r="D30" s="476">
        <f>'Offroad Data'!C208/'Constants &amp; Conversions'!$D$32</f>
        <v>0.27013947381591696</v>
      </c>
      <c r="E30" s="476">
        <f>'Offroad Data'!D208/'Constants &amp; Conversions'!$D$32</f>
        <v>0</v>
      </c>
      <c r="F30" s="476">
        <f>'Offroad Data'!E208/'Constants &amp; Conversions'!$D$32</f>
        <v>0.27013947381591696</v>
      </c>
      <c r="G30" s="476">
        <f>'Offroad Data'!F208/'Constants &amp; Conversions'!$D$32</f>
        <v>6.3597735136747301E-5</v>
      </c>
      <c r="H30" s="476">
        <f>'Offroad Data'!G208/'Constants &amp; Conversions'!$D$32</f>
        <v>2.8962912298738898E-5</v>
      </c>
      <c r="I30" s="476">
        <f>'Offroad Data'!H208/'Constants &amp; Conversions'!$D$32</f>
        <v>0</v>
      </c>
      <c r="J30" s="476">
        <f>'Offroad Data'!I208/'Constants &amp; Conversions'!$D$32</f>
        <v>3.1979873783886398E-5</v>
      </c>
      <c r="K30" s="476">
        <f>'Offroad Data'!J208/'Constants &amp; Conversions'!$D$32</f>
        <v>2.7756114795803997E-5</v>
      </c>
      <c r="L30" s="476">
        <f>'Offroad Data'!K208/'Constants &amp; Conversions'!$D$32</f>
        <v>6.5166546374559398E-5</v>
      </c>
      <c r="M30" s="375">
        <f t="shared" si="0"/>
        <v>0.27035693699830676</v>
      </c>
      <c r="N30" s="119"/>
      <c r="O30" s="302"/>
      <c r="P30" s="302"/>
      <c r="Q30" s="302"/>
      <c r="R30" s="302"/>
    </row>
    <row r="31" spans="1:18" s="142" customFormat="1" x14ac:dyDescent="0.15">
      <c r="A31" s="118"/>
      <c r="B31" s="72" t="s">
        <v>165</v>
      </c>
      <c r="C31" s="72" t="s">
        <v>104</v>
      </c>
      <c r="D31" s="476">
        <f>'Offroad Data'!C209/'Constants &amp; Conversions'!$D$32</f>
        <v>33.548675932683309</v>
      </c>
      <c r="E31" s="476">
        <f>'Offroad Data'!D209/'Constants &amp; Conversions'!$D$32</f>
        <v>64.877295868969711</v>
      </c>
      <c r="F31" s="476">
        <f>'Offroad Data'!E209/'Constants &amp; Conversions'!$D$32</f>
        <v>98.42597180165302</v>
      </c>
      <c r="G31" s="476">
        <f>'Offroad Data'!F209/'Constants &amp; Conversions'!$D$32</f>
        <v>35.698123911621039</v>
      </c>
      <c r="H31" s="476">
        <f>'Offroad Data'!G209/'Constants &amp; Conversions'!$D$32</f>
        <v>9.8656225358363319</v>
      </c>
      <c r="I31" s="476">
        <f>'Offroad Data'!H209/'Constants &amp; Conversions'!$D$32</f>
        <v>0.84036187425258946</v>
      </c>
      <c r="J31" s="476">
        <f>'Offroad Data'!I209/'Constants &amp; Conversions'!$D$32</f>
        <v>16.795734987243634</v>
      </c>
      <c r="K31" s="476">
        <f>'Offroad Data'!J209/'Constants &amp; Conversions'!$D$32</f>
        <v>6.193355173494604</v>
      </c>
      <c r="L31" s="476">
        <f>'Offroad Data'!K209/'Constants &amp; Conversions'!$D$32</f>
        <v>8.1043164107011947</v>
      </c>
      <c r="M31" s="375">
        <f t="shared" si="0"/>
        <v>175.92348669480242</v>
      </c>
      <c r="N31" s="119"/>
      <c r="O31" s="302"/>
      <c r="P31" s="302"/>
      <c r="Q31" s="302"/>
      <c r="R31" s="302"/>
    </row>
    <row r="32" spans="1:18" s="142" customFormat="1" x14ac:dyDescent="0.15">
      <c r="A32" s="118"/>
      <c r="B32" s="72" t="s">
        <v>165</v>
      </c>
      <c r="C32" s="72" t="s">
        <v>156</v>
      </c>
      <c r="D32" s="476">
        <f>'Offroad Data'!C210/'Constants &amp; Conversions'!$D$32</f>
        <v>2.9956743541551574</v>
      </c>
      <c r="E32" s="476">
        <f>'Offroad Data'!D210/'Constants &amp; Conversions'!$D$32</f>
        <v>5.7931124254078474</v>
      </c>
      <c r="F32" s="476">
        <f>'Offroad Data'!E210/'Constants &amp; Conversions'!$D$32</f>
        <v>8.7887867795630044</v>
      </c>
      <c r="G32" s="476">
        <f>'Offroad Data'!F210/'Constants &amp; Conversions'!$D$32</f>
        <v>2.2040705993551146</v>
      </c>
      <c r="H32" s="476">
        <f>'Offroad Data'!G210/'Constants &amp; Conversions'!$D$32</f>
        <v>2.0190070910502618</v>
      </c>
      <c r="I32" s="476">
        <f>'Offroad Data'!H210/'Constants &amp; Conversions'!$D$32</f>
        <v>0.47062631357288282</v>
      </c>
      <c r="J32" s="476">
        <f>'Offroad Data'!I210/'Constants &amp; Conversions'!$D$32</f>
        <v>1.6278986910032416</v>
      </c>
      <c r="K32" s="476">
        <f>'Offroad Data'!J210/'Constants &amp; Conversions'!$D$32</f>
        <v>1.2334277265542977</v>
      </c>
      <c r="L32" s="476">
        <f>'Offroad Data'!K210/'Constants &amp; Conversions'!$D$32</f>
        <v>2.8915948697039333</v>
      </c>
      <c r="M32" s="375">
        <f t="shared" si="0"/>
        <v>19.235412070802735</v>
      </c>
      <c r="N32" s="119"/>
      <c r="O32" s="302"/>
      <c r="P32" s="302"/>
      <c r="Q32" s="302"/>
      <c r="R32" s="302"/>
    </row>
    <row r="33" spans="1:18" s="142" customFormat="1" x14ac:dyDescent="0.15">
      <c r="A33" s="118"/>
      <c r="B33" s="72" t="s">
        <v>165</v>
      </c>
      <c r="C33" s="72" t="s">
        <v>157</v>
      </c>
      <c r="D33" s="476">
        <f>'Offroad Data'!C211/'Constants &amp; Conversions'!$D$32</f>
        <v>3.7508355392452102</v>
      </c>
      <c r="E33" s="476">
        <f>'Offroad Data'!D211/'Constants &amp; Conversions'!$D$32</f>
        <v>7.2534626261774724</v>
      </c>
      <c r="F33" s="476">
        <f>'Offroad Data'!E211/'Constants &amp; Conversions'!$D$32</f>
        <v>11.004298165422682</v>
      </c>
      <c r="G33" s="476">
        <f>'Offroad Data'!F211/'Constants &amp; Conversions'!$D$32</f>
        <v>2.8119331071858991</v>
      </c>
      <c r="H33" s="476">
        <f>'Offroad Data'!G211/'Constants &amp; Conversions'!$D$32</f>
        <v>1.4958915872391272</v>
      </c>
      <c r="I33" s="476">
        <f>'Offroad Data'!H211/'Constants &amp; Conversions'!$D$32</f>
        <v>8.7485392756972813E-2</v>
      </c>
      <c r="J33" s="476">
        <f>'Offroad Data'!I211/'Constants &amp; Conversions'!$D$32</f>
        <v>2.1347983098828354</v>
      </c>
      <c r="K33" s="476">
        <f>'Offroad Data'!J211/'Constants &amp; Conversions'!$D$32</f>
        <v>1.1111549702914083</v>
      </c>
      <c r="L33" s="476">
        <f>'Offroad Data'!K211/'Constants &amp; Conversions'!$D$32</f>
        <v>1.0300588902775873</v>
      </c>
      <c r="M33" s="375">
        <f t="shared" si="0"/>
        <v>19.675620423056511</v>
      </c>
      <c r="N33" s="119"/>
      <c r="O33" s="302"/>
      <c r="P33" s="302"/>
      <c r="Q33" s="302"/>
      <c r="R33" s="302"/>
    </row>
    <row r="34" spans="1:18" s="142" customFormat="1" x14ac:dyDescent="0.15">
      <c r="A34" s="118"/>
      <c r="B34" s="72" t="s">
        <v>165</v>
      </c>
      <c r="C34" s="72" t="s">
        <v>160</v>
      </c>
      <c r="D34" s="476">
        <f>'Offroad Data'!C212/'Constants &amp; Conversions'!$D$32</f>
        <v>46.481990601030894</v>
      </c>
      <c r="E34" s="476">
        <f>'Offroad Data'!D212/'Constants &amp; Conversions'!$D$32</f>
        <v>147.05657941910653</v>
      </c>
      <c r="F34" s="476">
        <f>'Offroad Data'!E212/'Constants &amp; Conversions'!$D$32</f>
        <v>193.53857002013746</v>
      </c>
      <c r="G34" s="476">
        <f>'Offroad Data'!F212/'Constants &amp; Conversions'!$D$32</f>
        <v>86.267687595528031</v>
      </c>
      <c r="H34" s="476">
        <f>'Offroad Data'!G212/'Constants &amp; Conversions'!$D$32</f>
        <v>44.375790989755536</v>
      </c>
      <c r="I34" s="476">
        <f>'Offroad Data'!H212/'Constants &amp; Conversions'!$D$32</f>
        <v>4.0597644153958701</v>
      </c>
      <c r="J34" s="476">
        <f>'Offroad Data'!I212/'Constants &amp; Conversions'!$D$32</f>
        <v>75.30271664841537</v>
      </c>
      <c r="K34" s="476">
        <f>'Offroad Data'!J212/'Constants &amp; Conversions'!$D$32</f>
        <v>21.101478822777068</v>
      </c>
      <c r="L34" s="476">
        <f>'Offroad Data'!K212/'Constants &amp; Conversions'!$D$32</f>
        <v>35.042903427932714</v>
      </c>
      <c r="M34" s="375">
        <f t="shared" si="0"/>
        <v>459.68891191994203</v>
      </c>
      <c r="N34" s="119"/>
      <c r="O34" s="302"/>
      <c r="P34" s="302"/>
      <c r="Q34" s="302"/>
      <c r="R34" s="302"/>
    </row>
    <row r="35" spans="1:18" s="142" customFormat="1" x14ac:dyDescent="0.15">
      <c r="A35" s="118"/>
      <c r="B35" s="72" t="s">
        <v>165</v>
      </c>
      <c r="C35" s="72" t="s">
        <v>161</v>
      </c>
      <c r="D35" s="476">
        <f>'Offroad Data'!C213/'Constants &amp; Conversions'!$D$32</f>
        <v>0</v>
      </c>
      <c r="E35" s="476">
        <f>'Offroad Data'!D213/'Constants &amp; Conversions'!$D$32</f>
        <v>2.6469465306605523E-2</v>
      </c>
      <c r="F35" s="476">
        <f>'Offroad Data'!E213/'Constants &amp; Conversions'!$D$32</f>
        <v>2.6469465306605523E-2</v>
      </c>
      <c r="G35" s="476">
        <f>'Offroad Data'!F213/'Constants &amp; Conversions'!$D$32</f>
        <v>4.2944311116252624E-3</v>
      </c>
      <c r="H35" s="476">
        <f>'Offroad Data'!G213/'Constants &amp; Conversions'!$D$32</f>
        <v>6.5088114829127209E-3</v>
      </c>
      <c r="I35" s="476">
        <f>'Offroad Data'!H213/'Constants &amp; Conversions'!$D$32</f>
        <v>1.1428837057786308E-2</v>
      </c>
      <c r="J35" s="476">
        <f>'Offroad Data'!I213/'Constants &amp; Conversions'!$D$32</f>
        <v>1.5785650956128286E-2</v>
      </c>
      <c r="K35" s="476">
        <f>'Offroad Data'!J213/'Constants &amp; Conversions'!$D$32</f>
        <v>3.7846864852700828E-2</v>
      </c>
      <c r="L35" s="476">
        <f>'Offroad Data'!K213/'Constants &amp; Conversions'!$D$32</f>
        <v>3.9656216080035459E-2</v>
      </c>
      <c r="M35" s="375">
        <f t="shared" si="0"/>
        <v>0.14199027684779442</v>
      </c>
      <c r="N35" s="119"/>
      <c r="O35" s="302"/>
      <c r="P35" s="302"/>
      <c r="Q35" s="302"/>
      <c r="R35" s="302"/>
    </row>
    <row r="36" spans="1:18" s="142" customFormat="1" x14ac:dyDescent="0.15">
      <c r="A36" s="118"/>
      <c r="B36" s="72" t="s">
        <v>165</v>
      </c>
      <c r="C36" s="72" t="s">
        <v>158</v>
      </c>
      <c r="D36" s="476">
        <f>'Offroad Data'!C214/'Constants &amp; Conversions'!$D$32</f>
        <v>8.1797444490026502E-2</v>
      </c>
      <c r="E36" s="476">
        <f>'Offroad Data'!D214/'Constants &amp; Conversions'!$D$32</f>
        <v>0.15818201046602745</v>
      </c>
      <c r="F36" s="476">
        <f>'Offroad Data'!E214/'Constants &amp; Conversions'!$D$32</f>
        <v>0.23997945495605399</v>
      </c>
      <c r="G36" s="476">
        <f>'Offroad Data'!F214/'Constants &amp; Conversions'!$D$32</f>
        <v>0.19598316583251901</v>
      </c>
      <c r="H36" s="476">
        <f>'Offroad Data'!G214/'Constants &amp; Conversions'!$D$32</f>
        <v>2.39979421424865E-2</v>
      </c>
      <c r="I36" s="476">
        <f>'Offroad Data'!H214/'Constants &amp; Conversions'!$D$32</f>
        <v>0</v>
      </c>
      <c r="J36" s="476">
        <f>'Offroad Data'!I214/'Constants &amp; Conversions'!$D$32</f>
        <v>0.15598665438842702</v>
      </c>
      <c r="K36" s="476">
        <f>'Offroad Data'!J214/'Constants &amp; Conversions'!$D$32</f>
        <v>0</v>
      </c>
      <c r="L36" s="476">
        <f>'Offroad Data'!K214/'Constants &amp; Conversions'!$D$32</f>
        <v>0.23997945495605399</v>
      </c>
      <c r="M36" s="375">
        <f t="shared" si="0"/>
        <v>0.85592667227554053</v>
      </c>
      <c r="N36" s="119"/>
      <c r="O36" s="302"/>
      <c r="P36" s="302"/>
      <c r="Q36" s="302"/>
      <c r="R36" s="302"/>
    </row>
    <row r="37" spans="1:18" s="142" customFormat="1" x14ac:dyDescent="0.15">
      <c r="A37" s="118"/>
      <c r="B37" s="72" t="s">
        <v>165</v>
      </c>
      <c r="C37" s="72" t="s">
        <v>162</v>
      </c>
      <c r="D37" s="476">
        <f>'Offroad Data'!C215/'Constants &amp; Conversions'!$D$32</f>
        <v>5.1961268123541689E-2</v>
      </c>
      <c r="E37" s="476">
        <f>'Offroad Data'!D215/'Constants &amp; Conversions'!$D$32</f>
        <v>1.8509126133050117E-2</v>
      </c>
      <c r="F37" s="476">
        <f>'Offroad Data'!E215/'Constants &amp; Conversions'!$D$32</f>
        <v>7.0470394256591809E-2</v>
      </c>
      <c r="G37" s="476">
        <f>'Offroad Data'!F215/'Constants &amp; Conversions'!$D$32</f>
        <v>2.9145267177036801E-2</v>
      </c>
      <c r="H37" s="476">
        <f>'Offroad Data'!G215/'Constants &amp; Conversions'!$D$32</f>
        <v>1.2681678068705899E-2</v>
      </c>
      <c r="I37" s="476">
        <f>'Offroad Data'!H215/'Constants &amp; Conversions'!$D$32</f>
        <v>2.0299867617062104E-3</v>
      </c>
      <c r="J37" s="476">
        <f>'Offroad Data'!I215/'Constants &amp; Conversions'!$D$32</f>
        <v>9.4148156482151499E-3</v>
      </c>
      <c r="K37" s="476">
        <f>'Offroad Data'!J215/'Constants &amp; Conversions'!$D$32</f>
        <v>1.83805721872193E-3</v>
      </c>
      <c r="L37" s="476">
        <f>'Offroad Data'!K215/'Constants &amp; Conversions'!$D$32</f>
        <v>1.55751426955631E-2</v>
      </c>
      <c r="M37" s="375">
        <f t="shared" si="0"/>
        <v>0.14115534182654091</v>
      </c>
      <c r="N37" s="119"/>
      <c r="O37" s="302"/>
      <c r="P37" s="302"/>
      <c r="Q37" s="302"/>
      <c r="R37" s="302"/>
    </row>
    <row r="38" spans="1:18" s="142" customFormat="1" ht="15" thickBot="1" x14ac:dyDescent="0.2">
      <c r="A38" s="118"/>
      <c r="B38" s="72" t="s">
        <v>165</v>
      </c>
      <c r="C38" s="72" t="s">
        <v>163</v>
      </c>
      <c r="D38" s="476">
        <f>'Offroad Data'!C216/'Constants &amp; Conversions'!$D$32</f>
        <v>6.1501821730754385</v>
      </c>
      <c r="E38" s="476">
        <f>'Offroad Data'!D216/'Constants &amp; Conversions'!$D$32</f>
        <v>5.6626772146547371</v>
      </c>
      <c r="F38" s="476">
        <f>'Offroad Data'!E216/'Constants &amp; Conversions'!$D$32</f>
        <v>11.812859387730175</v>
      </c>
      <c r="G38" s="476">
        <f>'Offroad Data'!F216/'Constants &amp; Conversions'!$D$32</f>
        <v>2.763556318911951</v>
      </c>
      <c r="H38" s="476">
        <f>'Offroad Data'!G216/'Constants &amp; Conversions'!$D$32</f>
        <v>1.4388070795435208</v>
      </c>
      <c r="I38" s="476">
        <f>'Offroad Data'!H216/'Constants &amp; Conversions'!$D$32</f>
        <v>1.394854638232635</v>
      </c>
      <c r="J38" s="476">
        <f>'Offroad Data'!I216/'Constants &amp; Conversions'!$D$32</f>
        <v>5.8384121447797348</v>
      </c>
      <c r="K38" s="476">
        <f>'Offroad Data'!J216/'Constants &amp; Conversions'!$D$32</f>
        <v>2.101181583312985</v>
      </c>
      <c r="L38" s="476">
        <f>'Offroad Data'!K216/'Constants &amp; Conversions'!$D$32</f>
        <v>2.684550978567938</v>
      </c>
      <c r="M38" s="375">
        <f t="shared" si="0"/>
        <v>28.034222131078938</v>
      </c>
      <c r="N38" s="119"/>
      <c r="O38" s="302"/>
      <c r="P38" s="302"/>
      <c r="Q38" s="302"/>
      <c r="R38" s="302"/>
    </row>
    <row r="39" spans="1:18" s="142" customFormat="1" x14ac:dyDescent="0.15">
      <c r="A39" s="118"/>
      <c r="B39" s="175" t="s">
        <v>88</v>
      </c>
      <c r="C39" s="175"/>
      <c r="D39" s="180">
        <f t="shared" ref="D39:L39" si="1">SUM(D7:D38)</f>
        <v>174.79689954493401</v>
      </c>
      <c r="E39" s="180">
        <f t="shared" si="1"/>
        <v>402.12187062865144</v>
      </c>
      <c r="F39" s="180">
        <f t="shared" si="1"/>
        <v>576.91877017358547</v>
      </c>
      <c r="G39" s="180">
        <f t="shared" si="1"/>
        <v>218.370100197017</v>
      </c>
      <c r="H39" s="180">
        <f t="shared" si="1"/>
        <v>99.699204507492581</v>
      </c>
      <c r="I39" s="180">
        <f t="shared" si="1"/>
        <v>17.87348624486777</v>
      </c>
      <c r="J39" s="180">
        <f t="shared" si="1"/>
        <v>165.55176443560561</v>
      </c>
      <c r="K39" s="180">
        <f t="shared" si="1"/>
        <v>56.776985912072327</v>
      </c>
      <c r="L39" s="180">
        <f t="shared" si="1"/>
        <v>85.648251430638922</v>
      </c>
      <c r="M39" s="377">
        <f t="shared" si="0"/>
        <v>1220.8385629012798</v>
      </c>
      <c r="N39" s="119"/>
      <c r="O39" s="302"/>
      <c r="P39" s="302"/>
      <c r="Q39" s="302"/>
      <c r="R39" s="302"/>
    </row>
    <row r="40" spans="1:18" s="142" customFormat="1" x14ac:dyDescent="0.15">
      <c r="A40" s="118"/>
      <c r="B40" s="66"/>
      <c r="C40" s="66"/>
      <c r="D40" s="181"/>
      <c r="E40" s="181"/>
      <c r="F40" s="182"/>
      <c r="G40" s="182"/>
      <c r="H40" s="182"/>
      <c r="I40" s="182"/>
      <c r="J40" s="182"/>
      <c r="K40" s="182"/>
      <c r="L40" s="182"/>
      <c r="M40" s="379"/>
      <c r="N40" s="119"/>
      <c r="O40" s="302"/>
      <c r="P40" s="302"/>
      <c r="Q40" s="302"/>
      <c r="R40" s="302"/>
    </row>
    <row r="41" spans="1:18" s="142" customFormat="1" x14ac:dyDescent="0.15">
      <c r="A41" s="119"/>
      <c r="B41" s="82" t="s">
        <v>166</v>
      </c>
      <c r="C41" s="119"/>
      <c r="D41" s="119"/>
      <c r="E41" s="119"/>
      <c r="F41" s="119"/>
      <c r="G41" s="119"/>
      <c r="H41" s="119"/>
      <c r="I41" s="119"/>
      <c r="J41" s="119"/>
      <c r="K41" s="119"/>
      <c r="L41" s="119"/>
      <c r="M41" s="379"/>
      <c r="N41" s="119"/>
      <c r="O41" s="302"/>
      <c r="P41" s="302"/>
      <c r="Q41" s="302"/>
      <c r="R41" s="302"/>
    </row>
    <row r="42" spans="1:18" s="142" customFormat="1" x14ac:dyDescent="0.15">
      <c r="A42" s="118"/>
      <c r="B42" s="372" t="s">
        <v>152</v>
      </c>
      <c r="C42" s="372" t="s">
        <v>153</v>
      </c>
      <c r="D42" s="373" t="s">
        <v>58</v>
      </c>
      <c r="E42" s="373" t="s">
        <v>100</v>
      </c>
      <c r="F42" s="373" t="s">
        <v>59</v>
      </c>
      <c r="G42" s="373" t="s">
        <v>60</v>
      </c>
      <c r="H42" s="373" t="s">
        <v>62</v>
      </c>
      <c r="I42" s="373" t="s">
        <v>61</v>
      </c>
      <c r="J42" s="373" t="s">
        <v>63</v>
      </c>
      <c r="K42" s="373" t="s">
        <v>64</v>
      </c>
      <c r="L42" s="373" t="s">
        <v>65</v>
      </c>
      <c r="M42" s="380" t="s">
        <v>88</v>
      </c>
      <c r="N42" s="119"/>
      <c r="O42" s="302"/>
      <c r="P42" s="302"/>
      <c r="Q42" s="302"/>
      <c r="R42" s="302"/>
    </row>
    <row r="43" spans="1:18" s="142" customFormat="1" x14ac:dyDescent="0.15">
      <c r="A43" s="118"/>
      <c r="B43" s="72" t="s">
        <v>154</v>
      </c>
      <c r="C43" s="72" t="s">
        <v>155</v>
      </c>
      <c r="D43" s="477">
        <f>'Offroad Data'!P49*SUMIFS('Emission Factors'!$H$60:$H$100,'Emission Factors'!$B$60:$B$100,'Off-road'!$B43,'Emission Factors'!$A$60:$A$100,'Off-road'!$C43)/grams_to_mton</f>
        <v>0</v>
      </c>
      <c r="E43" s="477">
        <f>'Offroad Data'!Q49*SUMIFS('Emission Factors'!$H$60:$H$100,'Emission Factors'!$B$60:$B$100,'Off-road'!$B43,'Emission Factors'!$A$60:$A$100,'Off-road'!$C43)/grams_to_mton</f>
        <v>6.9977006084277082E-5</v>
      </c>
      <c r="F43" s="477">
        <f>'Offroad Data'!R49*SUMIFS('Emission Factors'!$H$60:$H$100,'Emission Factors'!$B$60:$B$100,'Off-road'!$B43,'Emission Factors'!$A$60:$A$100,'Off-road'!$C43)/grams_to_mton</f>
        <v>6.9977006084277082E-5</v>
      </c>
      <c r="G43" s="477">
        <f>'Offroad Data'!S49*SUMIFS('Emission Factors'!$H$60:$H$100,'Emission Factors'!$B$60:$B$100,'Off-road'!$B43,'Emission Factors'!$A$60:$A$100,'Off-road'!$C43)/grams_to_mton</f>
        <v>2.3500160911057328E-5</v>
      </c>
      <c r="H43" s="477">
        <f>'Offroad Data'!T49*SUMIFS('Emission Factors'!$H$60:$H$100,'Emission Factors'!$B$60:$B$100,'Off-road'!$B43,'Emission Factors'!$A$60:$A$100,'Off-road'!$C43)/grams_to_mton</f>
        <v>8.4007490083403422E-4</v>
      </c>
      <c r="I43" s="477">
        <f>'Offroad Data'!U49*SUMIFS('Emission Factors'!$H$60:$H$100,'Emission Factors'!$B$60:$B$100,'Off-road'!$B43,'Emission Factors'!$A$60:$A$100,'Off-road'!$C43)/grams_to_mton</f>
        <v>7.3561239067281058E-4</v>
      </c>
      <c r="J43" s="477">
        <f>'Offroad Data'!V49*SUMIFS('Emission Factors'!$H$60:$H$100,'Emission Factors'!$B$60:$B$100,'Off-road'!$B43,'Emission Factors'!$A$60:$A$100,'Off-road'!$C43)/grams_to_mton</f>
        <v>1.3938369099243981E-4</v>
      </c>
      <c r="K43" s="477">
        <f>'Offroad Data'!W49*SUMIFS('Emission Factors'!$H$60:$H$100,'Emission Factors'!$B$60:$B$100,'Off-road'!$B43,'Emission Factors'!$A$60:$A$100,'Off-road'!$C43)/grams_to_mton</f>
        <v>9.4729585608568261E-4</v>
      </c>
      <c r="L43" s="477">
        <f>'Offroad Data'!X49*SUMIFS('Emission Factors'!$H$60:$H$100,'Emission Factors'!$B$60:$B$100,'Off-road'!$B43,'Emission Factors'!$A$60:$A$100,'Off-road'!$C43)/grams_to_mton</f>
        <v>1.1455247543103444E-3</v>
      </c>
      <c r="M43" s="375">
        <f t="shared" ref="M43:M75" si="2">SUM(F43:L43)</f>
        <v>3.9013687598906462E-3</v>
      </c>
      <c r="N43" s="119"/>
      <c r="O43" s="302"/>
      <c r="P43" s="302"/>
      <c r="Q43" s="302"/>
      <c r="R43" s="302"/>
    </row>
    <row r="44" spans="1:18" s="142" customFormat="1" x14ac:dyDescent="0.15">
      <c r="A44" s="118"/>
      <c r="B44" s="72" t="s">
        <v>154</v>
      </c>
      <c r="C44" s="72" t="s">
        <v>104</v>
      </c>
      <c r="D44" s="477">
        <f>'Offroad Data'!P50*SUMIFS('Emission Factors'!$H$60:$H$100,'Emission Factors'!$B$60:$B$100,'Off-road'!$B44,'Emission Factors'!$A$60:$A$100,'Off-road'!$C44)/grams_to_mton</f>
        <v>4.1094372356821007E-2</v>
      </c>
      <c r="E44" s="477">
        <f>'Offroad Data'!Q50*SUMIFS('Emission Factors'!$H$60:$H$100,'Emission Factors'!$B$60:$B$100,'Off-road'!$B44,'Emission Factors'!$A$60:$A$100,'Off-road'!$C44)/grams_to_mton</f>
        <v>7.9469358471633902E-2</v>
      </c>
      <c r="F44" s="477">
        <f>'Offroad Data'!R50*SUMIFS('Emission Factors'!$H$60:$H$100,'Emission Factors'!$B$60:$B$100,'Off-road'!$B44,'Emission Factors'!$A$60:$A$100,'Off-road'!$C44)/grams_to_mton</f>
        <v>0.1205637308284549</v>
      </c>
      <c r="G44" s="477">
        <f>'Offroad Data'!S50*SUMIFS('Emission Factors'!$H$60:$H$100,'Emission Factors'!$B$60:$B$100,'Off-road'!$B44,'Emission Factors'!$A$60:$A$100,'Off-road'!$C44)/grams_to_mton</f>
        <v>4.3727286536680725E-2</v>
      </c>
      <c r="H44" s="477">
        <f>'Offroad Data'!T50*SUMIFS('Emission Factors'!$H$60:$H$100,'Emission Factors'!$B$60:$B$100,'Off-road'!$B44,'Emission Factors'!$A$60:$A$100,'Off-road'!$C44)/grams_to_mton</f>
        <v>1.2084567003284004E-2</v>
      </c>
      <c r="I44" s="477">
        <f>'Offroad Data'!U50*SUMIFS('Emission Factors'!$H$60:$H$100,'Emission Factors'!$B$60:$B$100,'Off-road'!$B44,'Emission Factors'!$A$60:$A$100,'Off-road'!$C44)/grams_to_mton</f>
        <v>1.0293751213407811E-3</v>
      </c>
      <c r="J44" s="477">
        <f>'Offroad Data'!V50*SUMIFS('Emission Factors'!$H$60:$H$100,'Emission Factors'!$B$60:$B$100,'Off-road'!$B44,'Emission Factors'!$A$60:$A$100,'Off-road'!$C44)/grams_to_mton</f>
        <v>2.0573397537834763E-2</v>
      </c>
      <c r="K44" s="477">
        <f>'Offroad Data'!W50*SUMIFS('Emission Factors'!$H$60:$H$100,'Emission Factors'!$B$60:$B$100,'Off-road'!$B44,'Emission Factors'!$A$60:$A$100,'Off-road'!$C44)/grams_to_mton</f>
        <v>7.5863534304335713E-3</v>
      </c>
      <c r="L44" s="477">
        <f>'Offroad Data'!X50*SUMIFS('Emission Factors'!$H$60:$H$100,'Emission Factors'!$B$60:$B$100,'Off-road'!$B44,'Emission Factors'!$A$60:$A$100,'Off-road'!$C44)/grams_to_mton</f>
        <v>9.9271168029503119E-3</v>
      </c>
      <c r="M44" s="375">
        <f t="shared" si="2"/>
        <v>0.21549182726097904</v>
      </c>
      <c r="N44" s="119"/>
      <c r="O44" s="302"/>
      <c r="P44" s="302"/>
      <c r="Q44" s="302"/>
      <c r="R44" s="302"/>
    </row>
    <row r="45" spans="1:18" s="142" customFormat="1" x14ac:dyDescent="0.15">
      <c r="A45" s="118"/>
      <c r="B45" s="72" t="s">
        <v>154</v>
      </c>
      <c r="C45" s="72" t="s">
        <v>156</v>
      </c>
      <c r="D45" s="477">
        <f>'Offroad Data'!P51*SUMIFS('Emission Factors'!$H$60:$H$100,'Emission Factors'!$B$60:$B$100,'Off-road'!$B45,'Emission Factors'!$A$60:$A$100,'Off-road'!$C45)/grams_to_mton</f>
        <v>1.9923734516305016E-5</v>
      </c>
      <c r="E45" s="477">
        <f>'Offroad Data'!Q51*SUMIFS('Emission Factors'!$H$60:$H$100,'Emission Factors'!$B$60:$B$100,'Off-road'!$B45,'Emission Factors'!$A$60:$A$100,'Off-road'!$C45)/grams_to_mton</f>
        <v>3.8529032311819747E-5</v>
      </c>
      <c r="F45" s="477">
        <f>'Offroad Data'!R51*SUMIFS('Emission Factors'!$H$60:$H$100,'Emission Factors'!$B$60:$B$100,'Off-road'!$B45,'Emission Factors'!$A$60:$A$100,'Off-road'!$C45)/grams_to_mton</f>
        <v>5.8452766828124764E-5</v>
      </c>
      <c r="G45" s="477">
        <f>'Offroad Data'!S51*SUMIFS('Emission Factors'!$H$60:$H$100,'Emission Factors'!$B$60:$B$100,'Off-road'!$B45,'Emission Factors'!$A$60:$A$100,'Off-road'!$C45)/grams_to_mton</f>
        <v>1.4658911012695279E-5</v>
      </c>
      <c r="H45" s="477">
        <f>'Offroad Data'!T51*SUMIFS('Emission Factors'!$H$60:$H$100,'Emission Factors'!$B$60:$B$100,'Off-road'!$B45,'Emission Factors'!$A$60:$A$100,'Off-road'!$C45)/grams_to_mton</f>
        <v>1.3428072132568338E-5</v>
      </c>
      <c r="I45" s="477">
        <f>'Offroad Data'!U51*SUMIFS('Emission Factors'!$H$60:$H$100,'Emission Factors'!$B$60:$B$100,'Off-road'!$B45,'Emission Factors'!$A$60:$A$100,'Off-road'!$C45)/grams_to_mton</f>
        <v>3.1300560578613267E-6</v>
      </c>
      <c r="J45" s="477">
        <f>'Offroad Data'!V51*SUMIFS('Emission Factors'!$H$60:$H$100,'Emission Factors'!$B$60:$B$100,'Off-road'!$B45,'Emission Factors'!$A$60:$A$100,'Off-road'!$C45)/grams_to_mton</f>
        <v>1.0826878785644502E-5</v>
      </c>
      <c r="K45" s="477">
        <f>'Offroad Data'!W51*SUMIFS('Emission Factors'!$H$60:$H$100,'Emission Factors'!$B$60:$B$100,'Off-road'!$B45,'Emission Factors'!$A$60:$A$100,'Off-road'!$C45)/grams_to_mton</f>
        <v>8.2033199205322274E-6</v>
      </c>
      <c r="L45" s="477">
        <f>'Offroad Data'!X51*SUMIFS('Emission Factors'!$H$60:$H$100,'Emission Factors'!$B$60:$B$100,'Off-road'!$B45,'Emission Factors'!$A$60:$A$100,'Off-road'!$C45)/grams_to_mton</f>
        <v>1.9231537475097658E-5</v>
      </c>
      <c r="M45" s="375">
        <f t="shared" si="2"/>
        <v>1.2793154221252411E-4</v>
      </c>
      <c r="N45" s="119"/>
      <c r="O45" s="302"/>
      <c r="P45" s="302"/>
      <c r="Q45" s="302"/>
      <c r="R45" s="302"/>
    </row>
    <row r="46" spans="1:18" s="142" customFormat="1" x14ac:dyDescent="0.15">
      <c r="A46" s="118"/>
      <c r="B46" s="173" t="s">
        <v>154</v>
      </c>
      <c r="C46" s="173" t="s">
        <v>157</v>
      </c>
      <c r="D46" s="477">
        <f>'Offroad Data'!P52*SUMIFS('Emission Factors'!$H$60:$H$100,'Emission Factors'!$B$60:$B$100,'Off-road'!$B46,'Emission Factors'!$A$60:$A$100,'Off-road'!$C46)/grams_to_mton</f>
        <v>9.2242123358908926E-2</v>
      </c>
      <c r="E46" s="477">
        <f>'Offroad Data'!Q52*SUMIFS('Emission Factors'!$H$60:$H$100,'Emission Factors'!$B$60:$B$100,'Off-road'!$B46,'Emission Factors'!$A$60:$A$100,'Off-road'!$C46)/grams_to_mton</f>
        <v>0.17838020018274048</v>
      </c>
      <c r="F46" s="477">
        <f>'Offroad Data'!R52*SUMIFS('Emission Factors'!$H$60:$H$100,'Emission Factors'!$B$60:$B$100,'Off-road'!$B46,'Emission Factors'!$A$60:$A$100,'Off-road'!$C46)/grams_to_mton</f>
        <v>0.27062232354164939</v>
      </c>
      <c r="G46" s="477">
        <f>'Offroad Data'!S52*SUMIFS('Emission Factors'!$H$60:$H$100,'Emission Factors'!$B$60:$B$100,'Off-road'!$B46,'Emission Factors'!$A$60:$A$100,'Off-road'!$C46)/grams_to_mton</f>
        <v>6.9330829934684507E-2</v>
      </c>
      <c r="H46" s="477">
        <f>'Offroad Data'!T52*SUMIFS('Emission Factors'!$H$60:$H$100,'Emission Factors'!$B$60:$B$100,'Off-road'!$B46,'Emission Factors'!$A$60:$A$100,'Off-road'!$C46)/grams_to_mton</f>
        <v>3.690144777089311E-2</v>
      </c>
      <c r="I46" s="477">
        <f>'Offroad Data'!U52*SUMIFS('Emission Factors'!$H$60:$H$100,'Emission Factors'!$B$60:$B$100,'Off-road'!$B46,'Emission Factors'!$A$60:$A$100,'Off-road'!$C46)/grams_to_mton</f>
        <v>2.1438737682426511E-3</v>
      </c>
      <c r="J46" s="477">
        <f>'Offroad Data'!V52*SUMIFS('Emission Factors'!$H$60:$H$100,'Emission Factors'!$B$60:$B$100,'Off-road'!$B46,'Emission Factors'!$A$60:$A$100,'Off-road'!$C46)/grams_to_mton</f>
        <v>5.2645073730358219E-2</v>
      </c>
      <c r="K46" s="477">
        <f>'Offroad Data'!W52*SUMIFS('Emission Factors'!$H$60:$H$100,'Emission Factors'!$B$60:$B$100,'Off-road'!$B46,'Emission Factors'!$A$60:$A$100,'Off-road'!$C46)/grams_to_mton</f>
        <v>2.7430273121447725E-2</v>
      </c>
      <c r="L46" s="477">
        <f>'Offroad Data'!X52*SUMIFS('Emission Factors'!$H$60:$H$100,'Emission Factors'!$B$60:$B$100,'Off-road'!$B46,'Emission Factors'!$A$60:$A$100,'Off-road'!$C46)/grams_to_mton</f>
        <v>2.5309625194462747E-2</v>
      </c>
      <c r="M46" s="377">
        <f t="shared" si="2"/>
        <v>0.48438344706173836</v>
      </c>
      <c r="N46" s="119"/>
      <c r="O46" s="302"/>
      <c r="P46" s="302"/>
      <c r="Q46" s="302"/>
      <c r="R46" s="302"/>
    </row>
    <row r="47" spans="1:18" s="142" customFormat="1" x14ac:dyDescent="0.15">
      <c r="A47" s="118"/>
      <c r="B47" s="174" t="s">
        <v>154</v>
      </c>
      <c r="C47" s="174" t="s">
        <v>158</v>
      </c>
      <c r="D47" s="478">
        <f>'Offroad Data'!P53*SUMIFS('Emission Factors'!$H$60:$H$100,'Emission Factors'!$B$60:$B$100,'Off-road'!$B47,'Emission Factors'!$A$60:$A$100,'Off-road'!$C47)/grams_to_mton</f>
        <v>1.097200801770791E-3</v>
      </c>
      <c r="E47" s="478">
        <f>'Offroad Data'!Q53*SUMIFS('Emission Factors'!$H$60:$H$100,'Emission Factors'!$B$60:$B$100,'Off-road'!$B47,'Emission Factors'!$A$60:$A$100,'Off-road'!$C47)/grams_to_mton</f>
        <v>2.1217952442292094E-3</v>
      </c>
      <c r="F47" s="478">
        <f>'Offroad Data'!R53*SUMIFS('Emission Factors'!$H$60:$H$100,'Emission Factors'!$B$60:$B$100,'Off-road'!$B47,'Emission Factors'!$A$60:$A$100,'Off-road'!$C47)/grams_to_mton</f>
        <v>3.2189960460000007E-3</v>
      </c>
      <c r="G47" s="478">
        <f>'Offroad Data'!S53*SUMIFS('Emission Factors'!$H$60:$H$100,'Emission Factors'!$B$60:$B$100,'Off-road'!$B47,'Emission Factors'!$A$60:$A$100,'Off-road'!$C47)/grams_to_mton</f>
        <v>2.6288479560000002E-3</v>
      </c>
      <c r="H47" s="478">
        <f>'Offroad Data'!T53*SUMIFS('Emission Factors'!$H$60:$H$100,'Emission Factors'!$B$60:$B$100,'Off-road'!$B47,'Emission Factors'!$A$60:$A$100,'Off-road'!$C47)/grams_to_mton</f>
        <v>3.2189960668359356E-4</v>
      </c>
      <c r="I47" s="478">
        <f>'Offroad Data'!U53*SUMIFS('Emission Factors'!$H$60:$H$100,'Emission Factors'!$B$60:$B$100,'Off-road'!$B47,'Emission Factors'!$A$60:$A$100,'Off-road'!$C47)/grams_to_mton</f>
        <v>0</v>
      </c>
      <c r="J47" s="478">
        <f>'Offroad Data'!V53*SUMIFS('Emission Factors'!$H$60:$H$100,'Emission Factors'!$B$60:$B$100,'Off-road'!$B47,'Emission Factors'!$A$60:$A$100,'Off-road'!$C47)/grams_to_mton</f>
        <v>2.0923494060000004E-3</v>
      </c>
      <c r="K47" s="478">
        <f>'Offroad Data'!W53*SUMIFS('Emission Factors'!$H$60:$H$100,'Emission Factors'!$B$60:$B$100,'Off-road'!$B47,'Emission Factors'!$A$60:$A$100,'Off-road'!$C47)/grams_to_mton</f>
        <v>0</v>
      </c>
      <c r="L47" s="478">
        <f>'Offroad Data'!X53*SUMIFS('Emission Factors'!$H$60:$H$100,'Emission Factors'!$B$60:$B$100,'Off-road'!$B47,'Emission Factors'!$A$60:$A$100,'Off-road'!$C47)/grams_to_mton</f>
        <v>3.2189960460000007E-3</v>
      </c>
      <c r="M47" s="376">
        <f t="shared" si="2"/>
        <v>1.1481089060683595E-2</v>
      </c>
      <c r="N47" s="119"/>
      <c r="O47" s="302"/>
      <c r="P47" s="302"/>
      <c r="Q47" s="302"/>
      <c r="R47" s="302"/>
    </row>
    <row r="48" spans="1:18" s="142" customFormat="1" x14ac:dyDescent="0.15">
      <c r="A48" s="118"/>
      <c r="B48" s="72" t="s">
        <v>146</v>
      </c>
      <c r="C48" s="72" t="s">
        <v>155</v>
      </c>
      <c r="D48" s="477">
        <f>'Offroad Data'!P54*SUMIFS('Emission Factors'!$H$60:$H$100,'Emission Factors'!$B$60:$B$100,'Off-road'!$B48,'Emission Factors'!$A$60:$A$100,'Off-road'!$C48)/grams_to_mton</f>
        <v>0</v>
      </c>
      <c r="E48" s="477">
        <f>'Offroad Data'!Q54*SUMIFS('Emission Factors'!$H$60:$H$100,'Emission Factors'!$B$60:$B$100,'Off-road'!$B48,'Emission Factors'!$A$60:$A$100,'Off-road'!$C48)/grams_to_mton</f>
        <v>0.17959376400272095</v>
      </c>
      <c r="F48" s="477">
        <f>'Offroad Data'!R54*SUMIFS('Emission Factors'!$H$60:$H$100,'Emission Factors'!$B$60:$B$100,'Off-road'!$B48,'Emission Factors'!$A$60:$A$100,'Off-road'!$C48)/grams_to_mton</f>
        <v>0.17959376400272095</v>
      </c>
      <c r="G48" s="477">
        <f>'Offroad Data'!S54*SUMIFS('Emission Factors'!$H$60:$H$100,'Emission Factors'!$B$60:$B$100,'Off-road'!$B48,'Emission Factors'!$A$60:$A$100,'Off-road'!$C48)/grams_to_mton</f>
        <v>6.0312437550529494E-2</v>
      </c>
      <c r="H48" s="477">
        <f>'Offroad Data'!T54*SUMIFS('Emission Factors'!$H$60:$H$100,'Emission Factors'!$B$60:$B$100,'Off-road'!$B48,'Emission Factors'!$A$60:$A$100,'Off-road'!$C48)/grams_to_mton</f>
        <v>2.1560242873422761</v>
      </c>
      <c r="I48" s="477">
        <f>'Offroad Data'!U54*SUMIFS('Emission Factors'!$H$60:$H$100,'Emission Factors'!$B$60:$B$100,'Off-road'!$B48,'Emission Factors'!$A$60:$A$100,'Off-road'!$C48)/grams_to_mton</f>
        <v>1.8879232847359468</v>
      </c>
      <c r="J48" s="477">
        <f>'Offroad Data'!V54*SUMIFS('Emission Factors'!$H$60:$H$100,'Emission Factors'!$B$60:$B$100,'Off-road'!$B48,'Emission Factors'!$A$60:$A$100,'Off-road'!$C48)/grams_to_mton</f>
        <v>0.35772366260023225</v>
      </c>
      <c r="K48" s="477">
        <f>'Offroad Data'!W54*SUMIFS('Emission Factors'!$H$60:$H$100,'Emission Factors'!$B$60:$B$100,'Off-road'!$B48,'Emission Factors'!$A$60:$A$100,'Off-road'!$C48)/grams_to_mton</f>
        <v>2.4312043354772697</v>
      </c>
      <c r="L48" s="477">
        <f>'Offroad Data'!X54*SUMIFS('Emission Factors'!$H$60:$H$100,'Emission Factors'!$B$60:$B$100,'Off-road'!$B48,'Emission Factors'!$A$60:$A$100,'Off-road'!$C48)/grams_to_mton</f>
        <v>2.939956044810847</v>
      </c>
      <c r="M48" s="375">
        <f t="shared" si="2"/>
        <v>10.012737816519822</v>
      </c>
      <c r="N48" s="119"/>
      <c r="O48" s="302"/>
      <c r="P48" s="302"/>
      <c r="Q48" s="302"/>
      <c r="R48" s="302"/>
    </row>
    <row r="49" spans="1:18" s="142" customFormat="1" x14ac:dyDescent="0.15">
      <c r="A49" s="118"/>
      <c r="B49" s="72" t="s">
        <v>146</v>
      </c>
      <c r="C49" s="72" t="s">
        <v>159</v>
      </c>
      <c r="D49" s="477">
        <f>'Offroad Data'!P55*SUMIFS('Emission Factors'!$H$60:$H$100,'Emission Factors'!$B$60:$B$100,'Off-road'!$B49,'Emission Factors'!$A$60:$A$100,'Off-road'!$C49)/grams_to_mton</f>
        <v>3.4606396889999997</v>
      </c>
      <c r="E49" s="477">
        <f>'Offroad Data'!Q55*SUMIFS('Emission Factors'!$H$60:$H$100,'Emission Factors'!$B$60:$B$100,'Off-road'!$B49,'Emission Factors'!$A$60:$A$100,'Off-road'!$C49)/grams_to_mton</f>
        <v>0</v>
      </c>
      <c r="F49" s="477">
        <f>'Offroad Data'!R55*SUMIFS('Emission Factors'!$H$60:$H$100,'Emission Factors'!$B$60:$B$100,'Off-road'!$B49,'Emission Factors'!$A$60:$A$100,'Off-road'!$C49)/grams_to_mton</f>
        <v>3.4606396889999997</v>
      </c>
      <c r="G49" s="477">
        <f>'Offroad Data'!S55*SUMIFS('Emission Factors'!$H$60:$H$100,'Emission Factors'!$B$60:$B$100,'Off-road'!$B49,'Emission Factors'!$A$60:$A$100,'Off-road'!$C49)/grams_to_mton</f>
        <v>8.1472326423339628E-4</v>
      </c>
      <c r="H49" s="477">
        <f>'Offroad Data'!T55*SUMIFS('Emission Factors'!$H$60:$H$100,'Emission Factors'!$B$60:$B$100,'Off-road'!$B49,'Emission Factors'!$A$60:$A$100,'Off-road'!$C49)/grams_to_mton</f>
        <v>3.7103165727172621E-4</v>
      </c>
      <c r="I49" s="477">
        <f>'Offroad Data'!U55*SUMIFS('Emission Factors'!$H$60:$H$100,'Emission Factors'!$B$60:$B$100,'Off-road'!$B49,'Emission Factors'!$A$60:$A$100,'Off-road'!$C49)/grams_to_mton</f>
        <v>0</v>
      </c>
      <c r="J49" s="477">
        <f>'Offroad Data'!V55*SUMIFS('Emission Factors'!$H$60:$H$100,'Emission Factors'!$B$60:$B$100,'Off-road'!$B49,'Emission Factors'!$A$60:$A$100,'Off-road'!$C49)/grams_to_mton</f>
        <v>4.096805030969236E-4</v>
      </c>
      <c r="K49" s="477">
        <f>'Offroad Data'!W55*SUMIFS('Emission Factors'!$H$60:$H$100,'Emission Factors'!$B$60:$B$100,'Off-road'!$B49,'Emission Factors'!$A$60:$A$100,'Off-road'!$C49)/grams_to_mton</f>
        <v>3.5557188390014589E-4</v>
      </c>
      <c r="L49" s="477">
        <f>'Offroad Data'!X55*SUMIFS('Emission Factors'!$H$60:$H$100,'Emission Factors'!$B$60:$B$100,'Off-road'!$B49,'Emission Factors'!$A$60:$A$100,'Off-road'!$C49)/grams_to_mton</f>
        <v>8.3482046158447226E-4</v>
      </c>
      <c r="M49" s="375">
        <f t="shared" si="2"/>
        <v>3.4634255167700867</v>
      </c>
      <c r="N49" s="119"/>
      <c r="O49" s="302"/>
      <c r="P49" s="302"/>
      <c r="Q49" s="302"/>
      <c r="R49" s="302"/>
    </row>
    <row r="50" spans="1:18" s="142" customFormat="1" x14ac:dyDescent="0.15">
      <c r="A50" s="118"/>
      <c r="B50" s="72" t="s">
        <v>146</v>
      </c>
      <c r="C50" s="72" t="s">
        <v>104</v>
      </c>
      <c r="D50" s="477">
        <f>'Offroad Data'!P56*SUMIFS('Emission Factors'!$H$60:$H$100,'Emission Factors'!$B$60:$B$100,'Off-road'!$B50,'Emission Factors'!$A$60:$A$100,'Off-road'!$C50)/grams_to_mton</f>
        <v>3.3898542520899597</v>
      </c>
      <c r="E50" s="477">
        <f>'Offroad Data'!Q56*SUMIFS('Emission Factors'!$H$60:$H$100,'Emission Factors'!$B$60:$B$100,'Off-road'!$B50,'Emission Factors'!$A$60:$A$100,'Off-road'!$C50)/grams_to_mton</f>
        <v>6.5553876912105951</v>
      </c>
      <c r="F50" s="477">
        <f>'Offroad Data'!R56*SUMIFS('Emission Factors'!$H$60:$H$100,'Emission Factors'!$B$60:$B$100,'Off-road'!$B50,'Emission Factors'!$A$60:$A$100,'Off-road'!$C50)/grams_to_mton</f>
        <v>9.9452419433005552</v>
      </c>
      <c r="G50" s="477">
        <f>'Offroad Data'!S56*SUMIFS('Emission Factors'!$H$60:$H$100,'Emission Factors'!$B$60:$B$100,'Off-road'!$B50,'Emission Factors'!$A$60:$A$100,'Off-road'!$C50)/grams_to_mton</f>
        <v>3.6070403865462812</v>
      </c>
      <c r="H50" s="477">
        <f>'Offroad Data'!T56*SUMIFS('Emission Factors'!$H$60:$H$100,'Emission Factors'!$B$60:$B$100,'Off-road'!$B50,'Emission Factors'!$A$60:$A$100,'Off-road'!$C50)/grams_to_mton</f>
        <v>0.99684958136813984</v>
      </c>
      <c r="I50" s="477">
        <f>'Offroad Data'!U56*SUMIFS('Emission Factors'!$H$60:$H$100,'Emission Factors'!$B$60:$B$100,'Off-road'!$B50,'Emission Factors'!$A$60:$A$100,'Off-road'!$C50)/grams_to_mton</f>
        <v>8.4912550769548872E-2</v>
      </c>
      <c r="J50" s="477">
        <f>'Offroad Data'!V56*SUMIFS('Emission Factors'!$H$60:$H$100,'Emission Factors'!$B$60:$B$100,'Off-road'!$B50,'Emission Factors'!$A$60:$A$100,'Off-road'!$C50)/grams_to_mton</f>
        <v>1.6970875611657135</v>
      </c>
      <c r="K50" s="477">
        <f>'Offroad Data'!W56*SUMIFS('Emission Factors'!$H$60:$H$100,'Emission Factors'!$B$60:$B$100,'Off-road'!$B50,'Emission Factors'!$A$60:$A$100,'Off-road'!$C50)/grams_to_mton</f>
        <v>0.62579379578308758</v>
      </c>
      <c r="L50" s="477">
        <f>'Offroad Data'!X56*SUMIFS('Emission Factors'!$H$60:$H$100,'Emission Factors'!$B$60:$B$100,'Off-road'!$B50,'Emission Factors'!$A$60:$A$100,'Off-road'!$C50)/grams_to_mton</f>
        <v>0.81888282307387417</v>
      </c>
      <c r="M50" s="375">
        <f t="shared" si="2"/>
        <v>17.775808642007203</v>
      </c>
      <c r="N50" s="119"/>
      <c r="O50" s="302"/>
      <c r="P50" s="302"/>
      <c r="Q50" s="302"/>
      <c r="R50" s="302"/>
    </row>
    <row r="51" spans="1:18" s="142" customFormat="1" x14ac:dyDescent="0.15">
      <c r="A51" s="118"/>
      <c r="B51" s="72" t="s">
        <v>146</v>
      </c>
      <c r="C51" s="72" t="s">
        <v>156</v>
      </c>
      <c r="D51" s="477">
        <f>'Offroad Data'!P57*SUMIFS('Emission Factors'!$H$60:$H$100,'Emission Factors'!$B$60:$B$100,'Off-road'!$B51,'Emission Factors'!$A$60:$A$100,'Off-road'!$C51)/grams_to_mton</f>
        <v>18.93285272309636</v>
      </c>
      <c r="E51" s="477">
        <f>'Offroad Data'!Q57*SUMIFS('Emission Factors'!$H$60:$H$100,'Emission Factors'!$B$60:$B$100,'Off-road'!$B51,'Emission Factors'!$A$60:$A$100,'Off-road'!$C51)/grams_to_mton</f>
        <v>36.612839511896283</v>
      </c>
      <c r="F51" s="477">
        <f>'Offroad Data'!R57*SUMIFS('Emission Factors'!$H$60:$H$100,'Emission Factors'!$B$60:$B$100,'Off-road'!$B51,'Emission Factors'!$A$60:$A$100,'Off-road'!$C51)/grams_to_mton</f>
        <v>55.545692234992636</v>
      </c>
      <c r="G51" s="477">
        <f>'Offroad Data'!S57*SUMIFS('Emission Factors'!$H$60:$H$100,'Emission Factors'!$B$60:$B$100,'Off-road'!$B51,'Emission Factors'!$A$60:$A$100,'Off-road'!$C51)/grams_to_mton</f>
        <v>13.929869037903611</v>
      </c>
      <c r="H51" s="477">
        <f>'Offroad Data'!T57*SUMIFS('Emission Factors'!$H$60:$H$100,'Emission Factors'!$B$60:$B$100,'Off-road'!$B51,'Emission Factors'!$A$60:$A$100,'Off-road'!$C51)/grams_to_mton</f>
        <v>12.76026252212227</v>
      </c>
      <c r="I51" s="477">
        <f>'Offroad Data'!U57*SUMIFS('Emission Factors'!$H$60:$H$100,'Emission Factors'!$B$60:$B$100,'Off-road'!$B51,'Emission Factors'!$A$60:$A$100,'Off-road'!$C51)/grams_to_mton</f>
        <v>2.9743886243206346</v>
      </c>
      <c r="J51" s="477">
        <f>'Offroad Data'!V57*SUMIFS('Emission Factors'!$H$60:$H$100,'Emission Factors'!$B$60:$B$100,'Off-road'!$B51,'Emission Factors'!$A$60:$A$100,'Off-road'!$C51)/grams_to_mton</f>
        <v>10.288424170635698</v>
      </c>
      <c r="K51" s="477">
        <f>'Offroad Data'!W57*SUMIFS('Emission Factors'!$H$60:$H$100,'Emission Factors'!$B$60:$B$100,'Off-road'!$B51,'Emission Factors'!$A$60:$A$100,'Off-road'!$C51)/grams_to_mton</f>
        <v>7.7953406237873599</v>
      </c>
      <c r="L51" s="477">
        <f>'Offroad Data'!X57*SUMIFS('Emission Factors'!$H$60:$H$100,'Emission Factors'!$B$60:$B$100,'Off-road'!$B51,'Emission Factors'!$A$60:$A$100,'Off-road'!$C51)/grams_to_mton</f>
        <v>18.275064996370244</v>
      </c>
      <c r="M51" s="375">
        <f t="shared" si="2"/>
        <v>121.56904221013245</v>
      </c>
      <c r="N51" s="119"/>
      <c r="O51" s="302"/>
      <c r="P51" s="302"/>
      <c r="Q51" s="302"/>
      <c r="R51" s="302"/>
    </row>
    <row r="52" spans="1:18" s="142" customFormat="1" x14ac:dyDescent="0.15">
      <c r="A52" s="118"/>
      <c r="B52" s="72" t="s">
        <v>146</v>
      </c>
      <c r="C52" s="72" t="s">
        <v>157</v>
      </c>
      <c r="D52" s="477">
        <f>'Offroad Data'!P58*SUMIFS('Emission Factors'!$H$60:$H$100,'Emission Factors'!$B$60:$B$100,'Off-road'!$B52,'Emission Factors'!$A$60:$A$100,'Off-road'!$C52)/grams_to_mton</f>
        <v>7.4167707749176541</v>
      </c>
      <c r="E52" s="477">
        <f>'Offroad Data'!Q58*SUMIFS('Emission Factors'!$H$60:$H$100,'Emission Factors'!$B$60:$B$100,'Off-road'!$B52,'Emission Factors'!$A$60:$A$100,'Off-road'!$C52)/grams_to_mton</f>
        <v>14.342742852867465</v>
      </c>
      <c r="F52" s="477">
        <f>'Offroad Data'!R58*SUMIFS('Emission Factors'!$H$60:$H$100,'Emission Factors'!$B$60:$B$100,'Off-road'!$B52,'Emission Factors'!$A$60:$A$100,'Off-road'!$C52)/grams_to_mton</f>
        <v>21.759513627785122</v>
      </c>
      <c r="G52" s="477">
        <f>'Offroad Data'!S58*SUMIFS('Emission Factors'!$H$60:$H$100,'Emission Factors'!$B$60:$B$100,'Off-road'!$B52,'Emission Factors'!$A$60:$A$100,'Off-road'!$C52)/grams_to_mton</f>
        <v>4.94812504076571</v>
      </c>
      <c r="H52" s="477">
        <f>'Offroad Data'!T58*SUMIFS('Emission Factors'!$H$60:$H$100,'Emission Factors'!$B$60:$B$100,'Off-road'!$B52,'Emission Factors'!$A$60:$A$100,'Off-road'!$C52)/grams_to_mton</f>
        <v>2.5676935121512794</v>
      </c>
      <c r="I52" s="477">
        <f>'Offroad Data'!U58*SUMIFS('Emission Factors'!$H$60:$H$100,'Emission Factors'!$B$60:$B$100,'Off-road'!$B52,'Emission Factors'!$A$60:$A$100,'Off-road'!$C52)/grams_to_mton</f>
        <v>0.19904595066244174</v>
      </c>
      <c r="J52" s="477">
        <f>'Offroad Data'!V58*SUMIFS('Emission Factors'!$H$60:$H$100,'Emission Factors'!$B$60:$B$100,'Off-road'!$B52,'Emission Factors'!$A$60:$A$100,'Off-road'!$C52)/grams_to_mton</f>
        <v>3.7235778991535651</v>
      </c>
      <c r="K52" s="477">
        <f>'Offroad Data'!W58*SUMIFS('Emission Factors'!$H$60:$H$100,'Emission Factors'!$B$60:$B$100,'Off-road'!$B52,'Emission Factors'!$A$60:$A$100,'Off-road'!$C52)/grams_to_mton</f>
        <v>1.83977724894832</v>
      </c>
      <c r="L52" s="477">
        <f>'Offroad Data'!X58*SUMIFS('Emission Factors'!$H$60:$H$100,'Emission Factors'!$B$60:$B$100,'Off-road'!$B52,'Emission Factors'!$A$60:$A$100,'Off-road'!$C52)/grams_to_mton</f>
        <v>2.1121821793503019</v>
      </c>
      <c r="M52" s="375">
        <f t="shared" si="2"/>
        <v>37.149915458816743</v>
      </c>
      <c r="N52" s="119"/>
      <c r="O52" s="302"/>
      <c r="P52" s="302"/>
      <c r="Q52" s="302"/>
      <c r="R52" s="302"/>
    </row>
    <row r="53" spans="1:18" s="142" customFormat="1" x14ac:dyDescent="0.15">
      <c r="A53" s="118"/>
      <c r="B53" s="72" t="s">
        <v>146</v>
      </c>
      <c r="C53" s="72" t="s">
        <v>160</v>
      </c>
      <c r="D53" s="477">
        <f>'Offroad Data'!P59*SUMIFS('Emission Factors'!$H$60:$H$100,'Emission Factors'!$B$60:$B$100,'Off-road'!$B53,'Emission Factors'!$A$60:$A$100,'Off-road'!$C53)/grams_to_mton</f>
        <v>0.61875308349756686</v>
      </c>
      <c r="E53" s="477">
        <f>'Offroad Data'!Q59*SUMIFS('Emission Factors'!$H$60:$H$100,'Emission Factors'!$B$60:$B$100,'Off-road'!$B53,'Emission Factors'!$A$60:$A$100,'Off-road'!$C53)/grams_to_mton</f>
        <v>1.9575691743752246</v>
      </c>
      <c r="F53" s="477">
        <f>'Offroad Data'!R59*SUMIFS('Emission Factors'!$H$60:$H$100,'Emission Factors'!$B$60:$B$100,'Off-road'!$B53,'Emission Factors'!$A$60:$A$100,'Off-road'!$C53)/grams_to_mton</f>
        <v>2.5763222578727913</v>
      </c>
      <c r="G53" s="477">
        <f>'Offroad Data'!S59*SUMIFS('Emission Factors'!$H$60:$H$100,'Emission Factors'!$B$60:$B$100,'Off-road'!$B53,'Emission Factors'!$A$60:$A$100,'Off-road'!$C53)/grams_to_mton</f>
        <v>1.6443281536609318</v>
      </c>
      <c r="H53" s="477">
        <f>'Offroad Data'!T59*SUMIFS('Emission Factors'!$H$60:$H$100,'Emission Factors'!$B$60:$B$100,'Off-road'!$B53,'Emission Factors'!$A$60:$A$100,'Off-road'!$C53)/grams_to_mton</f>
        <v>0.86893665708979717</v>
      </c>
      <c r="I53" s="477">
        <f>'Offroad Data'!U59*SUMIFS('Emission Factors'!$H$60:$H$100,'Emission Factors'!$B$60:$B$100,'Off-road'!$B53,'Emission Factors'!$A$60:$A$100,'Off-road'!$C53)/grams_to_mton</f>
        <v>7.2064942409384422E-2</v>
      </c>
      <c r="J53" s="477">
        <f>'Offroad Data'!V59*SUMIFS('Emission Factors'!$H$60:$H$100,'Emission Factors'!$B$60:$B$100,'Off-road'!$B53,'Emission Factors'!$A$60:$A$100,'Off-road'!$C53)/grams_to_mton</f>
        <v>1.4904961115959847</v>
      </c>
      <c r="K53" s="477">
        <f>'Offroad Data'!W59*SUMIFS('Emission Factors'!$H$60:$H$100,'Emission Factors'!$B$60:$B$100,'Off-road'!$B53,'Emission Factors'!$A$60:$A$100,'Off-road'!$C53)/grams_to_mton</f>
        <v>0.38942769448806358</v>
      </c>
      <c r="L53" s="477">
        <f>'Offroad Data'!X59*SUMIFS('Emission Factors'!$H$60:$H$100,'Emission Factors'!$B$60:$B$100,'Off-road'!$B53,'Emission Factors'!$A$60:$A$100,'Off-road'!$C53)/grams_to_mton</f>
        <v>0.62502451959044636</v>
      </c>
      <c r="M53" s="375">
        <f t="shared" si="2"/>
        <v>7.6666003367074005</v>
      </c>
      <c r="N53" s="119"/>
      <c r="O53" s="302"/>
      <c r="P53" s="302"/>
      <c r="Q53" s="302"/>
      <c r="R53" s="302"/>
    </row>
    <row r="54" spans="1:18" s="142" customFormat="1" x14ac:dyDescent="0.15">
      <c r="A54" s="118"/>
      <c r="B54" s="72" t="s">
        <v>146</v>
      </c>
      <c r="C54" s="72" t="s">
        <v>161</v>
      </c>
      <c r="D54" s="477">
        <f>'Offroad Data'!P60*SUMIFS('Emission Factors'!$H$60:$H$100,'Emission Factors'!$B$60:$B$100,'Off-road'!$B54,'Emission Factors'!$A$60:$A$100,'Off-road'!$C54)/grams_to_mton</f>
        <v>0</v>
      </c>
      <c r="E54" s="477">
        <f>'Offroad Data'!Q60*SUMIFS('Emission Factors'!$H$60:$H$100,'Emission Factors'!$B$60:$B$100,'Off-road'!$B54,'Emission Factors'!$A$60:$A$100,'Off-road'!$C54)/grams_to_mton</f>
        <v>8.8761061990999993E-2</v>
      </c>
      <c r="F54" s="477">
        <f>'Offroad Data'!R60*SUMIFS('Emission Factors'!$H$60:$H$100,'Emission Factors'!$B$60:$B$100,'Off-road'!$B54,'Emission Factors'!$A$60:$A$100,'Off-road'!$C54)/grams_to_mton</f>
        <v>8.8761061990999993E-2</v>
      </c>
      <c r="G54" s="477">
        <f>'Offroad Data'!S60*SUMIFS('Emission Factors'!$H$60:$H$100,'Emission Factors'!$B$60:$B$100,'Off-road'!$B54,'Emission Factors'!$A$60:$A$100,'Off-road'!$C54)/grams_to_mton</f>
        <v>1.440069246982811E-2</v>
      </c>
      <c r="H54" s="477">
        <f>'Offroad Data'!T60*SUMIFS('Emission Factors'!$H$60:$H$100,'Emission Factors'!$B$60:$B$100,'Off-road'!$B54,'Emission Factors'!$A$60:$A$100,'Off-road'!$C54)/grams_to_mton</f>
        <v>2.1826234256999994E-2</v>
      </c>
      <c r="I54" s="477">
        <f>'Offroad Data'!U60*SUMIFS('Emission Factors'!$H$60:$H$100,'Emission Factors'!$B$60:$B$100,'Off-road'!$B54,'Emission Factors'!$A$60:$A$100,'Off-road'!$C54)/grams_to_mton</f>
        <v>3.8324822569999951E-2</v>
      </c>
      <c r="J54" s="477">
        <f>'Offroad Data'!V60*SUMIFS('Emission Factors'!$H$60:$H$100,'Emission Factors'!$B$60:$B$100,'Off-road'!$B54,'Emission Factors'!$A$60:$A$100,'Off-road'!$C54)/grams_to_mton</f>
        <v>5.2934677207999992E-2</v>
      </c>
      <c r="K54" s="477">
        <f>'Offroad Data'!W60*SUMIFS('Emission Factors'!$H$60:$H$100,'Emission Factors'!$B$60:$B$100,'Off-road'!$B54,'Emission Factors'!$A$60:$A$100,'Off-road'!$C54)/grams_to_mton</f>
        <v>0.12691332945999975</v>
      </c>
      <c r="L54" s="477">
        <f>'Offroad Data'!X60*SUMIFS('Emission Factors'!$H$60:$H$100,'Emission Factors'!$B$60:$B$100,'Off-road'!$B54,'Emission Factors'!$A$60:$A$100,'Off-road'!$C54)/grams_to_mton</f>
        <v>0.132980642382</v>
      </c>
      <c r="M54" s="377">
        <f t="shared" si="2"/>
        <v>0.47614146033782778</v>
      </c>
      <c r="N54" s="119"/>
      <c r="O54" s="302"/>
      <c r="P54" s="302"/>
      <c r="Q54" s="302"/>
      <c r="R54" s="302"/>
    </row>
    <row r="55" spans="1:18" s="142" customFormat="1" x14ac:dyDescent="0.15">
      <c r="A55" s="118"/>
      <c r="B55" s="72" t="s">
        <v>146</v>
      </c>
      <c r="C55" s="72" t="s">
        <v>158</v>
      </c>
      <c r="D55" s="477">
        <f>'Offroad Data'!P61*SUMIFS('Emission Factors'!$H$60:$H$100,'Emission Factors'!$B$60:$B$100,'Off-road'!$B55,'Emission Factors'!$A$60:$A$100,'Off-road'!$C55)/grams_to_mton</f>
        <v>3.9523734074459915E-2</v>
      </c>
      <c r="E55" s="477">
        <f>'Offroad Data'!Q61*SUMIFS('Emission Factors'!$H$60:$H$100,'Emission Factors'!$B$60:$B$100,'Off-road'!$B55,'Emission Factors'!$A$60:$A$100,'Off-road'!$C55)/grams_to_mton</f>
        <v>7.64320176015401E-2</v>
      </c>
      <c r="F55" s="477">
        <f>'Offroad Data'!R61*SUMIFS('Emission Factors'!$H$60:$H$100,'Emission Factors'!$B$60:$B$100,'Off-road'!$B55,'Emission Factors'!$A$60:$A$100,'Off-road'!$C55)/grams_to_mton</f>
        <v>0.11595575167600002</v>
      </c>
      <c r="G55" s="477">
        <f>'Offroad Data'!S61*SUMIFS('Emission Factors'!$H$60:$H$100,'Emission Factors'!$B$60:$B$100,'Off-road'!$B55,'Emission Factors'!$A$60:$A$100,'Off-road'!$C55)/grams_to_mton</f>
        <v>9.4697304400000001E-2</v>
      </c>
      <c r="H55" s="477">
        <f>'Offroad Data'!T61*SUMIFS('Emission Factors'!$H$60:$H$100,'Emission Factors'!$B$60:$B$100,'Off-road'!$B55,'Emission Factors'!$A$60:$A$100,'Off-road'!$C55)/grams_to_mton</f>
        <v>1.159557501090625E-2</v>
      </c>
      <c r="I55" s="477">
        <f>'Offroad Data'!U61*SUMIFS('Emission Factors'!$H$60:$H$100,'Emission Factors'!$B$60:$B$100,'Off-road'!$B55,'Emission Factors'!$A$60:$A$100,'Off-road'!$C55)/grams_to_mton</f>
        <v>0</v>
      </c>
      <c r="J55" s="477">
        <f>'Offroad Data'!V61*SUMIFS('Emission Factors'!$H$60:$H$100,'Emission Factors'!$B$60:$B$100,'Off-road'!$B55,'Emission Factors'!$A$60:$A$100,'Off-road'!$C55)/grams_to_mton</f>
        <v>7.5371336380000015E-2</v>
      </c>
      <c r="K55" s="477">
        <f>'Offroad Data'!W61*SUMIFS('Emission Factors'!$H$60:$H$100,'Emission Factors'!$B$60:$B$100,'Off-road'!$B55,'Emission Factors'!$A$60:$A$100,'Off-road'!$C55)/grams_to_mton</f>
        <v>0</v>
      </c>
      <c r="L55" s="477">
        <f>'Offroad Data'!X61*SUMIFS('Emission Factors'!$H$60:$H$100,'Emission Factors'!$B$60:$B$100,'Off-road'!$B55,'Emission Factors'!$A$60:$A$100,'Off-road'!$C55)/grams_to_mton</f>
        <v>0.11595575167600002</v>
      </c>
      <c r="M55" s="375">
        <f t="shared" si="2"/>
        <v>0.41357571914290631</v>
      </c>
      <c r="N55" s="119"/>
      <c r="O55" s="302"/>
      <c r="P55" s="302"/>
      <c r="Q55" s="302"/>
      <c r="R55" s="302"/>
    </row>
    <row r="56" spans="1:18" s="142" customFormat="1" x14ac:dyDescent="0.15">
      <c r="A56" s="118"/>
      <c r="B56" s="72" t="s">
        <v>146</v>
      </c>
      <c r="C56" s="72" t="s">
        <v>162</v>
      </c>
      <c r="D56" s="477">
        <f>'Offroad Data'!P62*SUMIFS('Emission Factors'!$H$60:$H$100,'Emission Factors'!$B$60:$B$100,'Off-road'!$B56,'Emission Factors'!$A$60:$A$100,'Off-road'!$C56)/grams_to_mton</f>
        <v>9.9814606257460192E-2</v>
      </c>
      <c r="E56" s="477">
        <f>'Offroad Data'!Q62*SUMIFS('Emission Factors'!$H$60:$H$100,'Emission Factors'!$B$60:$B$100,'Off-road'!$B56,'Emission Factors'!$A$60:$A$100,'Off-road'!$C56)/grams_to_mton</f>
        <v>3.5554966301968298E-2</v>
      </c>
      <c r="F56" s="477">
        <f>'Offroad Data'!R62*SUMIFS('Emission Factors'!$H$60:$H$100,'Emission Factors'!$B$60:$B$100,'Off-road'!$B56,'Emission Factors'!$A$60:$A$100,'Off-road'!$C56)/grams_to_mton</f>
        <v>0.1353695725594285</v>
      </c>
      <c r="G56" s="477">
        <f>'Offroad Data'!S62*SUMIFS('Emission Factors'!$H$60:$H$100,'Emission Factors'!$B$60:$B$100,'Off-road'!$B56,'Emission Factors'!$A$60:$A$100,'Off-road'!$C56)/grams_to_mton</f>
        <v>5.5986388032857E-2</v>
      </c>
      <c r="H56" s="477">
        <f>'Offroad Data'!T62*SUMIFS('Emission Factors'!$H$60:$H$100,'Emission Factors'!$B$60:$B$100,'Off-road'!$B56,'Emission Factors'!$A$60:$A$100,'Off-road'!$C56)/grams_to_mton</f>
        <v>2.4360773990825754E-2</v>
      </c>
      <c r="I56" s="477">
        <f>'Offroad Data'!U62*SUMIFS('Emission Factors'!$H$60:$H$100,'Emission Factors'!$B$60:$B$100,'Off-road'!$B56,'Emission Factors'!$A$60:$A$100,'Off-road'!$C56)/grams_to_mton</f>
        <v>3.8994825815834222E-3</v>
      </c>
      <c r="J56" s="477">
        <f>'Offroad Data'!V62*SUMIFS('Emission Factors'!$H$60:$H$100,'Emission Factors'!$B$60:$B$100,'Off-road'!$B56,'Emission Factors'!$A$60:$A$100,'Off-road'!$C56)/grams_to_mton</f>
        <v>1.80853006370424E-2</v>
      </c>
      <c r="K56" s="477">
        <f>'Offroad Data'!W62*SUMIFS('Emission Factors'!$H$60:$H$100,'Emission Factors'!$B$60:$B$100,'Off-road'!$B56,'Emission Factors'!$A$60:$A$100,'Off-road'!$C56)/grams_to_mton</f>
        <v>3.5307961038155474E-3</v>
      </c>
      <c r="L56" s="477">
        <f>'Offroad Data'!X62*SUMIFS('Emission Factors'!$H$60:$H$100,'Emission Factors'!$B$60:$B$100,'Off-road'!$B56,'Emission Factors'!$A$60:$A$100,'Off-road'!$C56)/grams_to_mton</f>
        <v>2.9918928782571252E-2</v>
      </c>
      <c r="M56" s="375">
        <f t="shared" si="2"/>
        <v>0.27115124268812385</v>
      </c>
      <c r="N56" s="119"/>
      <c r="O56" s="302"/>
      <c r="P56" s="302"/>
      <c r="Q56" s="302"/>
      <c r="R56" s="302"/>
    </row>
    <row r="57" spans="1:18" s="142" customFormat="1" x14ac:dyDescent="0.15">
      <c r="A57" s="118"/>
      <c r="B57" s="174" t="s">
        <v>146</v>
      </c>
      <c r="C57" s="174" t="s">
        <v>163</v>
      </c>
      <c r="D57" s="478">
        <f>'Offroad Data'!P63*SUMIFS('Emission Factors'!$H$60:$H$100,'Emission Factors'!$B$60:$B$100,'Off-road'!$B57,'Emission Factors'!$A$60:$A$100,'Off-road'!$C57)/grams_to_mton</f>
        <v>2.9668342711967052E-2</v>
      </c>
      <c r="E57" s="478">
        <f>'Offroad Data'!Q63*SUMIFS('Emission Factors'!$H$60:$H$100,'Emission Factors'!$B$60:$B$100,'Off-road'!$B57,'Emission Factors'!$A$60:$A$100,'Off-road'!$C57)/grams_to_mton</f>
        <v>2.7316629580032944E-2</v>
      </c>
      <c r="F57" s="478">
        <f>'Offroad Data'!R63*SUMIFS('Emission Factors'!$H$60:$H$100,'Emission Factors'!$B$60:$B$100,'Off-road'!$B57,'Emission Factors'!$A$60:$A$100,'Off-road'!$C57)/grams_to_mton</f>
        <v>5.6984972291999995E-2</v>
      </c>
      <c r="G57" s="478">
        <f>'Offroad Data'!S63*SUMIFS('Emission Factors'!$H$60:$H$100,'Emission Factors'!$B$60:$B$100,'Off-road'!$B57,'Emission Factors'!$A$60:$A$100,'Off-road'!$C57)/grams_to_mton</f>
        <v>9.9104404851339256E-3</v>
      </c>
      <c r="H57" s="478">
        <f>'Offroad Data'!T63*SUMIFS('Emission Factors'!$H$60:$H$100,'Emission Factors'!$B$60:$B$100,'Off-road'!$B57,'Emission Factors'!$A$60:$A$100,'Off-road'!$C57)/grams_to_mton</f>
        <v>4.9552185746975308E-3</v>
      </c>
      <c r="I57" s="478">
        <f>'Offroad Data'!U63*SUMIFS('Emission Factors'!$H$60:$H$100,'Emission Factors'!$B$60:$B$100,'Off-road'!$B57,'Emission Factors'!$A$60:$A$100,'Off-road'!$C57)/grams_to_mton</f>
        <v>9.9104404851339256E-3</v>
      </c>
      <c r="J57" s="478">
        <f>'Offroad Data'!V63*SUMIFS('Emission Factors'!$H$60:$H$100,'Emission Factors'!$B$60:$B$100,'Off-road'!$B57,'Emission Factors'!$A$60:$A$100,'Off-road'!$C57)/grams_to_mton</f>
        <v>2.9731312331999996E-2</v>
      </c>
      <c r="K57" s="478">
        <f>'Offroad Data'!W63*SUMIFS('Emission Factors'!$H$60:$H$100,'Emission Factors'!$B$60:$B$100,'Off-road'!$B57,'Emission Factors'!$A$60:$A$100,'Off-road'!$C57)/grams_to_mton</f>
        <v>7.432832497595963E-3</v>
      </c>
      <c r="L57" s="478">
        <f>'Offroad Data'!X63*SUMIFS('Emission Factors'!$H$60:$H$100,'Emission Factors'!$B$60:$B$100,'Off-road'!$B57,'Emission Factors'!$A$60:$A$100,'Off-road'!$C57)/grams_to_mton</f>
        <v>1.2388047475071426E-2</v>
      </c>
      <c r="M57" s="376">
        <f t="shared" si="2"/>
        <v>0.13131326414163277</v>
      </c>
      <c r="N57" s="119"/>
      <c r="O57" s="302"/>
      <c r="P57" s="302"/>
      <c r="Q57" s="302"/>
      <c r="R57" s="302"/>
    </row>
    <row r="58" spans="1:18" s="142" customFormat="1" x14ac:dyDescent="0.15">
      <c r="A58" s="118"/>
      <c r="B58" s="72" t="s">
        <v>164</v>
      </c>
      <c r="C58" s="72" t="s">
        <v>155</v>
      </c>
      <c r="D58" s="477">
        <f>'Offroad Data'!P64*SUMIFS('Emission Factors'!$H$60:$H$100,'Emission Factors'!$B$60:$B$100,'Off-road'!$B58,'Emission Factors'!$A$60:$A$100,'Off-road'!$C58)/grams_to_mton</f>
        <v>0</v>
      </c>
      <c r="E58" s="477">
        <f>'Offroad Data'!Q64*SUMIFS('Emission Factors'!$H$60:$H$100,'Emission Factors'!$B$60:$B$100,'Off-road'!$B58,'Emission Factors'!$A$60:$A$100,'Off-road'!$C58)/grams_to_mton</f>
        <v>6.8459460097743434E-6</v>
      </c>
      <c r="F58" s="477">
        <f>'Offroad Data'!R64*SUMIFS('Emission Factors'!$H$60:$H$100,'Emission Factors'!$B$60:$B$100,'Off-road'!$B58,'Emission Factors'!$A$60:$A$100,'Off-road'!$C58)/grams_to_mton</f>
        <v>6.8459460097743434E-6</v>
      </c>
      <c r="G58" s="477">
        <f>'Offroad Data'!S64*SUMIFS('Emission Factors'!$H$60:$H$100,'Emission Factors'!$B$60:$B$100,'Off-road'!$B58,'Emission Factors'!$A$60:$A$100,'Off-road'!$C58)/grams_to_mton</f>
        <v>2.2990579147818429E-6</v>
      </c>
      <c r="H58" s="477">
        <f>'Offroad Data'!T64*SUMIFS('Emission Factors'!$H$60:$H$100,'Emission Factors'!$B$60:$B$100,'Off-road'!$B58,'Emission Factors'!$A$60:$A$100,'Off-road'!$C58)/grams_to_mton</f>
        <v>8.2185617941964213E-5</v>
      </c>
      <c r="I58" s="477">
        <f>'Offroad Data'!U64*SUMIFS('Emission Factors'!$H$60:$H$100,'Emission Factors'!$B$60:$B$100,'Off-road'!$B58,'Emission Factors'!$A$60:$A$100,'Off-road'!$C58)/grams_to_mton</f>
        <v>7.1965920435895612E-5</v>
      </c>
      <c r="J58" s="477">
        <f>'Offroad Data'!V64*SUMIFS('Emission Factors'!$H$60:$H$100,'Emission Factors'!$B$60:$B$100,'Off-road'!$B58,'Emission Factors'!$A$60:$A$100,'Off-road'!$C58)/grams_to_mton</f>
        <v>1.3636090157671218E-5</v>
      </c>
      <c r="K58" s="477">
        <f>'Offroad Data'!W64*SUMIFS('Emission Factors'!$H$60:$H$100,'Emission Factors'!$B$60:$B$100,'Off-road'!$B58,'Emission Factors'!$A$60:$A$100,'Off-road'!$C58)/grams_to_mton</f>
        <v>9.267526973374668E-5</v>
      </c>
      <c r="L58" s="477">
        <f>'Offroad Data'!X64*SUMIFS('Emission Factors'!$H$60:$H$100,'Emission Factors'!$B$60:$B$100,'Off-road'!$B58,'Emission Factors'!$A$60:$A$100,'Off-road'!$C58)/grams_to_mton</f>
        <v>1.1206835013044085E-4</v>
      </c>
      <c r="M58" s="375">
        <f t="shared" si="2"/>
        <v>3.8167625232427477E-4</v>
      </c>
      <c r="N58" s="119"/>
      <c r="O58" s="302"/>
      <c r="P58" s="302"/>
      <c r="Q58" s="302"/>
      <c r="R58" s="302"/>
    </row>
    <row r="59" spans="1:18" s="142" customFormat="1" x14ac:dyDescent="0.15">
      <c r="A59" s="118"/>
      <c r="B59" s="72" t="s">
        <v>164</v>
      </c>
      <c r="C59" s="72" t="s">
        <v>104</v>
      </c>
      <c r="D59" s="477">
        <f>'Offroad Data'!P65*SUMIFS('Emission Factors'!$H$60:$H$100,'Emission Factors'!$B$60:$B$100,'Off-road'!$B59,'Emission Factors'!$A$60:$A$100,'Off-road'!$C59)/grams_to_mton</f>
        <v>0</v>
      </c>
      <c r="E59" s="477">
        <f>'Offroad Data'!Q65*SUMIFS('Emission Factors'!$H$60:$H$100,'Emission Factors'!$B$60:$B$100,'Off-road'!$B59,'Emission Factors'!$A$60:$A$100,'Off-road'!$C59)/grams_to_mton</f>
        <v>0</v>
      </c>
      <c r="F59" s="477">
        <f>'Offroad Data'!R65*SUMIFS('Emission Factors'!$H$60:$H$100,'Emission Factors'!$B$60:$B$100,'Off-road'!$B59,'Emission Factors'!$A$60:$A$100,'Off-road'!$C59)/grams_to_mton</f>
        <v>0</v>
      </c>
      <c r="G59" s="477">
        <f>'Offroad Data'!S65*SUMIFS('Emission Factors'!$H$60:$H$100,'Emission Factors'!$B$60:$B$100,'Off-road'!$B59,'Emission Factors'!$A$60:$A$100,'Off-road'!$C59)/grams_to_mton</f>
        <v>0</v>
      </c>
      <c r="H59" s="477">
        <f>'Offroad Data'!T65*SUMIFS('Emission Factors'!$H$60:$H$100,'Emission Factors'!$B$60:$B$100,'Off-road'!$B59,'Emission Factors'!$A$60:$A$100,'Off-road'!$C59)/grams_to_mton</f>
        <v>0</v>
      </c>
      <c r="I59" s="477">
        <f>'Offroad Data'!U65*SUMIFS('Emission Factors'!$H$60:$H$100,'Emission Factors'!$B$60:$B$100,'Off-road'!$B59,'Emission Factors'!$A$60:$A$100,'Off-road'!$C59)/grams_to_mton</f>
        <v>0</v>
      </c>
      <c r="J59" s="477">
        <f>'Offroad Data'!V65*SUMIFS('Emission Factors'!$H$60:$H$100,'Emission Factors'!$B$60:$B$100,'Off-road'!$B59,'Emission Factors'!$A$60:$A$100,'Off-road'!$C59)/grams_to_mton</f>
        <v>0</v>
      </c>
      <c r="K59" s="477">
        <f>'Offroad Data'!W65*SUMIFS('Emission Factors'!$H$60:$H$100,'Emission Factors'!$B$60:$B$100,'Off-road'!$B59,'Emission Factors'!$A$60:$A$100,'Off-road'!$C59)/grams_to_mton</f>
        <v>0</v>
      </c>
      <c r="L59" s="477">
        <f>'Offroad Data'!X65*SUMIFS('Emission Factors'!$H$60:$H$100,'Emission Factors'!$B$60:$B$100,'Off-road'!$B59,'Emission Factors'!$A$60:$A$100,'Off-road'!$C59)/grams_to_mton</f>
        <v>0</v>
      </c>
      <c r="M59" s="375">
        <f t="shared" si="2"/>
        <v>0</v>
      </c>
      <c r="N59" s="119"/>
      <c r="O59" s="302"/>
      <c r="P59" s="302"/>
      <c r="Q59" s="302"/>
      <c r="R59" s="302"/>
    </row>
    <row r="60" spans="1:18" s="142" customFormat="1" x14ac:dyDescent="0.15">
      <c r="A60" s="118"/>
      <c r="B60" s="173" t="s">
        <v>164</v>
      </c>
      <c r="C60" s="173" t="s">
        <v>156</v>
      </c>
      <c r="D60" s="477">
        <f>'Offroad Data'!P66*SUMIFS('Emission Factors'!$H$60:$H$100,'Emission Factors'!$B$60:$B$100,'Off-road'!$B60,'Emission Factors'!$A$60:$A$100,'Off-road'!$C60)/grams_to_mton</f>
        <v>3.1256855832907438E-2</v>
      </c>
      <c r="E60" s="477">
        <f>'Offroad Data'!Q66*SUMIFS('Emission Factors'!$H$60:$H$100,'Emission Factors'!$B$60:$B$100,'Off-road'!$B60,'Emission Factors'!$A$60:$A$100,'Off-road'!$C60)/grams_to_mton</f>
        <v>6.0445314976789136E-2</v>
      </c>
      <c r="F60" s="477">
        <f>'Offroad Data'!R66*SUMIFS('Emission Factors'!$H$60:$H$100,'Emission Factors'!$B$60:$B$100,'Off-road'!$B60,'Emission Factors'!$A$60:$A$100,'Off-road'!$C60)/grams_to_mton</f>
        <v>9.1702170809696573E-2</v>
      </c>
      <c r="G60" s="477">
        <f>'Offroad Data'!S66*SUMIFS('Emission Factors'!$H$60:$H$100,'Emission Factors'!$B$60:$B$100,'Off-road'!$B60,'Emission Factors'!$A$60:$A$100,'Off-road'!$C60)/grams_to_mton</f>
        <v>2.299725647030226E-2</v>
      </c>
      <c r="H60" s="477">
        <f>'Offroad Data'!T66*SUMIFS('Emission Factors'!$H$60:$H$100,'Emission Factors'!$B$60:$B$100,'Off-road'!$B60,'Emission Factors'!$A$60:$A$100,'Off-road'!$C60)/grams_to_mton</f>
        <v>2.1066308145276932E-2</v>
      </c>
      <c r="I60" s="477">
        <f>'Offroad Data'!U66*SUMIFS('Emission Factors'!$H$60:$H$100,'Emission Factors'!$B$60:$B$100,'Off-road'!$B60,'Emission Factors'!$A$60:$A$100,'Off-road'!$C60)/grams_to_mton</f>
        <v>4.9105149959148588E-3</v>
      </c>
      <c r="J60" s="477">
        <f>'Offroad Data'!V66*SUMIFS('Emission Factors'!$H$60:$H$100,'Emission Factors'!$B$60:$B$100,'Off-road'!$B60,'Emission Factors'!$A$60:$A$100,'Off-road'!$C60)/grams_to_mton</f>
        <v>1.6985483095026229E-2</v>
      </c>
      <c r="K60" s="477">
        <f>'Offroad Data'!W66*SUMIFS('Emission Factors'!$H$60:$H$100,'Emission Factors'!$B$60:$B$100,'Off-road'!$B60,'Emission Factors'!$A$60:$A$100,'Off-road'!$C60)/grams_to_mton</f>
        <v>1.2869573235096961E-2</v>
      </c>
      <c r="L60" s="477">
        <f>'Offroad Data'!X66*SUMIFS('Emission Factors'!$H$60:$H$100,'Emission Factors'!$B$60:$B$100,'Off-road'!$B60,'Emission Factors'!$A$60:$A$100,'Off-road'!$C60)/grams_to_mton</f>
        <v>3.0170890199794926E-2</v>
      </c>
      <c r="M60" s="375">
        <f t="shared" si="2"/>
        <v>0.20070219695110875</v>
      </c>
      <c r="N60" s="119"/>
      <c r="O60" s="302"/>
      <c r="P60" s="302"/>
      <c r="Q60" s="302"/>
      <c r="R60" s="302"/>
    </row>
    <row r="61" spans="1:18" s="142" customFormat="1" x14ac:dyDescent="0.15">
      <c r="A61" s="118"/>
      <c r="B61" s="173" t="s">
        <v>164</v>
      </c>
      <c r="C61" s="173" t="s">
        <v>157</v>
      </c>
      <c r="D61" s="477">
        <f>'Offroad Data'!P67*SUMIFS('Emission Factors'!$H$60:$H$100,'Emission Factors'!$B$60:$B$100,'Off-road'!$B61,'Emission Factors'!$A$60:$A$100,'Off-road'!$C61)/grams_to_mton</f>
        <v>5.4467441957239385E-4</v>
      </c>
      <c r="E61" s="477">
        <f>'Offroad Data'!Q67*SUMIFS('Emission Factors'!$H$60:$H$100,'Emission Factors'!$B$60:$B$100,'Off-road'!$B61,'Emission Factors'!$A$60:$A$100,'Off-road'!$C61)/grams_to_mton</f>
        <v>1.0533054580682284E-3</v>
      </c>
      <c r="F61" s="477">
        <f>'Offroad Data'!R67*SUMIFS('Emission Factors'!$H$60:$H$100,'Emission Factors'!$B$60:$B$100,'Off-road'!$B61,'Emission Factors'!$A$60:$A$100,'Off-road'!$C61)/grams_to_mton</f>
        <v>1.5979798776406221E-3</v>
      </c>
      <c r="G61" s="477">
        <f>'Offroad Data'!S67*SUMIFS('Emission Factors'!$H$60:$H$100,'Emission Factors'!$B$60:$B$100,'Off-road'!$B61,'Emission Factors'!$A$60:$A$100,'Off-road'!$C61)/grams_to_mton</f>
        <v>4.0965868633768062E-4</v>
      </c>
      <c r="H61" s="477">
        <f>'Offroad Data'!T67*SUMIFS('Emission Factors'!$H$60:$H$100,'Emission Factors'!$B$60:$B$100,'Off-road'!$B61,'Emission Factors'!$A$60:$A$100,'Off-road'!$C61)/grams_to_mton</f>
        <v>2.1807000682903167E-4</v>
      </c>
      <c r="I61" s="477">
        <f>'Offroad Data'!U67*SUMIFS('Emission Factors'!$H$60:$H$100,'Emission Factors'!$B$60:$B$100,'Off-road'!$B61,'Emission Factors'!$A$60:$A$100,'Off-road'!$C61)/grams_to_mton</f>
        <v>1.2647696246466425E-5</v>
      </c>
      <c r="J61" s="477">
        <f>'Offroad Data'!V67*SUMIFS('Emission Factors'!$H$60:$H$100,'Emission Factors'!$B$60:$B$100,'Off-road'!$B61,'Emission Factors'!$A$60:$A$100,'Off-road'!$C61)/grams_to_mton</f>
        <v>3.1108101299511665E-4</v>
      </c>
      <c r="K61" s="477">
        <f>'Offroad Data'!W67*SUMIFS('Emission Factors'!$H$60:$H$100,'Emission Factors'!$B$60:$B$100,'Off-road'!$B61,'Emission Factors'!$A$60:$A$100,'Off-road'!$C61)/grams_to_mton</f>
        <v>1.6212958641826503E-4</v>
      </c>
      <c r="L61" s="477">
        <f>'Offroad Data'!X67*SUMIFS('Emission Factors'!$H$60:$H$100,'Emission Factors'!$B$60:$B$100,'Off-road'!$B61,'Emission Factors'!$A$60:$A$100,'Off-road'!$C61)/grams_to_mton</f>
        <v>1.4941596943823229E-4</v>
      </c>
      <c r="M61" s="375">
        <f t="shared" si="2"/>
        <v>2.860982835905415E-3</v>
      </c>
      <c r="N61" s="119"/>
      <c r="O61" s="302"/>
      <c r="P61" s="302"/>
      <c r="Q61" s="302"/>
      <c r="R61" s="302"/>
    </row>
    <row r="62" spans="1:18" s="142" customFormat="1" x14ac:dyDescent="0.15">
      <c r="A62" s="118"/>
      <c r="B62" s="173" t="s">
        <v>164</v>
      </c>
      <c r="C62" s="173" t="s">
        <v>160</v>
      </c>
      <c r="D62" s="477">
        <f>'Offroad Data'!P68*SUMIFS('Emission Factors'!$H$60:$H$100,'Emission Factors'!$B$60:$B$100,'Off-road'!$B62,'Emission Factors'!$A$60:$A$100,'Off-road'!$C62)/grams_to_mton</f>
        <v>0.23092990542854808</v>
      </c>
      <c r="E62" s="477">
        <f>'Offroad Data'!Q68*SUMIFS('Emission Factors'!$H$60:$H$100,'Emission Factors'!$B$60:$B$100,'Off-road'!$B62,'Emission Factors'!$A$60:$A$100,'Off-road'!$C62)/grams_to_mton</f>
        <v>0.73060042263221991</v>
      </c>
      <c r="F62" s="477">
        <f>'Offroad Data'!R68*SUMIFS('Emission Factors'!$H$60:$H$100,'Emission Factors'!$B$60:$B$100,'Off-road'!$B62,'Emission Factors'!$A$60:$A$100,'Off-road'!$C62)/grams_to_mton</f>
        <v>0.9615303280607681</v>
      </c>
      <c r="G62" s="477">
        <f>'Offroad Data'!S68*SUMIFS('Emission Factors'!$H$60:$H$100,'Emission Factors'!$B$60:$B$100,'Off-road'!$B62,'Emission Factors'!$A$60:$A$100,'Off-road'!$C62)/grams_to_mton</f>
        <v>0.47678613286346472</v>
      </c>
      <c r="H62" s="477">
        <f>'Offroad Data'!T68*SUMIFS('Emission Factors'!$H$60:$H$100,'Emission Factors'!$B$60:$B$100,'Off-road'!$B62,'Emission Factors'!$A$60:$A$100,'Off-road'!$C62)/grams_to_mton</f>
        <v>0.24750181232472451</v>
      </c>
      <c r="I62" s="477">
        <f>'Offroad Data'!U68*SUMIFS('Emission Factors'!$H$60:$H$100,'Emission Factors'!$B$60:$B$100,'Off-road'!$B62,'Emission Factors'!$A$60:$A$100,'Off-road'!$C62)/grams_to_mton</f>
        <v>2.1920899319091303E-2</v>
      </c>
      <c r="J62" s="477">
        <f>'Offroad Data'!V68*SUMIFS('Emission Factors'!$H$60:$H$100,'Emission Factors'!$B$60:$B$100,'Off-road'!$B62,'Emission Factors'!$A$60:$A$100,'Off-road'!$C62)/grams_to_mton</f>
        <v>0.42154582587731104</v>
      </c>
      <c r="K62" s="477">
        <f>'Offroad Data'!W68*SUMIFS('Emission Factors'!$H$60:$H$100,'Emission Factors'!$B$60:$B$100,'Off-road'!$B62,'Emission Factors'!$A$60:$A$100,'Off-road'!$C62)/grams_to_mton</f>
        <v>0.11538202248200408</v>
      </c>
      <c r="L62" s="477">
        <f>'Offroad Data'!X68*SUMIFS('Emission Factors'!$H$60:$H$100,'Emission Factors'!$B$60:$B$100,'Off-road'!$B62,'Emission Factors'!$A$60:$A$100,'Off-road'!$C62)/grams_to_mton</f>
        <v>0.18950521268958989</v>
      </c>
      <c r="M62" s="375">
        <f t="shared" si="2"/>
        <v>2.434172233616954</v>
      </c>
      <c r="N62" s="119"/>
      <c r="O62" s="302"/>
      <c r="P62" s="302"/>
      <c r="Q62" s="302"/>
      <c r="R62" s="302"/>
    </row>
    <row r="63" spans="1:18" s="142" customFormat="1" x14ac:dyDescent="0.15">
      <c r="A63" s="118"/>
      <c r="B63" s="173" t="s">
        <v>164</v>
      </c>
      <c r="C63" s="173" t="s">
        <v>161</v>
      </c>
      <c r="D63" s="477">
        <f>'Offroad Data'!P69*SUMIFS('Emission Factors'!$H$60:$H$100,'Emission Factors'!$B$60:$B$100,'Off-road'!$B63,'Emission Factors'!$A$60:$A$100,'Off-road'!$C63)/grams_to_mton</f>
        <v>0</v>
      </c>
      <c r="E63" s="477">
        <f>'Offroad Data'!Q69*SUMIFS('Emission Factors'!$H$60:$H$100,'Emission Factors'!$B$60:$B$100,'Off-road'!$B63,'Emission Factors'!$A$60:$A$100,'Off-road'!$C63)/grams_to_mton</f>
        <v>4.6906277701618307E-4</v>
      </c>
      <c r="F63" s="477">
        <f>'Offroad Data'!R69*SUMIFS('Emission Factors'!$H$60:$H$100,'Emission Factors'!$B$60:$B$100,'Off-road'!$B63,'Emission Factors'!$A$60:$A$100,'Off-road'!$C63)/grams_to_mton</f>
        <v>4.6906277701618307E-4</v>
      </c>
      <c r="G63" s="477">
        <f>'Offroad Data'!S69*SUMIFS('Emission Factors'!$H$60:$H$100,'Emission Factors'!$B$60:$B$100,'Off-road'!$B63,'Emission Factors'!$A$60:$A$100,'Off-road'!$C63)/grams_to_mton</f>
        <v>7.6101258337193063E-5</v>
      </c>
      <c r="H63" s="477">
        <f>'Offroad Data'!T69*SUMIFS('Emission Factors'!$H$60:$H$100,'Emission Factors'!$B$60:$B$100,'Off-road'!$B63,'Emission Factors'!$A$60:$A$100,'Off-road'!$C63)/grams_to_mton</f>
        <v>1.1534219398897868E-4</v>
      </c>
      <c r="I63" s="477">
        <f>'Offroad Data'!U69*SUMIFS('Emission Factors'!$H$60:$H$100,'Emission Factors'!$B$60:$B$100,'Off-road'!$B63,'Emission Factors'!$A$60:$A$100,'Off-road'!$C63)/grams_to_mton</f>
        <v>2.0252958111662881E-4</v>
      </c>
      <c r="J63" s="477">
        <f>'Offroad Data'!V69*SUMIFS('Emission Factors'!$H$60:$H$100,'Emission Factors'!$B$60:$B$100,'Off-road'!$B63,'Emission Factors'!$A$60:$A$100,'Off-road'!$C63)/grams_to_mton</f>
        <v>2.7973633924609345E-4</v>
      </c>
      <c r="K63" s="477">
        <f>'Offroad Data'!W69*SUMIFS('Emission Factors'!$H$60:$H$100,'Emission Factors'!$B$60:$B$100,'Off-road'!$B63,'Emission Factors'!$A$60:$A$100,'Off-road'!$C63)/grams_to_mton</f>
        <v>6.7068057686049112E-4</v>
      </c>
      <c r="L63" s="477">
        <f>'Offroad Data'!X69*SUMIFS('Emission Factors'!$H$60:$H$100,'Emission Factors'!$B$60:$B$100,'Off-road'!$B63,'Emission Factors'!$A$60:$A$100,'Off-road'!$C63)/grams_to_mton</f>
        <v>7.0274528428124997E-4</v>
      </c>
      <c r="M63" s="375">
        <f t="shared" si="2"/>
        <v>2.5161980108468181E-3</v>
      </c>
      <c r="N63" s="119"/>
      <c r="O63" s="302"/>
      <c r="P63" s="302"/>
      <c r="Q63" s="302"/>
      <c r="R63" s="302"/>
    </row>
    <row r="64" spans="1:18" s="142" customFormat="1" x14ac:dyDescent="0.15">
      <c r="A64" s="118"/>
      <c r="B64" s="173" t="s">
        <v>164</v>
      </c>
      <c r="C64" s="173" t="s">
        <v>163</v>
      </c>
      <c r="D64" s="477">
        <f>'Offroad Data'!P70*SUMIFS('Emission Factors'!$H$60:$H$100,'Emission Factors'!$B$60:$B$100,'Off-road'!$B64,'Emission Factors'!$A$60:$A$100,'Off-road'!$C64)/grams_to_mton</f>
        <v>3.812611188069602E-2</v>
      </c>
      <c r="E64" s="477">
        <f>'Offroad Data'!Q70*SUMIFS('Emission Factors'!$H$60:$H$100,'Emission Factors'!$B$60:$B$100,'Off-road'!$B64,'Emission Factors'!$A$60:$A$100,'Off-road'!$C64)/grams_to_mton</f>
        <v>3.5103978866732409E-2</v>
      </c>
      <c r="F64" s="477">
        <f>'Offroad Data'!R70*SUMIFS('Emission Factors'!$H$60:$H$100,'Emission Factors'!$B$60:$B$100,'Off-road'!$B64,'Emission Factors'!$A$60:$A$100,'Off-road'!$C64)/grams_to_mton</f>
        <v>7.3230090747428436E-2</v>
      </c>
      <c r="G64" s="477">
        <f>'Offroad Data'!S70*SUMIFS('Emission Factors'!$H$60:$H$100,'Emission Factors'!$B$60:$B$100,'Off-road'!$B64,'Emission Factors'!$A$60:$A$100,'Off-road'!$C64)/grams_to_mton</f>
        <v>1.2735666631406245E-2</v>
      </c>
      <c r="H64" s="477">
        <f>'Offroad Data'!T70*SUMIFS('Emission Factors'!$H$60:$H$100,'Emission Factors'!$B$60:$B$100,'Off-road'!$B64,'Emission Factors'!$A$60:$A$100,'Off-road'!$C64)/grams_to_mton</f>
        <v>6.367832117598205E-3</v>
      </c>
      <c r="I64" s="477">
        <f>'Offroad Data'!U70*SUMIFS('Emission Factors'!$H$60:$H$100,'Emission Factors'!$B$60:$B$100,'Off-road'!$B64,'Emission Factors'!$A$60:$A$100,'Off-road'!$C64)/grams_to_mton</f>
        <v>0.21583110868854849</v>
      </c>
      <c r="J64" s="477">
        <f>'Offroad Data'!V70*SUMIFS('Emission Factors'!$H$60:$H$100,'Emission Factors'!$B$60:$B$100,'Off-road'!$B64,'Emission Factors'!$A$60:$A$100,'Off-road'!$C64)/grams_to_mton</f>
        <v>3.8206986011517813E-2</v>
      </c>
      <c r="K64" s="477">
        <f>'Offroad Data'!W70*SUMIFS('Emission Factors'!$H$60:$H$100,'Emission Factors'!$B$60:$B$100,'Off-road'!$B64,'Emission Factors'!$A$60:$A$100,'Off-road'!$C64)/grams_to_mton</f>
        <v>9.5517493218883875E-3</v>
      </c>
      <c r="L64" s="477">
        <f>'Offroad Data'!X70*SUMIFS('Emission Factors'!$H$60:$H$100,'Emission Factors'!$B$60:$B$100,'Off-road'!$B64,'Emission Factors'!$A$60:$A$100,'Off-road'!$C64)/grams_to_mton</f>
        <v>1.5919574219276776E-2</v>
      </c>
      <c r="M64" s="375">
        <f t="shared" si="2"/>
        <v>0.37184300773766438</v>
      </c>
      <c r="N64" s="119"/>
      <c r="O64" s="302"/>
      <c r="P64" s="302"/>
      <c r="Q64" s="302"/>
      <c r="R64" s="302"/>
    </row>
    <row r="65" spans="1:18" s="142" customFormat="1" x14ac:dyDescent="0.15">
      <c r="A65" s="118"/>
      <c r="B65" s="173" t="s">
        <v>165</v>
      </c>
      <c r="C65" s="173" t="s">
        <v>155</v>
      </c>
      <c r="D65" s="477">
        <f>'Offroad Data'!P71*SUMIFS('Emission Factors'!$H$60:$H$100,'Emission Factors'!$B$60:$B$100,'Off-road'!$B65,'Emission Factors'!$A$60:$A$100,'Off-road'!$C65)/grams_to_mton</f>
        <v>0</v>
      </c>
      <c r="E65" s="477">
        <f>'Offroad Data'!Q71*SUMIFS('Emission Factors'!$H$60:$H$100,'Emission Factors'!$B$60:$B$100,'Off-road'!$B65,'Emission Factors'!$A$60:$A$100,'Off-road'!$C65)/grams_to_mton</f>
        <v>5.5724907581850619E-3</v>
      </c>
      <c r="F65" s="477">
        <f>'Offroad Data'!R71*SUMIFS('Emission Factors'!$H$60:$H$100,'Emission Factors'!$B$60:$B$100,'Off-road'!$B65,'Emission Factors'!$A$60:$A$100,'Off-road'!$C65)/grams_to_mton</f>
        <v>5.5724907581850619E-3</v>
      </c>
      <c r="G65" s="477">
        <f>'Offroad Data'!S71*SUMIFS('Emission Factors'!$H$60:$H$100,'Emission Factors'!$B$60:$B$100,'Off-road'!$B65,'Emission Factors'!$A$60:$A$100,'Off-road'!$C65)/grams_to_mton</f>
        <v>1.8713959384250673E-3</v>
      </c>
      <c r="H65" s="477">
        <f>'Offroad Data'!T71*SUMIFS('Emission Factors'!$H$60:$H$100,'Emission Factors'!$B$60:$B$100,'Off-road'!$B65,'Emission Factors'!$A$60:$A$100,'Off-road'!$C65)/grams_to_mton</f>
        <v>6.6897814656056334E-2</v>
      </c>
      <c r="I65" s="477">
        <f>'Offroad Data'!U71*SUMIFS('Emission Factors'!$H$60:$H$100,'Emission Factors'!$B$60:$B$100,'Off-road'!$B65,'Emission Factors'!$A$60:$A$100,'Off-road'!$C65)/grams_to_mton</f>
        <v>5.8579116560194593E-2</v>
      </c>
      <c r="J65" s="477">
        <f>'Offroad Data'!V71*SUMIFS('Emission Factors'!$H$60:$H$100,'Emission Factors'!$B$60:$B$100,'Off-road'!$B65,'Emission Factors'!$A$60:$A$100,'Off-road'!$C65)/grams_to_mton</f>
        <v>1.109956300463179E-2</v>
      </c>
      <c r="K65" s="477">
        <f>'Offroad Data'!W71*SUMIFS('Emission Factors'!$H$60:$H$100,'Emission Factors'!$B$60:$B$100,'Off-road'!$B65,'Emission Factors'!$A$60:$A$100,'Off-road'!$C65)/grams_to_mton</f>
        <v>7.5436218156146831E-2</v>
      </c>
      <c r="L65" s="477">
        <f>'Offroad Data'!X71*SUMIFS('Emission Factors'!$H$60:$H$100,'Emission Factors'!$B$60:$B$100,'Off-road'!$B65,'Emission Factors'!$A$60:$A$100,'Off-road'!$C65)/grams_to_mton</f>
        <v>9.122184335298858E-2</v>
      </c>
      <c r="M65" s="375">
        <f t="shared" si="2"/>
        <v>0.31067844242662823</v>
      </c>
      <c r="N65" s="119"/>
      <c r="O65" s="302"/>
      <c r="P65" s="302"/>
      <c r="Q65" s="302"/>
      <c r="R65" s="302"/>
    </row>
    <row r="66" spans="1:18" s="142" customFormat="1" x14ac:dyDescent="0.15">
      <c r="A66" s="118"/>
      <c r="B66" s="173" t="s">
        <v>165</v>
      </c>
      <c r="C66" s="173" t="s">
        <v>159</v>
      </c>
      <c r="D66" s="477">
        <f>'Offroad Data'!P72*SUMIFS('Emission Factors'!$H$60:$H$100,'Emission Factors'!$B$60:$B$100,'Off-road'!$B66,'Emission Factors'!$A$60:$A$100,'Off-road'!$C66)/grams_to_mton</f>
        <v>0.22016138263599999</v>
      </c>
      <c r="E66" s="477">
        <f>'Offroad Data'!Q72*SUMIFS('Emission Factors'!$H$60:$H$100,'Emission Factors'!$B$60:$B$100,'Off-road'!$B66,'Emission Factors'!$A$60:$A$100,'Off-road'!$C66)/grams_to_mton</f>
        <v>0</v>
      </c>
      <c r="F66" s="477">
        <f>'Offroad Data'!R72*SUMIFS('Emission Factors'!$H$60:$H$100,'Emission Factors'!$B$60:$B$100,'Off-road'!$B66,'Emission Factors'!$A$60:$A$100,'Off-road'!$C66)/grams_to_mton</f>
        <v>0.22016138263599999</v>
      </c>
      <c r="G66" s="477">
        <f>'Offroad Data'!S72*SUMIFS('Emission Factors'!$H$60:$H$100,'Emission Factors'!$B$60:$B$100,'Off-road'!$B66,'Emission Factors'!$A$60:$A$100,'Off-road'!$C66)/grams_to_mton</f>
        <v>5.1831577752502414E-5</v>
      </c>
      <c r="H66" s="477">
        <f>'Offroad Data'!T72*SUMIFS('Emission Factors'!$H$60:$H$100,'Emission Factors'!$B$60:$B$100,'Off-road'!$B66,'Emission Factors'!$A$60:$A$100,'Off-road'!$C66)/grams_to_mton</f>
        <v>2.3604530004913309E-5</v>
      </c>
      <c r="I66" s="477">
        <f>'Offroad Data'!U72*SUMIFS('Emission Factors'!$H$60:$H$100,'Emission Factors'!$B$60:$B$100,'Off-road'!$B66,'Emission Factors'!$A$60:$A$100,'Off-road'!$C66)/grams_to_mton</f>
        <v>0</v>
      </c>
      <c r="J66" s="477">
        <f>'Offroad Data'!V72*SUMIFS('Emission Factors'!$H$60:$H$100,'Emission Factors'!$B$60:$B$100,'Off-road'!$B66,'Emission Factors'!$A$60:$A$100,'Off-road'!$C66)/grams_to_mton</f>
        <v>2.6063336656036366E-5</v>
      </c>
      <c r="K66" s="477">
        <f>'Offroad Data'!W72*SUMIFS('Emission Factors'!$H$60:$H$100,'Emission Factors'!$B$60:$B$100,'Off-road'!$B66,'Emission Factors'!$A$60:$A$100,'Off-road'!$C66)/grams_to_mton</f>
        <v>2.2620997258209213E-5</v>
      </c>
      <c r="L66" s="477">
        <f>'Offroad Data'!X72*SUMIFS('Emission Factors'!$H$60:$H$100,'Emission Factors'!$B$60:$B$100,'Off-road'!$B66,'Emission Factors'!$A$60:$A$100,'Off-road'!$C66)/grams_to_mton</f>
        <v>5.3110233442748989E-5</v>
      </c>
      <c r="M66" s="375">
        <f t="shared" si="2"/>
        <v>0.22033861331111443</v>
      </c>
      <c r="N66" s="119"/>
      <c r="O66" s="302"/>
      <c r="P66" s="302"/>
      <c r="Q66" s="302"/>
      <c r="R66" s="302"/>
    </row>
    <row r="67" spans="1:18" s="142" customFormat="1" x14ac:dyDescent="0.15">
      <c r="A67" s="118"/>
      <c r="B67" s="173" t="s">
        <v>165</v>
      </c>
      <c r="C67" s="173" t="s">
        <v>104</v>
      </c>
      <c r="D67" s="477">
        <f>'Offroad Data'!P73*SUMIFS('Emission Factors'!$H$60:$H$100,'Emission Factors'!$B$60:$B$100,'Off-road'!$B67,'Emission Factors'!$A$60:$A$100,'Off-road'!$C67)/grams_to_mton</f>
        <v>9.414041645270375</v>
      </c>
      <c r="E67" s="477">
        <f>'Offroad Data'!Q73*SUMIFS('Emission Factors'!$H$60:$H$100,'Emission Factors'!$B$60:$B$100,'Off-road'!$B67,'Emission Factors'!$A$60:$A$100,'Off-road'!$C67)/grams_to_mton</f>
        <v>18.205116838843857</v>
      </c>
      <c r="F67" s="477">
        <f>'Offroad Data'!R73*SUMIFS('Emission Factors'!$H$60:$H$100,'Emission Factors'!$B$60:$B$100,'Off-road'!$B67,'Emission Factors'!$A$60:$A$100,'Off-road'!$C67)/grams_to_mton</f>
        <v>27.619158484114234</v>
      </c>
      <c r="G67" s="477">
        <f>'Offroad Data'!S73*SUMIFS('Emission Factors'!$H$60:$H$100,'Emission Factors'!$B$60:$B$100,'Off-road'!$B67,'Emission Factors'!$A$60:$A$100,'Off-road'!$C67)/grams_to_mton</f>
        <v>10.0172013372857</v>
      </c>
      <c r="H67" s="477">
        <f>'Offroad Data'!T73*SUMIFS('Emission Factors'!$H$60:$H$100,'Emission Factors'!$B$60:$B$100,'Off-road'!$B67,'Emission Factors'!$A$60:$A$100,'Off-road'!$C67)/grams_to_mton</f>
        <v>2.7683775843040155</v>
      </c>
      <c r="I67" s="477">
        <f>'Offroad Data'!U73*SUMIFS('Emission Factors'!$H$60:$H$100,'Emission Factors'!$B$60:$B$100,'Off-road'!$B67,'Emission Factors'!$A$60:$A$100,'Off-road'!$C67)/grams_to_mton</f>
        <v>0.23581280294857676</v>
      </c>
      <c r="J67" s="477">
        <f>'Offroad Data'!V73*SUMIFS('Emission Factors'!$H$60:$H$100,'Emission Factors'!$B$60:$B$100,'Off-road'!$B67,'Emission Factors'!$A$60:$A$100,'Off-road'!$C67)/grams_to_mton</f>
        <v>4.7130302153142791</v>
      </c>
      <c r="K67" s="477">
        <f>'Offroad Data'!W73*SUMIFS('Emission Factors'!$H$60:$H$100,'Emission Factors'!$B$60:$B$100,'Off-road'!$B67,'Emission Factors'!$A$60:$A$100,'Off-road'!$C67)/grams_to_mton</f>
        <v>1.7379079008883898</v>
      </c>
      <c r="L67" s="477">
        <f>'Offroad Data'!X73*SUMIFS('Emission Factors'!$H$60:$H$100,'Emission Factors'!$B$60:$B$100,'Off-road'!$B67,'Emission Factors'!$A$60:$A$100,'Off-road'!$C67)/grams_to_mton</f>
        <v>2.2741392777763356</v>
      </c>
      <c r="M67" s="375">
        <f t="shared" si="2"/>
        <v>49.365627602631527</v>
      </c>
      <c r="N67" s="119"/>
      <c r="O67" s="302"/>
      <c r="P67" s="302"/>
      <c r="Q67" s="302"/>
      <c r="R67" s="302"/>
    </row>
    <row r="68" spans="1:18" s="142" customFormat="1" x14ac:dyDescent="0.15">
      <c r="A68" s="118"/>
      <c r="B68" s="173" t="s">
        <v>165</v>
      </c>
      <c r="C68" s="173" t="s">
        <v>156</v>
      </c>
      <c r="D68" s="477">
        <f>'Offroad Data'!P74*SUMIFS('Emission Factors'!$H$60:$H$100,'Emission Factors'!$B$60:$B$100,'Off-road'!$B68,'Emission Factors'!$A$60:$A$100,'Off-road'!$C68)/grams_to_mton</f>
        <v>0.87823135015780318</v>
      </c>
      <c r="E68" s="477">
        <f>'Offroad Data'!Q74*SUMIFS('Emission Factors'!$H$60:$H$100,'Emission Factors'!$B$60:$B$100,'Off-road'!$B68,'Emission Factors'!$A$60:$A$100,'Off-road'!$C68)/grams_to_mton</f>
        <v>1.6983464641024759</v>
      </c>
      <c r="F68" s="477">
        <f>'Offroad Data'!R74*SUMIFS('Emission Factors'!$H$60:$H$100,'Emission Factors'!$B$60:$B$100,'Off-road'!$B68,'Emission Factors'!$A$60:$A$100,'Off-road'!$C68)/grams_to_mton</f>
        <v>2.5765778142602787</v>
      </c>
      <c r="G68" s="477">
        <f>'Offroad Data'!S74*SUMIFS('Emission Factors'!$H$60:$H$100,'Emission Factors'!$B$60:$B$100,'Off-road'!$B68,'Emission Factors'!$A$60:$A$100,'Off-road'!$C68)/grams_to_mton</f>
        <v>0.64615956041141975</v>
      </c>
      <c r="H68" s="477">
        <f>'Offroad Data'!T74*SUMIFS('Emission Factors'!$H$60:$H$100,'Emission Factors'!$B$60:$B$100,'Off-road'!$B68,'Emission Factors'!$A$60:$A$100,'Off-road'!$C68)/grams_to_mton</f>
        <v>0.5919053446629885</v>
      </c>
      <c r="I68" s="477">
        <f>'Offroad Data'!U74*SUMIFS('Emission Factors'!$H$60:$H$100,'Emission Factors'!$B$60:$B$100,'Off-road'!$B68,'Emission Factors'!$A$60:$A$100,'Off-road'!$C68)/grams_to_mton</f>
        <v>0.13797185166853537</v>
      </c>
      <c r="J68" s="477">
        <f>'Offroad Data'!V74*SUMIFS('Emission Factors'!$H$60:$H$100,'Emission Factors'!$B$60:$B$100,'Off-road'!$B68,'Emission Factors'!$A$60:$A$100,'Off-road'!$C68)/grams_to_mton</f>
        <v>0.47724533452016593</v>
      </c>
      <c r="K68" s="477">
        <f>'Offroad Data'!W74*SUMIFS('Emission Factors'!$H$60:$H$100,'Emission Factors'!$B$60:$B$100,'Off-road'!$B68,'Emission Factors'!$A$60:$A$100,'Off-road'!$C68)/grams_to_mton</f>
        <v>0.36159963913942406</v>
      </c>
      <c r="L68" s="477">
        <f>'Offroad Data'!X74*SUMIFS('Emission Factors'!$H$60:$H$100,'Emission Factors'!$B$60:$B$100,'Off-road'!$B68,'Emission Factors'!$A$60:$A$100,'Off-road'!$C68)/grams_to_mton</f>
        <v>0.84771877878695112</v>
      </c>
      <c r="M68" s="375">
        <f t="shared" si="2"/>
        <v>5.6391783234497632</v>
      </c>
      <c r="N68" s="119"/>
      <c r="O68" s="302"/>
      <c r="P68" s="302"/>
      <c r="Q68" s="302"/>
      <c r="R68" s="302"/>
    </row>
    <row r="69" spans="1:18" s="142" customFormat="1" x14ac:dyDescent="0.15">
      <c r="A69" s="118"/>
      <c r="B69" s="173" t="s">
        <v>165</v>
      </c>
      <c r="C69" s="173" t="s">
        <v>157</v>
      </c>
      <c r="D69" s="477">
        <f>'Offroad Data'!P75*SUMIFS('Emission Factors'!$H$60:$H$100,'Emission Factors'!$B$60:$B$100,'Off-road'!$B69,'Emission Factors'!$A$60:$A$100,'Off-road'!$C69)/grams_to_mton</f>
        <v>2.3689964463017144</v>
      </c>
      <c r="E69" s="477">
        <f>'Offroad Data'!Q75*SUMIFS('Emission Factors'!$H$60:$H$100,'Emission Factors'!$B$60:$B$100,'Off-road'!$B69,'Emission Factors'!$A$60:$A$100,'Off-road'!$C69)/grams_to_mton</f>
        <v>4.5812265040697033</v>
      </c>
      <c r="F69" s="477">
        <f>'Offroad Data'!R75*SUMIFS('Emission Factors'!$H$60:$H$100,'Emission Factors'!$B$60:$B$100,'Off-road'!$B69,'Emission Factors'!$A$60:$A$100,'Off-road'!$C69)/grams_to_mton</f>
        <v>6.9502229503714181</v>
      </c>
      <c r="G69" s="477">
        <f>'Offroad Data'!S75*SUMIFS('Emission Factors'!$H$60:$H$100,'Emission Factors'!$B$60:$B$100,'Off-road'!$B69,'Emission Factors'!$A$60:$A$100,'Off-road'!$C69)/grams_to_mton</f>
        <v>1.7791822346003878</v>
      </c>
      <c r="H69" s="477">
        <f>'Offroad Data'!T75*SUMIFS('Emission Factors'!$H$60:$H$100,'Emission Factors'!$B$60:$B$100,'Off-road'!$B69,'Emission Factors'!$A$60:$A$100,'Off-road'!$C69)/grams_to_mton</f>
        <v>0.94682570657310106</v>
      </c>
      <c r="I69" s="477">
        <f>'Offroad Data'!U75*SUMIFS('Emission Factors'!$H$60:$H$100,'Emission Factors'!$B$60:$B$100,'Off-road'!$B69,'Emission Factors'!$A$60:$A$100,'Off-road'!$C69)/grams_to_mton</f>
        <v>5.5119326733377369E-2</v>
      </c>
      <c r="J69" s="477">
        <f>'Offroad Data'!V75*SUMIFS('Emission Factors'!$H$60:$H$100,'Emission Factors'!$B$60:$B$100,'Off-road'!$B69,'Emission Factors'!$A$60:$A$100,'Off-road'!$C69)/grams_to_mton</f>
        <v>1.3509141188591498</v>
      </c>
      <c r="K69" s="477">
        <f>'Offroad Data'!W75*SUMIFS('Emission Factors'!$H$60:$H$100,'Emission Factors'!$B$60:$B$100,'Off-road'!$B69,'Emission Factors'!$A$60:$A$100,'Off-road'!$C69)/grams_to_mton</f>
        <v>0.70365793665539755</v>
      </c>
      <c r="L69" s="477">
        <f>'Offroad Data'!X75*SUMIFS('Emission Factors'!$H$60:$H$100,'Emission Factors'!$B$60:$B$100,'Off-road'!$B69,'Emission Factors'!$A$60:$A$100,'Off-road'!$C69)/grams_to_mton</f>
        <v>0.65018411633989881</v>
      </c>
      <c r="M69" s="375">
        <f t="shared" si="2"/>
        <v>12.436106390132732</v>
      </c>
      <c r="N69" s="119"/>
      <c r="O69" s="302"/>
      <c r="P69" s="302"/>
      <c r="Q69" s="302"/>
      <c r="R69" s="302"/>
    </row>
    <row r="70" spans="1:18" s="142" customFormat="1" x14ac:dyDescent="0.15">
      <c r="A70" s="118"/>
      <c r="B70" s="173" t="s">
        <v>165</v>
      </c>
      <c r="C70" s="173" t="s">
        <v>160</v>
      </c>
      <c r="D70" s="477">
        <f>'Offroad Data'!P76*SUMIFS('Emission Factors'!$H$60:$H$100,'Emission Factors'!$B$60:$B$100,'Off-road'!$B70,'Emission Factors'!$A$60:$A$100,'Off-road'!$C70)/grams_to_mton</f>
        <v>11.763465160853116</v>
      </c>
      <c r="E70" s="477">
        <f>'Offroad Data'!Q76*SUMIFS('Emission Factors'!$H$60:$H$100,'Emission Factors'!$B$60:$B$100,'Off-road'!$B70,'Emission Factors'!$A$60:$A$100,'Off-road'!$C70)/grams_to_mton</f>
        <v>37.216455799389173</v>
      </c>
      <c r="F70" s="477">
        <f>'Offroad Data'!R76*SUMIFS('Emission Factors'!$H$60:$H$100,'Emission Factors'!$B$60:$B$100,'Off-road'!$B70,'Emission Factors'!$A$60:$A$100,'Off-road'!$C70)/grams_to_mton</f>
        <v>48.979920960242296</v>
      </c>
      <c r="G70" s="477">
        <f>'Offroad Data'!S76*SUMIFS('Emission Factors'!$H$60:$H$100,'Emission Factors'!$B$60:$B$100,'Off-road'!$B70,'Emission Factors'!$A$60:$A$100,'Off-road'!$C70)/grams_to_mton</f>
        <v>22.085889732335982</v>
      </c>
      <c r="H70" s="477">
        <f>'Offroad Data'!T76*SUMIFS('Emission Factors'!$H$60:$H$100,'Emission Factors'!$B$60:$B$100,'Off-road'!$B70,'Emission Factors'!$A$60:$A$100,'Off-road'!$C70)/grams_to_mton</f>
        <v>11.372717351460629</v>
      </c>
      <c r="I70" s="477">
        <f>'Offroad Data'!U76*SUMIFS('Emission Factors'!$H$60:$H$100,'Emission Factors'!$B$60:$B$100,'Off-road'!$B70,'Emission Factors'!$A$60:$A$100,'Off-road'!$C70)/grams_to_mton</f>
        <v>1.0366450553133821</v>
      </c>
      <c r="J70" s="477">
        <f>'Offroad Data'!V76*SUMIFS('Emission Factors'!$H$60:$H$100,'Emission Factors'!$B$60:$B$100,'Off-road'!$B70,'Emission Factors'!$A$60:$A$100,'Off-road'!$C70)/grams_to_mton</f>
        <v>19.306901938799061</v>
      </c>
      <c r="K70" s="477">
        <f>'Offroad Data'!W76*SUMIFS('Emission Factors'!$H$60:$H$100,'Emission Factors'!$B$60:$B$100,'Off-road'!$B70,'Emission Factors'!$A$60:$A$100,'Off-road'!$C70)/grams_to_mton</f>
        <v>5.3957793701157764</v>
      </c>
      <c r="L70" s="477">
        <f>'Offroad Data'!X76*SUMIFS('Emission Factors'!$H$60:$H$100,'Emission Factors'!$B$60:$B$100,'Off-road'!$B70,'Emission Factors'!$A$60:$A$100,'Off-road'!$C70)/grams_to_mton</f>
        <v>8.949592955373209</v>
      </c>
      <c r="M70" s="375">
        <f t="shared" si="2"/>
        <v>117.12744736364034</v>
      </c>
      <c r="N70" s="119"/>
      <c r="O70" s="302"/>
      <c r="P70" s="302"/>
      <c r="Q70" s="302"/>
      <c r="R70" s="302"/>
    </row>
    <row r="71" spans="1:18" s="142" customFormat="1" x14ac:dyDescent="0.15">
      <c r="A71" s="118"/>
      <c r="B71" s="173" t="s">
        <v>165</v>
      </c>
      <c r="C71" s="173" t="s">
        <v>161</v>
      </c>
      <c r="D71" s="477">
        <f>'Offroad Data'!P77*SUMIFS('Emission Factors'!$H$60:$H$100,'Emission Factors'!$B$60:$B$100,'Off-road'!$B71,'Emission Factors'!$A$60:$A$100,'Off-road'!$C71)/grams_to_mton</f>
        <v>0</v>
      </c>
      <c r="E71" s="477">
        <f>'Offroad Data'!Q77*SUMIFS('Emission Factors'!$H$60:$H$100,'Emission Factors'!$B$60:$B$100,'Off-road'!$B71,'Emission Factors'!$A$60:$A$100,'Off-road'!$C71)/grams_to_mton</f>
        <v>6.1809887303170101E-3</v>
      </c>
      <c r="F71" s="477">
        <f>'Offroad Data'!R77*SUMIFS('Emission Factors'!$H$60:$H$100,'Emission Factors'!$B$60:$B$100,'Off-road'!$B71,'Emission Factors'!$A$60:$A$100,'Off-road'!$C71)/grams_to_mton</f>
        <v>6.1809887303170101E-3</v>
      </c>
      <c r="G71" s="477">
        <f>'Offroad Data'!S77*SUMIFS('Emission Factors'!$H$60:$H$100,'Emission Factors'!$B$60:$B$100,'Off-road'!$B71,'Emission Factors'!$A$60:$A$100,'Off-road'!$C71)/grams_to_mton</f>
        <v>1.0028083055411698E-3</v>
      </c>
      <c r="H71" s="477">
        <f>'Offroad Data'!T77*SUMIFS('Emission Factors'!$H$60:$H$100,'Emission Factors'!$B$60:$B$100,'Off-road'!$B71,'Emission Factors'!$A$60:$A$100,'Off-road'!$C71)/grams_to_mton</f>
        <v>1.5198966766192886E-3</v>
      </c>
      <c r="I71" s="477">
        <f>'Offroad Data'!U77*SUMIFS('Emission Factors'!$H$60:$H$100,'Emission Factors'!$B$60:$B$100,'Off-road'!$B71,'Emission Factors'!$A$60:$A$100,'Off-road'!$C71)/grams_to_mton</f>
        <v>2.6687898056350886E-3</v>
      </c>
      <c r="J71" s="477">
        <f>'Offroad Data'!V77*SUMIFS('Emission Factors'!$H$60:$H$100,'Emission Factors'!$B$60:$B$100,'Off-road'!$B71,'Emission Factors'!$A$60:$A$100,'Off-road'!$C71)/grams_to_mton</f>
        <v>3.6861695977626167E-3</v>
      </c>
      <c r="K71" s="477">
        <f>'Offroad Data'!W77*SUMIFS('Emission Factors'!$H$60:$H$100,'Emission Factors'!$B$60:$B$100,'Off-road'!$B71,'Emission Factors'!$A$60:$A$100,'Off-road'!$C71)/grams_to_mton</f>
        <v>8.8377622601759475E-3</v>
      </c>
      <c r="L71" s="477">
        <f>'Offroad Data'!X77*SUMIFS('Emission Factors'!$H$60:$H$100,'Emission Factors'!$B$60:$B$100,'Off-road'!$B71,'Emission Factors'!$A$60:$A$100,'Off-road'!$C71)/grams_to_mton</f>
        <v>9.2602716313325596E-3</v>
      </c>
      <c r="M71" s="375">
        <f t="shared" si="2"/>
        <v>3.3156687007383681E-2</v>
      </c>
      <c r="N71" s="119"/>
      <c r="O71" s="302"/>
      <c r="P71" s="302"/>
      <c r="Q71" s="302"/>
      <c r="R71" s="302"/>
    </row>
    <row r="72" spans="1:18" s="142" customFormat="1" x14ac:dyDescent="0.15">
      <c r="A72" s="118"/>
      <c r="B72" s="173" t="s">
        <v>165</v>
      </c>
      <c r="C72" s="173" t="s">
        <v>158</v>
      </c>
      <c r="D72" s="477">
        <f>'Offroad Data'!P78*SUMIFS('Emission Factors'!$H$60:$H$100,'Emission Factors'!$B$60:$B$100,'Off-road'!$B72,'Emission Factors'!$A$60:$A$100,'Off-road'!$C72)/grams_to_mton</f>
        <v>1.910084504050966E-2</v>
      </c>
      <c r="E72" s="477">
        <f>'Offroad Data'!Q78*SUMIFS('Emission Factors'!$H$60:$H$100,'Emission Factors'!$B$60:$B$100,'Off-road'!$B72,'Emission Factors'!$A$60:$A$100,'Off-road'!$C72)/grams_to_mton</f>
        <v>3.6937707393490338E-2</v>
      </c>
      <c r="F72" s="477">
        <f>'Offroad Data'!R78*SUMIFS('Emission Factors'!$H$60:$H$100,'Emission Factors'!$B$60:$B$100,'Off-road'!$B72,'Emission Factors'!$A$60:$A$100,'Off-road'!$C72)/grams_to_mton</f>
        <v>5.6038552434000008E-2</v>
      </c>
      <c r="G72" s="477">
        <f>'Offroad Data'!S78*SUMIFS('Emission Factors'!$H$60:$H$100,'Emission Factors'!$B$60:$B$100,'Off-road'!$B72,'Emission Factors'!$A$60:$A$100,'Off-road'!$C72)/grams_to_mton</f>
        <v>4.5764772866999995E-2</v>
      </c>
      <c r="H72" s="477">
        <f>'Offroad Data'!T78*SUMIFS('Emission Factors'!$H$60:$H$100,'Emission Factors'!$B$60:$B$100,'Off-road'!$B72,'Emission Factors'!$A$60:$A$100,'Off-road'!$C72)/grams_to_mton</f>
        <v>5.6038552277753867E-3</v>
      </c>
      <c r="I72" s="477">
        <f>'Offroad Data'!U78*SUMIFS('Emission Factors'!$H$60:$H$100,'Emission Factors'!$B$60:$B$100,'Off-road'!$B72,'Emission Factors'!$A$60:$A$100,'Off-road'!$C72)/grams_to_mton</f>
        <v>0</v>
      </c>
      <c r="J72" s="477">
        <f>'Offroad Data'!V78*SUMIFS('Emission Factors'!$H$60:$H$100,'Emission Factors'!$B$60:$B$100,'Off-road'!$B72,'Emission Factors'!$A$60:$A$100,'Off-road'!$C72)/grams_to_mton</f>
        <v>3.6425026664999999E-2</v>
      </c>
      <c r="K72" s="477">
        <f>'Offroad Data'!W78*SUMIFS('Emission Factors'!$H$60:$H$100,'Emission Factors'!$B$60:$B$100,'Off-road'!$B72,'Emission Factors'!$A$60:$A$100,'Off-road'!$C72)/grams_to_mton</f>
        <v>0</v>
      </c>
      <c r="L72" s="477">
        <f>'Offroad Data'!X78*SUMIFS('Emission Factors'!$H$60:$H$100,'Emission Factors'!$B$60:$B$100,'Off-road'!$B72,'Emission Factors'!$A$60:$A$100,'Off-road'!$C72)/grams_to_mton</f>
        <v>5.6038552434000008E-2</v>
      </c>
      <c r="M72" s="375">
        <f t="shared" si="2"/>
        <v>0.1998707596277754</v>
      </c>
      <c r="N72" s="119"/>
      <c r="O72" s="302"/>
      <c r="P72" s="302"/>
      <c r="Q72" s="302"/>
      <c r="R72" s="302"/>
    </row>
    <row r="73" spans="1:18" s="142" customFormat="1" x14ac:dyDescent="0.15">
      <c r="A73" s="118"/>
      <c r="B73" s="72" t="s">
        <v>165</v>
      </c>
      <c r="C73" s="72" t="s">
        <v>162</v>
      </c>
      <c r="D73" s="477">
        <f>'Offroad Data'!P79*SUMIFS('Emission Factors'!$H$60:$H$100,'Emission Factors'!$B$60:$B$100,'Off-road'!$B73,'Emission Factors'!$A$60:$A$100,'Off-road'!$C73)/grams_to_mton</f>
        <v>1.4226664444165966E-2</v>
      </c>
      <c r="E73" s="477">
        <f>'Offroad Data'!Q79*SUMIFS('Emission Factors'!$H$60:$H$100,'Emission Factors'!$B$60:$B$100,'Off-road'!$B73,'Emission Factors'!$A$60:$A$100,'Off-road'!$C73)/grams_to_mton</f>
        <v>5.0676809123206415E-3</v>
      </c>
      <c r="F73" s="477">
        <f>'Offroad Data'!R79*SUMIFS('Emission Factors'!$H$60:$H$100,'Emission Factors'!$B$60:$B$100,'Off-road'!$B73,'Emission Factors'!$A$60:$A$100,'Off-road'!$C73)/grams_to_mton</f>
        <v>1.9294345356486605E-2</v>
      </c>
      <c r="G73" s="477">
        <f>'Offroad Data'!S79*SUMIFS('Emission Factors'!$H$60:$H$100,'Emission Factors'!$B$60:$B$100,'Off-road'!$B73,'Emission Factors'!$A$60:$A$100,'Off-road'!$C73)/grams_to_mton</f>
        <v>7.9798115925713876E-3</v>
      </c>
      <c r="H73" s="477">
        <f>'Offroad Data'!T79*SUMIFS('Emission Factors'!$H$60:$H$100,'Emission Factors'!$B$60:$B$100,'Off-road'!$B73,'Emission Factors'!$A$60:$A$100,'Off-road'!$C73)/grams_to_mton</f>
        <v>3.4721661106941943E-3</v>
      </c>
      <c r="I73" s="477">
        <f>'Offroad Data'!U79*SUMIFS('Emission Factors'!$H$60:$H$100,'Emission Factors'!$B$60:$B$100,'Off-road'!$B73,'Emission Factors'!$A$60:$A$100,'Off-road'!$C73)/grams_to_mton</f>
        <v>5.5579849951129965E-4</v>
      </c>
      <c r="J73" s="477">
        <f>'Offroad Data'!V79*SUMIFS('Emission Factors'!$H$60:$H$100,'Emission Factors'!$B$60:$B$100,'Off-road'!$B73,'Emission Factors'!$A$60:$A$100,'Off-road'!$C73)/grams_to_mton</f>
        <v>2.5777221137801305E-3</v>
      </c>
      <c r="K73" s="477">
        <f>'Offroad Data'!W79*SUMIFS('Emission Factors'!$H$60:$H$100,'Emission Factors'!$B$60:$B$100,'Off-road'!$B73,'Emission Factors'!$A$60:$A$100,'Off-road'!$C73)/grams_to_mton</f>
        <v>5.0324979536495499E-4</v>
      </c>
      <c r="L73" s="477">
        <f>'Offroad Data'!X79*SUMIFS('Emission Factors'!$H$60:$H$100,'Emission Factors'!$B$60:$B$100,'Off-road'!$B73,'Emission Factors'!$A$60:$A$100,'Off-road'!$C73)/grams_to_mton</f>
        <v>4.2643854975714275E-3</v>
      </c>
      <c r="M73" s="375">
        <f t="shared" si="2"/>
        <v>3.8647478965979989E-2</v>
      </c>
      <c r="N73" s="119"/>
      <c r="O73" s="302"/>
      <c r="P73" s="302"/>
      <c r="Q73" s="302"/>
      <c r="R73" s="302"/>
    </row>
    <row r="74" spans="1:18" s="142" customFormat="1" ht="15" thickBot="1" x14ac:dyDescent="0.2">
      <c r="A74" s="118"/>
      <c r="B74" s="72" t="s">
        <v>165</v>
      </c>
      <c r="C74" s="72" t="s">
        <v>163</v>
      </c>
      <c r="D74" s="477">
        <f>'Offroad Data'!P80*SUMIFS('Emission Factors'!$H$60:$H$100,'Emission Factors'!$B$60:$B$100,'Off-road'!$B74,'Emission Factors'!$A$60:$A$100,'Off-road'!$C74)/grams_to_mton</f>
        <v>1.6886714797773348</v>
      </c>
      <c r="E74" s="477">
        <f>'Offroad Data'!Q80*SUMIFS('Emission Factors'!$H$60:$H$100,'Emission Factors'!$B$60:$B$100,'Off-road'!$B74,'Emission Factors'!$A$60:$A$100,'Off-road'!$C74)/grams_to_mton</f>
        <v>1.554815978205516</v>
      </c>
      <c r="F74" s="477">
        <f>'Offroad Data'!R80*SUMIFS('Emission Factors'!$H$60:$H$100,'Emission Factors'!$B$60:$B$100,'Off-road'!$B74,'Emission Factors'!$A$60:$A$100,'Off-road'!$C74)/grams_to_mton</f>
        <v>3.2434874579828508</v>
      </c>
      <c r="G74" s="477">
        <f>'Offroad Data'!S80*SUMIFS('Emission Factors'!$H$60:$H$100,'Emission Factors'!$B$60:$B$100,'Off-road'!$B74,'Emission Factors'!$A$60:$A$100,'Off-road'!$C74)/grams_to_mton</f>
        <v>0.80193205239290366</v>
      </c>
      <c r="H74" s="477">
        <f>'Offroad Data'!T80*SUMIFS('Emission Factors'!$H$60:$H$100,'Emission Factors'!$B$60:$B$100,'Off-road'!$B74,'Emission Factors'!$A$60:$A$100,'Off-road'!$C74)/grams_to_mton</f>
        <v>0.42009368356435439</v>
      </c>
      <c r="I74" s="477">
        <f>'Offroad Data'!U80*SUMIFS('Emission Factors'!$H$60:$H$100,'Emission Factors'!$B$60:$B$100,'Off-road'!$B74,'Emission Factors'!$A$60:$A$100,'Off-road'!$C74)/grams_to_mton</f>
        <v>0.3428705091569863</v>
      </c>
      <c r="J74" s="477">
        <f>'Offroad Data'!V80*SUMIFS('Emission Factors'!$H$60:$H$100,'Emission Factors'!$B$60:$B$100,'Off-road'!$B74,'Emission Factors'!$A$60:$A$100,'Off-road'!$C74)/grams_to_mton</f>
        <v>1.5833102755281006</v>
      </c>
      <c r="K74" s="477">
        <f>'Offroad Data'!W80*SUMIFS('Emission Factors'!$H$60:$H$100,'Emission Factors'!$B$60:$B$100,'Off-road'!$B74,'Emission Factors'!$A$60:$A$100,'Off-road'!$C74)/grams_to_mton</f>
        <v>0.61101280834076388</v>
      </c>
      <c r="L74" s="477">
        <f>'Offroad Data'!X80*SUMIFS('Emission Factors'!$H$60:$H$100,'Emission Factors'!$B$60:$B$100,'Off-road'!$B74,'Emission Factors'!$A$60:$A$100,'Off-road'!$C74)/grams_to_mton</f>
        <v>0.74419237245766645</v>
      </c>
      <c r="M74" s="375">
        <f t="shared" si="2"/>
        <v>7.7468991594236263</v>
      </c>
      <c r="N74" s="119"/>
      <c r="O74" s="302"/>
      <c r="P74" s="302"/>
      <c r="Q74" s="302"/>
      <c r="R74" s="302"/>
    </row>
    <row r="75" spans="1:18" s="142" customFormat="1" x14ac:dyDescent="0.15">
      <c r="A75" s="118"/>
      <c r="B75" s="175" t="s">
        <v>88</v>
      </c>
      <c r="C75" s="175"/>
      <c r="D75" s="360">
        <f t="shared" ref="D75:L75" si="3">SUM(D43:D74)</f>
        <v>60.790083347940175</v>
      </c>
      <c r="E75" s="360">
        <f t="shared" si="3"/>
        <v>124.27367691282569</v>
      </c>
      <c r="F75" s="360">
        <f t="shared" si="3"/>
        <v>185.06376026076583</v>
      </c>
      <c r="G75" s="360">
        <f t="shared" si="3"/>
        <v>60.381252380853851</v>
      </c>
      <c r="H75" s="360">
        <f t="shared" si="3"/>
        <v>35.915825369090882</v>
      </c>
      <c r="I75" s="360">
        <f t="shared" si="3"/>
        <v>7.3875550067585412</v>
      </c>
      <c r="J75" s="360">
        <f t="shared" si="3"/>
        <v>45.771861919620143</v>
      </c>
      <c r="K75" s="360">
        <f t="shared" si="3"/>
        <v>22.289234690977995</v>
      </c>
      <c r="L75" s="360">
        <f t="shared" si="3"/>
        <v>38.966034818904049</v>
      </c>
      <c r="M75" s="377">
        <f t="shared" si="2"/>
        <v>395.7755244469713</v>
      </c>
      <c r="N75" s="119"/>
      <c r="O75" s="302"/>
      <c r="P75" s="302"/>
      <c r="Q75" s="302"/>
      <c r="R75" s="302"/>
    </row>
    <row r="76" spans="1:18" outlineLevel="1" x14ac:dyDescent="0.15">
      <c r="A76" s="66"/>
      <c r="B76" s="82"/>
      <c r="C76" s="182"/>
      <c r="D76" s="182"/>
      <c r="E76" s="182"/>
      <c r="F76" s="182"/>
      <c r="G76" s="182"/>
      <c r="H76" s="182"/>
      <c r="I76" s="182"/>
      <c r="J76" s="182"/>
      <c r="K76" s="182"/>
      <c r="L76" s="66"/>
      <c r="M76" s="110"/>
      <c r="N76" s="66"/>
      <c r="O76" s="302"/>
      <c r="P76" s="302"/>
      <c r="Q76" s="302"/>
      <c r="R76" s="302"/>
    </row>
    <row r="77" spans="1:18" ht="15" thickBot="1" x14ac:dyDescent="0.2">
      <c r="B77" s="82" t="s">
        <v>167</v>
      </c>
      <c r="M77" s="110"/>
      <c r="N77" s="66"/>
      <c r="O77" s="302"/>
      <c r="P77" s="302"/>
      <c r="Q77" s="302"/>
      <c r="R77" s="302"/>
    </row>
    <row r="78" spans="1:18" s="133" customFormat="1" x14ac:dyDescent="0.15">
      <c r="B78" s="662" t="s">
        <v>76</v>
      </c>
      <c r="C78" s="665" t="s">
        <v>80</v>
      </c>
      <c r="D78" s="668" t="s">
        <v>77</v>
      </c>
      <c r="E78" s="678" t="s">
        <v>128</v>
      </c>
      <c r="F78" s="678"/>
      <c r="G78" s="678"/>
      <c r="H78" s="677" t="s">
        <v>129</v>
      </c>
      <c r="I78" s="678"/>
      <c r="J78" s="678"/>
      <c r="K78" s="679"/>
      <c r="L78" s="66"/>
      <c r="M78" s="381"/>
      <c r="O78" s="302"/>
      <c r="P78" s="302"/>
      <c r="Q78" s="302"/>
      <c r="R78" s="302"/>
    </row>
    <row r="79" spans="1:18" s="133" customFormat="1" ht="15" customHeight="1" thickBot="1" x14ac:dyDescent="0.2">
      <c r="B79" s="708"/>
      <c r="C79" s="709"/>
      <c r="D79" s="710"/>
      <c r="E79" s="345" t="s">
        <v>94</v>
      </c>
      <c r="F79" s="343" t="s">
        <v>95</v>
      </c>
      <c r="G79" s="365" t="s">
        <v>96</v>
      </c>
      <c r="H79" s="342" t="s">
        <v>94</v>
      </c>
      <c r="I79" s="343" t="s">
        <v>95</v>
      </c>
      <c r="J79" s="343" t="s">
        <v>96</v>
      </c>
      <c r="K79" s="344" t="s">
        <v>130</v>
      </c>
      <c r="L79" s="66"/>
      <c r="M79" s="381"/>
      <c r="O79" s="302"/>
      <c r="P79" s="302"/>
      <c r="Q79" s="302"/>
      <c r="R79" s="302"/>
    </row>
    <row r="80" spans="1:18" ht="14.75" customHeight="1" x14ac:dyDescent="0.15">
      <c r="B80" s="335">
        <f>$B$3</f>
        <v>2019</v>
      </c>
      <c r="C80" s="336">
        <v>1</v>
      </c>
      <c r="D80" s="349" t="s">
        <v>59</v>
      </c>
      <c r="E80" s="346">
        <f>'Offroad Data'!E5/'Constants &amp; Conversions'!$D$32</f>
        <v>1631983.2810494134</v>
      </c>
      <c r="F80" s="337">
        <f>F39</f>
        <v>576.91877017358547</v>
      </c>
      <c r="G80" s="366">
        <f>F75</f>
        <v>185.06376026076583</v>
      </c>
      <c r="H80" s="368">
        <f t="shared" ref="H80:H88" si="4">E80*CO2_GWP</f>
        <v>1631983.2810494134</v>
      </c>
      <c r="I80" s="339">
        <f t="shared" ref="I80:I88" si="5">F80*CH4_GWP</f>
        <v>16153.725564860393</v>
      </c>
      <c r="J80" s="340">
        <f t="shared" ref="J80:J88" si="6">G80*N2O_GWP</f>
        <v>49041.896469102947</v>
      </c>
      <c r="K80" s="341">
        <f>SUM(H80:J80)</f>
        <v>1697178.9030833768</v>
      </c>
      <c r="L80" s="66"/>
      <c r="O80" s="302">
        <f t="shared" ref="O80:O88" si="7">H80/mton_per_mmton</f>
        <v>1.6319832810494135</v>
      </c>
      <c r="P80" s="302">
        <f>I80/mton_per_mmton</f>
        <v>1.6153725564860392E-2</v>
      </c>
      <c r="Q80" s="302">
        <f t="shared" ref="Q80:Q88" si="8">J80/mton_per_mmton</f>
        <v>4.9041896469102945E-2</v>
      </c>
      <c r="R80" s="302"/>
    </row>
    <row r="81" spans="1:18" ht="14.75" customHeight="1" x14ac:dyDescent="0.15">
      <c r="B81" s="305">
        <f t="shared" ref="B81:B89" si="9">$B$3</f>
        <v>2019</v>
      </c>
      <c r="C81" s="306">
        <v>1</v>
      </c>
      <c r="D81" s="350" t="s">
        <v>58</v>
      </c>
      <c r="E81" s="346">
        <f>'Offroad Data'!E6/'Constants &amp; Conversions'!$D$32</f>
        <v>551751.94228154013</v>
      </c>
      <c r="F81" s="308">
        <f>D39</f>
        <v>174.79689954493401</v>
      </c>
      <c r="G81" s="367">
        <f>D75</f>
        <v>60.790083347940175</v>
      </c>
      <c r="H81" s="369">
        <f t="shared" si="4"/>
        <v>551751.94228154013</v>
      </c>
      <c r="I81" s="310">
        <f t="shared" si="5"/>
        <v>4894.3131872581525</v>
      </c>
      <c r="J81" s="311">
        <f t="shared" si="6"/>
        <v>16109.372087204147</v>
      </c>
      <c r="K81" s="312">
        <f>SUM(H81:J81)</f>
        <v>572755.62755600247</v>
      </c>
      <c r="L81" s="66"/>
      <c r="O81" s="302">
        <f t="shared" si="7"/>
        <v>0.55175194228154012</v>
      </c>
      <c r="P81" s="302">
        <f t="shared" ref="P81:P88" si="10">I81/mton_per_mmton</f>
        <v>4.8943131872581525E-3</v>
      </c>
      <c r="Q81" s="302">
        <f t="shared" si="8"/>
        <v>1.6109372087204147E-2</v>
      </c>
      <c r="R81" s="302"/>
    </row>
    <row r="82" spans="1:18" ht="14.75" customHeight="1" x14ac:dyDescent="0.15">
      <c r="B82" s="305">
        <f t="shared" si="9"/>
        <v>2019</v>
      </c>
      <c r="C82" s="306">
        <v>1</v>
      </c>
      <c r="D82" s="351" t="s">
        <v>131</v>
      </c>
      <c r="E82" s="346">
        <f>'Offroad Data'!E7/'Constants &amp; Conversions'!$D$32</f>
        <v>1080231.3387678734</v>
      </c>
      <c r="F82" s="308">
        <f>E39</f>
        <v>402.12187062865144</v>
      </c>
      <c r="G82" s="367">
        <f>E75</f>
        <v>124.27367691282569</v>
      </c>
      <c r="H82" s="369">
        <f t="shared" si="4"/>
        <v>1080231.3387678734</v>
      </c>
      <c r="I82" s="310">
        <f t="shared" si="5"/>
        <v>11259.412377602241</v>
      </c>
      <c r="J82" s="311">
        <f t="shared" si="6"/>
        <v>32932.524381898809</v>
      </c>
      <c r="K82" s="312">
        <f t="shared" ref="K82:K89" si="11">SUM(H82:J82)</f>
        <v>1124423.2755273744</v>
      </c>
      <c r="L82" s="66"/>
      <c r="O82" s="302">
        <f t="shared" si="7"/>
        <v>1.0802313387678733</v>
      </c>
      <c r="P82" s="302">
        <f t="shared" si="10"/>
        <v>1.1259412377602241E-2</v>
      </c>
      <c r="Q82" s="302">
        <f t="shared" si="8"/>
        <v>3.2932524381898809E-2</v>
      </c>
      <c r="R82" s="302"/>
    </row>
    <row r="83" spans="1:18" ht="14.75" customHeight="1" x14ac:dyDescent="0.15">
      <c r="B83" s="305">
        <f t="shared" si="9"/>
        <v>2019</v>
      </c>
      <c r="C83" s="306">
        <v>1</v>
      </c>
      <c r="D83" s="352" t="s">
        <v>60</v>
      </c>
      <c r="E83" s="346">
        <f>'Offroad Data'!E8/'Constants &amp; Conversions'!$D$32</f>
        <v>497790.77374568401</v>
      </c>
      <c r="F83" s="308">
        <f>G39</f>
        <v>218.370100197017</v>
      </c>
      <c r="G83" s="367">
        <f>G75</f>
        <v>60.381252380853851</v>
      </c>
      <c r="H83" s="369">
        <f t="shared" si="4"/>
        <v>497790.77374568401</v>
      </c>
      <c r="I83" s="310">
        <f t="shared" si="5"/>
        <v>6114.3628055164754</v>
      </c>
      <c r="J83" s="311">
        <f t="shared" si="6"/>
        <v>16001.03188092627</v>
      </c>
      <c r="K83" s="315">
        <f t="shared" si="11"/>
        <v>519906.16843212675</v>
      </c>
      <c r="L83" s="66"/>
      <c r="O83" s="302">
        <f t="shared" si="7"/>
        <v>0.49779077374568403</v>
      </c>
      <c r="P83" s="302">
        <f t="shared" si="10"/>
        <v>6.1143628055164755E-3</v>
      </c>
      <c r="Q83" s="302">
        <f t="shared" si="8"/>
        <v>1.6001031880926268E-2</v>
      </c>
      <c r="R83" s="302"/>
    </row>
    <row r="84" spans="1:18" ht="14.75" customHeight="1" x14ac:dyDescent="0.15">
      <c r="B84" s="305">
        <f t="shared" si="9"/>
        <v>2019</v>
      </c>
      <c r="C84" s="306">
        <v>1</v>
      </c>
      <c r="D84" s="352" t="s">
        <v>62</v>
      </c>
      <c r="E84" s="346">
        <f>'Offroad Data'!E9/'Constants &amp; Conversions'!$D$32</f>
        <v>324138.16576615063</v>
      </c>
      <c r="F84" s="308">
        <f>H39</f>
        <v>99.699204507492581</v>
      </c>
      <c r="G84" s="367">
        <f>H75</f>
        <v>35.915825369090882</v>
      </c>
      <c r="H84" s="369">
        <f t="shared" si="4"/>
        <v>324138.16576615063</v>
      </c>
      <c r="I84" s="310">
        <f t="shared" si="5"/>
        <v>2791.5777262097922</v>
      </c>
      <c r="J84" s="311">
        <f t="shared" si="6"/>
        <v>9517.6937228090846</v>
      </c>
      <c r="K84" s="315">
        <f t="shared" si="11"/>
        <v>336447.43721516948</v>
      </c>
      <c r="L84" s="66"/>
      <c r="O84" s="302">
        <f t="shared" si="7"/>
        <v>0.32413816576615062</v>
      </c>
      <c r="P84" s="302">
        <f t="shared" si="10"/>
        <v>2.7915777262097923E-3</v>
      </c>
      <c r="Q84" s="302">
        <f t="shared" si="8"/>
        <v>9.5176937228090841E-3</v>
      </c>
      <c r="R84" s="302"/>
    </row>
    <row r="85" spans="1:18" ht="14.75" customHeight="1" x14ac:dyDescent="0.15">
      <c r="B85" s="305">
        <f t="shared" si="9"/>
        <v>2019</v>
      </c>
      <c r="C85" s="306">
        <v>1</v>
      </c>
      <c r="D85" s="352" t="s">
        <v>61</v>
      </c>
      <c r="E85" s="346">
        <f>'Offroad Data'!E10/'Constants &amp; Conversions'!$D$32</f>
        <v>80012.792931072894</v>
      </c>
      <c r="F85" s="308">
        <f>I39</f>
        <v>17.87348624486777</v>
      </c>
      <c r="G85" s="367">
        <f>I75</f>
        <v>7.3875550067585412</v>
      </c>
      <c r="H85" s="369">
        <f t="shared" si="4"/>
        <v>80012.792931072894</v>
      </c>
      <c r="I85" s="310">
        <f t="shared" si="5"/>
        <v>500.4576148562976</v>
      </c>
      <c r="J85" s="311">
        <f t="shared" si="6"/>
        <v>1957.7020767910135</v>
      </c>
      <c r="K85" s="315">
        <f t="shared" si="11"/>
        <v>82470.9526227202</v>
      </c>
      <c r="L85" s="66"/>
      <c r="O85" s="302">
        <f t="shared" si="7"/>
        <v>8.0012792931072899E-2</v>
      </c>
      <c r="P85" s="302">
        <f t="shared" si="10"/>
        <v>5.0045761485629755E-4</v>
      </c>
      <c r="Q85" s="302">
        <f t="shared" si="8"/>
        <v>1.9577020767910136E-3</v>
      </c>
      <c r="R85" s="302"/>
    </row>
    <row r="86" spans="1:18" ht="14.75" customHeight="1" x14ac:dyDescent="0.15">
      <c r="B86" s="305">
        <f t="shared" si="9"/>
        <v>2019</v>
      </c>
      <c r="C86" s="306">
        <v>1</v>
      </c>
      <c r="D86" s="352" t="s">
        <v>63</v>
      </c>
      <c r="E86" s="346">
        <f>'Offroad Data'!E11/'Constants &amp; Conversions'!$D$32</f>
        <v>373320.22666005872</v>
      </c>
      <c r="F86" s="308">
        <f>J39</f>
        <v>165.55176443560561</v>
      </c>
      <c r="G86" s="367">
        <f>J75</f>
        <v>45.771861919620143</v>
      </c>
      <c r="H86" s="369">
        <f t="shared" si="4"/>
        <v>373320.22666005872</v>
      </c>
      <c r="I86" s="310">
        <f t="shared" si="5"/>
        <v>4635.4494041969574</v>
      </c>
      <c r="J86" s="311">
        <f t="shared" si="6"/>
        <v>12129.543408699337</v>
      </c>
      <c r="K86" s="315">
        <f t="shared" si="11"/>
        <v>390085.21947295498</v>
      </c>
      <c r="L86" s="66"/>
      <c r="O86" s="302">
        <f t="shared" si="7"/>
        <v>0.37332022666005871</v>
      </c>
      <c r="P86" s="302">
        <f t="shared" si="10"/>
        <v>4.635449404196957E-3</v>
      </c>
      <c r="Q86" s="302">
        <f t="shared" si="8"/>
        <v>1.2129543408699338E-2</v>
      </c>
      <c r="R86" s="302"/>
    </row>
    <row r="87" spans="1:18" ht="14.75" customHeight="1" x14ac:dyDescent="0.15">
      <c r="B87" s="305">
        <f t="shared" si="9"/>
        <v>2019</v>
      </c>
      <c r="C87" s="306">
        <v>1</v>
      </c>
      <c r="D87" s="352" t="s">
        <v>64</v>
      </c>
      <c r="E87" s="346">
        <f>'Offroad Data'!E12/'Constants &amp; Conversions'!$D$32</f>
        <v>206798.52148806865</v>
      </c>
      <c r="F87" s="308">
        <f>K39</f>
        <v>56.776985912072327</v>
      </c>
      <c r="G87" s="367">
        <f>K75</f>
        <v>22.289234690977995</v>
      </c>
      <c r="H87" s="369">
        <f t="shared" si="4"/>
        <v>206798.52148806865</v>
      </c>
      <c r="I87" s="310">
        <f t="shared" si="5"/>
        <v>1589.7556055380251</v>
      </c>
      <c r="J87" s="311">
        <f t="shared" si="6"/>
        <v>5906.6471931091692</v>
      </c>
      <c r="K87" s="315">
        <f t="shared" si="11"/>
        <v>214294.92428671586</v>
      </c>
      <c r="L87" s="66"/>
      <c r="O87" s="302">
        <f t="shared" si="7"/>
        <v>0.20679852148806865</v>
      </c>
      <c r="P87" s="302">
        <f t="shared" si="10"/>
        <v>1.5897556055380251E-3</v>
      </c>
      <c r="Q87" s="302">
        <f t="shared" si="8"/>
        <v>5.9066471931091694E-3</v>
      </c>
      <c r="R87" s="302"/>
    </row>
    <row r="88" spans="1:18" ht="14.75" customHeight="1" thickBot="1" x14ac:dyDescent="0.2">
      <c r="B88" s="305">
        <f t="shared" si="9"/>
        <v>2019</v>
      </c>
      <c r="C88" s="306">
        <v>1</v>
      </c>
      <c r="D88" s="352" t="s">
        <v>65</v>
      </c>
      <c r="E88" s="346">
        <f>'Offroad Data'!E13/'Constants &amp; Conversions'!$D$32</f>
        <v>373161.11727018445</v>
      </c>
      <c r="F88" s="308">
        <f>L39</f>
        <v>85.648251430638922</v>
      </c>
      <c r="G88" s="367">
        <f>L75</f>
        <v>38.966034818904049</v>
      </c>
      <c r="H88" s="369">
        <f t="shared" si="4"/>
        <v>373161.11727018445</v>
      </c>
      <c r="I88" s="310">
        <f t="shared" si="5"/>
        <v>2398.15104005789</v>
      </c>
      <c r="J88" s="311">
        <f t="shared" si="6"/>
        <v>10325.999227009574</v>
      </c>
      <c r="K88" s="315">
        <f t="shared" si="11"/>
        <v>385885.26753725193</v>
      </c>
      <c r="L88" s="66"/>
      <c r="O88" s="302">
        <f t="shared" si="7"/>
        <v>0.37316111727018447</v>
      </c>
      <c r="P88" s="302">
        <f t="shared" si="10"/>
        <v>2.39815104005789E-3</v>
      </c>
      <c r="Q88" s="302">
        <f t="shared" si="8"/>
        <v>1.0325999227009573E-2</v>
      </c>
      <c r="R88" s="302"/>
    </row>
    <row r="89" spans="1:18" s="19" customFormat="1" ht="16" thickBot="1" x14ac:dyDescent="0.2">
      <c r="B89" s="316">
        <f t="shared" si="9"/>
        <v>2019</v>
      </c>
      <c r="C89" s="317">
        <v>1</v>
      </c>
      <c r="D89" s="361" t="s">
        <v>66</v>
      </c>
      <c r="E89" s="362">
        <f>SUM(E80,E83:E88)</f>
        <v>3487204.8789106328</v>
      </c>
      <c r="F89" s="363">
        <f t="shared" ref="F89:G89" si="12">SUM(F80,F83:F88)</f>
        <v>1220.8385629012798</v>
      </c>
      <c r="G89" s="364">
        <f t="shared" si="12"/>
        <v>395.7755244469713</v>
      </c>
      <c r="H89" s="370">
        <f>SUM(H80,H83:H88)</f>
        <v>3487204.8789106328</v>
      </c>
      <c r="I89" s="363">
        <f t="shared" ref="I89:J89" si="13">SUM(I80,I83:I88)</f>
        <v>34183.479761235838</v>
      </c>
      <c r="J89" s="364">
        <f t="shared" si="13"/>
        <v>104880.51397844739</v>
      </c>
      <c r="K89" s="321">
        <f t="shared" si="11"/>
        <v>3626268.872650316</v>
      </c>
      <c r="L89" s="66"/>
      <c r="M89" s="383"/>
      <c r="O89" s="302"/>
      <c r="P89" s="302"/>
      <c r="Q89" s="302"/>
      <c r="R89" s="302"/>
    </row>
    <row r="90" spans="1:18" s="19" customFormat="1" x14ac:dyDescent="0.15">
      <c r="B90" s="57"/>
      <c r="C90" s="57"/>
      <c r="D90" s="326"/>
      <c r="E90" s="354"/>
      <c r="F90" s="353">
        <f>F89-M39</f>
        <v>0</v>
      </c>
      <c r="G90" s="353">
        <f>G89-M75</f>
        <v>0</v>
      </c>
      <c r="H90" s="327"/>
      <c r="I90" s="327"/>
      <c r="J90" s="327"/>
      <c r="K90" s="327"/>
      <c r="L90" s="66"/>
      <c r="M90" s="383"/>
      <c r="O90" s="302"/>
      <c r="P90" s="302"/>
      <c r="Q90" s="302"/>
      <c r="R90" s="302"/>
    </row>
    <row r="91" spans="1:18" x14ac:dyDescent="0.15">
      <c r="A91" s="66"/>
      <c r="B91" s="82"/>
      <c r="C91" s="114"/>
      <c r="D91" s="114"/>
      <c r="E91" s="287">
        <f>E80-E81-E82</f>
        <v>0</v>
      </c>
      <c r="F91" s="287">
        <f t="shared" ref="F91:G91" si="14">F80-F81-F82</f>
        <v>0</v>
      </c>
      <c r="G91" s="287">
        <f t="shared" si="14"/>
        <v>0</v>
      </c>
      <c r="H91" s="114"/>
      <c r="I91" s="114"/>
      <c r="J91" s="114"/>
      <c r="K91" s="114"/>
      <c r="L91" s="66"/>
      <c r="M91" s="110"/>
      <c r="N91" s="66"/>
      <c r="O91" s="302"/>
      <c r="P91" s="302"/>
      <c r="Q91" s="302"/>
      <c r="R91" s="302"/>
    </row>
    <row r="92" spans="1:18" ht="18" x14ac:dyDescent="0.2">
      <c r="A92" s="300"/>
      <c r="B92" s="301">
        <v>2015</v>
      </c>
      <c r="C92" s="29"/>
      <c r="D92" s="29"/>
      <c r="E92" s="29"/>
      <c r="F92" s="29"/>
      <c r="G92" s="29"/>
      <c r="H92" s="29"/>
      <c r="I92" s="29"/>
      <c r="J92" s="29"/>
      <c r="K92" s="29"/>
      <c r="L92" s="29"/>
      <c r="M92" s="378"/>
      <c r="O92" s="302"/>
      <c r="P92" s="302"/>
      <c r="Q92" s="302"/>
      <c r="R92" s="302"/>
    </row>
    <row r="93" spans="1:18" x14ac:dyDescent="0.15">
      <c r="O93" s="302"/>
      <c r="P93" s="302"/>
      <c r="Q93" s="302"/>
      <c r="R93" s="302"/>
    </row>
    <row r="94" spans="1:18" s="142" customFormat="1" x14ac:dyDescent="0.15">
      <c r="A94" s="119"/>
      <c r="B94" s="82" t="s">
        <v>138</v>
      </c>
      <c r="C94" s="119"/>
      <c r="D94" s="119"/>
      <c r="E94" s="119"/>
      <c r="F94" s="119"/>
      <c r="G94" s="119"/>
      <c r="H94" s="119"/>
      <c r="I94" s="119"/>
      <c r="J94" s="119"/>
      <c r="K94" s="119"/>
      <c r="L94" s="119"/>
      <c r="M94" s="379"/>
      <c r="N94" s="119"/>
      <c r="O94" s="302"/>
      <c r="P94" s="302"/>
      <c r="Q94" s="302"/>
      <c r="R94" s="302"/>
    </row>
    <row r="95" spans="1:18" s="142" customFormat="1" x14ac:dyDescent="0.15">
      <c r="A95" s="118"/>
      <c r="B95" s="372" t="s">
        <v>152</v>
      </c>
      <c r="C95" s="372" t="s">
        <v>153</v>
      </c>
      <c r="D95" s="373" t="s">
        <v>58</v>
      </c>
      <c r="E95" s="373" t="s">
        <v>100</v>
      </c>
      <c r="F95" s="373" t="s">
        <v>59</v>
      </c>
      <c r="G95" s="373" t="s">
        <v>60</v>
      </c>
      <c r="H95" s="373" t="s">
        <v>62</v>
      </c>
      <c r="I95" s="373" t="s">
        <v>61</v>
      </c>
      <c r="J95" s="373" t="s">
        <v>63</v>
      </c>
      <c r="K95" s="373" t="s">
        <v>64</v>
      </c>
      <c r="L95" s="373" t="s">
        <v>65</v>
      </c>
      <c r="M95" s="380" t="s">
        <v>88</v>
      </c>
      <c r="N95" s="119"/>
      <c r="O95" s="302"/>
      <c r="P95" s="302"/>
      <c r="Q95" s="302"/>
      <c r="R95" s="302"/>
    </row>
    <row r="96" spans="1:18" s="142" customFormat="1" x14ac:dyDescent="0.15">
      <c r="A96" s="118"/>
      <c r="B96" s="72" t="s">
        <v>154</v>
      </c>
      <c r="C96" s="72" t="s">
        <v>155</v>
      </c>
      <c r="D96" s="477">
        <f>'Offroad Data'!C268/'Constants &amp; Conversions'!$D$32</f>
        <v>0</v>
      </c>
      <c r="E96" s="477">
        <f>'Offroad Data'!D268/'Constants &amp; Conversions'!$D$32</f>
        <v>3.0622576703752721E-2</v>
      </c>
      <c r="F96" s="477">
        <f>'Offroad Data'!E268/'Constants &amp; Conversions'!$D$32</f>
        <v>3.0622576703752721E-2</v>
      </c>
      <c r="G96" s="477">
        <f>'Offroad Data'!F268/'Constants &amp; Conversions'!$D$32</f>
        <v>1.0283907232548508E-2</v>
      </c>
      <c r="H96" s="477">
        <f>'Offroad Data'!G268/'Constants &amp; Conversions'!$D$32</f>
        <v>0.36762440560776788</v>
      </c>
      <c r="I96" s="477">
        <f>'Offroad Data'!H268/'Constants &amp; Conversions'!$D$32</f>
        <v>0.32191035433605664</v>
      </c>
      <c r="J96" s="477">
        <f>'Offroad Data'!I268/'Constants &amp; Conversions'!$D$32</f>
        <v>6.0995618851797842E-2</v>
      </c>
      <c r="K96" s="477">
        <f>'Offroad Data'!J268/'Constants &amp; Conversions'!$D$32</f>
        <v>0.41454568460464436</v>
      </c>
      <c r="L96" s="477">
        <f>'Offroad Data'!K268/'Constants &amp; Conversions'!$D$32</f>
        <v>0.50129278121839149</v>
      </c>
      <c r="M96" s="375">
        <f t="shared" ref="M96:M128" si="15">SUM(F96:L96)</f>
        <v>1.7072753285549593</v>
      </c>
      <c r="N96" s="119"/>
      <c r="O96" s="302"/>
      <c r="P96" s="302"/>
      <c r="Q96" s="302"/>
      <c r="R96" s="302"/>
    </row>
    <row r="97" spans="1:18" s="142" customFormat="1" x14ac:dyDescent="0.15">
      <c r="A97" s="118"/>
      <c r="B97" s="72" t="s">
        <v>154</v>
      </c>
      <c r="C97" s="72" t="s">
        <v>104</v>
      </c>
      <c r="D97" s="477">
        <f>'Offroad Data'!C269/'Constants &amp; Conversions'!$D$32</f>
        <v>33.310030109070482</v>
      </c>
      <c r="E97" s="477">
        <f>'Offroad Data'!D269/'Constants &amp; Conversions'!$D$32</f>
        <v>64.415796412553306</v>
      </c>
      <c r="F97" s="477">
        <f>'Offroad Data'!E269/'Constants &amp; Conversions'!$D$32</f>
        <v>97.725826521623787</v>
      </c>
      <c r="G97" s="477">
        <f>'Offroad Data'!F269/'Constants &amp; Conversions'!$D$32</f>
        <v>35.444177560337536</v>
      </c>
      <c r="H97" s="477">
        <f>'Offroad Data'!G269/'Constants &amp; Conversions'!$D$32</f>
        <v>9.795452373216893</v>
      </c>
      <c r="I97" s="477">
        <f>'Offroad Data'!H269/'Constants &amp; Conversions'!$D$32</f>
        <v>0.83438287466049144</v>
      </c>
      <c r="J97" s="477">
        <f>'Offroad Data'!I269/'Constants &amp; Conversions'!$D$32</f>
        <v>16.676251866184757</v>
      </c>
      <c r="K97" s="477">
        <f>'Offroad Data'!J269/'Constants &amp; Conversions'!$D$32</f>
        <v>6.1493034851248485</v>
      </c>
      <c r="L97" s="477">
        <f>'Offroad Data'!K269/'Constants &amp; Conversions'!$D$32</f>
        <v>8.0466598157217799</v>
      </c>
      <c r="M97" s="375">
        <f t="shared" si="15"/>
        <v>174.67205449687012</v>
      </c>
      <c r="N97" s="119"/>
      <c r="O97" s="302"/>
      <c r="P97" s="302"/>
      <c r="Q97" s="302"/>
      <c r="R97" s="302"/>
    </row>
    <row r="98" spans="1:18" s="142" customFormat="1" x14ac:dyDescent="0.15">
      <c r="A98" s="118"/>
      <c r="B98" s="72" t="s">
        <v>154</v>
      </c>
      <c r="C98" s="72" t="s">
        <v>156</v>
      </c>
      <c r="D98" s="477">
        <f>'Offroad Data'!C270/'Constants &amp; Conversions'!$D$32</f>
        <v>7.5864677880952858E-2</v>
      </c>
      <c r="E98" s="477">
        <f>'Offroad Data'!D270/'Constants &amp; Conversions'!$D$32</f>
        <v>0.14670907319152116</v>
      </c>
      <c r="F98" s="477">
        <f>'Offroad Data'!E270/'Constants &amp; Conversions'!$D$32</f>
        <v>0.22257375107247401</v>
      </c>
      <c r="G98" s="477">
        <f>'Offroad Data'!F270/'Constants &amp; Conversions'!$D$32</f>
        <v>5.5817566146850496E-2</v>
      </c>
      <c r="H98" s="477">
        <f>'Offroad Data'!G270/'Constants &amp; Conversions'!$D$32</f>
        <v>5.11308549543108E-2</v>
      </c>
      <c r="I98" s="477">
        <f>'Offroad Data'!H270/'Constants &amp; Conversions'!$D$32</f>
        <v>1.1918483190264E-2</v>
      </c>
      <c r="J98" s="477">
        <f>'Offroad Data'!I270/'Constants &amp; Conversions'!$D$32</f>
        <v>4.1226077763148704E-2</v>
      </c>
      <c r="K98" s="477">
        <f>'Offroad Data'!J270/'Constants &amp; Conversions'!$D$32</f>
        <v>3.12361901495797E-2</v>
      </c>
      <c r="L98" s="477">
        <f>'Offroad Data'!K270/'Constants &amp; Conversions'!$D$32</f>
        <v>7.322886115591859E-2</v>
      </c>
      <c r="M98" s="375">
        <f t="shared" si="15"/>
        <v>0.48713178443254629</v>
      </c>
      <c r="N98" s="119"/>
      <c r="O98" s="302"/>
      <c r="P98" s="302"/>
      <c r="Q98" s="302"/>
      <c r="R98" s="302"/>
    </row>
    <row r="99" spans="1:18" s="142" customFormat="1" x14ac:dyDescent="0.15">
      <c r="A99" s="118"/>
      <c r="B99" s="72" t="s">
        <v>154</v>
      </c>
      <c r="C99" s="72" t="s">
        <v>157</v>
      </c>
      <c r="D99" s="477">
        <f>'Offroad Data'!C271/'Constants &amp; Conversions'!$D$32</f>
        <v>43.748718706212195</v>
      </c>
      <c r="E99" s="477">
        <f>'Offroad Data'!D271/'Constants &amp; Conversions'!$D$32</f>
        <v>84.60240198708324</v>
      </c>
      <c r="F99" s="477">
        <f>'Offroad Data'!E271/'Constants &amp; Conversions'!$D$32</f>
        <v>128.35112069329543</v>
      </c>
      <c r="G99" s="477">
        <f>'Offroad Data'!F271/'Constants &amp; Conversions'!$D$32</f>
        <v>32.883325436481435</v>
      </c>
      <c r="H99" s="477">
        <f>'Offroad Data'!G271/'Constants &amp; Conversions'!$D$32</f>
        <v>17.502296294466237</v>
      </c>
      <c r="I99" s="477">
        <f>'Offroad Data'!H271/'Constants &amp; Conversions'!$D$32</f>
        <v>1.0167587667623057</v>
      </c>
      <c r="J99" s="477">
        <f>'Offroad Data'!I271/'Constants &amp; Conversions'!$D$32</f>
        <v>24.969372556604071</v>
      </c>
      <c r="K99" s="477">
        <f>'Offroad Data'!J271/'Constants &amp; Conversions'!$D$32</f>
        <v>13.010228137920043</v>
      </c>
      <c r="L99" s="477">
        <f>'Offroad Data'!K271/'Constants &amp; Conversions'!$D$32</f>
        <v>12.003773963131769</v>
      </c>
      <c r="M99" s="375">
        <f t="shared" si="15"/>
        <v>229.73687584866133</v>
      </c>
      <c r="N99" s="119"/>
      <c r="O99" s="302"/>
      <c r="P99" s="302"/>
      <c r="Q99" s="302"/>
      <c r="R99" s="302"/>
    </row>
    <row r="100" spans="1:18" s="142" customFormat="1" x14ac:dyDescent="0.15">
      <c r="A100" s="118"/>
      <c r="B100" s="174" t="s">
        <v>154</v>
      </c>
      <c r="C100" s="174" t="s">
        <v>158</v>
      </c>
      <c r="D100" s="478">
        <f>'Offroad Data'!C272/'Constants &amp; Conversions'!$D$32</f>
        <v>0.28896863307154425</v>
      </c>
      <c r="E100" s="478">
        <f>'Offroad Data'!D272/'Constants &amp; Conversions'!$D$32</f>
        <v>0.5588150048679088</v>
      </c>
      <c r="F100" s="478">
        <f>'Offroad Data'!E272/'Constants &amp; Conversions'!$D$32</f>
        <v>0.84778363793945299</v>
      </c>
      <c r="G100" s="478">
        <f>'Offroad Data'!F272/'Constants &amp; Conversions'!$D$32</f>
        <v>0.69235529956054598</v>
      </c>
      <c r="H100" s="478">
        <f>'Offroad Data'!G272/'Constants &amp; Conversions'!$D$32</f>
        <v>8.4778362930297793E-2</v>
      </c>
      <c r="I100" s="478">
        <f>'Offroad Data'!H272/'Constants &amp; Conversions'!$D$32</f>
        <v>0</v>
      </c>
      <c r="J100" s="478">
        <f>'Offroad Data'!I272/'Constants &amp; Conversions'!$D$32</f>
        <v>0.55105926965331986</v>
      </c>
      <c r="K100" s="478">
        <f>'Offroad Data'!J272/'Constants &amp; Conversions'!$D$32</f>
        <v>0</v>
      </c>
      <c r="L100" s="478">
        <f>'Offroad Data'!K272/'Constants &amp; Conversions'!$D$32</f>
        <v>0.84778363793945299</v>
      </c>
      <c r="M100" s="376">
        <f t="shared" si="15"/>
        <v>3.0237602080230697</v>
      </c>
      <c r="N100" s="119"/>
      <c r="O100" s="302"/>
      <c r="P100" s="302"/>
      <c r="Q100" s="302"/>
      <c r="R100" s="302"/>
    </row>
    <row r="101" spans="1:18" s="142" customFormat="1" x14ac:dyDescent="0.15">
      <c r="A101" s="118"/>
      <c r="B101" s="173" t="s">
        <v>146</v>
      </c>
      <c r="C101" s="173" t="s">
        <v>155</v>
      </c>
      <c r="D101" s="476">
        <f>'Offroad Data'!C318/'Constants &amp; Conversions'!$D$32</f>
        <v>0</v>
      </c>
      <c r="E101" s="476">
        <f>'Offroad Data'!D318/'Constants &amp; Conversions'!$D$32</f>
        <v>6.0342610203743756E-2</v>
      </c>
      <c r="F101" s="476">
        <f>'Offroad Data'!E318/'Constants &amp; Conversions'!$D$32</f>
        <v>6.0342610203743756E-2</v>
      </c>
      <c r="G101" s="476">
        <f>'Offroad Data'!F318/'Constants &amp; Conversions'!$D$32</f>
        <v>2.0264682891347075E-2</v>
      </c>
      <c r="H101" s="476">
        <f>'Offroad Data'!G318/'Constants &amp; Conversions'!$D$32</f>
        <v>0.72441371324873427</v>
      </c>
      <c r="I101" s="476">
        <f>'Offroad Data'!H318/'Constants &amp; Conversions'!$D$32</f>
        <v>0.63433316272587592</v>
      </c>
      <c r="J101" s="476">
        <f>'Offroad Data'!I318/'Constants &amp; Conversions'!$D$32</f>
        <v>0.12019346149177601</v>
      </c>
      <c r="K101" s="476">
        <f>'Offroad Data'!J318/'Constants &amp; Conversions'!$D$32</f>
        <v>0.81687224068329722</v>
      </c>
      <c r="L101" s="476">
        <f>'Offroad Data'!K318/'Constants &amp; Conversions'!$D$32</f>
        <v>0.9878112691612897</v>
      </c>
      <c r="M101" s="377">
        <f t="shared" si="15"/>
        <v>3.3642311404060639</v>
      </c>
      <c r="N101" s="119"/>
      <c r="O101" s="302"/>
      <c r="P101" s="302"/>
      <c r="Q101" s="302"/>
      <c r="R101" s="302"/>
    </row>
    <row r="102" spans="1:18" s="142" customFormat="1" x14ac:dyDescent="0.15">
      <c r="A102" s="118"/>
      <c r="B102" s="72" t="s">
        <v>146</v>
      </c>
      <c r="C102" s="72" t="s">
        <v>159</v>
      </c>
      <c r="D102" s="476">
        <f>'Offroad Data'!C319/'Constants &amp; Conversions'!$D$32</f>
        <v>0.84783255761718701</v>
      </c>
      <c r="E102" s="476">
        <f>'Offroad Data'!D319/'Constants &amp; Conversions'!$D$32</f>
        <v>0</v>
      </c>
      <c r="F102" s="476">
        <f>'Offroad Data'!E319/'Constants &amp; Conversions'!$D$32</f>
        <v>0.84783255761718701</v>
      </c>
      <c r="G102" s="476">
        <f>'Offroad Data'!F319/'Constants &amp; Conversions'!$D$32</f>
        <v>1.9960150557756401E-4</v>
      </c>
      <c r="H102" s="476">
        <f>'Offroad Data'!G319/'Constants &amp; Conversions'!$D$32</f>
        <v>9.0900041371583894E-5</v>
      </c>
      <c r="I102" s="476">
        <f>'Offroad Data'!H319/'Constants &amp; Conversions'!$D$32</f>
        <v>0</v>
      </c>
      <c r="J102" s="476">
        <f>'Offroad Data'!I319/'Constants &amp; Conversions'!$D$32</f>
        <v>1.0036887133121399E-4</v>
      </c>
      <c r="K102" s="476">
        <f>'Offroad Data'!J319/'Constants &amp; Conversions'!$D$32</f>
        <v>8.7112629756331395E-5</v>
      </c>
      <c r="L102" s="476">
        <f>'Offroad Data'!K319/'Constants &amp; Conversions'!$D$32</f>
        <v>2.0452527910470899E-4</v>
      </c>
      <c r="M102" s="377">
        <f t="shared" si="15"/>
        <v>0.84851506594432846</v>
      </c>
      <c r="N102" s="119"/>
      <c r="O102" s="302"/>
      <c r="P102" s="302"/>
      <c r="Q102" s="302"/>
      <c r="R102" s="302"/>
    </row>
    <row r="103" spans="1:18" s="142" customFormat="1" x14ac:dyDescent="0.15">
      <c r="A103" s="118"/>
      <c r="B103" s="72" t="s">
        <v>146</v>
      </c>
      <c r="C103" s="72" t="s">
        <v>104</v>
      </c>
      <c r="D103" s="476">
        <f>'Offroad Data'!C320/'Constants &amp; Conversions'!$D$32</f>
        <v>1.2584068854984742</v>
      </c>
      <c r="E103" s="476">
        <f>'Offroad Data'!D320/'Constants &amp; Conversions'!$D$32</f>
        <v>2.4335397318764835</v>
      </c>
      <c r="F103" s="476">
        <f>'Offroad Data'!E320/'Constants &amp; Conversions'!$D$32</f>
        <v>3.691946617374958</v>
      </c>
      <c r="G103" s="476">
        <f>'Offroad Data'!F320/'Constants &amp; Conversions'!$D$32</f>
        <v>1.339031871116092</v>
      </c>
      <c r="H103" s="476">
        <f>'Offroad Data'!G320/'Constants &amp; Conversions'!$D$32</f>
        <v>0.37005840562547843</v>
      </c>
      <c r="I103" s="476">
        <f>'Offroad Data'!H320/'Constants &amp; Conversions'!$D$32</f>
        <v>3.1521881548779322E-2</v>
      </c>
      <c r="J103" s="476">
        <f>'Offroad Data'!I320/'Constants &amp; Conversions'!$D$32</f>
        <v>0.6300054777679428</v>
      </c>
      <c r="K103" s="476">
        <f>'Offroad Data'!J320/'Constants &amp; Conversions'!$D$32</f>
        <v>0.23231200777816738</v>
      </c>
      <c r="L103" s="476">
        <f>'Offroad Data'!K320/'Constants &amp; Conversions'!$D$32</f>
        <v>0.30399171566731531</v>
      </c>
      <c r="M103" s="377">
        <f t="shared" si="15"/>
        <v>6.5988679768787337</v>
      </c>
      <c r="N103" s="119"/>
      <c r="O103" s="302"/>
      <c r="P103" s="302"/>
      <c r="Q103" s="302"/>
      <c r="R103" s="302"/>
    </row>
    <row r="104" spans="1:18" s="142" customFormat="1" x14ac:dyDescent="0.15">
      <c r="A104" s="118"/>
      <c r="B104" s="72" t="s">
        <v>146</v>
      </c>
      <c r="C104" s="72" t="s">
        <v>156</v>
      </c>
      <c r="D104" s="476">
        <f>'Offroad Data'!C321/'Constants &amp; Conversions'!$D$32</f>
        <v>5.8628823327122372</v>
      </c>
      <c r="E104" s="476">
        <f>'Offroad Data'!D321/'Constants &amp; Conversions'!$D$32</f>
        <v>11.337793256209272</v>
      </c>
      <c r="F104" s="476">
        <f>'Offroad Data'!E321/'Constants &amp; Conversions'!$D$32</f>
        <v>17.200675588921509</v>
      </c>
      <c r="G104" s="476">
        <f>'Offroad Data'!F321/'Constants &amp; Conversions'!$D$32</f>
        <v>4.3136194082983623</v>
      </c>
      <c r="H104" s="476">
        <f>'Offroad Data'!G321/'Constants &amp; Conversions'!$D$32</f>
        <v>3.9514315676504457</v>
      </c>
      <c r="I104" s="476">
        <f>'Offroad Data'!H321/'Constants &amp; Conversions'!$D$32</f>
        <v>0.92106999532843059</v>
      </c>
      <c r="J104" s="476">
        <f>'Offroad Data'!I321/'Constants &amp; Conversions'!$D$32</f>
        <v>3.1859858456397325</v>
      </c>
      <c r="K104" s="476">
        <f>'Offroad Data'!J321/'Constants &amp; Conversions'!$D$32</f>
        <v>2.4139606085649694</v>
      </c>
      <c r="L104" s="476">
        <f>'Offroad Data'!K321/'Constants &amp; Conversions'!$D$32</f>
        <v>5.6591855853186681</v>
      </c>
      <c r="M104" s="377">
        <f t="shared" si="15"/>
        <v>37.645928599722119</v>
      </c>
      <c r="N104" s="119"/>
      <c r="O104" s="302"/>
      <c r="P104" s="302"/>
      <c r="Q104" s="302"/>
      <c r="R104" s="302"/>
    </row>
    <row r="105" spans="1:18" s="142" customFormat="1" x14ac:dyDescent="0.15">
      <c r="A105" s="118"/>
      <c r="B105" s="72" t="s">
        <v>146</v>
      </c>
      <c r="C105" s="72" t="s">
        <v>157</v>
      </c>
      <c r="D105" s="476">
        <f>'Offroad Data'!C322/'Constants &amp; Conversions'!$D$32</f>
        <v>2.2560105870729199</v>
      </c>
      <c r="E105" s="476">
        <f>'Offroad Data'!D322/'Constants &amp; Conversions'!$D$32</f>
        <v>4.362731531782134</v>
      </c>
      <c r="F105" s="476">
        <f>'Offroad Data'!E322/'Constants &amp; Conversions'!$D$32</f>
        <v>6.6187421188550539</v>
      </c>
      <c r="G105" s="476">
        <f>'Offroad Data'!F322/'Constants &amp; Conversions'!$D$32</f>
        <v>1.4420200740383669</v>
      </c>
      <c r="H105" s="476">
        <f>'Offroad Data'!G322/'Constants &amp; Conversions'!$D$32</f>
        <v>0.74081483650452529</v>
      </c>
      <c r="I105" s="476">
        <f>'Offroad Data'!H322/'Constants &amp; Conversions'!$D$32</f>
        <v>6.3230544509972814E-2</v>
      </c>
      <c r="J105" s="476">
        <f>'Offroad Data'!I322/'Constants &amp; Conversions'!$D$32</f>
        <v>1.081331701027731</v>
      </c>
      <c r="K105" s="476">
        <f>'Offroad Data'!J322/'Constants &amp; Conversions'!$D$32</f>
        <v>0.52278473584420249</v>
      </c>
      <c r="L105" s="476">
        <f>'Offroad Data'!K322/'Constants &amp; Conversions'!$D$32</f>
        <v>0.65024586393110895</v>
      </c>
      <c r="M105" s="377">
        <f t="shared" si="15"/>
        <v>11.119169874710961</v>
      </c>
      <c r="N105" s="119"/>
      <c r="O105" s="302"/>
      <c r="P105" s="302"/>
      <c r="Q105" s="302"/>
      <c r="R105" s="302"/>
    </row>
    <row r="106" spans="1:18" s="142" customFormat="1" x14ac:dyDescent="0.15">
      <c r="A106" s="118"/>
      <c r="B106" s="72" t="s">
        <v>146</v>
      </c>
      <c r="C106" s="72" t="s">
        <v>160</v>
      </c>
      <c r="D106" s="476">
        <f>'Offroad Data'!C323/'Constants &amp; Conversions'!$D$32</f>
        <v>0.25027406643498817</v>
      </c>
      <c r="E106" s="476">
        <f>'Offroad Data'!D323/'Constants &amp; Conversions'!$D$32</f>
        <v>0.79180017145012982</v>
      </c>
      <c r="F106" s="476">
        <f>'Offroad Data'!E323/'Constants &amp; Conversions'!$D$32</f>
        <v>1.042074237885118</v>
      </c>
      <c r="G106" s="476">
        <f>'Offroad Data'!F323/'Constants &amp; Conversions'!$D$32</f>
        <v>0.66510032652461748</v>
      </c>
      <c r="H106" s="476">
        <f>'Offroad Data'!G323/'Constants &amp; Conversions'!$D$32</f>
        <v>0.3514688698005658</v>
      </c>
      <c r="I106" s="476">
        <f>'Offroad Data'!H323/'Constants &amp; Conversions'!$D$32</f>
        <v>2.9148924746408945E-2</v>
      </c>
      <c r="J106" s="476">
        <f>'Offroad Data'!I323/'Constants &amp; Conversions'!$D$32</f>
        <v>0.60287864063845087</v>
      </c>
      <c r="K106" s="476">
        <f>'Offroad Data'!J323/'Constants &amp; Conversions'!$D$32</f>
        <v>0.15751634586652813</v>
      </c>
      <c r="L106" s="476">
        <f>'Offroad Data'!K323/'Constants &amp; Conversions'!$D$32</f>
        <v>0.25281087053147211</v>
      </c>
      <c r="M106" s="377">
        <f t="shared" si="15"/>
        <v>3.1009982159931613</v>
      </c>
      <c r="N106" s="119"/>
      <c r="O106" s="302"/>
      <c r="P106" s="302"/>
      <c r="Q106" s="302"/>
      <c r="R106" s="302"/>
    </row>
    <row r="107" spans="1:18" s="142" customFormat="1" x14ac:dyDescent="0.15">
      <c r="A107" s="118"/>
      <c r="B107" s="72" t="s">
        <v>146</v>
      </c>
      <c r="C107" s="72" t="s">
        <v>161</v>
      </c>
      <c r="D107" s="476">
        <f>'Offroad Data'!C324/'Constants &amp; Conversions'!$D$32</f>
        <v>0</v>
      </c>
      <c r="E107" s="476">
        <f>'Offroad Data'!D324/'Constants &amp; Conversions'!$D$32</f>
        <v>2.0892390066964202E-2</v>
      </c>
      <c r="F107" s="476">
        <f>'Offroad Data'!E324/'Constants &amp; Conversions'!$D$32</f>
        <v>2.0892390066964202E-2</v>
      </c>
      <c r="G107" s="476">
        <f>'Offroad Data'!F324/'Constants &amp; Conversions'!$D$32</f>
        <v>3.3896024919237403E-3</v>
      </c>
      <c r="H107" s="476">
        <f>'Offroad Data'!G324/'Constants &amp; Conversions'!$D$32</f>
        <v>5.1374122807638896E-3</v>
      </c>
      <c r="I107" s="476">
        <f>'Offroad Data'!H324/'Constants &amp; Conversions'!$D$32</f>
        <v>9.0208035362788607E-3</v>
      </c>
      <c r="J107" s="476">
        <f>'Offroad Data'!I324/'Constants &amp; Conversions'!$D$32</f>
        <v>1.24596302773611E-2</v>
      </c>
      <c r="K107" s="476">
        <f>'Offroad Data'!J324/'Constants &amp; Conversions'!$D$32</f>
        <v>2.9872552214486203E-2</v>
      </c>
      <c r="L107" s="476">
        <f>'Offroad Data'!K324/'Constants &amp; Conversions'!$D$32</f>
        <v>3.1300741058349596E-2</v>
      </c>
      <c r="M107" s="377">
        <f t="shared" si="15"/>
        <v>0.11207313192612758</v>
      </c>
      <c r="N107" s="119"/>
      <c r="O107" s="302"/>
      <c r="P107" s="302"/>
      <c r="Q107" s="302"/>
      <c r="R107" s="302"/>
    </row>
    <row r="108" spans="1:18" s="142" customFormat="1" x14ac:dyDescent="0.15">
      <c r="A108" s="118"/>
      <c r="B108" s="72" t="s">
        <v>146</v>
      </c>
      <c r="C108" s="72" t="s">
        <v>158</v>
      </c>
      <c r="D108" s="476">
        <f>'Offroad Data'!C325/'Constants &amp; Conversions'!$D$32</f>
        <v>1.2866127443310039E-2</v>
      </c>
      <c r="E108" s="476">
        <f>'Offroad Data'!D325/'Constants &amp; Conversions'!$D$32</f>
        <v>2.4880849500659656E-2</v>
      </c>
      <c r="F108" s="476">
        <f>'Offroad Data'!E325/'Constants &amp; Conversions'!$D$32</f>
        <v>3.7746976943969696E-2</v>
      </c>
      <c r="G108" s="476">
        <f>'Offroad Data'!F325/'Constants &amp; Conversions'!$D$32</f>
        <v>3.0826701408386201E-2</v>
      </c>
      <c r="H108" s="476">
        <f>'Offroad Data'!G325/'Constants &amp; Conversions'!$D$32</f>
        <v>3.77469766616821E-3</v>
      </c>
      <c r="I108" s="476">
        <f>'Offroad Data'!H325/'Constants &amp; Conversions'!$D$32</f>
        <v>0</v>
      </c>
      <c r="J108" s="476">
        <f>'Offroad Data'!I325/'Constants &amp; Conversions'!$D$32</f>
        <v>2.4535540073394698E-2</v>
      </c>
      <c r="K108" s="476">
        <f>'Offroad Data'!J325/'Constants &amp; Conversions'!$D$32</f>
        <v>0</v>
      </c>
      <c r="L108" s="476">
        <f>'Offroad Data'!K325/'Constants &amp; Conversions'!$D$32</f>
        <v>3.7746976943969696E-2</v>
      </c>
      <c r="M108" s="377">
        <f t="shared" si="15"/>
        <v>0.13463089303588849</v>
      </c>
      <c r="N108" s="119"/>
      <c r="O108" s="302"/>
      <c r="P108" s="302"/>
      <c r="Q108" s="302"/>
      <c r="R108" s="302"/>
    </row>
    <row r="109" spans="1:18" s="142" customFormat="1" x14ac:dyDescent="0.15">
      <c r="A109" s="118"/>
      <c r="B109" s="72" t="s">
        <v>146</v>
      </c>
      <c r="C109" s="72" t="s">
        <v>162</v>
      </c>
      <c r="D109" s="476">
        <f>'Offroad Data'!C326/'Constants &amp; Conversions'!$D$32</f>
        <v>5.7980494928592523E-2</v>
      </c>
      <c r="E109" s="476">
        <f>'Offroad Data'!D326/'Constants &amp; Conversions'!$D$32</f>
        <v>2.0653235239341271E-2</v>
      </c>
      <c r="F109" s="476">
        <f>'Offroad Data'!E326/'Constants &amp; Conversions'!$D$32</f>
        <v>7.8633730167933791E-2</v>
      </c>
      <c r="G109" s="476">
        <f>'Offroad Data'!F326/'Constants &amp; Conversions'!$D$32</f>
        <v>3.2521568524496801E-2</v>
      </c>
      <c r="H109" s="476">
        <f>'Offroad Data'!G326/'Constants &amp; Conversions'!$D$32</f>
        <v>1.41507402452741E-2</v>
      </c>
      <c r="I109" s="476">
        <f>'Offroad Data'!H326/'Constants &amp; Conversions'!$D$32</f>
        <v>2.2651427293504897E-3</v>
      </c>
      <c r="J109" s="476">
        <f>'Offroad Data'!I326/'Constants &amp; Conversions'!$D$32</f>
        <v>1.05054291915893E-2</v>
      </c>
      <c r="K109" s="476">
        <f>'Offroad Data'!J326/'Constants &amp; Conversions'!$D$32</f>
        <v>2.0509799738270898E-3</v>
      </c>
      <c r="L109" s="476">
        <f>'Offroad Data'!K326/'Constants &amp; Conversions'!$D$32</f>
        <v>1.7379396705627399E-2</v>
      </c>
      <c r="M109" s="377">
        <f t="shared" si="15"/>
        <v>0.157506987538099</v>
      </c>
      <c r="N109" s="119"/>
      <c r="O109" s="302"/>
      <c r="P109" s="302"/>
      <c r="Q109" s="302"/>
      <c r="R109" s="302"/>
    </row>
    <row r="110" spans="1:18" s="142" customFormat="1" x14ac:dyDescent="0.15">
      <c r="A110" s="118"/>
      <c r="B110" s="174" t="s">
        <v>146</v>
      </c>
      <c r="C110" s="174" t="s">
        <v>163</v>
      </c>
      <c r="D110" s="478">
        <f>'Offroad Data'!C327/'Constants &amp; Conversions'!$D$32</f>
        <v>1.6272714917239715E-2</v>
      </c>
      <c r="E110" s="478">
        <f>'Offroad Data'!D327/'Constants &amp; Conversions'!$D$32</f>
        <v>1.4982829677116186E-2</v>
      </c>
      <c r="F110" s="478">
        <f>'Offroad Data'!E327/'Constants &amp; Conversions'!$D$32</f>
        <v>3.1255544594355901E-2</v>
      </c>
      <c r="G110" s="478">
        <f>'Offroad Data'!F327/'Constants &amp; Conversions'!$D$32</f>
        <v>5.4357495371954801E-3</v>
      </c>
      <c r="H110" s="478">
        <f>'Offroad Data'!G327/'Constants &amp; Conversions'!$D$32</f>
        <v>2.7178755025863604E-3</v>
      </c>
      <c r="I110" s="478">
        <f>'Offroad Data'!H327/'Constants &amp; Conversions'!$D$32</f>
        <v>5.4357495371954801E-3</v>
      </c>
      <c r="J110" s="478">
        <f>'Offroad Data'!I327/'Constants &amp; Conversions'!$D$32</f>
        <v>1.6307253964015399E-2</v>
      </c>
      <c r="K110" s="478">
        <f>'Offroad Data'!J327/'Constants &amp; Conversions'!$D$32</f>
        <v>4.0768133813313002E-3</v>
      </c>
      <c r="L110" s="478">
        <f>'Offroad Data'!K327/'Constants &amp; Conversions'!$D$32</f>
        <v>6.7946831144605297E-3</v>
      </c>
      <c r="M110" s="376">
        <f t="shared" si="15"/>
        <v>7.2023669631140458E-2</v>
      </c>
      <c r="N110" s="119"/>
      <c r="O110" s="302"/>
      <c r="P110" s="302"/>
      <c r="Q110" s="302"/>
      <c r="R110" s="302"/>
    </row>
    <row r="111" spans="1:18" s="142" customFormat="1" x14ac:dyDescent="0.15">
      <c r="A111" s="118"/>
      <c r="B111" s="72" t="s">
        <v>164</v>
      </c>
      <c r="C111" s="72" t="s">
        <v>155</v>
      </c>
      <c r="D111" s="476">
        <f>'Offroad Data'!C397/'Constants &amp; Conversions'!$D$32</f>
        <v>0</v>
      </c>
      <c r="E111" s="476">
        <f>'Offroad Data'!D397/'Constants &amp; Conversions'!$D$32</f>
        <v>3.57900999350207E-4</v>
      </c>
      <c r="F111" s="476">
        <f>'Offroad Data'!E397/'Constants &amp; Conversions'!$D$32</f>
        <v>3.57900999350207E-4</v>
      </c>
      <c r="G111" s="476">
        <f>'Offroad Data'!F397/'Constants &amp; Conversions'!$D$32</f>
        <v>1.2019302077591399E-4</v>
      </c>
      <c r="H111" s="476">
        <f>'Offroad Data'!G397/'Constants &amp; Conversions'!$D$32</f>
        <v>4.2966013093675808E-3</v>
      </c>
      <c r="I111" s="476">
        <f>'Offroad Data'!H397/'Constants &amp; Conversions'!$D$32</f>
        <v>3.7623212877001002E-3</v>
      </c>
      <c r="J111" s="476">
        <f>'Offroad Data'!I397/'Constants &amp; Conversions'!$D$32</f>
        <v>7.1288489142486003E-4</v>
      </c>
      <c r="K111" s="476">
        <f>'Offroad Data'!J397/'Constants &amp; Conversions'!$D$32</f>
        <v>4.8449903877803204E-3</v>
      </c>
      <c r="L111" s="476">
        <f>'Offroad Data'!K397/'Constants &amp; Conversions'!$D$32</f>
        <v>5.8588522299357799E-3</v>
      </c>
      <c r="M111" s="377">
        <f t="shared" si="15"/>
        <v>1.9953744126334765E-2</v>
      </c>
      <c r="N111" s="119"/>
      <c r="O111" s="302"/>
      <c r="P111" s="302"/>
      <c r="Q111" s="302"/>
      <c r="R111" s="302"/>
    </row>
    <row r="112" spans="1:18" s="142" customFormat="1" x14ac:dyDescent="0.15">
      <c r="A112" s="118"/>
      <c r="B112" s="72" t="s">
        <v>164</v>
      </c>
      <c r="C112" s="72" t="s">
        <v>104</v>
      </c>
      <c r="D112" s="476">
        <f>'Offroad Data'!C398/'Constants &amp; Conversions'!$D$32</f>
        <v>1.5783983497161682</v>
      </c>
      <c r="E112" s="476">
        <f>'Offroad Data'!D398/'Constants &amp; Conversions'!$D$32</f>
        <v>3.0523474887385511</v>
      </c>
      <c r="F112" s="476">
        <f>'Offroad Data'!E398/'Constants &amp; Conversions'!$D$32</f>
        <v>4.6307458384547191</v>
      </c>
      <c r="G112" s="476">
        <f>'Offroad Data'!F398/'Constants &amp; Conversions'!$D$32</f>
        <v>1.6795252794834479</v>
      </c>
      <c r="H112" s="476">
        <f>'Offroad Data'!G398/'Constants &amp; Conversions'!$D$32</f>
        <v>0.46415841907320632</v>
      </c>
      <c r="I112" s="476">
        <f>'Offroad Data'!H398/'Constants &amp; Conversions'!$D$32</f>
        <v>3.9537247547992573E-2</v>
      </c>
      <c r="J112" s="476">
        <f>'Offroad Data'!I398/'Constants &amp; Conversions'!$D$32</f>
        <v>0.7902041444535326</v>
      </c>
      <c r="K112" s="476">
        <f>'Offroad Data'!J398/'Constants &amp; Conversions'!$D$32</f>
        <v>0.29138454512054107</v>
      </c>
      <c r="L112" s="476">
        <f>'Offroad Data'!K398/'Constants &amp; Conversions'!$D$32</f>
        <v>0.38129132849049063</v>
      </c>
      <c r="M112" s="375">
        <f t="shared" si="15"/>
        <v>8.2768468026239308</v>
      </c>
      <c r="N112" s="119"/>
      <c r="O112" s="302"/>
      <c r="P112" s="302"/>
      <c r="Q112" s="302"/>
      <c r="R112" s="302"/>
    </row>
    <row r="113" spans="1:18" s="142" customFormat="1" x14ac:dyDescent="0.15">
      <c r="A113" s="118"/>
      <c r="B113" s="72" t="s">
        <v>164</v>
      </c>
      <c r="C113" s="72" t="s">
        <v>156</v>
      </c>
      <c r="D113" s="476">
        <f>'Offroad Data'!C399/'Constants &amp; Conversions'!$D$32</f>
        <v>0.91849719400243435</v>
      </c>
      <c r="E113" s="476">
        <f>'Offroad Data'!D399/'Constants &amp; Conversions'!$D$32</f>
        <v>1.7762135927415799</v>
      </c>
      <c r="F113" s="476">
        <f>'Offroad Data'!E399/'Constants &amp; Conversions'!$D$32</f>
        <v>2.6947107867440141</v>
      </c>
      <c r="G113" s="476">
        <f>'Offroad Data'!F399/'Constants &amp; Conversions'!$D$32</f>
        <v>0.67578431675112915</v>
      </c>
      <c r="H113" s="476">
        <f>'Offroad Data'!G399/'Constants &amp; Conversions'!$D$32</f>
        <v>0.61904331461255779</v>
      </c>
      <c r="I113" s="476">
        <f>'Offroad Data'!H399/'Constants &amp; Conversions'!$D$32</f>
        <v>0.14429771484522971</v>
      </c>
      <c r="J113" s="476">
        <f>'Offroad Data'!I399/'Constants &amp; Conversions'!$D$32</f>
        <v>0.49912596237066642</v>
      </c>
      <c r="K113" s="476">
        <f>'Offroad Data'!J399/'Constants &amp; Conversions'!$D$32</f>
        <v>0.37817822627854031</v>
      </c>
      <c r="L113" s="476">
        <f>'Offroad Data'!K399/'Constants &amp; Conversions'!$D$32</f>
        <v>0.88658505283056799</v>
      </c>
      <c r="M113" s="375">
        <f t="shared" si="15"/>
        <v>5.8977253744327047</v>
      </c>
      <c r="N113" s="119"/>
      <c r="O113" s="302"/>
      <c r="P113" s="302"/>
      <c r="Q113" s="302"/>
      <c r="R113" s="302"/>
    </row>
    <row r="114" spans="1:18" s="142" customFormat="1" x14ac:dyDescent="0.15">
      <c r="A114" s="118"/>
      <c r="B114" s="72" t="s">
        <v>164</v>
      </c>
      <c r="C114" s="72" t="s">
        <v>157</v>
      </c>
      <c r="D114" s="476">
        <f>'Offroad Data'!C400/'Constants &amp; Conversions'!$D$32</f>
        <v>3.2478016309605458E-2</v>
      </c>
      <c r="E114" s="476">
        <f>'Offroad Data'!D400/'Constants &amp; Conversions'!$D$32</f>
        <v>6.2806826641487873E-2</v>
      </c>
      <c r="F114" s="476">
        <f>'Offroad Data'!E400/'Constants &amp; Conversions'!$D$32</f>
        <v>9.5284842951093324E-2</v>
      </c>
      <c r="G114" s="476">
        <f>'Offroad Data'!F400/'Constants &amp; Conversions'!$D$32</f>
        <v>2.442720799125939E-2</v>
      </c>
      <c r="H114" s="476">
        <f>'Offroad Data'!G400/'Constants &amp; Conversions'!$D$32</f>
        <v>1.3003126110996516E-2</v>
      </c>
      <c r="I114" s="476">
        <f>'Offroad Data'!H400/'Constants &amp; Conversions'!$D$32</f>
        <v>7.5415890840973144E-4</v>
      </c>
      <c r="J114" s="476">
        <f>'Offroad Data'!I400/'Constants &amp; Conversions'!$D$32</f>
        <v>1.8549222384793406E-2</v>
      </c>
      <c r="K114" s="476">
        <f>'Offroad Data'!J400/'Constants &amp; Conversions'!$D$32</f>
        <v>9.6675063190119585E-3</v>
      </c>
      <c r="L114" s="476">
        <f>'Offroad Data'!K400/'Constants &amp; Conversions'!$D$32</f>
        <v>8.9094139764308907E-3</v>
      </c>
      <c r="M114" s="375">
        <f t="shared" si="15"/>
        <v>0.1705954786419952</v>
      </c>
      <c r="N114" s="119"/>
      <c r="O114" s="302"/>
      <c r="P114" s="302"/>
      <c r="Q114" s="302"/>
      <c r="R114" s="302"/>
    </row>
    <row r="115" spans="1:18" s="142" customFormat="1" x14ac:dyDescent="0.15">
      <c r="A115" s="118"/>
      <c r="B115" s="72" t="s">
        <v>164</v>
      </c>
      <c r="C115" s="72" t="s">
        <v>160</v>
      </c>
      <c r="D115" s="476">
        <f>'Offroad Data'!C401/'Constants &amp; Conversions'!$D$32</f>
        <v>14.058520691738517</v>
      </c>
      <c r="E115" s="476">
        <f>'Offroad Data'!D401/'Constants &amp; Conversions'!$D$32</f>
        <v>44.477397329320631</v>
      </c>
      <c r="F115" s="476">
        <f>'Offroad Data'!E401/'Constants &amp; Conversions'!$D$32</f>
        <v>58.535918021059146</v>
      </c>
      <c r="G115" s="476">
        <f>'Offroad Data'!F401/'Constants &amp; Conversions'!$D$32</f>
        <v>28.755294060991943</v>
      </c>
      <c r="H115" s="476">
        <f>'Offroad Data'!G401/'Constants &amp; Conversions'!$D$32</f>
        <v>14.915676564774115</v>
      </c>
      <c r="I115" s="476">
        <f>'Offroad Data'!H401/'Constants &amp; Conversions'!$D$32</f>
        <v>1.324670659656167</v>
      </c>
      <c r="J115" s="476">
        <f>'Offroad Data'!I401/'Constants &amp; Conversions'!$D$32</f>
        <v>25.396668416925468</v>
      </c>
      <c r="K115" s="476">
        <f>'Offroad Data'!J401/'Constants &amp; Conversions'!$D$32</f>
        <v>6.9650375454491815</v>
      </c>
      <c r="L115" s="476">
        <f>'Offroad Data'!K401/'Constants &amp; Conversions'!$D$32</f>
        <v>11.450221297392392</v>
      </c>
      <c r="M115" s="375">
        <f t="shared" si="15"/>
        <v>147.34348656624843</v>
      </c>
      <c r="N115" s="119"/>
      <c r="O115" s="302"/>
      <c r="P115" s="302"/>
      <c r="Q115" s="302"/>
      <c r="R115" s="302"/>
    </row>
    <row r="116" spans="1:18" s="142" customFormat="1" x14ac:dyDescent="0.15">
      <c r="A116" s="118"/>
      <c r="B116" s="72" t="s">
        <v>164</v>
      </c>
      <c r="C116" s="72" t="s">
        <v>161</v>
      </c>
      <c r="D116" s="476">
        <f>'Offroad Data'!C402/'Constants &amp; Conversions'!$D$32</f>
        <v>0</v>
      </c>
      <c r="E116" s="476">
        <f>'Offroad Data'!D402/'Constants &amp; Conversions'!$D$32</f>
        <v>1.6856803762708299E-2</v>
      </c>
      <c r="F116" s="476">
        <f>'Offroad Data'!E402/'Constants &amp; Conversions'!$D$32</f>
        <v>1.6856803762708299E-2</v>
      </c>
      <c r="G116" s="476">
        <f>'Offroad Data'!F402/'Constants &amp; Conversions'!$D$32</f>
        <v>2.7348653841018596E-3</v>
      </c>
      <c r="H116" s="476">
        <f>'Offroad Data'!G402/'Constants &amp; Conversions'!$D$32</f>
        <v>4.1450706927435707E-3</v>
      </c>
      <c r="I116" s="476">
        <f>'Offroad Data'!H402/'Constants &amp; Conversions'!$D$32</f>
        <v>7.2783435328347299E-3</v>
      </c>
      <c r="J116" s="476">
        <f>'Offroad Data'!I402/'Constants &amp; Conversions'!$D$32</f>
        <v>1.00529351302555E-2</v>
      </c>
      <c r="K116" s="476">
        <f>'Offroad Data'!J402/'Constants &amp; Conversions'!$D$32</f>
        <v>2.4102358137948102E-2</v>
      </c>
      <c r="L116" s="476">
        <f>'Offroad Data'!K402/'Constants &amp; Conversions'!$D$32</f>
        <v>2.5254665160042801E-2</v>
      </c>
      <c r="M116" s="375">
        <f t="shared" si="15"/>
        <v>9.0425041800634876E-2</v>
      </c>
      <c r="N116" s="119"/>
      <c r="O116" s="302"/>
      <c r="P116" s="302"/>
      <c r="Q116" s="302"/>
      <c r="R116" s="302"/>
    </row>
    <row r="117" spans="1:18" s="142" customFormat="1" x14ac:dyDescent="0.15">
      <c r="A117" s="118"/>
      <c r="B117" s="72" t="s">
        <v>164</v>
      </c>
      <c r="C117" s="72" t="s">
        <v>163</v>
      </c>
      <c r="D117" s="476">
        <f>'Offroad Data'!C403/'Constants &amp; Conversions'!$D$32</f>
        <v>3.5962293215416476</v>
      </c>
      <c r="E117" s="476">
        <f>'Offroad Data'!D403/'Constants &amp; Conversions'!$D$32</f>
        <v>3.3111679076627842</v>
      </c>
      <c r="F117" s="476">
        <f>'Offroad Data'!E403/'Constants &amp; Conversions'!$D$32</f>
        <v>6.9073972292044319</v>
      </c>
      <c r="G117" s="476">
        <f>'Offroad Data'!F403/'Constants &amp; Conversions'!$D$32</f>
        <v>1.2012858175114209</v>
      </c>
      <c r="H117" s="476">
        <f>'Offroad Data'!G403/'Constants &amp; Conversions'!$D$32</f>
        <v>0.60064275781467868</v>
      </c>
      <c r="I117" s="476">
        <f>'Offroad Data'!H403/'Constants &amp; Conversions'!$D$32</f>
        <v>7.9368652460828404</v>
      </c>
      <c r="J117" s="476">
        <f>'Offroad Data'!I403/'Constants &amp; Conversions'!$D$32</f>
        <v>3.6038609798017225</v>
      </c>
      <c r="K117" s="476">
        <f>'Offroad Data'!J403/'Constants &amp; Conversions'!$D$32</f>
        <v>0.90096517895834705</v>
      </c>
      <c r="L117" s="476">
        <f>'Offroad Data'!K403/'Constants &amp; Conversions'!$D$32</f>
        <v>1.5016078170776259</v>
      </c>
      <c r="M117" s="375">
        <f t="shared" si="15"/>
        <v>22.652625026451073</v>
      </c>
      <c r="N117" s="119"/>
      <c r="O117" s="302"/>
      <c r="P117" s="302"/>
      <c r="Q117" s="302"/>
      <c r="R117" s="302"/>
    </row>
    <row r="118" spans="1:18" s="142" customFormat="1" x14ac:dyDescent="0.15">
      <c r="A118" s="118"/>
      <c r="B118" s="72" t="s">
        <v>165</v>
      </c>
      <c r="C118" s="72" t="s">
        <v>155</v>
      </c>
      <c r="D118" s="476">
        <f>'Offroad Data'!C405/'Constants &amp; Conversions'!$D$32</f>
        <v>0</v>
      </c>
      <c r="E118" s="476">
        <f>'Offroad Data'!D405/'Constants &amp; Conversions'!$D$32</f>
        <v>2.4209453138392248E-2</v>
      </c>
      <c r="F118" s="476">
        <f>'Offroad Data'!E405/'Constants &amp; Conversions'!$D$32</f>
        <v>2.4209453138392248E-2</v>
      </c>
      <c r="G118" s="476">
        <f>'Offroad Data'!F405/'Constants &amp; Conversions'!$D$32</f>
        <v>8.1301984430507818E-3</v>
      </c>
      <c r="H118" s="476">
        <f>'Offroad Data'!G405/'Constants &amp; Conversions'!$D$32</f>
        <v>0.29063491409629733</v>
      </c>
      <c r="I118" s="476">
        <f>'Offroad Data'!H405/'Constants &amp; Conversions'!$D$32</f>
        <v>0.25449447031493483</v>
      </c>
      <c r="J118" s="476">
        <f>'Offroad Data'!I405/'Constants &amp; Conversions'!$D$32</f>
        <v>4.8221589192677911E-2</v>
      </c>
      <c r="K118" s="476">
        <f>'Offroad Data'!J405/'Constants &amp; Conversions'!$D$32</f>
        <v>0.32772931725091964</v>
      </c>
      <c r="L118" s="476">
        <f>'Offroad Data'!K405/'Constants &amp; Conversions'!$D$32</f>
        <v>0.39630939227862672</v>
      </c>
      <c r="M118" s="375">
        <f t="shared" si="15"/>
        <v>1.3497293347148995</v>
      </c>
      <c r="N118" s="119"/>
      <c r="O118" s="302"/>
      <c r="P118" s="302"/>
      <c r="Q118" s="302"/>
      <c r="R118" s="302"/>
    </row>
    <row r="119" spans="1:18" s="142" customFormat="1" x14ac:dyDescent="0.15">
      <c r="A119" s="118"/>
      <c r="B119" s="72" t="s">
        <v>165</v>
      </c>
      <c r="C119" s="72" t="s">
        <v>159</v>
      </c>
      <c r="D119" s="476">
        <f>'Offroad Data'!C406/'Constants &amp; Conversions'!$D$32</f>
        <v>0.26097647595214801</v>
      </c>
      <c r="E119" s="476">
        <f>'Offroad Data'!D406/'Constants &amp; Conversions'!$D$32</f>
        <v>0</v>
      </c>
      <c r="F119" s="476">
        <f>'Offroad Data'!E406/'Constants &amp; Conversions'!$D$32</f>
        <v>0.26097647595214801</v>
      </c>
      <c r="G119" s="476">
        <f>'Offroad Data'!F406/'Constants &amp; Conversions'!$D$32</f>
        <v>6.1440508380532205E-5</v>
      </c>
      <c r="H119" s="476">
        <f>'Offroad Data'!G406/'Constants &amp; Conversions'!$D$32</f>
        <v>2.7980502881109699E-5</v>
      </c>
      <c r="I119" s="476">
        <f>'Offroad Data'!H406/'Constants &amp; Conversions'!$D$32</f>
        <v>0</v>
      </c>
      <c r="J119" s="476">
        <f>'Offroad Data'!I406/'Constants &amp; Conversions'!$D$32</f>
        <v>3.0895137652754695E-5</v>
      </c>
      <c r="K119" s="476">
        <f>'Offroad Data'!J406/'Constants &amp; Conversions'!$D$32</f>
        <v>2.6814648114144798E-5</v>
      </c>
      <c r="L119" s="476">
        <f>'Offroad Data'!K406/'Constants &amp; Conversions'!$D$32</f>
        <v>6.295616082847109E-5</v>
      </c>
      <c r="M119" s="375">
        <f t="shared" si="15"/>
        <v>0.26118656291000503</v>
      </c>
      <c r="N119" s="119"/>
      <c r="O119" s="302"/>
      <c r="P119" s="302"/>
      <c r="Q119" s="302"/>
      <c r="R119" s="302"/>
    </row>
    <row r="120" spans="1:18" s="142" customFormat="1" x14ac:dyDescent="0.15">
      <c r="A120" s="118"/>
      <c r="B120" s="72" t="s">
        <v>165</v>
      </c>
      <c r="C120" s="72" t="s">
        <v>104</v>
      </c>
      <c r="D120" s="476">
        <f>'Offroad Data'!C407/'Constants &amp; Conversions'!$D$32</f>
        <v>34.86184057180342</v>
      </c>
      <c r="E120" s="476">
        <f>'Offroad Data'!D407/'Constants &amp; Conversions'!$D$32</f>
        <v>67.416727558846546</v>
      </c>
      <c r="F120" s="476">
        <f>'Offroad Data'!E407/'Constants &amp; Conversions'!$D$32</f>
        <v>102.27856813064996</v>
      </c>
      <c r="G120" s="476">
        <f>'Offroad Data'!F407/'Constants &amp; Conversions'!$D$32</f>
        <v>37.095414010131812</v>
      </c>
      <c r="H120" s="476">
        <f>'Offroad Data'!G407/'Constants &amp; Conversions'!$D$32</f>
        <v>10.251779270054376</v>
      </c>
      <c r="I120" s="476">
        <f>'Offroad Data'!H407/'Constants &amp; Conversions'!$D$32</f>
        <v>0.87325526357732375</v>
      </c>
      <c r="J120" s="476">
        <f>'Offroad Data'!I407/'Constants &amp; Conversions'!$D$32</f>
        <v>17.453140488935176</v>
      </c>
      <c r="K120" s="476">
        <f>'Offroad Data'!J407/'Constants &amp; Conversions'!$D$32</f>
        <v>6.4357751748112193</v>
      </c>
      <c r="L120" s="476">
        <f>'Offroad Data'!K407/'Constants &amp; Conversions'!$D$32</f>
        <v>8.4215347133745286</v>
      </c>
      <c r="M120" s="375">
        <f t="shared" si="15"/>
        <v>182.80946705153443</v>
      </c>
      <c r="N120" s="119"/>
      <c r="O120" s="302"/>
      <c r="P120" s="302"/>
      <c r="Q120" s="302"/>
      <c r="R120" s="302"/>
    </row>
    <row r="121" spans="1:18" s="142" customFormat="1" x14ac:dyDescent="0.15">
      <c r="A121" s="118"/>
      <c r="B121" s="72" t="s">
        <v>165</v>
      </c>
      <c r="C121" s="72" t="s">
        <v>156</v>
      </c>
      <c r="D121" s="476">
        <f>'Offroad Data'!C408/'Constants &amp; Conversions'!$D$32</f>
        <v>2.7190234749268005</v>
      </c>
      <c r="E121" s="476">
        <f>'Offroad Data'!D408/'Constants &amp; Conversions'!$D$32</f>
        <v>5.2581178110116564</v>
      </c>
      <c r="F121" s="476">
        <f>'Offroad Data'!E408/'Constants &amp; Conversions'!$D$32</f>
        <v>7.9771412859384565</v>
      </c>
      <c r="G121" s="476">
        <f>'Offroad Data'!F408/'Constants &amp; Conversions'!$D$32</f>
        <v>2.0005240603858194</v>
      </c>
      <c r="H121" s="476">
        <f>'Offroad Data'!G408/'Constants &amp; Conversions'!$D$32</f>
        <v>1.8325518771688556</v>
      </c>
      <c r="I121" s="476">
        <f>'Offroad Data'!H408/'Constants &amp; Conversions'!$D$32</f>
        <v>0.42716382698845395</v>
      </c>
      <c r="J121" s="476">
        <f>'Offroad Data'!I408/'Constants &amp; Conversions'!$D$32</f>
        <v>1.4775618691065018</v>
      </c>
      <c r="K121" s="476">
        <f>'Offroad Data'!J408/'Constants &amp; Conversions'!$D$32</f>
        <v>1.1195202740203027</v>
      </c>
      <c r="L121" s="476">
        <f>'Offroad Data'!K408/'Constants &amp; Conversions'!$D$32</f>
        <v>2.6245559650526338</v>
      </c>
      <c r="M121" s="375">
        <f t="shared" si="15"/>
        <v>17.459019158661025</v>
      </c>
      <c r="N121" s="119"/>
      <c r="O121" s="302"/>
      <c r="P121" s="302"/>
      <c r="Q121" s="302"/>
      <c r="R121" s="302"/>
    </row>
    <row r="122" spans="1:18" s="142" customFormat="1" x14ac:dyDescent="0.15">
      <c r="A122" s="118"/>
      <c r="B122" s="72" t="s">
        <v>165</v>
      </c>
      <c r="C122" s="72" t="s">
        <v>157</v>
      </c>
      <c r="D122" s="476">
        <f>'Offroad Data'!C409/'Constants &amp; Conversions'!$D$32</f>
        <v>3.9966744003033376</v>
      </c>
      <c r="E122" s="476">
        <f>'Offroad Data'!D409/'Constants &amp; Conversions'!$D$32</f>
        <v>7.7288721641563081</v>
      </c>
      <c r="F122" s="476">
        <f>'Offroad Data'!E409/'Constants &amp; Conversions'!$D$32</f>
        <v>11.725546564459647</v>
      </c>
      <c r="G122" s="476">
        <f>'Offroad Data'!F409/'Constants &amp; Conversions'!$D$32</f>
        <v>2.9974875419267857</v>
      </c>
      <c r="H122" s="476">
        <f>'Offroad Data'!G409/'Constants &amp; Conversions'!$D$32</f>
        <v>1.5947349516527969</v>
      </c>
      <c r="I122" s="476">
        <f>'Offroad Data'!H409/'Constants &amp; Conversions'!$D$32</f>
        <v>9.3166180154561837E-2</v>
      </c>
      <c r="J122" s="476">
        <f>'Offroad Data'!I409/'Constants &amp; Conversions'!$D$32</f>
        <v>2.2757385559654222</v>
      </c>
      <c r="K122" s="476">
        <f>'Offroad Data'!J409/'Constants &amp; Conversions'!$D$32</f>
        <v>1.1847141691985796</v>
      </c>
      <c r="L122" s="476">
        <f>'Offroad Data'!K409/'Constants &amp; Conversions'!$D$32</f>
        <v>1.0974181165501709</v>
      </c>
      <c r="M122" s="375">
        <f t="shared" si="15"/>
        <v>20.96880607990796</v>
      </c>
      <c r="N122" s="119"/>
      <c r="O122" s="302"/>
      <c r="P122" s="302"/>
      <c r="Q122" s="302"/>
      <c r="R122" s="302"/>
    </row>
    <row r="123" spans="1:18" s="142" customFormat="1" x14ac:dyDescent="0.15">
      <c r="A123" s="118"/>
      <c r="B123" s="72" t="s">
        <v>165</v>
      </c>
      <c r="C123" s="72" t="s">
        <v>160</v>
      </c>
      <c r="D123" s="476">
        <f>'Offroad Data'!C410/'Constants &amp; Conversions'!$D$32</f>
        <v>54.149428236407246</v>
      </c>
      <c r="E123" s="476">
        <f>'Offroad Data'!D410/'Constants &amp; Conversions'!$D$32</f>
        <v>171.31430024792925</v>
      </c>
      <c r="F123" s="476">
        <f>'Offroad Data'!E410/'Constants &amp; Conversions'!$D$32</f>
        <v>225.46372848433651</v>
      </c>
      <c r="G123" s="476">
        <f>'Offroad Data'!F410/'Constants &amp; Conversions'!$D$32</f>
        <v>94.958638484407459</v>
      </c>
      <c r="H123" s="476">
        <f>'Offroad Data'!G410/'Constants &amp; Conversions'!$D$32</f>
        <v>48.588368005636376</v>
      </c>
      <c r="I123" s="476">
        <f>'Offroad Data'!H410/'Constants &amp; Conversions'!$D$32</f>
        <v>4.5281501353225293</v>
      </c>
      <c r="J123" s="476">
        <f>'Offroad Data'!I410/'Constants &amp; Conversions'!$D$32</f>
        <v>82.272840466016547</v>
      </c>
      <c r="K123" s="476">
        <f>'Offroad Data'!J410/'Constants &amp; Conversions'!$D$32</f>
        <v>23.370105446564256</v>
      </c>
      <c r="L123" s="476">
        <f>'Offroad Data'!K410/'Constants &amp; Conversions'!$D$32</f>
        <v>39.052651848607091</v>
      </c>
      <c r="M123" s="375">
        <f t="shared" si="15"/>
        <v>518.2344828708907</v>
      </c>
      <c r="N123" s="119"/>
      <c r="O123" s="302"/>
      <c r="P123" s="302"/>
      <c r="Q123" s="302"/>
      <c r="R123" s="302"/>
    </row>
    <row r="124" spans="1:18" s="142" customFormat="1" x14ac:dyDescent="0.15">
      <c r="A124" s="118"/>
      <c r="B124" s="72" t="s">
        <v>165</v>
      </c>
      <c r="C124" s="72" t="s">
        <v>161</v>
      </c>
      <c r="D124" s="476">
        <f>'Offroad Data'!C411/'Constants &amp; Conversions'!$D$32</f>
        <v>0</v>
      </c>
      <c r="E124" s="476">
        <f>'Offroad Data'!D411/'Constants &amp; Conversions'!$D$32</f>
        <v>3.3532120829462927E-2</v>
      </c>
      <c r="F124" s="476">
        <f>'Offroad Data'!E411/'Constants &amp; Conversions'!$D$32</f>
        <v>3.3532120829462927E-2</v>
      </c>
      <c r="G124" s="476">
        <f>'Offroad Data'!F411/'Constants &amp; Conversions'!$D$32</f>
        <v>5.4402794088593493E-3</v>
      </c>
      <c r="H124" s="476">
        <f>'Offroad Data'!G411/'Constants &amp; Conversions'!$D$32</f>
        <v>8.2455020963421877E-3</v>
      </c>
      <c r="I124" s="476">
        <f>'Offroad Data'!H411/'Constants &amp; Conversions'!$D$32</f>
        <v>1.4478314034870635E-2</v>
      </c>
      <c r="J124" s="476">
        <f>'Offroad Data'!I411/'Constants &amp; Conversions'!$D$32</f>
        <v>1.9997623889028968E-2</v>
      </c>
      <c r="K124" s="476">
        <f>'Offroad Data'!J411/'Constants &amp; Conversions'!$D$32</f>
        <v>4.7945222837822758E-2</v>
      </c>
      <c r="L124" s="476">
        <f>'Offroad Data'!K411/'Constants &amp; Conversions'!$D$32</f>
        <v>5.0237452886053406E-2</v>
      </c>
      <c r="M124" s="375">
        <f t="shared" si="15"/>
        <v>0.17987651598244023</v>
      </c>
      <c r="N124" s="119"/>
      <c r="O124" s="302"/>
      <c r="P124" s="302"/>
      <c r="Q124" s="302"/>
      <c r="R124" s="302"/>
    </row>
    <row r="125" spans="1:18" s="142" customFormat="1" x14ac:dyDescent="0.15">
      <c r="A125" s="118"/>
      <c r="B125" s="72" t="s">
        <v>165</v>
      </c>
      <c r="C125" s="72" t="s">
        <v>158</v>
      </c>
      <c r="D125" s="476">
        <f>'Offroad Data'!C412/'Constants &amp; Conversions'!$D$32</f>
        <v>7.8866076541589142E-2</v>
      </c>
      <c r="E125" s="476">
        <f>'Offroad Data'!D412/'Constants &amp; Conversions'!$D$32</f>
        <v>0.15251325542862487</v>
      </c>
      <c r="F125" s="476">
        <f>'Offroad Data'!E412/'Constants &amp; Conversions'!$D$32</f>
        <v>0.23137933197021399</v>
      </c>
      <c r="G125" s="476">
        <f>'Offroad Data'!F412/'Constants &amp; Conversions'!$D$32</f>
        <v>0.18895988162231397</v>
      </c>
      <c r="H125" s="476">
        <f>'Offroad Data'!G412/'Constants &amp; Conversions'!$D$32</f>
        <v>2.3137932872772198E-2</v>
      </c>
      <c r="I125" s="476">
        <f>'Offroad Data'!H412/'Constants &amp; Conversions'!$D$32</f>
        <v>0</v>
      </c>
      <c r="J125" s="476">
        <f>'Offroad Data'!I412/'Constants &amp; Conversions'!$D$32</f>
        <v>0.15039665164184501</v>
      </c>
      <c r="K125" s="476">
        <f>'Offroad Data'!J412/'Constants &amp; Conversions'!$D$32</f>
        <v>0</v>
      </c>
      <c r="L125" s="476">
        <f>'Offroad Data'!K412/'Constants &amp; Conversions'!$D$32</f>
        <v>0.23137933197021399</v>
      </c>
      <c r="M125" s="375">
        <f t="shared" si="15"/>
        <v>0.82525313007735912</v>
      </c>
      <c r="N125" s="119"/>
      <c r="O125" s="302"/>
      <c r="P125" s="302"/>
      <c r="Q125" s="302"/>
      <c r="R125" s="302"/>
    </row>
    <row r="126" spans="1:18" s="142" customFormat="1" x14ac:dyDescent="0.15">
      <c r="A126" s="118"/>
      <c r="B126" s="72" t="s">
        <v>165</v>
      </c>
      <c r="C126" s="72" t="s">
        <v>162</v>
      </c>
      <c r="D126" s="476">
        <f>'Offroad Data'!C413/'Constants &amp; Conversions'!$D$32</f>
        <v>5.4013226831492338E-2</v>
      </c>
      <c r="E126" s="476">
        <f>'Offroad Data'!D413/'Constants &amp; Conversions'!$D$32</f>
        <v>1.9240054455564669E-2</v>
      </c>
      <c r="F126" s="476">
        <f>'Offroad Data'!E413/'Constants &amp; Conversions'!$D$32</f>
        <v>7.3253281287057007E-2</v>
      </c>
      <c r="G126" s="476">
        <f>'Offroad Data'!F413/'Constants &amp; Conversions'!$D$32</f>
        <v>3.0296279549734902E-2</v>
      </c>
      <c r="H126" s="476">
        <f>'Offroad Data'!G413/'Constants &amp; Conversions'!$D$32</f>
        <v>1.31824867867061E-2</v>
      </c>
      <c r="I126" s="476">
        <f>'Offroad Data'!H413/'Constants &amp; Conversions'!$D$32</f>
        <v>2.11015114171164E-3</v>
      </c>
      <c r="J126" s="476">
        <f>'Offroad Data'!I413/'Constants &amp; Conversions'!$D$32</f>
        <v>9.7866038126264189E-3</v>
      </c>
      <c r="K126" s="476">
        <f>'Offroad Data'!J413/'Constants &amp; Conversions'!$D$32</f>
        <v>1.9106421306133198E-3</v>
      </c>
      <c r="L126" s="476">
        <f>'Offroad Data'!K413/'Constants &amp; Conversions'!$D$32</f>
        <v>1.6190211875370501E-2</v>
      </c>
      <c r="M126" s="375">
        <f t="shared" si="15"/>
        <v>0.1467296565838199</v>
      </c>
      <c r="N126" s="119"/>
      <c r="O126" s="302"/>
      <c r="P126" s="302"/>
      <c r="Q126" s="302"/>
      <c r="R126" s="302"/>
    </row>
    <row r="127" spans="1:18" s="142" customFormat="1" ht="15" thickBot="1" x14ac:dyDescent="0.2">
      <c r="A127" s="118"/>
      <c r="B127" s="72" t="s">
        <v>165</v>
      </c>
      <c r="C127" s="72" t="s">
        <v>163</v>
      </c>
      <c r="D127" s="476">
        <f>'Offroad Data'!C414/'Constants &amp; Conversions'!$D$32</f>
        <v>6.5801283759471803</v>
      </c>
      <c r="E127" s="476">
        <f>'Offroad Data'!D414/'Constants &amp; Conversions'!$D$32</f>
        <v>6.0585429789548009</v>
      </c>
      <c r="F127" s="476">
        <f>'Offroad Data'!E414/'Constants &amp; Conversions'!$D$32</f>
        <v>12.63867135490198</v>
      </c>
      <c r="G127" s="476">
        <f>'Offroad Data'!F414/'Constants &amp; Conversions'!$D$32</f>
        <v>2.900833874786362</v>
      </c>
      <c r="H127" s="476">
        <f>'Offroad Data'!G414/'Constants &amp; Conversions'!$D$32</f>
        <v>1.5069359347806655</v>
      </c>
      <c r="I127" s="476">
        <f>'Offroad Data'!H414/'Constants &amp; Conversions'!$D$32</f>
        <v>1.5443721544134863</v>
      </c>
      <c r="J127" s="476">
        <f>'Offroad Data'!I414/'Constants &amp; Conversions'!$D$32</f>
        <v>6.2721740727931277</v>
      </c>
      <c r="K127" s="476">
        <f>'Offroad Data'!J414/'Constants &amp; Conversions'!$D$32</f>
        <v>2.2038842148938831</v>
      </c>
      <c r="L127" s="476">
        <f>'Offroad Data'!K414/'Constants &amp; Conversions'!$D$32</f>
        <v>2.8630320656498429</v>
      </c>
      <c r="M127" s="375">
        <f t="shared" si="15"/>
        <v>29.929903672219346</v>
      </c>
      <c r="N127" s="119"/>
      <c r="O127" s="302"/>
      <c r="P127" s="302"/>
      <c r="Q127" s="302"/>
      <c r="R127" s="302"/>
    </row>
    <row r="128" spans="1:18" s="142" customFormat="1" x14ac:dyDescent="0.15">
      <c r="A128" s="118"/>
      <c r="B128" s="175" t="s">
        <v>88</v>
      </c>
      <c r="C128" s="175"/>
      <c r="D128" s="371">
        <f t="shared" ref="D128:L128" si="16">SUM(D96:D127)</f>
        <v>210.87118230488173</v>
      </c>
      <c r="E128" s="371">
        <f t="shared" si="16"/>
        <v>479.52516515502327</v>
      </c>
      <c r="F128" s="371">
        <f t="shared" si="16"/>
        <v>690.39634745990497</v>
      </c>
      <c r="G128" s="371">
        <f t="shared" si="16"/>
        <v>249.46332714839997</v>
      </c>
      <c r="H128" s="371">
        <f t="shared" si="16"/>
        <v>114.69590601977715</v>
      </c>
      <c r="I128" s="371">
        <f t="shared" si="16"/>
        <v>21.07535287142046</v>
      </c>
      <c r="J128" s="371">
        <f t="shared" si="16"/>
        <v>188.28227210044886</v>
      </c>
      <c r="K128" s="371">
        <f t="shared" si="16"/>
        <v>67.050638521742741</v>
      </c>
      <c r="L128" s="371">
        <f t="shared" si="16"/>
        <v>98.43331116844152</v>
      </c>
      <c r="M128" s="377">
        <f t="shared" si="15"/>
        <v>1429.3971552901355</v>
      </c>
      <c r="N128" s="119"/>
      <c r="O128" s="302"/>
      <c r="P128" s="302"/>
      <c r="Q128" s="302"/>
      <c r="R128" s="302"/>
    </row>
    <row r="129" spans="1:18" s="142" customFormat="1" x14ac:dyDescent="0.15">
      <c r="A129" s="118"/>
      <c r="B129" s="66"/>
      <c r="C129" s="66"/>
      <c r="D129" s="181"/>
      <c r="E129" s="181"/>
      <c r="F129" s="182"/>
      <c r="G129" s="182"/>
      <c r="H129" s="182"/>
      <c r="I129" s="182"/>
      <c r="J129" s="182"/>
      <c r="K129" s="182"/>
      <c r="L129" s="182"/>
      <c r="M129" s="379"/>
      <c r="N129" s="119"/>
      <c r="O129" s="302"/>
      <c r="P129" s="302"/>
      <c r="Q129" s="302"/>
      <c r="R129" s="302"/>
    </row>
    <row r="130" spans="1:18" s="142" customFormat="1" x14ac:dyDescent="0.15">
      <c r="A130" s="119"/>
      <c r="B130" s="82" t="s">
        <v>166</v>
      </c>
      <c r="C130" s="119"/>
      <c r="D130" s="119"/>
      <c r="E130" s="119"/>
      <c r="F130" s="119"/>
      <c r="G130" s="119"/>
      <c r="H130" s="119"/>
      <c r="I130" s="119"/>
      <c r="J130" s="119"/>
      <c r="K130" s="119"/>
      <c r="L130" s="119"/>
      <c r="M130" s="379"/>
      <c r="N130" s="119"/>
      <c r="O130" s="302"/>
      <c r="P130" s="302"/>
      <c r="Q130" s="302"/>
      <c r="R130" s="302"/>
    </row>
    <row r="131" spans="1:18" s="142" customFormat="1" x14ac:dyDescent="0.15">
      <c r="A131" s="118"/>
      <c r="B131" s="372" t="s">
        <v>152</v>
      </c>
      <c r="C131" s="372" t="s">
        <v>153</v>
      </c>
      <c r="D131" s="373" t="s">
        <v>58</v>
      </c>
      <c r="E131" s="373" t="s">
        <v>100</v>
      </c>
      <c r="F131" s="373" t="s">
        <v>59</v>
      </c>
      <c r="G131" s="373" t="s">
        <v>60</v>
      </c>
      <c r="H131" s="373" t="s">
        <v>62</v>
      </c>
      <c r="I131" s="373" t="s">
        <v>61</v>
      </c>
      <c r="J131" s="373" t="s">
        <v>63</v>
      </c>
      <c r="K131" s="373" t="s">
        <v>64</v>
      </c>
      <c r="L131" s="373" t="s">
        <v>65</v>
      </c>
      <c r="M131" s="380" t="s">
        <v>88</v>
      </c>
      <c r="N131" s="119"/>
      <c r="O131" s="302"/>
      <c r="P131" s="302"/>
      <c r="Q131" s="302"/>
      <c r="R131" s="302"/>
    </row>
    <row r="132" spans="1:18" s="142" customFormat="1" x14ac:dyDescent="0.15">
      <c r="A132" s="118"/>
      <c r="B132" s="72" t="s">
        <v>154</v>
      </c>
      <c r="C132" s="72" t="s">
        <v>155</v>
      </c>
      <c r="D132" s="477">
        <f>'Offroad Data'!P247*SUMIFS('Emission Factors'!$G$60:$G$100,'Emission Factors'!$B$60:$B$100,'Off-road'!$B132,'Emission Factors'!$A$60:$A$100,'Off-road'!$C132)/grams_to_mton</f>
        <v>0</v>
      </c>
      <c r="E132" s="477">
        <f>'Offroad Data'!Q247*SUMIFS('Emission Factors'!$G$60:$G$100,'Emission Factors'!$B$60:$B$100,'Off-road'!$B132,'Emission Factors'!$A$60:$A$100,'Off-road'!$C132)/grams_to_mton</f>
        <v>7.0667233456452445E-5</v>
      </c>
      <c r="F132" s="477">
        <f>'Offroad Data'!R247*SUMIFS('Emission Factors'!$G$60:$G$100,'Emission Factors'!$B$60:$B$100,'Off-road'!$B132,'Emission Factors'!$A$60:$A$100,'Off-road'!$C132)/grams_to_mton</f>
        <v>7.0667233456452445E-5</v>
      </c>
      <c r="G132" s="477">
        <f>'Offroad Data'!S247*SUMIFS('Emission Factors'!$G$60:$G$100,'Emission Factors'!$B$60:$B$100,'Off-road'!$B132,'Emission Factors'!$A$60:$A$100,'Off-road'!$C132)/grams_to_mton</f>
        <v>2.3732025299515286E-5</v>
      </c>
      <c r="H132" s="477">
        <f>'Offroad Data'!T247*SUMIFS('Emission Factors'!$G$60:$G$100,'Emission Factors'!$B$60:$B$100,'Off-road'!$B132,'Emission Factors'!$A$60:$A$100,'Off-road'!$C132)/grams_to_mton</f>
        <v>8.4836172138617557E-4</v>
      </c>
      <c r="I132" s="477">
        <f>'Offroad Data'!U247*SUMIFS('Emission Factors'!$G$60:$G$100,'Emission Factors'!$B$60:$B$100,'Off-road'!$B132,'Emission Factors'!$A$60:$A$100,'Off-road'!$C132)/grams_to_mton</f>
        <v>7.4286873496089037E-4</v>
      </c>
      <c r="J132" s="477">
        <f>'Offroad Data'!V247*SUMIFS('Emission Factors'!$G$60:$G$100,'Emission Factors'!$B$60:$B$100,'Off-road'!$B132,'Emission Factors'!$A$60:$A$100,'Off-road'!$C132)/grams_to_mton</f>
        <v>1.4075853305627189E-4</v>
      </c>
      <c r="K132" s="477">
        <f>'Offroad Data'!W247*SUMIFS('Emission Factors'!$G$60:$G$100,'Emission Factors'!$B$60:$B$100,'Off-road'!$B132,'Emission Factors'!$A$60:$A$100,'Off-road'!$C132)/grams_to_mton</f>
        <v>9.5664111754607025E-4</v>
      </c>
      <c r="L132" s="477">
        <f>'Offroad Data'!X247*SUMIFS('Emission Factors'!$G$60:$G$100,'Emission Factors'!$B$60:$B$100,'Off-road'!$B132,'Emission Factors'!$A$60:$A$100,'Off-road'!$C132)/grams_to_mton</f>
        <v>1.1568244607084084E-3</v>
      </c>
      <c r="M132" s="375">
        <f t="shared" ref="M132:M163" si="17">SUM(F132:L132)</f>
        <v>3.9398538264137847E-3</v>
      </c>
      <c r="N132" s="119"/>
      <c r="O132" s="302"/>
      <c r="P132" s="302"/>
      <c r="Q132" s="302"/>
      <c r="R132" s="302"/>
    </row>
    <row r="133" spans="1:18" s="142" customFormat="1" x14ac:dyDescent="0.15">
      <c r="A133" s="118"/>
      <c r="B133" s="72" t="s">
        <v>154</v>
      </c>
      <c r="C133" s="72" t="s">
        <v>104</v>
      </c>
      <c r="D133" s="477">
        <f>'Offroad Data'!P248*SUMIFS('Emission Factors'!$G$60:$G$100,'Emission Factors'!$B$60:$B$100,'Off-road'!$B133,'Emission Factors'!$A$60:$A$100,'Off-road'!$C133)/grams_to_mton</f>
        <v>3.894812568095983E-2</v>
      </c>
      <c r="E133" s="477">
        <f>'Offroad Data'!Q248*SUMIFS('Emission Factors'!$G$60:$G$100,'Emission Factors'!$B$60:$B$100,'Off-road'!$B133,'Emission Factors'!$A$60:$A$100,'Off-road'!$C133)/grams_to_mton</f>
        <v>7.5318891225861384E-2</v>
      </c>
      <c r="F133" s="477">
        <f>'Offroad Data'!R248*SUMIFS('Emission Factors'!$G$60:$G$100,'Emission Factors'!$B$60:$B$100,'Off-road'!$B133,'Emission Factors'!$A$60:$A$100,'Off-road'!$C133)/grams_to_mton</f>
        <v>0.11426701690682123</v>
      </c>
      <c r="G133" s="477">
        <f>'Offroad Data'!S248*SUMIFS('Emission Factors'!$G$60:$G$100,'Emission Factors'!$B$60:$B$100,'Off-road'!$B133,'Emission Factors'!$A$60:$A$100,'Off-road'!$C133)/grams_to_mton</f>
        <v>4.144354767449774E-2</v>
      </c>
      <c r="H133" s="477">
        <f>'Offroad Data'!T248*SUMIFS('Emission Factors'!$G$60:$G$100,'Emission Factors'!$B$60:$B$100,'Off-road'!$B133,'Emission Factors'!$A$60:$A$100,'Off-road'!$C133)/grams_to_mton</f>
        <v>1.1453427806519517E-2</v>
      </c>
      <c r="I133" s="477">
        <f>'Offroad Data'!U248*SUMIFS('Emission Factors'!$G$60:$G$100,'Emission Factors'!$B$60:$B$100,'Off-road'!$B133,'Emission Factors'!$A$60:$A$100,'Off-road'!$C133)/grams_to_mton</f>
        <v>9.7561351656821568E-4</v>
      </c>
      <c r="J133" s="477">
        <f>'Offroad Data'!V248*SUMIFS('Emission Factors'!$G$60:$G$100,'Emission Factors'!$B$60:$B$100,'Off-road'!$B133,'Emission Factors'!$A$60:$A$100,'Off-road'!$C133)/grams_to_mton</f>
        <v>1.9498903403190816E-2</v>
      </c>
      <c r="K133" s="477">
        <f>'Offroad Data'!W248*SUMIFS('Emission Factors'!$G$60:$G$100,'Emission Factors'!$B$60:$B$100,'Off-road'!$B133,'Emission Factors'!$A$60:$A$100,'Off-road'!$C133)/grams_to_mton</f>
        <v>7.1901389379868657E-3</v>
      </c>
      <c r="L133" s="477">
        <f>'Offroad Data'!X248*SUMIFS('Emission Factors'!$G$60:$G$100,'Emission Factors'!$B$60:$B$100,'Off-road'!$B133,'Emission Factors'!$A$60:$A$100,'Off-road'!$C133)/grams_to_mton</f>
        <v>9.4086582369938207E-3</v>
      </c>
      <c r="M133" s="375">
        <f t="shared" si="17"/>
        <v>0.20423730648257821</v>
      </c>
      <c r="N133" s="119"/>
      <c r="O133" s="302"/>
      <c r="P133" s="302"/>
      <c r="Q133" s="302"/>
      <c r="R133" s="302"/>
    </row>
    <row r="134" spans="1:18" s="142" customFormat="1" x14ac:dyDescent="0.15">
      <c r="A134" s="118"/>
      <c r="B134" s="72" t="s">
        <v>154</v>
      </c>
      <c r="C134" s="72" t="s">
        <v>156</v>
      </c>
      <c r="D134" s="477">
        <f>'Offroad Data'!P249*SUMIFS('Emission Factors'!$G$60:$G$100,'Emission Factors'!$B$60:$B$100,'Off-road'!$B134,'Emission Factors'!$A$60:$A$100,'Off-road'!$C134)/grams_to_mton</f>
        <v>1.9528404155343415E-5</v>
      </c>
      <c r="E134" s="477">
        <f>'Offroad Data'!Q249*SUMIFS('Emission Factors'!$G$60:$G$100,'Emission Factors'!$B$60:$B$100,'Off-road'!$B134,'Emission Factors'!$A$60:$A$100,'Off-road'!$C134)/grams_to_mton</f>
        <v>3.776453225090659E-5</v>
      </c>
      <c r="F134" s="477">
        <f>'Offroad Data'!R249*SUMIFS('Emission Factors'!$G$60:$G$100,'Emission Factors'!$B$60:$B$100,'Off-road'!$B134,'Emission Factors'!$A$60:$A$100,'Off-road'!$C134)/grams_to_mton</f>
        <v>5.7292936406249998E-5</v>
      </c>
      <c r="G134" s="477">
        <f>'Offroad Data'!S249*SUMIFS('Emission Factors'!$G$60:$G$100,'Emission Factors'!$B$60:$B$100,'Off-road'!$B134,'Emission Factors'!$A$60:$A$100,'Off-road'!$C134)/grams_to_mton</f>
        <v>1.4368050494559121E-5</v>
      </c>
      <c r="H134" s="477">
        <f>'Offroad Data'!T249*SUMIFS('Emission Factors'!$G$60:$G$100,'Emission Factors'!$B$60:$B$100,'Off-road'!$B134,'Emission Factors'!$A$60:$A$100,'Off-road'!$C134)/grams_to_mton</f>
        <v>1.3161640131835919E-5</v>
      </c>
      <c r="I134" s="477">
        <f>'Offroad Data'!U249*SUMIFS('Emission Factors'!$G$60:$G$100,'Emission Factors'!$B$60:$B$100,'Off-road'!$B134,'Emission Factors'!$A$60:$A$100,'Off-road'!$C134)/grams_to_mton</f>
        <v>3.067949072963168E-6</v>
      </c>
      <c r="J134" s="477">
        <f>'Offroad Data'!V249*SUMIFS('Emission Factors'!$G$60:$G$100,'Emission Factors'!$B$60:$B$100,'Off-road'!$B134,'Emission Factors'!$A$60:$A$100,'Off-road'!$C134)/grams_to_mton</f>
        <v>1.0612052735770081E-5</v>
      </c>
      <c r="K134" s="477">
        <f>'Offroad Data'!W249*SUMIFS('Emission Factors'!$G$60:$G$100,'Emission Factors'!$B$60:$B$100,'Off-road'!$B134,'Emission Factors'!$A$60:$A$100,'Off-road'!$C134)/grams_to_mton</f>
        <v>8.0405492184012005E-6</v>
      </c>
      <c r="L134" s="477">
        <f>'Offroad Data'!X249*SUMIFS('Emission Factors'!$G$60:$G$100,'Emission Factors'!$B$60:$B$100,'Off-road'!$B134,'Emission Factors'!$A$60:$A$100,'Off-road'!$C134)/grams_to_mton</f>
        <v>1.8849932984793523E-5</v>
      </c>
      <c r="M134" s="375">
        <f t="shared" si="17"/>
        <v>1.2539311104457302E-4</v>
      </c>
      <c r="N134" s="119"/>
      <c r="O134" s="302"/>
      <c r="P134" s="302"/>
      <c r="Q134" s="302"/>
      <c r="R134" s="302"/>
    </row>
    <row r="135" spans="1:18" s="142" customFormat="1" x14ac:dyDescent="0.15">
      <c r="A135" s="118"/>
      <c r="B135" s="173" t="s">
        <v>154</v>
      </c>
      <c r="C135" s="173" t="s">
        <v>157</v>
      </c>
      <c r="D135" s="477">
        <f>'Offroad Data'!P250*SUMIFS('Emission Factors'!$G$60:$G$100,'Emission Factors'!$B$60:$B$100,'Off-road'!$B135,'Emission Factors'!$A$60:$A$100,'Off-road'!$C135)/grams_to_mton</f>
        <v>8.2305422190406319E-2</v>
      </c>
      <c r="E135" s="477">
        <f>'Offroad Data'!Q250*SUMIFS('Emission Factors'!$G$60:$G$100,'Emission Factors'!$B$60:$B$100,'Off-road'!$B135,'Emission Factors'!$A$60:$A$100,'Off-road'!$C135)/grams_to_mton</f>
        <v>0.15916435086087666</v>
      </c>
      <c r="F135" s="477">
        <f>'Offroad Data'!R250*SUMIFS('Emission Factors'!$G$60:$G$100,'Emission Factors'!$B$60:$B$100,'Off-road'!$B135,'Emission Factors'!$A$60:$A$100,'Off-road'!$C135)/grams_to_mton</f>
        <v>0.24146977305128298</v>
      </c>
      <c r="G135" s="477">
        <f>'Offroad Data'!S250*SUMIFS('Emission Factors'!$G$60:$G$100,'Emission Factors'!$B$60:$B$100,'Off-road'!$B135,'Emission Factors'!$A$60:$A$100,'Off-road'!$C135)/grams_to_mton</f>
        <v>6.1862448568274234E-2</v>
      </c>
      <c r="H135" s="477">
        <f>'Offroad Data'!T250*SUMIFS('Emission Factors'!$G$60:$G$100,'Emission Factors'!$B$60:$B$100,'Off-road'!$B135,'Emission Factors'!$A$60:$A$100,'Off-road'!$C135)/grams_to_mton</f>
        <v>3.2926404094747869E-2</v>
      </c>
      <c r="I135" s="477">
        <f>'Offroad Data'!U250*SUMIFS('Emission Factors'!$G$60:$G$100,'Emission Factors'!$B$60:$B$100,'Off-road'!$B135,'Emission Factors'!$A$60:$A$100,'Off-road'!$C135)/grams_to_mton</f>
        <v>1.9129226993156838E-3</v>
      </c>
      <c r="J135" s="477">
        <f>'Offroad Data'!V250*SUMIFS('Emission Factors'!$G$60:$G$100,'Emission Factors'!$B$60:$B$100,'Off-road'!$B135,'Emission Factors'!$A$60:$A$100,'Off-road'!$C135)/grams_to_mton</f>
        <v>4.6974080131271363E-2</v>
      </c>
      <c r="K135" s="477">
        <f>'Offroad Data'!W250*SUMIFS('Emission Factors'!$G$60:$G$100,'Emission Factors'!$B$60:$B$100,'Off-road'!$B135,'Emission Factors'!$A$60:$A$100,'Off-road'!$C135)/grams_to_mton</f>
        <v>2.4475487013506592E-2</v>
      </c>
      <c r="L135" s="477">
        <f>'Offroad Data'!X250*SUMIFS('Emission Factors'!$G$60:$G$100,'Emission Factors'!$B$60:$B$100,'Off-road'!$B135,'Emission Factors'!$A$60:$A$100,'Off-road'!$C135)/grams_to_mton</f>
        <v>2.258315886539683E-2</v>
      </c>
      <c r="M135" s="377">
        <f t="shared" si="17"/>
        <v>0.43220427442379561</v>
      </c>
      <c r="N135" s="119"/>
      <c r="O135" s="302"/>
      <c r="P135" s="302"/>
      <c r="Q135" s="302"/>
      <c r="R135" s="302"/>
    </row>
    <row r="136" spans="1:18" s="142" customFormat="1" x14ac:dyDescent="0.15">
      <c r="A136" s="118"/>
      <c r="B136" s="174" t="s">
        <v>154</v>
      </c>
      <c r="C136" s="174" t="s">
        <v>158</v>
      </c>
      <c r="D136" s="478">
        <f>'Offroad Data'!P251*SUMIFS('Emission Factors'!$G$60:$G$100,'Emission Factors'!$B$60:$B$100,'Off-road'!$B136,'Emission Factors'!$A$60:$A$100,'Off-road'!$C136)/grams_to_mton</f>
        <v>1.0038906250758397E-3</v>
      </c>
      <c r="E136" s="478">
        <f>'Offroad Data'!Q251*SUMIFS('Emission Factors'!$G$60:$G$100,'Emission Factors'!$B$60:$B$100,'Off-road'!$B136,'Emission Factors'!$A$60:$A$100,'Off-road'!$C136)/grams_to_mton</f>
        <v>1.94134961492416E-3</v>
      </c>
      <c r="F136" s="478">
        <f>'Offroad Data'!R251*SUMIFS('Emission Factors'!$G$60:$G$100,'Emission Factors'!$B$60:$B$100,'Off-road'!$B136,'Emission Factors'!$A$60:$A$100,'Off-road'!$C136)/grams_to_mton</f>
        <v>2.9452402399999995E-3</v>
      </c>
      <c r="G136" s="478">
        <f>'Offroad Data'!S251*SUMIFS('Emission Factors'!$G$60:$G$100,'Emission Factors'!$B$60:$B$100,'Off-road'!$B136,'Emission Factors'!$A$60:$A$100,'Off-road'!$C136)/grams_to_mton</f>
        <v>2.4052812400000003E-3</v>
      </c>
      <c r="H136" s="478">
        <f>'Offroad Data'!T251*SUMIFS('Emission Factors'!$G$60:$G$100,'Emission Factors'!$B$60:$B$100,'Off-road'!$B136,'Emission Factors'!$A$60:$A$100,'Off-road'!$C136)/grams_to_mton</f>
        <v>2.9452402500000001E-4</v>
      </c>
      <c r="I136" s="478">
        <f>'Offroad Data'!U251*SUMIFS('Emission Factors'!$G$60:$G$100,'Emission Factors'!$B$60:$B$100,'Off-road'!$B136,'Emission Factors'!$A$60:$A$100,'Off-road'!$C136)/grams_to_mton</f>
        <v>0</v>
      </c>
      <c r="J136" s="478">
        <f>'Offroad Data'!V251*SUMIFS('Emission Factors'!$G$60:$G$100,'Emission Factors'!$B$60:$B$100,'Off-road'!$B136,'Emission Factors'!$A$60:$A$100,'Off-road'!$C136)/grams_to_mton</f>
        <v>1.9144080799999999E-3</v>
      </c>
      <c r="K136" s="478">
        <f>'Offroad Data'!W251*SUMIFS('Emission Factors'!$G$60:$G$100,'Emission Factors'!$B$60:$B$100,'Off-road'!$B136,'Emission Factors'!$A$60:$A$100,'Off-road'!$C136)/grams_to_mton</f>
        <v>0</v>
      </c>
      <c r="L136" s="478">
        <f>'Offroad Data'!X251*SUMIFS('Emission Factors'!$G$60:$G$100,'Emission Factors'!$B$60:$B$100,'Off-road'!$B136,'Emission Factors'!$A$60:$A$100,'Off-road'!$C136)/grams_to_mton</f>
        <v>2.9452402399999995E-3</v>
      </c>
      <c r="M136" s="376">
        <f t="shared" si="17"/>
        <v>1.0504693825E-2</v>
      </c>
      <c r="N136" s="119"/>
      <c r="O136" s="302"/>
      <c r="P136" s="302"/>
      <c r="Q136" s="302"/>
      <c r="R136" s="302"/>
    </row>
    <row r="137" spans="1:18" s="142" customFormat="1" x14ac:dyDescent="0.15">
      <c r="A137" s="118"/>
      <c r="B137" s="72" t="s">
        <v>146</v>
      </c>
      <c r="C137" s="72" t="s">
        <v>155</v>
      </c>
      <c r="D137" s="477">
        <f>'Offroad Data'!P252*SUMIFS('Emission Factors'!$G$60:$G$100,'Emission Factors'!$B$60:$B$100,'Off-road'!$B137,'Emission Factors'!$A$60:$A$100,'Off-road'!$C137)/grams_to_mton</f>
        <v>0</v>
      </c>
      <c r="E137" s="477">
        <f>'Offroad Data'!Q252*SUMIFS('Emission Factors'!$G$60:$G$100,'Emission Factors'!$B$60:$B$100,'Off-road'!$B137,'Emission Factors'!$A$60:$A$100,'Off-road'!$C137)/grams_to_mton</f>
        <v>0.18494829143445629</v>
      </c>
      <c r="F137" s="477">
        <f>'Offroad Data'!R252*SUMIFS('Emission Factors'!$G$60:$G$100,'Emission Factors'!$B$60:$B$100,'Off-road'!$B137,'Emission Factors'!$A$60:$A$100,'Off-road'!$C137)/grams_to_mton</f>
        <v>0.18494829143445629</v>
      </c>
      <c r="G137" s="477">
        <f>'Offroad Data'!S252*SUMIFS('Emission Factors'!$G$60:$G$100,'Emission Factors'!$B$60:$B$100,'Off-road'!$B137,'Emission Factors'!$A$60:$A$100,'Off-road'!$C137)/grams_to_mton</f>
        <v>6.2110646378341371E-2</v>
      </c>
      <c r="H137" s="477">
        <f>'Offroad Data'!T252*SUMIFS('Emission Factors'!$G$60:$G$100,'Emission Factors'!$B$60:$B$100,'Off-road'!$B137,'Emission Factors'!$A$60:$A$100,'Off-road'!$C137)/grams_to_mton</f>
        <v>2.2203038370844146</v>
      </c>
      <c r="I137" s="477">
        <f>'Offroad Data'!U252*SUMIFS('Emission Factors'!$G$60:$G$100,'Emission Factors'!$B$60:$B$100,'Off-road'!$B137,'Emission Factors'!$A$60:$A$100,'Off-road'!$C137)/grams_to_mton</f>
        <v>1.9442099753642086</v>
      </c>
      <c r="J137" s="477">
        <f>'Offroad Data'!V252*SUMIFS('Emission Factors'!$G$60:$G$100,'Emission Factors'!$B$60:$B$100,'Off-road'!$B137,'Emission Factors'!$A$60:$A$100,'Off-road'!$C137)/grams_to_mton</f>
        <v>0.36838913706079413</v>
      </c>
      <c r="K137" s="477">
        <f>'Offroad Data'!W252*SUMIFS('Emission Factors'!$G$60:$G$100,'Emission Factors'!$B$60:$B$100,'Off-road'!$B137,'Emission Factors'!$A$60:$A$100,'Off-road'!$C137)/grams_to_mton</f>
        <v>2.5036892303031086</v>
      </c>
      <c r="L137" s="477">
        <f>'Offroad Data'!X252*SUMIFS('Emission Factors'!$G$60:$G$100,'Emission Factors'!$B$60:$B$100,'Off-road'!$B137,'Emission Factors'!$A$60:$A$100,'Off-road'!$C137)/grams_to_mton</f>
        <v>3.0276100391092684</v>
      </c>
      <c r="M137" s="375">
        <f t="shared" si="17"/>
        <v>10.311261156734592</v>
      </c>
      <c r="N137" s="119"/>
      <c r="O137" s="302"/>
      <c r="P137" s="302"/>
      <c r="Q137" s="302"/>
      <c r="R137" s="302"/>
    </row>
    <row r="138" spans="1:18" s="142" customFormat="1" x14ac:dyDescent="0.15">
      <c r="A138" s="118"/>
      <c r="B138" s="72" t="s">
        <v>146</v>
      </c>
      <c r="C138" s="72" t="s">
        <v>159</v>
      </c>
      <c r="D138" s="477">
        <f>'Offroad Data'!P253*SUMIFS('Emission Factors'!$G$60:$G$100,'Emission Factors'!$B$60:$B$100,'Off-road'!$B138,'Emission Factors'!$A$60:$A$100,'Off-road'!$C138)/grams_to_mton</f>
        <v>3.006453429</v>
      </c>
      <c r="E138" s="477">
        <f>'Offroad Data'!Q253*SUMIFS('Emission Factors'!$G$60:$G$100,'Emission Factors'!$B$60:$B$100,'Off-road'!$B138,'Emission Factors'!$A$60:$A$100,'Off-road'!$C138)/grams_to_mton</f>
        <v>0</v>
      </c>
      <c r="F138" s="477">
        <f>'Offroad Data'!R253*SUMIFS('Emission Factors'!$G$60:$G$100,'Emission Factors'!$B$60:$B$100,'Off-road'!$B138,'Emission Factors'!$A$60:$A$100,'Off-road'!$C138)/grams_to_mton</f>
        <v>3.006453429</v>
      </c>
      <c r="G138" s="477">
        <f>'Offroad Data'!S253*SUMIFS('Emission Factors'!$G$60:$G$100,'Emission Factors'!$B$60:$B$100,'Off-road'!$B138,'Emission Factors'!$A$60:$A$100,'Off-road'!$C138)/grams_to_mton</f>
        <v>7.0779568075927468E-4</v>
      </c>
      <c r="H138" s="477">
        <f>'Offroad Data'!T253*SUMIFS('Emission Factors'!$G$60:$G$100,'Emission Factors'!$B$60:$B$100,'Off-road'!$B138,'Emission Factors'!$A$60:$A$100,'Off-road'!$C138)/grams_to_mton</f>
        <v>3.223356440332017E-4</v>
      </c>
      <c r="I138" s="477">
        <f>'Offroad Data'!U253*SUMIFS('Emission Factors'!$G$60:$G$100,'Emission Factors'!$B$60:$B$100,'Off-road'!$B138,'Emission Factors'!$A$60:$A$100,'Off-road'!$C138)/grams_to_mton</f>
        <v>0</v>
      </c>
      <c r="J138" s="477">
        <f>'Offroad Data'!V253*SUMIFS('Emission Factors'!$G$60:$G$100,'Emission Factors'!$B$60:$B$100,'Off-road'!$B138,'Emission Factors'!$A$60:$A$100,'Off-road'!$C138)/grams_to_mton</f>
        <v>3.5591227131225386E-4</v>
      </c>
      <c r="K138" s="477">
        <f>'Offroad Data'!W253*SUMIFS('Emission Factors'!$G$60:$G$100,'Emission Factors'!$B$60:$B$100,'Off-road'!$B138,'Emission Factors'!$A$60:$A$100,'Off-road'!$C138)/grams_to_mton</f>
        <v>3.0890513690185433E-4</v>
      </c>
      <c r="L138" s="477">
        <f>'Offroad Data'!X253*SUMIFS('Emission Factors'!$G$60:$G$100,'Emission Factors'!$B$60:$B$100,'Off-road'!$B138,'Emission Factors'!$A$60:$A$100,'Off-road'!$C138)/grams_to_mton</f>
        <v>7.2525548226562485E-4</v>
      </c>
      <c r="M138" s="375">
        <f t="shared" si="17"/>
        <v>3.0088736332152721</v>
      </c>
      <c r="N138" s="119"/>
      <c r="O138" s="302"/>
      <c r="P138" s="302"/>
      <c r="Q138" s="302"/>
      <c r="R138" s="302"/>
    </row>
    <row r="139" spans="1:18" s="142" customFormat="1" x14ac:dyDescent="0.15">
      <c r="A139" s="118"/>
      <c r="B139" s="72" t="s">
        <v>146</v>
      </c>
      <c r="C139" s="72" t="s">
        <v>104</v>
      </c>
      <c r="D139" s="477">
        <f>'Offroad Data'!P254*SUMIFS('Emission Factors'!$G$60:$G$100,'Emission Factors'!$B$60:$B$100,'Off-road'!$B139,'Emission Factors'!$A$60:$A$100,'Off-road'!$C139)/grams_to_mton</f>
        <v>3.1868669247771422</v>
      </c>
      <c r="E139" s="477">
        <f>'Offroad Data'!Q254*SUMIFS('Emission Factors'!$G$60:$G$100,'Emission Factors'!$B$60:$B$100,'Off-road'!$B139,'Emission Factors'!$A$60:$A$100,'Off-road'!$C139)/grams_to_mton</f>
        <v>6.1628455557728303</v>
      </c>
      <c r="F139" s="477">
        <f>'Offroad Data'!R254*SUMIFS('Emission Factors'!$G$60:$G$100,'Emission Factors'!$B$60:$B$100,'Off-road'!$B139,'Emission Factors'!$A$60:$A$100,'Off-road'!$C139)/grams_to_mton</f>
        <v>9.3497124805499716</v>
      </c>
      <c r="G139" s="477">
        <f>'Offroad Data'!S254*SUMIFS('Emission Factors'!$G$60:$G$100,'Emission Factors'!$B$60:$B$100,'Off-road'!$B139,'Emission Factors'!$A$60:$A$100,'Off-road'!$C139)/grams_to_mton</f>
        <v>3.3910475412059933</v>
      </c>
      <c r="H139" s="477">
        <f>'Offroad Data'!T254*SUMIFS('Emission Factors'!$G$60:$G$100,'Emission Factors'!$B$60:$B$100,'Off-road'!$B139,'Emission Factors'!$A$60:$A$100,'Off-road'!$C139)/grams_to_mton</f>
        <v>0.93715760063615539</v>
      </c>
      <c r="I139" s="477">
        <f>'Offroad Data'!U254*SUMIFS('Emission Factors'!$G$60:$G$100,'Emission Factors'!$B$60:$B$100,'Off-road'!$B139,'Emission Factors'!$A$60:$A$100,'Off-road'!$C139)/grams_to_mton</f>
        <v>7.9827909068197006E-2</v>
      </c>
      <c r="J139" s="477">
        <f>'Offroad Data'!V254*SUMIFS('Emission Factors'!$G$60:$G$100,'Emission Factors'!$B$60:$B$100,'Off-road'!$B139,'Emission Factors'!$A$60:$A$100,'Off-road'!$C139)/grams_to_mton</f>
        <v>1.595465092298997</v>
      </c>
      <c r="K139" s="477">
        <f>'Offroad Data'!W254*SUMIFS('Emission Factors'!$G$60:$G$100,'Emission Factors'!$B$60:$B$100,'Off-road'!$B139,'Emission Factors'!$A$60:$A$100,'Off-road'!$C139)/grams_to_mton</f>
        <v>0.58832076567103075</v>
      </c>
      <c r="L139" s="477">
        <f>'Offroad Data'!X254*SUMIFS('Emission Factors'!$G$60:$G$100,'Emission Factors'!$B$60:$B$100,'Off-road'!$B139,'Emission Factors'!$A$60:$A$100,'Off-road'!$C139)/grams_to_mton</f>
        <v>0.76984737506472456</v>
      </c>
      <c r="M139" s="375">
        <f t="shared" si="17"/>
        <v>16.711378764495066</v>
      </c>
      <c r="N139" s="119"/>
      <c r="O139" s="302"/>
      <c r="P139" s="302"/>
      <c r="Q139" s="302"/>
      <c r="R139" s="302"/>
    </row>
    <row r="140" spans="1:18" s="142" customFormat="1" x14ac:dyDescent="0.15">
      <c r="A140" s="118"/>
      <c r="B140" s="72" t="s">
        <v>146</v>
      </c>
      <c r="C140" s="72" t="s">
        <v>156</v>
      </c>
      <c r="D140" s="477">
        <f>'Offroad Data'!P255*SUMIFS('Emission Factors'!$G$60:$G$100,'Emission Factors'!$B$60:$B$100,'Off-road'!$B140,'Emission Factors'!$A$60:$A$100,'Off-road'!$C140)/grams_to_mton</f>
        <v>16.354166390026105</v>
      </c>
      <c r="E140" s="477">
        <f>'Offroad Data'!Q255*SUMIFS('Emission Factors'!$G$60:$G$100,'Emission Factors'!$B$60:$B$100,'Off-road'!$B140,'Emission Factors'!$A$60:$A$100,'Off-road'!$C140)/grams_to_mton</f>
        <v>31.626109289828573</v>
      </c>
      <c r="F140" s="477">
        <f>'Offroad Data'!R255*SUMIFS('Emission Factors'!$G$60:$G$100,'Emission Factors'!$B$60:$B$100,'Off-road'!$B140,'Emission Factors'!$A$60:$A$100,'Off-road'!$C140)/grams_to_mton</f>
        <v>47.980275679854685</v>
      </c>
      <c r="G140" s="477">
        <f>'Offroad Data'!S255*SUMIFS('Emission Factors'!$G$60:$G$100,'Emission Factors'!$B$60:$B$100,'Off-road'!$B140,'Emission Factors'!$A$60:$A$100,'Off-road'!$C140)/grams_to_mton</f>
        <v>12.032590426977443</v>
      </c>
      <c r="H140" s="477">
        <f>'Offroad Data'!T255*SUMIFS('Emission Factors'!$G$60:$G$100,'Emission Factors'!$B$60:$B$100,'Off-road'!$B140,'Emission Factors'!$A$60:$A$100,'Off-road'!$C140)/grams_to_mton</f>
        <v>11.022286212225126</v>
      </c>
      <c r="I140" s="477">
        <f>'Offroad Data'!U255*SUMIFS('Emission Factors'!$G$60:$G$100,'Emission Factors'!$B$60:$B$100,'Off-road'!$B140,'Emission Factors'!$A$60:$A$100,'Off-road'!$C140)/grams_to_mton</f>
        <v>2.5692712913061193</v>
      </c>
      <c r="J140" s="477">
        <f>'Offroad Data'!V255*SUMIFS('Emission Factors'!$G$60:$G$100,'Emission Factors'!$B$60:$B$100,'Off-road'!$B140,'Emission Factors'!$A$60:$A$100,'Off-road'!$C140)/grams_to_mton</f>
        <v>8.8871218957612452</v>
      </c>
      <c r="K140" s="477">
        <f>'Offroad Data'!W255*SUMIFS('Emission Factors'!$G$60:$G$100,'Emission Factors'!$B$60:$B$100,'Off-road'!$B140,'Emission Factors'!$A$60:$A$100,'Off-road'!$C140)/grams_to_mton</f>
        <v>6.7336023027291469</v>
      </c>
      <c r="L140" s="477">
        <f>'Offroad Data'!X255*SUMIFS('Emission Factors'!$G$60:$G$100,'Emission Factors'!$B$60:$B$100,'Off-road'!$B140,'Emission Factors'!$A$60:$A$100,'Off-road'!$C140)/grams_to_mton</f>
        <v>15.785965440262236</v>
      </c>
      <c r="M140" s="375">
        <f t="shared" si="17"/>
        <v>105.01111324911601</v>
      </c>
      <c r="N140" s="119"/>
      <c r="O140" s="302"/>
      <c r="P140" s="302"/>
      <c r="Q140" s="302"/>
      <c r="R140" s="302"/>
    </row>
    <row r="141" spans="1:18" s="142" customFormat="1" x14ac:dyDescent="0.15">
      <c r="A141" s="118"/>
      <c r="B141" s="72" t="s">
        <v>146</v>
      </c>
      <c r="C141" s="72" t="s">
        <v>157</v>
      </c>
      <c r="D141" s="477">
        <f>'Offroad Data'!P256*SUMIFS('Emission Factors'!$G$60:$G$100,'Emission Factors'!$B$60:$B$100,'Off-road'!$B141,'Emission Factors'!$A$60:$A$100,'Off-road'!$C141)/grams_to_mton</f>
        <v>6.5849050969146443</v>
      </c>
      <c r="E141" s="477">
        <f>'Offroad Data'!Q256*SUMIFS('Emission Factors'!$G$60:$G$100,'Emission Factors'!$B$60:$B$100,'Off-road'!$B141,'Emission Factors'!$A$60:$A$100,'Off-road'!$C141)/grams_to_mton</f>
        <v>12.734059522910314</v>
      </c>
      <c r="F141" s="477">
        <f>'Offroad Data'!R256*SUMIFS('Emission Factors'!$G$60:$G$100,'Emission Factors'!$B$60:$B$100,'Off-road'!$B141,'Emission Factors'!$A$60:$A$100,'Off-road'!$C141)/grams_to_mton</f>
        <v>19.31896461982496</v>
      </c>
      <c r="G141" s="477">
        <f>'Offroad Data'!S256*SUMIFS('Emission Factors'!$G$60:$G$100,'Emission Factors'!$B$60:$B$100,'Off-road'!$B141,'Emission Factors'!$A$60:$A$100,'Off-road'!$C141)/grams_to_mton</f>
        <v>4.3931404371891496</v>
      </c>
      <c r="H141" s="477">
        <f>'Offroad Data'!T256*SUMIFS('Emission Factors'!$G$60:$G$100,'Emission Factors'!$B$60:$B$100,'Off-road'!$B141,'Emission Factors'!$A$60:$A$100,'Off-road'!$C141)/grams_to_mton</f>
        <v>2.2797011141768846</v>
      </c>
      <c r="I141" s="477">
        <f>'Offroad Data'!U256*SUMIFS('Emission Factors'!$G$60:$G$100,'Emission Factors'!$B$60:$B$100,'Off-road'!$B141,'Emission Factors'!$A$60:$A$100,'Off-road'!$C141)/grams_to_mton</f>
        <v>0.1767209714747722</v>
      </c>
      <c r="J141" s="477">
        <f>'Offroad Data'!V256*SUMIFS('Emission Factors'!$G$60:$G$100,'Emission Factors'!$B$60:$B$100,'Off-road'!$B141,'Emission Factors'!$A$60:$A$100,'Off-road'!$C141)/grams_to_mton</f>
        <v>3.3059428581812256</v>
      </c>
      <c r="K141" s="477">
        <f>'Offroad Data'!W256*SUMIFS('Emission Factors'!$G$60:$G$100,'Emission Factors'!$B$60:$B$100,'Off-road'!$B141,'Emission Factors'!$A$60:$A$100,'Off-road'!$C141)/grams_to_mton</f>
        <v>1.6334274963569027</v>
      </c>
      <c r="L141" s="477">
        <f>'Offroad Data'!X256*SUMIFS('Emission Factors'!$G$60:$G$100,'Emission Factors'!$B$60:$B$100,'Off-road'!$B141,'Emission Factors'!$A$60:$A$100,'Off-road'!$C141)/grams_to_mton</f>
        <v>1.875280489345756</v>
      </c>
      <c r="M141" s="375">
        <f t="shared" si="17"/>
        <v>32.983177986549649</v>
      </c>
      <c r="N141" s="119"/>
      <c r="O141" s="302"/>
      <c r="P141" s="302"/>
      <c r="Q141" s="302"/>
      <c r="R141" s="302"/>
    </row>
    <row r="142" spans="1:18" s="142" customFormat="1" x14ac:dyDescent="0.15">
      <c r="A142" s="118"/>
      <c r="B142" s="72" t="s">
        <v>146</v>
      </c>
      <c r="C142" s="72" t="s">
        <v>160</v>
      </c>
      <c r="D142" s="477">
        <f>'Offroad Data'!P257*SUMIFS('Emission Factors'!$G$60:$G$100,'Emission Factors'!$B$60:$B$100,'Off-road'!$B142,'Emission Factors'!$A$60:$A$100,'Off-road'!$C142)/grams_to_mton</f>
        <v>0.60901704121464184</v>
      </c>
      <c r="E142" s="477">
        <f>'Offroad Data'!Q257*SUMIFS('Emission Factors'!$G$60:$G$100,'Emission Factors'!$B$60:$B$100,'Off-road'!$B142,'Emission Factors'!$A$60:$A$100,'Off-road'!$C142)/grams_to_mton</f>
        <v>1.9267669420118159</v>
      </c>
      <c r="F142" s="477">
        <f>'Offroad Data'!R257*SUMIFS('Emission Factors'!$G$60:$G$100,'Emission Factors'!$B$60:$B$100,'Off-road'!$B142,'Emission Factors'!$A$60:$A$100,'Off-road'!$C142)/grams_to_mton</f>
        <v>2.5357839832264575</v>
      </c>
      <c r="G142" s="477">
        <f>'Offroad Data'!S257*SUMIFS('Emission Factors'!$G$60:$G$100,'Emission Factors'!$B$60:$B$100,'Off-road'!$B142,'Emission Factors'!$A$60:$A$100,'Off-road'!$C142)/grams_to_mton</f>
        <v>1.6184558344466147</v>
      </c>
      <c r="H142" s="477">
        <f>'Offroad Data'!T257*SUMIFS('Emission Factors'!$G$60:$G$100,'Emission Factors'!$B$60:$B$100,'Off-road'!$B142,'Emission Factors'!$A$60:$A$100,'Off-road'!$C142)/grams_to_mton</f>
        <v>0.85526476142425489</v>
      </c>
      <c r="I142" s="477">
        <f>'Offroad Data'!U257*SUMIFS('Emission Factors'!$G$60:$G$100,'Emission Factors'!$B$60:$B$100,'Off-road'!$B142,'Emission Factors'!$A$60:$A$100,'Off-road'!$C142)/grams_to_mton</f>
        <v>7.0931056041485863E-2</v>
      </c>
      <c r="J142" s="477">
        <f>'Offroad Data'!V257*SUMIFS('Emission Factors'!$G$60:$G$100,'Emission Factors'!$B$60:$B$100,'Off-road'!$B142,'Emission Factors'!$A$60:$A$100,'Off-road'!$C142)/grams_to_mton</f>
        <v>1.4670451476880537</v>
      </c>
      <c r="K142" s="477">
        <f>'Offroad Data'!W257*SUMIFS('Emission Factors'!$G$60:$G$100,'Emission Factors'!$B$60:$B$100,'Off-road'!$B142,'Emission Factors'!$A$60:$A$100,'Off-road'!$C142)/grams_to_mton</f>
        <v>0.38330029823050982</v>
      </c>
      <c r="L142" s="477">
        <f>'Offroad Data'!X257*SUMIFS('Emission Factors'!$G$60:$G$100,'Emission Factors'!$B$60:$B$100,'Off-road'!$B142,'Emission Factors'!$A$60:$A$100,'Off-road'!$C142)/grams_to_mton</f>
        <v>0.61519051924313661</v>
      </c>
      <c r="M142" s="375">
        <f t="shared" si="17"/>
        <v>7.5459716003005131</v>
      </c>
      <c r="N142" s="119"/>
      <c r="O142" s="302"/>
      <c r="P142" s="302"/>
      <c r="Q142" s="302"/>
      <c r="R142" s="302"/>
    </row>
    <row r="143" spans="1:18" s="142" customFormat="1" x14ac:dyDescent="0.15">
      <c r="A143" s="118"/>
      <c r="B143" s="72" t="s">
        <v>146</v>
      </c>
      <c r="C143" s="72" t="s">
        <v>161</v>
      </c>
      <c r="D143" s="477">
        <f>'Offroad Data'!P258*SUMIFS('Emission Factors'!$G$60:$G$100,'Emission Factors'!$B$60:$B$100,'Off-road'!$B143,'Emission Factors'!$A$60:$A$100,'Off-road'!$C143)/grams_to_mton</f>
        <v>0</v>
      </c>
      <c r="E143" s="477">
        <f>'Offroad Data'!Q258*SUMIFS('Emission Factors'!$G$60:$G$100,'Emission Factors'!$B$60:$B$100,'Off-road'!$B143,'Emission Factors'!$A$60:$A$100,'Off-road'!$C143)/grams_to_mton</f>
        <v>9.1803035301999958E-2</v>
      </c>
      <c r="F143" s="477">
        <f>'Offroad Data'!R258*SUMIFS('Emission Factors'!$G$60:$G$100,'Emission Factors'!$B$60:$B$100,'Off-road'!$B143,'Emission Factors'!$A$60:$A$100,'Off-road'!$C143)/grams_to_mton</f>
        <v>9.1803035301999958E-2</v>
      </c>
      <c r="G143" s="477">
        <f>'Offroad Data'!S258*SUMIFS('Emission Factors'!$G$60:$G$100,'Emission Factors'!$B$60:$B$100,'Off-road'!$B143,'Emission Factors'!$A$60:$A$100,'Off-road'!$C143)/grams_to_mton</f>
        <v>1.4894235467031232E-2</v>
      </c>
      <c r="H143" s="477">
        <f>'Offroad Data'!T258*SUMIFS('Emission Factors'!$G$60:$G$100,'Emission Factors'!$B$60:$B$100,'Off-road'!$B143,'Emission Factors'!$A$60:$A$100,'Off-road'!$C143)/grams_to_mton</f>
        <v>2.2574310129999983E-2</v>
      </c>
      <c r="I143" s="477">
        <f>'Offroad Data'!U258*SUMIFS('Emission Factors'!$G$60:$G$100,'Emission Factors'!$B$60:$B$100,'Off-road'!$B143,'Emission Factors'!$A$60:$A$100,'Off-road'!$C143)/grams_to_mton</f>
        <v>3.9638314354999836E-2</v>
      </c>
      <c r="J143" s="477">
        <f>'Offroad Data'!V258*SUMIFS('Emission Factors'!$G$60:$G$100,'Emission Factors'!$B$60:$B$100,'Off-road'!$B143,'Emission Factors'!$A$60:$A$100,'Off-road'!$C143)/grams_to_mton</f>
        <v>5.4748922574999873E-2</v>
      </c>
      <c r="K143" s="477">
        <f>'Offroad Data'!W258*SUMIFS('Emission Factors'!$G$60:$G$100,'Emission Factors'!$B$60:$B$100,'Off-road'!$B143,'Emission Factors'!$A$60:$A$100,'Off-road'!$C143)/grams_to_mton</f>
        <v>0.13126311712199984</v>
      </c>
      <c r="L143" s="477">
        <f>'Offroad Data'!X258*SUMIFS('Emission Factors'!$G$60:$G$100,'Emission Factors'!$B$60:$B$100,'Off-road'!$B143,'Emission Factors'!$A$60:$A$100,'Off-road'!$C143)/grams_to_mton</f>
        <v>0.13753872775599985</v>
      </c>
      <c r="M143" s="377">
        <f t="shared" si="17"/>
        <v>0.49246066270703059</v>
      </c>
      <c r="N143" s="119"/>
      <c r="O143" s="302"/>
      <c r="P143" s="302"/>
      <c r="Q143" s="302"/>
      <c r="R143" s="302"/>
    </row>
    <row r="144" spans="1:18" s="142" customFormat="1" x14ac:dyDescent="0.15">
      <c r="A144" s="118"/>
      <c r="B144" s="72" t="s">
        <v>146</v>
      </c>
      <c r="C144" s="72" t="s">
        <v>158</v>
      </c>
      <c r="D144" s="477">
        <f>'Offroad Data'!P259*SUMIFS('Emission Factors'!$G$60:$G$100,'Emission Factors'!$B$60:$B$100,'Off-road'!$B144,'Emission Factors'!$A$60:$A$100,'Off-road'!$C144)/grams_to_mton</f>
        <v>4.0726653531883796E-2</v>
      </c>
      <c r="E144" s="477">
        <f>'Offroad Data'!Q259*SUMIFS('Emission Factors'!$G$60:$G$100,'Emission Factors'!$B$60:$B$100,'Off-road'!$B144,'Emission Factors'!$A$60:$A$100,'Off-road'!$C144)/grams_to_mton</f>
        <v>7.8758254312116222E-2</v>
      </c>
      <c r="F144" s="477">
        <f>'Offroad Data'!R259*SUMIFS('Emission Factors'!$G$60:$G$100,'Emission Factors'!$B$60:$B$100,'Off-road'!$B144,'Emission Factors'!$A$60:$A$100,'Off-road'!$C144)/grams_to_mton</f>
        <v>0.119484907844</v>
      </c>
      <c r="G144" s="477">
        <f>'Offroad Data'!S259*SUMIFS('Emission Factors'!$G$60:$G$100,'Emission Factors'!$B$60:$B$100,'Off-road'!$B144,'Emission Factors'!$A$60:$A$100,'Off-road'!$C144)/grams_to_mton</f>
        <v>9.7579305722000007E-2</v>
      </c>
      <c r="H144" s="477">
        <f>'Offroad Data'!T259*SUMIFS('Emission Factors'!$G$60:$G$100,'Emission Factors'!$B$60:$B$100,'Off-road'!$B144,'Emission Factors'!$A$60:$A$100,'Off-road'!$C144)/grams_to_mton</f>
        <v>1.1948490864031224E-2</v>
      </c>
      <c r="I144" s="477">
        <f>'Offroad Data'!U259*SUMIFS('Emission Factors'!$G$60:$G$100,'Emission Factors'!$B$60:$B$100,'Off-road'!$B144,'Emission Factors'!$A$60:$A$100,'Off-road'!$C144)/grams_to_mton</f>
        <v>0</v>
      </c>
      <c r="J144" s="477">
        <f>'Offroad Data'!V259*SUMIFS('Emission Factors'!$G$60:$G$100,'Emission Factors'!$B$60:$B$100,'Off-road'!$B144,'Emission Factors'!$A$60:$A$100,'Off-road'!$C144)/grams_to_mton</f>
        <v>7.7665137792000002E-2</v>
      </c>
      <c r="K144" s="477">
        <f>'Offroad Data'!W259*SUMIFS('Emission Factors'!$G$60:$G$100,'Emission Factors'!$B$60:$B$100,'Off-road'!$B144,'Emission Factors'!$A$60:$A$100,'Off-road'!$C144)/grams_to_mton</f>
        <v>0</v>
      </c>
      <c r="L144" s="477">
        <f>'Offroad Data'!X259*SUMIFS('Emission Factors'!$G$60:$G$100,'Emission Factors'!$B$60:$B$100,'Off-road'!$B144,'Emission Factors'!$A$60:$A$100,'Off-road'!$C144)/grams_to_mton</f>
        <v>0.119484907844</v>
      </c>
      <c r="M144" s="375">
        <f t="shared" si="17"/>
        <v>0.42616275006603122</v>
      </c>
      <c r="N144" s="119"/>
      <c r="O144" s="302"/>
      <c r="P144" s="302"/>
      <c r="Q144" s="302"/>
      <c r="R144" s="302"/>
    </row>
    <row r="145" spans="1:18" s="142" customFormat="1" x14ac:dyDescent="0.15">
      <c r="A145" s="118"/>
      <c r="B145" s="72" t="s">
        <v>146</v>
      </c>
      <c r="C145" s="72" t="s">
        <v>162</v>
      </c>
      <c r="D145" s="477">
        <f>'Offroad Data'!P260*SUMIFS('Emission Factors'!$G$60:$G$100,'Emission Factors'!$B$60:$B$100,'Off-road'!$B145,'Emission Factors'!$A$60:$A$100,'Off-road'!$C145)/grams_to_mton</f>
        <v>9.5570377872621085E-2</v>
      </c>
      <c r="E145" s="477">
        <f>'Offroad Data'!Q260*SUMIFS('Emission Factors'!$G$60:$G$100,'Emission Factors'!$B$60:$B$100,'Off-road'!$B145,'Emission Factors'!$A$60:$A$100,'Off-road'!$C145)/grams_to_mton</f>
        <v>3.4043129479093152E-2</v>
      </c>
      <c r="F145" s="477">
        <f>'Offroad Data'!R260*SUMIFS('Emission Factors'!$G$60:$G$100,'Emission Factors'!$B$60:$B$100,'Off-road'!$B145,'Emission Factors'!$A$60:$A$100,'Off-road'!$C145)/grams_to_mton</f>
        <v>0.12961350735171426</v>
      </c>
      <c r="G145" s="477">
        <f>'Offroad Data'!S260*SUMIFS('Emission Factors'!$G$60:$G$100,'Emission Factors'!$B$60:$B$100,'Off-road'!$B145,'Emission Factors'!$A$60:$A$100,'Off-road'!$C145)/grams_to_mton</f>
        <v>5.3605845059142745E-2</v>
      </c>
      <c r="H145" s="477">
        <f>'Offroad Data'!T260*SUMIFS('Emission Factors'!$G$60:$G$100,'Emission Factors'!$B$60:$B$100,'Off-road'!$B145,'Emission Factors'!$A$60:$A$100,'Off-road'!$C145)/grams_to_mton</f>
        <v>2.3324957346013371E-2</v>
      </c>
      <c r="I145" s="477">
        <f>'Offroad Data'!U260*SUMIFS('Emission Factors'!$G$60:$G$100,'Emission Factors'!$B$60:$B$100,'Off-road'!$B145,'Emission Factors'!$A$60:$A$100,'Off-road'!$C145)/grams_to_mton</f>
        <v>3.7336792594444661E-3</v>
      </c>
      <c r="J145" s="477">
        <f>'Offroad Data'!V260*SUMIFS('Emission Factors'!$G$60:$G$100,'Emission Factors'!$B$60:$B$100,'Off-road'!$B145,'Emission Factors'!$A$60:$A$100,'Off-road'!$C145)/grams_to_mton</f>
        <v>1.7316300637566954E-2</v>
      </c>
      <c r="K145" s="477">
        <f>'Offroad Data'!W260*SUMIFS('Emission Factors'!$G$60:$G$100,'Emission Factors'!$B$60:$B$100,'Off-road'!$B145,'Emission Factors'!$A$60:$A$100,'Off-road'!$C145)/grams_to_mton</f>
        <v>3.3806734225814631E-3</v>
      </c>
      <c r="L145" s="477">
        <f>'Offroad Data'!X260*SUMIFS('Emission Factors'!$G$60:$G$100,'Emission Factors'!$B$60:$B$100,'Off-road'!$B145,'Emission Factors'!$A$60:$A$100,'Off-road'!$C145)/grams_to_mton</f>
        <v>2.8646776848857004E-2</v>
      </c>
      <c r="M145" s="375">
        <f t="shared" si="17"/>
        <v>0.25962173992532028</v>
      </c>
      <c r="N145" s="119"/>
      <c r="O145" s="302"/>
      <c r="P145" s="302"/>
      <c r="Q145" s="302"/>
      <c r="R145" s="302"/>
    </row>
    <row r="146" spans="1:18" s="142" customFormat="1" x14ac:dyDescent="0.15">
      <c r="A146" s="118"/>
      <c r="B146" s="174" t="s">
        <v>146</v>
      </c>
      <c r="C146" s="174" t="s">
        <v>163</v>
      </c>
      <c r="D146" s="478">
        <f>'Offroad Data'!P261*SUMIFS('Emission Factors'!$G$60:$G$100,'Emission Factors'!$B$60:$B$100,'Off-road'!$B146,'Emission Factors'!$A$60:$A$100,'Off-road'!$C146)/grams_to_mton</f>
        <v>2.919120627379608E-2</v>
      </c>
      <c r="E146" s="478">
        <f>'Offroad Data'!Q261*SUMIFS('Emission Factors'!$G$60:$G$100,'Emission Factors'!$B$60:$B$100,'Off-road'!$B146,'Emission Factors'!$A$60:$A$100,'Off-road'!$C146)/grams_to_mton</f>
        <v>2.6877314197060926E-2</v>
      </c>
      <c r="F146" s="478">
        <f>'Offroad Data'!R261*SUMIFS('Emission Factors'!$G$60:$G$100,'Emission Factors'!$B$60:$B$100,'Off-road'!$B146,'Emission Factors'!$A$60:$A$100,'Off-road'!$C146)/grams_to_mton</f>
        <v>5.606852047085701E-2</v>
      </c>
      <c r="G146" s="478">
        <f>'Offroad Data'!S261*SUMIFS('Emission Factors'!$G$60:$G$100,'Emission Factors'!$B$60:$B$100,'Off-road'!$B146,'Emission Factors'!$A$60:$A$100,'Off-road'!$C146)/grams_to_mton</f>
        <v>9.7510473565312252E-3</v>
      </c>
      <c r="H146" s="478">
        <f>'Offroad Data'!T261*SUMIFS('Emission Factors'!$G$60:$G$100,'Emission Factors'!$B$60:$B$100,'Off-road'!$B146,'Emission Factors'!$A$60:$A$100,'Off-road'!$C146)/grams_to_mton</f>
        <v>4.8755230512589247E-3</v>
      </c>
      <c r="I146" s="478">
        <f>'Offroad Data'!U261*SUMIFS('Emission Factors'!$G$60:$G$100,'Emission Factors'!$B$60:$B$100,'Off-road'!$B146,'Emission Factors'!$A$60:$A$100,'Off-road'!$C146)/grams_to_mton</f>
        <v>9.7510473565312252E-3</v>
      </c>
      <c r="J146" s="478">
        <f>'Offroad Data'!V261*SUMIFS('Emission Factors'!$G$60:$G$100,'Emission Factors'!$B$60:$B$100,'Off-road'!$B146,'Emission Factors'!$A$60:$A$100,'Off-road'!$C146)/grams_to_mton</f>
        <v>2.9253134956142752E-2</v>
      </c>
      <c r="K146" s="478">
        <f>'Offroad Data'!W261*SUMIFS('Emission Factors'!$G$60:$G$100,'Emission Factors'!$B$60:$B$100,'Off-road'!$B146,'Emission Factors'!$A$60:$A$100,'Off-road'!$C146)/grams_to_mton</f>
        <v>7.3132773057968635E-3</v>
      </c>
      <c r="L146" s="478">
        <f>'Offroad Data'!X261*SUMIFS('Emission Factors'!$G$60:$G$100,'Emission Factors'!$B$60:$B$100,'Off-road'!$B146,'Emission Factors'!$A$60:$A$100,'Off-road'!$C146)/grams_to_mton</f>
        <v>1.2188806968874998E-2</v>
      </c>
      <c r="M146" s="376">
        <f t="shared" si="17"/>
        <v>0.12920135746599298</v>
      </c>
      <c r="N146" s="119"/>
      <c r="O146" s="302"/>
      <c r="P146" s="302"/>
      <c r="Q146" s="302"/>
      <c r="R146" s="302"/>
    </row>
    <row r="147" spans="1:18" s="142" customFormat="1" x14ac:dyDescent="0.15">
      <c r="A147" s="118"/>
      <c r="B147" s="72" t="s">
        <v>164</v>
      </c>
      <c r="C147" s="72" t="s">
        <v>155</v>
      </c>
      <c r="D147" s="477">
        <f>'Offroad Data'!P262*SUMIFS('Emission Factors'!$G$60:$G$100,'Emission Factors'!$B$60:$B$100,'Off-road'!$B147,'Emission Factors'!$A$60:$A$100,'Off-road'!$C147)/grams_to_mton</f>
        <v>0</v>
      </c>
      <c r="E147" s="477">
        <f>'Offroad Data'!Q262*SUMIFS('Emission Factors'!$G$60:$G$100,'Emission Factors'!$B$60:$B$100,'Off-road'!$B147,'Emission Factors'!$A$60:$A$100,'Off-road'!$C147)/grams_to_mton</f>
        <v>7.0500583973562979E-6</v>
      </c>
      <c r="F147" s="477">
        <f>'Offroad Data'!R262*SUMIFS('Emission Factors'!$G$60:$G$100,'Emission Factors'!$B$60:$B$100,'Off-road'!$B147,'Emission Factors'!$A$60:$A$100,'Off-road'!$C147)/grams_to_mton</f>
        <v>7.0500583973562979E-6</v>
      </c>
      <c r="G147" s="477">
        <f>'Offroad Data'!S262*SUMIFS('Emission Factors'!$G$60:$G$100,'Emission Factors'!$B$60:$B$100,'Off-road'!$B147,'Emission Factors'!$A$60:$A$100,'Off-road'!$C147)/grams_to_mton</f>
        <v>2.3676034845428396E-6</v>
      </c>
      <c r="H147" s="477">
        <f>'Offroad Data'!T262*SUMIFS('Emission Factors'!$G$60:$G$100,'Emission Factors'!$B$60:$B$100,'Off-road'!$B147,'Emission Factors'!$A$60:$A$100,'Off-road'!$C147)/grams_to_mton</f>
        <v>8.4635986947614311E-5</v>
      </c>
      <c r="I147" s="477">
        <f>'Offroad Data'!U262*SUMIFS('Emission Factors'!$G$60:$G$100,'Emission Factors'!$B$60:$B$100,'Off-road'!$B147,'Emission Factors'!$A$60:$A$100,'Off-road'!$C147)/grams_to_mton</f>
        <v>7.4111552865164601E-5</v>
      </c>
      <c r="J147" s="477">
        <f>'Offroad Data'!V262*SUMIFS('Emission Factors'!$G$60:$G$100,'Emission Factors'!$B$60:$B$100,'Off-road'!$B147,'Emission Factors'!$A$60:$A$100,'Off-road'!$C147)/grams_to_mton</f>
        <v>1.4042651177394289E-5</v>
      </c>
      <c r="K147" s="477">
        <f>'Offroad Data'!W262*SUMIFS('Emission Factors'!$G$60:$G$100,'Emission Factors'!$B$60:$B$100,'Off-road'!$B147,'Emission Factors'!$A$60:$A$100,'Off-road'!$C147)/grams_to_mton</f>
        <v>9.5438316648158394E-5</v>
      </c>
      <c r="L147" s="477">
        <f>'Offroad Data'!X262*SUMIFS('Emission Factors'!$G$60:$G$100,'Emission Factors'!$B$60:$B$100,'Off-road'!$B147,'Emission Factors'!$A$60:$A$100,'Off-road'!$C147)/grams_to_mton</f>
        <v>1.1540967144845088E-4</v>
      </c>
      <c r="M147" s="375">
        <f t="shared" si="17"/>
        <v>3.9305584096868164E-4</v>
      </c>
      <c r="N147" s="119"/>
      <c r="O147" s="302"/>
      <c r="P147" s="302"/>
      <c r="Q147" s="302"/>
      <c r="R147" s="302"/>
    </row>
    <row r="148" spans="1:18" s="142" customFormat="1" x14ac:dyDescent="0.15">
      <c r="A148" s="118"/>
      <c r="B148" s="72" t="s">
        <v>164</v>
      </c>
      <c r="C148" s="72" t="s">
        <v>104</v>
      </c>
      <c r="D148" s="477">
        <f>'Offroad Data'!P263*SUMIFS('Emission Factors'!$G$60:$G$100,'Emission Factors'!$B$60:$B$100,'Off-road'!$B148,'Emission Factors'!$A$60:$A$100,'Off-road'!$C148)/grams_to_mton</f>
        <v>0</v>
      </c>
      <c r="E148" s="477">
        <f>'Offroad Data'!Q263*SUMIFS('Emission Factors'!$G$60:$G$100,'Emission Factors'!$B$60:$B$100,'Off-road'!$B148,'Emission Factors'!$A$60:$A$100,'Off-road'!$C148)/grams_to_mton</f>
        <v>0</v>
      </c>
      <c r="F148" s="477">
        <f>'Offroad Data'!R263*SUMIFS('Emission Factors'!$G$60:$G$100,'Emission Factors'!$B$60:$B$100,'Off-road'!$B148,'Emission Factors'!$A$60:$A$100,'Off-road'!$C148)/grams_to_mton</f>
        <v>0</v>
      </c>
      <c r="G148" s="477">
        <f>'Offroad Data'!S263*SUMIFS('Emission Factors'!$G$60:$G$100,'Emission Factors'!$B$60:$B$100,'Off-road'!$B148,'Emission Factors'!$A$60:$A$100,'Off-road'!$C148)/grams_to_mton</f>
        <v>0</v>
      </c>
      <c r="H148" s="477">
        <f>'Offroad Data'!T263*SUMIFS('Emission Factors'!$G$60:$G$100,'Emission Factors'!$B$60:$B$100,'Off-road'!$B148,'Emission Factors'!$A$60:$A$100,'Off-road'!$C148)/grams_to_mton</f>
        <v>0</v>
      </c>
      <c r="I148" s="477">
        <f>'Offroad Data'!U263*SUMIFS('Emission Factors'!$G$60:$G$100,'Emission Factors'!$B$60:$B$100,'Off-road'!$B148,'Emission Factors'!$A$60:$A$100,'Off-road'!$C148)/grams_to_mton</f>
        <v>0</v>
      </c>
      <c r="J148" s="477">
        <f>'Offroad Data'!V263*SUMIFS('Emission Factors'!$G$60:$G$100,'Emission Factors'!$B$60:$B$100,'Off-road'!$B148,'Emission Factors'!$A$60:$A$100,'Off-road'!$C148)/grams_to_mton</f>
        <v>0</v>
      </c>
      <c r="K148" s="477">
        <f>'Offroad Data'!W263*SUMIFS('Emission Factors'!$G$60:$G$100,'Emission Factors'!$B$60:$B$100,'Off-road'!$B148,'Emission Factors'!$A$60:$A$100,'Off-road'!$C148)/grams_to_mton</f>
        <v>0</v>
      </c>
      <c r="L148" s="477">
        <f>'Offroad Data'!X263*SUMIFS('Emission Factors'!$G$60:$G$100,'Emission Factors'!$B$60:$B$100,'Off-road'!$B148,'Emission Factors'!$A$60:$A$100,'Off-road'!$C148)/grams_to_mton</f>
        <v>0</v>
      </c>
      <c r="M148" s="375">
        <f t="shared" si="17"/>
        <v>0</v>
      </c>
      <c r="N148" s="119"/>
      <c r="O148" s="302"/>
      <c r="P148" s="302"/>
      <c r="Q148" s="302"/>
      <c r="R148" s="302"/>
    </row>
    <row r="149" spans="1:18" s="142" customFormat="1" x14ac:dyDescent="0.15">
      <c r="A149" s="118"/>
      <c r="B149" s="72" t="s">
        <v>164</v>
      </c>
      <c r="C149" s="72" t="s">
        <v>156</v>
      </c>
      <c r="D149" s="477">
        <f>'Offroad Data'!P264*SUMIFS('Emission Factors'!$G$60:$G$100,'Emission Factors'!$B$60:$B$100,'Off-road'!$B149,'Emission Factors'!$A$60:$A$100,'Off-road'!$C149)/grams_to_mton</f>
        <v>2.496207451527642E-2</v>
      </c>
      <c r="E149" s="477">
        <f>'Offroad Data'!Q264*SUMIFS('Emission Factors'!$G$60:$G$100,'Emission Factors'!$B$60:$B$100,'Off-road'!$B149,'Emission Factors'!$A$60:$A$100,'Off-road'!$C149)/grams_to_mton</f>
        <v>4.827230431032177E-2</v>
      </c>
      <c r="F149" s="477">
        <f>'Offroad Data'!R264*SUMIFS('Emission Factors'!$G$60:$G$100,'Emission Factors'!$B$60:$B$100,'Off-road'!$B149,'Emission Factors'!$A$60:$A$100,'Off-road'!$C149)/grams_to_mton</f>
        <v>7.323437882559819E-2</v>
      </c>
      <c r="G149" s="477">
        <f>'Offroad Data'!S264*SUMIFS('Emission Factors'!$G$60:$G$100,'Emission Factors'!$B$60:$B$100,'Off-road'!$B149,'Emission Factors'!$A$60:$A$100,'Off-road'!$C149)/grams_to_mton</f>
        <v>1.8365874838523342E-2</v>
      </c>
      <c r="H149" s="477">
        <f>'Offroad Data'!T264*SUMIFS('Emission Factors'!$G$60:$G$100,'Emission Factors'!$B$60:$B$100,'Off-road'!$B149,'Emission Factors'!$A$60:$A$100,'Off-road'!$C149)/grams_to_mton</f>
        <v>1.6823800546413407E-2</v>
      </c>
      <c r="I149" s="477">
        <f>'Offroad Data'!U264*SUMIFS('Emission Factors'!$G$60:$G$100,'Emission Factors'!$B$60:$B$100,'Off-road'!$B149,'Emission Factors'!$A$60:$A$100,'Off-road'!$C149)/grams_to_mton</f>
        <v>3.9215896293874628E-3</v>
      </c>
      <c r="J149" s="477">
        <f>'Offroad Data'!V264*SUMIFS('Emission Factors'!$G$60:$G$100,'Emission Factors'!$B$60:$B$100,'Off-road'!$B149,'Emission Factors'!$A$60:$A$100,'Off-road'!$C149)/grams_to_mton</f>
        <v>1.3564797969708936E-2</v>
      </c>
      <c r="K149" s="477">
        <f>'Offroad Data'!W264*SUMIFS('Emission Factors'!$G$60:$G$100,'Emission Factors'!$B$60:$B$100,'Off-road'!$B149,'Emission Factors'!$A$60:$A$100,'Off-road'!$C149)/grams_to_mton</f>
        <v>1.0277791698325926E-2</v>
      </c>
      <c r="L149" s="477">
        <f>'Offroad Data'!X264*SUMIFS('Emission Factors'!$G$60:$G$100,'Emission Factors'!$B$60:$B$100,'Off-road'!$B149,'Emission Factors'!$A$60:$A$100,'Off-road'!$C149)/grams_to_mton</f>
        <v>2.4094812575949295E-2</v>
      </c>
      <c r="M149" s="375">
        <f t="shared" si="17"/>
        <v>0.16028304608390659</v>
      </c>
      <c r="N149" s="119"/>
      <c r="O149" s="302"/>
      <c r="P149" s="302"/>
      <c r="Q149" s="302"/>
      <c r="R149" s="302"/>
    </row>
    <row r="150" spans="1:18" s="142" customFormat="1" x14ac:dyDescent="0.15">
      <c r="A150" s="118"/>
      <c r="B150" s="72" t="s">
        <v>164</v>
      </c>
      <c r="C150" s="72" t="s">
        <v>157</v>
      </c>
      <c r="D150" s="477">
        <f>'Offroad Data'!P265*SUMIFS('Emission Factors'!$G$60:$G$100,'Emission Factors'!$B$60:$B$100,'Off-road'!$B150,'Emission Factors'!$A$60:$A$100,'Off-road'!$C150)/grams_to_mton</f>
        <v>4.8202589396261674E-4</v>
      </c>
      <c r="E150" s="477">
        <f>'Offroad Data'!Q265*SUMIFS('Emission Factors'!$G$60:$G$100,'Emission Factors'!$B$60:$B$100,'Off-road'!$B150,'Emission Factors'!$A$60:$A$100,'Off-road'!$C150)/grams_to_mton</f>
        <v>9.3215412142842345E-4</v>
      </c>
      <c r="F150" s="477">
        <f>'Offroad Data'!R265*SUMIFS('Emission Factors'!$G$60:$G$100,'Emission Factors'!$B$60:$B$100,'Off-road'!$B150,'Emission Factors'!$A$60:$A$100,'Off-road'!$C150)/grams_to_mton</f>
        <v>1.4141800153910401E-3</v>
      </c>
      <c r="G150" s="477">
        <f>'Offroad Data'!S265*SUMIFS('Emission Factors'!$G$60:$G$100,'Emission Factors'!$B$60:$B$100,'Off-road'!$B150,'Emission Factors'!$A$60:$A$100,'Off-road'!$C150)/grams_to_mton</f>
        <v>3.6253925816437605E-4</v>
      </c>
      <c r="H150" s="477">
        <f>'Offroad Data'!T265*SUMIFS('Emission Factors'!$G$60:$G$100,'Emission Factors'!$B$60:$B$100,'Off-road'!$B150,'Emission Factors'!$A$60:$A$100,'Off-road'!$C150)/grams_to_mton</f>
        <v>1.9298751659327902E-4</v>
      </c>
      <c r="I150" s="477">
        <f>'Offroad Data'!U265*SUMIFS('Emission Factors'!$G$60:$G$100,'Emission Factors'!$B$60:$B$100,'Off-road'!$B150,'Emission Factors'!$A$60:$A$100,'Off-road'!$C150)/grams_to_mton</f>
        <v>1.1192947867840303E-5</v>
      </c>
      <c r="J150" s="477">
        <f>'Offroad Data'!V265*SUMIFS('Emission Factors'!$G$60:$G$100,'Emission Factors'!$B$60:$B$100,'Off-road'!$B150,'Emission Factors'!$A$60:$A$100,'Off-road'!$C150)/grams_to_mton</f>
        <v>2.7530069403009861E-4</v>
      </c>
      <c r="K150" s="477">
        <f>'Offroad Data'!W265*SUMIFS('Emission Factors'!$G$60:$G$100,'Emission Factors'!$B$60:$B$100,'Off-road'!$B150,'Emission Factors'!$A$60:$A$100,'Off-road'!$C150)/grams_to_mton</f>
        <v>1.4348140931940478E-4</v>
      </c>
      <c r="L150" s="477">
        <f>'Offroad Data'!X265*SUMIFS('Emission Factors'!$G$60:$G$100,'Emission Factors'!$B$60:$B$100,'Off-road'!$B150,'Emission Factors'!$A$60:$A$100,'Off-road'!$C150)/grams_to_mton</f>
        <v>1.3223007225556232E-4</v>
      </c>
      <c r="M150" s="375">
        <f t="shared" si="17"/>
        <v>2.5319119136216011E-3</v>
      </c>
      <c r="N150" s="119"/>
      <c r="O150" s="302"/>
      <c r="P150" s="302"/>
      <c r="Q150" s="302"/>
      <c r="R150" s="302"/>
    </row>
    <row r="151" spans="1:18" s="142" customFormat="1" x14ac:dyDescent="0.15">
      <c r="A151" s="118"/>
      <c r="B151" s="72" t="s">
        <v>164</v>
      </c>
      <c r="C151" s="72" t="s">
        <v>160</v>
      </c>
      <c r="D151" s="477">
        <f>'Offroad Data'!P266*SUMIFS('Emission Factors'!$G$60:$G$100,'Emission Factors'!$B$60:$B$100,'Off-road'!$B151,'Emission Factors'!$A$60:$A$100,'Off-road'!$C151)/grams_to_mton</f>
        <v>0.2273856764244955</v>
      </c>
      <c r="E151" s="477">
        <f>'Offroad Data'!Q266*SUMIFS('Emission Factors'!$G$60:$G$100,'Emission Factors'!$B$60:$B$100,'Off-road'!$B151,'Emission Factors'!$A$60:$A$100,'Off-road'!$C151)/grams_to_mton</f>
        <v>0.71938743051904652</v>
      </c>
      <c r="F151" s="477">
        <f>'Offroad Data'!R266*SUMIFS('Emission Factors'!$G$60:$G$100,'Emission Factors'!$B$60:$B$100,'Off-road'!$B151,'Emission Factors'!$A$60:$A$100,'Off-road'!$C151)/grams_to_mton</f>
        <v>0.946773106943542</v>
      </c>
      <c r="G151" s="477">
        <f>'Offroad Data'!S266*SUMIFS('Emission Factors'!$G$60:$G$100,'Emission Factors'!$B$60:$B$100,'Off-road'!$B151,'Emission Factors'!$A$60:$A$100,'Off-road'!$C151)/grams_to_mton</f>
        <v>0.46950956033855412</v>
      </c>
      <c r="H151" s="477">
        <f>'Offroad Data'!T266*SUMIFS('Emission Factors'!$G$60:$G$100,'Emission Factors'!$B$60:$B$100,'Off-road'!$B151,'Emission Factors'!$A$60:$A$100,'Off-road'!$C151)/grams_to_mton</f>
        <v>0.24372634710471783</v>
      </c>
      <c r="I151" s="477">
        <f>'Offroad Data'!U266*SUMIFS('Emission Factors'!$G$60:$G$100,'Emission Factors'!$B$60:$B$100,'Off-road'!$B151,'Emission Factors'!$A$60:$A$100,'Off-road'!$C151)/grams_to_mton</f>
        <v>2.1585969888877041E-2</v>
      </c>
      <c r="J151" s="477">
        <f>'Offroad Data'!V266*SUMIFS('Emission Factors'!$G$60:$G$100,'Emission Factors'!$B$60:$B$100,'Off-road'!$B151,'Emission Factors'!$A$60:$A$100,'Off-road'!$C151)/grams_to_mton</f>
        <v>0.41511655680109605</v>
      </c>
      <c r="K151" s="477">
        <f>'Offroad Data'!W266*SUMIFS('Emission Factors'!$G$60:$G$100,'Emission Factors'!$B$60:$B$100,'Off-road'!$B151,'Emission Factors'!$A$60:$A$100,'Off-road'!$C151)/grams_to_mton</f>
        <v>0.11362016698519334</v>
      </c>
      <c r="L151" s="477">
        <f>'Offroad Data'!X266*SUMIFS('Emission Factors'!$G$60:$G$100,'Emission Factors'!$B$60:$B$100,'Off-road'!$B151,'Emission Factors'!$A$60:$A$100,'Off-road'!$C151)/grams_to_mton</f>
        <v>0.18661013767391593</v>
      </c>
      <c r="M151" s="375">
        <f t="shared" si="17"/>
        <v>2.396941845735896</v>
      </c>
      <c r="N151" s="119"/>
      <c r="O151" s="302"/>
      <c r="P151" s="302"/>
      <c r="Q151" s="302"/>
      <c r="R151" s="302"/>
    </row>
    <row r="152" spans="1:18" s="142" customFormat="1" x14ac:dyDescent="0.15">
      <c r="A152" s="118"/>
      <c r="B152" s="72" t="s">
        <v>164</v>
      </c>
      <c r="C152" s="72" t="s">
        <v>161</v>
      </c>
      <c r="D152" s="477">
        <f>'Offroad Data'!P267*SUMIFS('Emission Factors'!$G$60:$G$100,'Emission Factors'!$B$60:$B$100,'Off-road'!$B152,'Emission Factors'!$A$60:$A$100,'Off-road'!$C152)/grams_to_mton</f>
        <v>0</v>
      </c>
      <c r="E152" s="477">
        <f>'Offroad Data'!Q267*SUMIFS('Emission Factors'!$G$60:$G$100,'Emission Factors'!$B$60:$B$100,'Off-road'!$B152,'Emission Factors'!$A$60:$A$100,'Off-road'!$C152)/grams_to_mton</f>
        <v>4.8513864431249878E-4</v>
      </c>
      <c r="F152" s="477">
        <f>'Offroad Data'!R267*SUMIFS('Emission Factors'!$G$60:$G$100,'Emission Factors'!$B$60:$B$100,'Off-road'!$B152,'Emission Factors'!$A$60:$A$100,'Off-road'!$C152)/grams_to_mton</f>
        <v>4.8513864431249878E-4</v>
      </c>
      <c r="G152" s="477">
        <f>'Offroad Data'!S267*SUMIFS('Emission Factors'!$G$60:$G$100,'Emission Factors'!$B$60:$B$100,'Off-road'!$B152,'Emission Factors'!$A$60:$A$100,'Off-road'!$C152)/grams_to_mton</f>
        <v>7.8709592740931826E-5</v>
      </c>
      <c r="H152" s="477">
        <f>'Offroad Data'!T267*SUMIFS('Emission Factors'!$G$60:$G$100,'Emission Factors'!$B$60:$B$100,'Off-road'!$B152,'Emission Factors'!$A$60:$A$100,'Off-road'!$C152)/grams_to_mton</f>
        <v>1.1929529649958145E-4</v>
      </c>
      <c r="I152" s="477">
        <f>'Offroad Data'!U267*SUMIFS('Emission Factors'!$G$60:$G$100,'Emission Factors'!$B$60:$B$100,'Off-road'!$B152,'Emission Factors'!$A$60:$A$100,'Off-road'!$C152)/grams_to_mton</f>
        <v>2.0947091994307957E-4</v>
      </c>
      <c r="J152" s="477">
        <f>'Offroad Data'!V267*SUMIFS('Emission Factors'!$G$60:$G$100,'Emission Factors'!$B$60:$B$100,'Off-road'!$B152,'Emission Factors'!$A$60:$A$100,'Off-road'!$C152)/grams_to_mton</f>
        <v>2.8932387104464263E-4</v>
      </c>
      <c r="K152" s="477">
        <f>'Offroad Data'!W267*SUMIFS('Emission Factors'!$G$60:$G$100,'Emission Factors'!$B$60:$B$100,'Off-road'!$B152,'Emission Factors'!$A$60:$A$100,'Off-road'!$C152)/grams_to_mton</f>
        <v>6.9366712301450887E-4</v>
      </c>
      <c r="L152" s="477">
        <f>'Offroad Data'!X267*SUMIFS('Emission Factors'!$G$60:$G$100,'Emission Factors'!$B$60:$B$100,'Off-road'!$B152,'Emission Factors'!$A$60:$A$100,'Off-road'!$C152)/grams_to_mton</f>
        <v>7.2683061401785612E-4</v>
      </c>
      <c r="M152" s="375">
        <f t="shared" si="17"/>
        <v>2.6024360615730991E-3</v>
      </c>
      <c r="N152" s="119"/>
      <c r="O152" s="302"/>
      <c r="P152" s="302"/>
      <c r="Q152" s="302"/>
      <c r="R152" s="302"/>
    </row>
    <row r="153" spans="1:18" s="142" customFormat="1" x14ac:dyDescent="0.15">
      <c r="A153" s="118"/>
      <c r="B153" s="72" t="s">
        <v>164</v>
      </c>
      <c r="C153" s="72" t="s">
        <v>163</v>
      </c>
      <c r="D153" s="477">
        <f>'Offroad Data'!P268*SUMIFS('Emission Factors'!$G$60:$G$100,'Emission Factors'!$B$60:$B$100,'Off-road'!$B153,'Emission Factors'!$A$60:$A$100,'Off-road'!$C153)/grams_to_mton</f>
        <v>3.6600947561748483E-2</v>
      </c>
      <c r="E153" s="477">
        <f>'Offroad Data'!Q268*SUMIFS('Emission Factors'!$G$60:$G$100,'Emission Factors'!$B$60:$B$100,'Off-road'!$B153,'Emission Factors'!$A$60:$A$100,'Off-road'!$C153)/grams_to_mton</f>
        <v>3.3699709367965715E-2</v>
      </c>
      <c r="F153" s="477">
        <f>'Offroad Data'!R268*SUMIFS('Emission Factors'!$G$60:$G$100,'Emission Factors'!$B$60:$B$100,'Off-road'!$B153,'Emission Factors'!$A$60:$A$100,'Off-road'!$C153)/grams_to_mton</f>
        <v>7.0300656929714198E-2</v>
      </c>
      <c r="G153" s="477">
        <f>'Offroad Data'!S268*SUMIFS('Emission Factors'!$G$60:$G$100,'Emission Factors'!$B$60:$B$100,'Off-road'!$B153,'Emission Factors'!$A$60:$A$100,'Off-road'!$C153)/grams_to_mton</f>
        <v>1.2226199498888387E-2</v>
      </c>
      <c r="H153" s="477">
        <f>'Offroad Data'!T268*SUMIFS('Emission Factors'!$G$60:$G$100,'Emission Factors'!$B$60:$B$100,'Off-road'!$B153,'Emission Factors'!$A$60:$A$100,'Off-road'!$C153)/grams_to_mton</f>
        <v>6.1131002263738778E-3</v>
      </c>
      <c r="I153" s="477">
        <f>'Offroad Data'!U268*SUMIFS('Emission Factors'!$G$60:$G$100,'Emission Factors'!$B$60:$B$100,'Off-road'!$B153,'Emission Factors'!$A$60:$A$100,'Off-road'!$C153)/grams_to_mton</f>
        <v>0.2100765689846022</v>
      </c>
      <c r="J153" s="477">
        <f>'Offroad Data'!V268*SUMIFS('Emission Factors'!$G$60:$G$100,'Emission Factors'!$B$60:$B$100,'Off-road'!$B153,'Emission Factors'!$A$60:$A$100,'Off-road'!$C153)/grams_to_mton</f>
        <v>3.6678619723517769E-2</v>
      </c>
      <c r="K153" s="477">
        <f>'Offroad Data'!W268*SUMIFS('Emission Factors'!$G$60:$G$100,'Emission Factors'!$B$60:$B$100,'Off-road'!$B153,'Emission Factors'!$A$60:$A$100,'Off-road'!$C153)/grams_to_mton</f>
        <v>9.1696516631986583E-3</v>
      </c>
      <c r="L153" s="477">
        <f>'Offroad Data'!X268*SUMIFS('Emission Factors'!$G$60:$G$100,'Emission Factors'!$B$60:$B$100,'Off-road'!$B153,'Emission Factors'!$A$60:$A$100,'Off-road'!$C153)/grams_to_mton</f>
        <v>1.5282748655379454E-2</v>
      </c>
      <c r="M153" s="375">
        <f t="shared" si="17"/>
        <v>0.35984754568167449</v>
      </c>
      <c r="N153" s="119"/>
      <c r="O153" s="302"/>
      <c r="P153" s="302"/>
      <c r="Q153" s="302"/>
      <c r="R153" s="302"/>
    </row>
    <row r="154" spans="1:18" s="142" customFormat="1" x14ac:dyDescent="0.15">
      <c r="A154" s="118"/>
      <c r="B154" s="72" t="s">
        <v>165</v>
      </c>
      <c r="C154" s="72" t="s">
        <v>155</v>
      </c>
      <c r="D154" s="477">
        <f>'Offroad Data'!P269*SUMIFS('Emission Factors'!$G$60:$G$100,'Emission Factors'!$B$60:$B$100,'Off-road'!$B154,'Emission Factors'!$A$60:$A$100,'Off-road'!$C154)/grams_to_mton</f>
        <v>0</v>
      </c>
      <c r="E154" s="477">
        <f>'Offroad Data'!Q269*SUMIFS('Emission Factors'!$G$60:$G$100,'Emission Factors'!$B$60:$B$100,'Off-road'!$B154,'Emission Factors'!$A$60:$A$100,'Off-road'!$C154)/grams_to_mton</f>
        <v>5.7282008225947242E-3</v>
      </c>
      <c r="F154" s="477">
        <f>'Offroad Data'!R269*SUMIFS('Emission Factors'!$G$60:$G$100,'Emission Factors'!$B$60:$B$100,'Off-road'!$B154,'Emission Factors'!$A$60:$A$100,'Off-road'!$C154)/grams_to_mton</f>
        <v>5.7282008225947242E-3</v>
      </c>
      <c r="G154" s="477">
        <f>'Offroad Data'!S269*SUMIFS('Emission Factors'!$G$60:$G$100,'Emission Factors'!$B$60:$B$100,'Off-road'!$B154,'Emission Factors'!$A$60:$A$100,'Off-road'!$C154)/grams_to_mton</f>
        <v>1.9236870290757577E-3</v>
      </c>
      <c r="H154" s="477">
        <f>'Offroad Data'!T269*SUMIFS('Emission Factors'!$G$60:$G$100,'Emission Factors'!$B$60:$B$100,'Off-road'!$B154,'Emission Factors'!$A$60:$A$100,'Off-road'!$C154)/grams_to_mton</f>
        <v>6.8767085247340418E-2</v>
      </c>
      <c r="I154" s="477">
        <f>'Offroad Data'!U269*SUMIFS('Emission Factors'!$G$60:$G$100,'Emission Factors'!$B$60:$B$100,'Off-road'!$B154,'Emission Factors'!$A$60:$A$100,'Off-road'!$C154)/grams_to_mton</f>
        <v>6.0215940315081005E-2</v>
      </c>
      <c r="J154" s="477">
        <f>'Offroad Data'!V269*SUMIFS('Emission Factors'!$G$60:$G$100,'Emission Factors'!$B$60:$B$100,'Off-road'!$B154,'Emission Factors'!$A$60:$A$100,'Off-road'!$C154)/grams_to_mton</f>
        <v>1.1409716864494789E-2</v>
      </c>
      <c r="K154" s="477">
        <f>'Offroad Data'!W269*SUMIFS('Emission Factors'!$G$60:$G$100,'Emission Factors'!$B$60:$B$100,'Off-road'!$B154,'Emission Factors'!$A$60:$A$100,'Off-road'!$C154)/grams_to_mton</f>
        <v>7.7544043432880391E-2</v>
      </c>
      <c r="L154" s="477">
        <f>'Offroad Data'!X269*SUMIFS('Emission Factors'!$G$60:$G$100,'Emission Factors'!$B$60:$B$100,'Off-road'!$B154,'Emission Factors'!$A$60:$A$100,'Off-road'!$C154)/grams_to_mton</f>
        <v>9.3770827897814629E-2</v>
      </c>
      <c r="M154" s="375">
        <f t="shared" si="17"/>
        <v>0.31935950160928173</v>
      </c>
      <c r="N154" s="119"/>
      <c r="O154" s="302"/>
      <c r="P154" s="302"/>
      <c r="Q154" s="302"/>
      <c r="R154" s="302"/>
    </row>
    <row r="155" spans="1:18" s="142" customFormat="1" x14ac:dyDescent="0.15">
      <c r="A155" s="118"/>
      <c r="B155" s="72" t="s">
        <v>165</v>
      </c>
      <c r="C155" s="72" t="s">
        <v>159</v>
      </c>
      <c r="D155" s="477">
        <f>'Offroad Data'!P270*SUMIFS('Emission Factors'!$G$60:$G$100,'Emission Factors'!$B$60:$B$100,'Off-road'!$B155,'Emission Factors'!$A$60:$A$100,'Off-road'!$C155)/grams_to_mton</f>
        <v>0.19152192429600001</v>
      </c>
      <c r="E155" s="477">
        <f>'Offroad Data'!Q270*SUMIFS('Emission Factors'!$G$60:$G$100,'Emission Factors'!$B$60:$B$100,'Off-road'!$B155,'Emission Factors'!$A$60:$A$100,'Off-road'!$C155)/grams_to_mton</f>
        <v>0</v>
      </c>
      <c r="F155" s="477">
        <f>'Offroad Data'!R270*SUMIFS('Emission Factors'!$G$60:$G$100,'Emission Factors'!$B$60:$B$100,'Off-road'!$B155,'Emission Factors'!$A$60:$A$100,'Off-road'!$C155)/grams_to_mton</f>
        <v>0.19152192429600001</v>
      </c>
      <c r="G155" s="477">
        <f>'Offroad Data'!S270*SUMIFS('Emission Factors'!$G$60:$G$100,'Emission Factors'!$B$60:$B$100,'Off-road'!$B155,'Emission Factors'!$A$60:$A$100,'Off-road'!$C155)/grams_to_mton</f>
        <v>4.5089172132934515E-5</v>
      </c>
      <c r="H155" s="477">
        <f>'Offroad Data'!T270*SUMIFS('Emission Factors'!$G$60:$G$100,'Emission Factors'!$B$60:$B$100,'Off-road'!$B155,'Emission Factors'!$A$60:$A$100,'Off-road'!$C155)/grams_to_mton</f>
        <v>2.0533956031448324E-5</v>
      </c>
      <c r="I155" s="477">
        <f>'Offroad Data'!U270*SUMIFS('Emission Factors'!$G$60:$G$100,'Emission Factors'!$B$60:$B$100,'Off-road'!$B155,'Emission Factors'!$A$60:$A$100,'Off-road'!$C155)/grams_to_mton</f>
        <v>0</v>
      </c>
      <c r="J155" s="477">
        <f>'Offroad Data'!V270*SUMIFS('Emission Factors'!$G$60:$G$100,'Emission Factors'!$B$60:$B$100,'Off-road'!$B155,'Emission Factors'!$A$60:$A$100,'Off-road'!$C155)/grams_to_mton</f>
        <v>2.2672900414535452E-5</v>
      </c>
      <c r="K155" s="477">
        <f>'Offroad Data'!W270*SUMIFS('Emission Factors'!$G$60:$G$100,'Emission Factors'!$B$60:$B$100,'Off-road'!$B155,'Emission Factors'!$A$60:$A$100,'Off-road'!$C155)/grams_to_mton</f>
        <v>1.9678377214324952E-5</v>
      </c>
      <c r="L155" s="477">
        <f>'Offroad Data'!X270*SUMIFS('Emission Factors'!$G$60:$G$100,'Emission Factors'!$B$60:$B$100,'Off-road'!$B155,'Emission Factors'!$A$60:$A$100,'Off-road'!$C155)/grams_to_mton</f>
        <v>4.6201514039154043E-5</v>
      </c>
      <c r="M155" s="375">
        <f t="shared" si="17"/>
        <v>0.1916761002158324</v>
      </c>
      <c r="N155" s="119"/>
      <c r="O155" s="302"/>
      <c r="P155" s="302"/>
      <c r="Q155" s="302"/>
      <c r="R155" s="302"/>
    </row>
    <row r="156" spans="1:18" s="142" customFormat="1" x14ac:dyDescent="0.15">
      <c r="A156" s="118"/>
      <c r="B156" s="72" t="s">
        <v>165</v>
      </c>
      <c r="C156" s="72" t="s">
        <v>104</v>
      </c>
      <c r="D156" s="477">
        <f>'Offroad Data'!P271*SUMIFS('Emission Factors'!$G$60:$G$100,'Emission Factors'!$B$60:$B$100,'Off-road'!$B156,'Emission Factors'!$A$60:$A$100,'Off-road'!$C156)/grams_to_mton</f>
        <v>8.7886338236540418</v>
      </c>
      <c r="E156" s="477">
        <f>'Offroad Data'!Q271*SUMIFS('Emission Factors'!$G$60:$G$100,'Emission Factors'!$B$60:$B$100,'Off-road'!$B156,'Emission Factors'!$A$60:$A$100,'Off-road'!$C156)/grams_to_mton</f>
        <v>16.995687043069335</v>
      </c>
      <c r="F156" s="477">
        <f>'Offroad Data'!R271*SUMIFS('Emission Factors'!$G$60:$G$100,'Emission Factors'!$B$60:$B$100,'Off-road'!$B156,'Emission Factors'!$A$60:$A$100,'Off-road'!$C156)/grams_to_mton</f>
        <v>25.78432086672338</v>
      </c>
      <c r="G156" s="477">
        <f>'Offroad Data'!S271*SUMIFS('Emission Factors'!$G$60:$G$100,'Emission Factors'!$B$60:$B$100,'Off-road'!$B156,'Emission Factors'!$A$60:$A$100,'Off-road'!$C156)/grams_to_mton</f>
        <v>9.3517227331799848</v>
      </c>
      <c r="H156" s="477">
        <f>'Offroad Data'!T271*SUMIFS('Emission Factors'!$G$60:$G$100,'Emission Factors'!$B$60:$B$100,'Off-road'!$B156,'Emission Factors'!$A$60:$A$100,'Off-road'!$C156)/grams_to_mton</f>
        <v>2.584464754089939</v>
      </c>
      <c r="I156" s="477">
        <f>'Offroad Data'!U271*SUMIFS('Emission Factors'!$G$60:$G$100,'Emission Factors'!$B$60:$B$100,'Off-road'!$B156,'Emission Factors'!$A$60:$A$100,'Off-road'!$C156)/grams_to_mton</f>
        <v>0.22014690198450859</v>
      </c>
      <c r="J156" s="477">
        <f>'Offroad Data'!V271*SUMIFS('Emission Factors'!$G$60:$G$100,'Emission Factors'!$B$60:$B$100,'Off-road'!$B156,'Emission Factors'!$A$60:$A$100,'Off-road'!$C156)/grams_to_mton</f>
        <v>4.39992030569028</v>
      </c>
      <c r="K156" s="477">
        <f>'Offroad Data'!W271*SUMIFS('Emission Factors'!$G$60:$G$100,'Emission Factors'!$B$60:$B$100,'Off-road'!$B156,'Emission Factors'!$A$60:$A$100,'Off-road'!$C156)/grams_to_mton</f>
        <v>1.6224520716911761</v>
      </c>
      <c r="L156" s="477">
        <f>'Offroad Data'!X271*SUMIFS('Emission Factors'!$G$60:$G$100,'Emission Factors'!$B$60:$B$100,'Off-road'!$B156,'Emission Factors'!$A$60:$A$100,'Off-road'!$C156)/grams_to_mton</f>
        <v>2.1230608928125796</v>
      </c>
      <c r="M156" s="375">
        <f t="shared" si="17"/>
        <v>46.086088526171849</v>
      </c>
      <c r="N156" s="119"/>
      <c r="O156" s="302"/>
      <c r="P156" s="302"/>
      <c r="Q156" s="302"/>
      <c r="R156" s="302"/>
    </row>
    <row r="157" spans="1:18" s="142" customFormat="1" x14ac:dyDescent="0.15">
      <c r="A157" s="118"/>
      <c r="B157" s="72" t="s">
        <v>165</v>
      </c>
      <c r="C157" s="72" t="s">
        <v>156</v>
      </c>
      <c r="D157" s="477">
        <f>'Offroad Data'!P272*SUMIFS('Emission Factors'!$G$60:$G$100,'Emission Factors'!$B$60:$B$100,'Off-road'!$B157,'Emission Factors'!$A$60:$A$100,'Off-road'!$C157)/grams_to_mton</f>
        <v>0.71015913581997137</v>
      </c>
      <c r="E157" s="477">
        <f>'Offroad Data'!Q272*SUMIFS('Emission Factors'!$G$60:$G$100,'Emission Factors'!$B$60:$B$100,'Off-road'!$B157,'Emission Factors'!$A$60:$A$100,'Off-road'!$C157)/grams_to_mton</f>
        <v>1.3733240757725209</v>
      </c>
      <c r="F157" s="477">
        <f>'Offroad Data'!R272*SUMIFS('Emission Factors'!$G$60:$G$100,'Emission Factors'!$B$60:$B$100,'Off-road'!$B157,'Emission Factors'!$A$60:$A$100,'Off-road'!$C157)/grams_to_mton</f>
        <v>2.0834832115924922</v>
      </c>
      <c r="G157" s="477">
        <f>'Offroad Data'!S272*SUMIFS('Emission Factors'!$G$60:$G$100,'Emission Factors'!$B$60:$B$100,'Off-road'!$B157,'Emission Factors'!$A$60:$A$100,'Off-road'!$C157)/grams_to_mton</f>
        <v>0.5225001727063957</v>
      </c>
      <c r="H157" s="477">
        <f>'Offroad Data'!T272*SUMIFS('Emission Factors'!$G$60:$G$100,'Emission Factors'!$B$60:$B$100,'Off-road'!$B157,'Emission Factors'!$A$60:$A$100,'Off-road'!$C157)/grams_to_mton</f>
        <v>0.47862904142858581</v>
      </c>
      <c r="I157" s="477">
        <f>'Offroad Data'!U272*SUMIFS('Emission Factors'!$G$60:$G$100,'Emission Factors'!$B$60:$B$100,'Off-road'!$B157,'Emission Factors'!$A$60:$A$100,'Off-road'!$C157)/grams_to_mton</f>
        <v>0.11156738431754333</v>
      </c>
      <c r="J157" s="477">
        <f>'Offroad Data'!V272*SUMIFS('Emission Factors'!$G$60:$G$100,'Emission Factors'!$B$60:$B$100,'Off-road'!$B157,'Emission Factors'!$A$60:$A$100,'Off-road'!$C157)/grams_to_mton</f>
        <v>0.38591216684987251</v>
      </c>
      <c r="K157" s="477">
        <f>'Offroad Data'!W272*SUMIFS('Emission Factors'!$G$60:$G$100,'Emission Factors'!$B$60:$B$100,'Off-road'!$B157,'Emission Factors'!$A$60:$A$100,'Off-road'!$C157)/grams_to_mton</f>
        <v>0.2923981967572028</v>
      </c>
      <c r="L157" s="477">
        <f>'Offroad Data'!X272*SUMIFS('Emission Factors'!$G$60:$G$100,'Emission Factors'!$B$60:$B$100,'Off-road'!$B157,'Emission Factors'!$A$60:$A$100,'Off-road'!$C157)/grams_to_mton</f>
        <v>0.68548596588105237</v>
      </c>
      <c r="M157" s="375">
        <f t="shared" si="17"/>
        <v>4.5599761395331448</v>
      </c>
      <c r="N157" s="119"/>
      <c r="O157" s="302"/>
      <c r="P157" s="302"/>
      <c r="Q157" s="302"/>
      <c r="R157" s="302"/>
    </row>
    <row r="158" spans="1:18" s="142" customFormat="1" x14ac:dyDescent="0.15">
      <c r="A158" s="118"/>
      <c r="B158" s="72" t="s">
        <v>165</v>
      </c>
      <c r="C158" s="72" t="s">
        <v>157</v>
      </c>
      <c r="D158" s="477">
        <f>'Offroad Data'!P273*SUMIFS('Emission Factors'!$G$60:$G$100,'Emission Factors'!$B$60:$B$100,'Off-road'!$B158,'Emission Factors'!$A$60:$A$100,'Off-road'!$C158)/grams_to_mton</f>
        <v>2.0995167853693841</v>
      </c>
      <c r="E158" s="477">
        <f>'Offroad Data'!Q273*SUMIFS('Emission Factors'!$G$60:$G$100,'Emission Factors'!$B$60:$B$100,'Off-road'!$B158,'Emission Factors'!$A$60:$A$100,'Off-road'!$C158)/grams_to_mton</f>
        <v>4.0600997768016294</v>
      </c>
      <c r="F158" s="477">
        <f>'Offroad Data'!R273*SUMIFS('Emission Factors'!$G$60:$G$100,'Emission Factors'!$B$60:$B$100,'Off-road'!$B158,'Emission Factors'!$A$60:$A$100,'Off-road'!$C158)/grams_to_mton</f>
        <v>6.1596165621710135</v>
      </c>
      <c r="G158" s="477">
        <f>'Offroad Data'!S273*SUMIFS('Emission Factors'!$G$60:$G$100,'Emission Factors'!$B$60:$B$100,'Off-road'!$B158,'Emission Factors'!$A$60:$A$100,'Off-road'!$C158)/grams_to_mton</f>
        <v>1.5768141151835482</v>
      </c>
      <c r="H158" s="477">
        <f>'Offroad Data'!T273*SUMIFS('Emission Factors'!$G$60:$G$100,'Emission Factors'!$B$60:$B$100,'Off-road'!$B158,'Emission Factors'!$A$60:$A$100,'Off-road'!$C158)/grams_to_mton</f>
        <v>0.83913322658794975</v>
      </c>
      <c r="I158" s="477">
        <f>'Offroad Data'!U273*SUMIFS('Emission Factors'!$G$60:$G$100,'Emission Factors'!$B$60:$B$100,'Off-road'!$B158,'Emission Factors'!$A$60:$A$100,'Off-road'!$C158)/grams_to_mton</f>
        <v>4.8848623941266635E-2</v>
      </c>
      <c r="J158" s="477">
        <f>'Offroad Data'!V273*SUMIFS('Emission Factors'!$G$60:$G$100,'Emission Factors'!$B$60:$B$100,'Off-road'!$B158,'Emission Factors'!$A$60:$A$100,'Off-road'!$C158)/grams_to_mton</f>
        <v>1.1972591105451067</v>
      </c>
      <c r="K158" s="477">
        <f>'Offroad Data'!W273*SUMIFS('Emission Factors'!$G$60:$G$100,'Emission Factors'!$B$60:$B$100,'Off-road'!$B158,'Emission Factors'!$A$60:$A$100,'Off-road'!$C158)/grams_to_mton</f>
        <v>0.62362540585331994</v>
      </c>
      <c r="L158" s="477">
        <f>'Offroad Data'!X273*SUMIFS('Emission Factors'!$G$60:$G$100,'Emission Factors'!$B$60:$B$100,'Off-road'!$B158,'Emission Factors'!$A$60:$A$100,'Off-road'!$C158)/grams_to_mton</f>
        <v>0.57622241698648724</v>
      </c>
      <c r="M158" s="375">
        <f t="shared" si="17"/>
        <v>11.021519461268692</v>
      </c>
      <c r="N158" s="119"/>
      <c r="O158" s="302"/>
      <c r="P158" s="302"/>
      <c r="Q158" s="302"/>
      <c r="R158" s="302"/>
    </row>
    <row r="159" spans="1:18" s="142" customFormat="1" x14ac:dyDescent="0.15">
      <c r="A159" s="118"/>
      <c r="B159" s="72" t="s">
        <v>165</v>
      </c>
      <c r="C159" s="72" t="s">
        <v>160</v>
      </c>
      <c r="D159" s="477">
        <f>'Offroad Data'!P274*SUMIFS('Emission Factors'!$G$60:$G$100,'Emission Factors'!$B$60:$B$100,'Off-road'!$B159,'Emission Factors'!$A$60:$A$100,'Off-road'!$C159)/grams_to_mton</f>
        <v>11.576087356218482</v>
      </c>
      <c r="E159" s="477">
        <f>'Offroad Data'!Q274*SUMIFS('Emission Factors'!$G$60:$G$100,'Emission Factors'!$B$60:$B$100,'Off-road'!$B159,'Emission Factors'!$A$60:$A$100,'Off-road'!$C159)/grams_to_mton</f>
        <v>36.623642568881358</v>
      </c>
      <c r="F159" s="477">
        <f>'Offroad Data'!R274*SUMIFS('Emission Factors'!$G$60:$G$100,'Emission Factors'!$B$60:$B$100,'Off-road'!$B159,'Emission Factors'!$A$60:$A$100,'Off-road'!$C159)/grams_to_mton</f>
        <v>48.199729925099845</v>
      </c>
      <c r="G159" s="477">
        <f>'Offroad Data'!S274*SUMIFS('Emission Factors'!$G$60:$G$100,'Emission Factors'!$B$60:$B$100,'Off-road'!$B159,'Emission Factors'!$A$60:$A$100,'Off-road'!$C159)/grams_to_mton</f>
        <v>21.729919882522911</v>
      </c>
      <c r="H159" s="477">
        <f>'Offroad Data'!T274*SUMIFS('Emission Factors'!$G$60:$G$100,'Emission Factors'!$B$60:$B$100,'Off-road'!$B159,'Emission Factors'!$A$60:$A$100,'Off-road'!$C159)/grams_to_mton</f>
        <v>11.189227770709952</v>
      </c>
      <c r="I159" s="477">
        <f>'Offroad Data'!U274*SUMIFS('Emission Factors'!$G$60:$G$100,'Emission Factors'!$B$60:$B$100,'Off-road'!$B159,'Emission Factors'!$A$60:$A$100,'Off-road'!$C159)/grams_to_mton</f>
        <v>1.0199811850409233</v>
      </c>
      <c r="J159" s="477">
        <f>'Offroad Data'!V274*SUMIFS('Emission Factors'!$G$60:$G$100,'Emission Factors'!$B$60:$B$100,'Off-road'!$B159,'Emission Factors'!$A$60:$A$100,'Off-road'!$C159)/grams_to_mton</f>
        <v>18.995269711595022</v>
      </c>
      <c r="K159" s="477">
        <f>'Offroad Data'!W274*SUMIFS('Emission Factors'!$G$60:$G$100,'Emission Factors'!$B$60:$B$100,'Off-road'!$B159,'Emission Factors'!$A$60:$A$100,'Off-road'!$C159)/grams_to_mton</f>
        <v>5.3089202121154084</v>
      </c>
      <c r="L159" s="477">
        <f>'Offroad Data'!X274*SUMIFS('Emission Factors'!$G$60:$G$100,'Emission Factors'!$B$60:$B$100,'Off-road'!$B159,'Emission Factors'!$A$60:$A$100,'Off-road'!$C159)/grams_to_mton</f>
        <v>8.8057075906306377</v>
      </c>
      <c r="M159" s="375">
        <f t="shared" si="17"/>
        <v>115.24875627771468</v>
      </c>
      <c r="N159" s="119"/>
      <c r="O159" s="302"/>
      <c r="P159" s="302"/>
      <c r="Q159" s="302"/>
      <c r="R159" s="302"/>
    </row>
    <row r="160" spans="1:18" s="142" customFormat="1" x14ac:dyDescent="0.15">
      <c r="A160" s="118"/>
      <c r="B160" s="72" t="s">
        <v>165</v>
      </c>
      <c r="C160" s="72" t="s">
        <v>161</v>
      </c>
      <c r="D160" s="477">
        <f>'Offroad Data'!P275*SUMIFS('Emission Factors'!$G$60:$G$100,'Emission Factors'!$B$60:$B$100,'Off-road'!$B160,'Emission Factors'!$A$60:$A$100,'Off-road'!$C160)/grams_to_mton</f>
        <v>0</v>
      </c>
      <c r="E160" s="477">
        <f>'Offroad Data'!Q275*SUMIFS('Emission Factors'!$G$60:$G$100,'Emission Factors'!$B$60:$B$100,'Off-road'!$B160,'Emission Factors'!$A$60:$A$100,'Off-road'!$C160)/grams_to_mton</f>
        <v>6.3272743565388418E-3</v>
      </c>
      <c r="F160" s="477">
        <f>'Offroad Data'!R275*SUMIFS('Emission Factors'!$G$60:$G$100,'Emission Factors'!$B$60:$B$100,'Off-road'!$B160,'Emission Factors'!$A$60:$A$100,'Off-road'!$C160)/grams_to_mton</f>
        <v>6.3272743565388418E-3</v>
      </c>
      <c r="G160" s="477">
        <f>'Offroad Data'!S275*SUMIFS('Emission Factors'!$G$60:$G$100,'Emission Factors'!$B$60:$B$100,'Off-road'!$B160,'Emission Factors'!$A$60:$A$100,'Off-road'!$C160)/grams_to_mton</f>
        <v>1.0265419762164969E-3</v>
      </c>
      <c r="H160" s="477">
        <f>'Offroad Data'!T275*SUMIFS('Emission Factors'!$G$60:$G$100,'Emission Factors'!$B$60:$B$100,'Off-road'!$B160,'Emission Factors'!$A$60:$A$100,'Off-road'!$C160)/grams_to_mton</f>
        <v>1.5558686509610916E-3</v>
      </c>
      <c r="I160" s="477">
        <f>'Offroad Data'!U275*SUMIFS('Emission Factors'!$G$60:$G$100,'Emission Factors'!$B$60:$B$100,'Off-road'!$B160,'Emission Factors'!$A$60:$A$100,'Off-road'!$C160)/grams_to_mton</f>
        <v>2.7319576462141821E-3</v>
      </c>
      <c r="J160" s="477">
        <f>'Offroad Data'!V275*SUMIFS('Emission Factors'!$G$60:$G$100,'Emission Factors'!$B$60:$B$100,'Off-road'!$B160,'Emission Factors'!$A$60:$A$100,'Off-road'!$C160)/grams_to_mton</f>
        <v>3.7734109564655643E-3</v>
      </c>
      <c r="K160" s="477">
        <f>'Offroad Data'!W275*SUMIFS('Emission Factors'!$G$60:$G$100,'Emission Factors'!$B$60:$B$100,'Off-road'!$B160,'Emission Factors'!$A$60:$A$100,'Off-road'!$C160)/grams_to_mton</f>
        <v>9.0469295212419407E-3</v>
      </c>
      <c r="L160" s="477">
        <f>'Offroad Data'!X275*SUMIFS('Emission Factors'!$G$60:$G$100,'Emission Factors'!$B$60:$B$100,'Off-road'!$B160,'Emission Factors'!$A$60:$A$100,'Off-road'!$C160)/grams_to_mton</f>
        <v>9.4794412290943823E-3</v>
      </c>
      <c r="M160" s="375">
        <f t="shared" si="17"/>
        <v>3.3941424336732501E-2</v>
      </c>
      <c r="N160" s="119"/>
      <c r="O160" s="302"/>
      <c r="P160" s="302"/>
      <c r="Q160" s="302"/>
      <c r="R160" s="302"/>
    </row>
    <row r="161" spans="1:18" s="142" customFormat="1" x14ac:dyDescent="0.15">
      <c r="A161" s="118"/>
      <c r="B161" s="72" t="s">
        <v>165</v>
      </c>
      <c r="C161" s="72" t="s">
        <v>158</v>
      </c>
      <c r="D161" s="477">
        <f>'Offroad Data'!P276*SUMIFS('Emission Factors'!$G$60:$G$100,'Emission Factors'!$B$60:$B$100,'Off-road'!$B161,'Emission Factors'!$A$60:$A$100,'Off-road'!$C161)/grams_to_mton</f>
        <v>1.8258595488387767E-2</v>
      </c>
      <c r="E161" s="477">
        <f>'Offroad Data'!Q276*SUMIFS('Emission Factors'!$G$60:$G$100,'Emission Factors'!$B$60:$B$100,'Off-road'!$B161,'Emission Factors'!$A$60:$A$100,'Off-road'!$C161)/grams_to_mton</f>
        <v>3.5308943459612233E-2</v>
      </c>
      <c r="F161" s="477">
        <f>'Offroad Data'!R276*SUMIFS('Emission Factors'!$G$60:$G$100,'Emission Factors'!$B$60:$B$100,'Off-road'!$B161,'Emission Factors'!$A$60:$A$100,'Off-road'!$C161)/grams_to_mton</f>
        <v>5.3567538948000003E-2</v>
      </c>
      <c r="G161" s="477">
        <f>'Offroad Data'!S276*SUMIFS('Emission Factors'!$G$60:$G$100,'Emission Factors'!$B$60:$B$100,'Off-road'!$B161,'Emission Factors'!$A$60:$A$100,'Off-road'!$C161)/grams_to_mton</f>
        <v>4.3746866856000002E-2</v>
      </c>
      <c r="H161" s="477">
        <f>'Offroad Data'!T276*SUMIFS('Emission Factors'!$G$60:$G$100,'Emission Factors'!$B$60:$B$100,'Off-road'!$B161,'Emission Factors'!$A$60:$A$100,'Off-road'!$C161)/grams_to_mton</f>
        <v>5.3567539036171877E-3</v>
      </c>
      <c r="I161" s="477">
        <f>'Offroad Data'!U276*SUMIFS('Emission Factors'!$G$60:$G$100,'Emission Factors'!$B$60:$B$100,'Off-road'!$B161,'Emission Factors'!$A$60:$A$100,'Off-road'!$C161)/grams_to_mton</f>
        <v>0</v>
      </c>
      <c r="J161" s="477">
        <f>'Offroad Data'!V276*SUMIFS('Emission Factors'!$G$60:$G$100,'Emission Factors'!$B$60:$B$100,'Off-road'!$B161,'Emission Factors'!$A$60:$A$100,'Off-road'!$C161)/grams_to_mton</f>
        <v>3.481891973999994E-2</v>
      </c>
      <c r="K161" s="477">
        <f>'Offroad Data'!W276*SUMIFS('Emission Factors'!$G$60:$G$100,'Emission Factors'!$B$60:$B$100,'Off-road'!$B161,'Emission Factors'!$A$60:$A$100,'Off-road'!$C161)/grams_to_mton</f>
        <v>0</v>
      </c>
      <c r="L161" s="477">
        <f>'Offroad Data'!X276*SUMIFS('Emission Factors'!$G$60:$G$100,'Emission Factors'!$B$60:$B$100,'Off-road'!$B161,'Emission Factors'!$A$60:$A$100,'Off-road'!$C161)/grams_to_mton</f>
        <v>5.3567538948000003E-2</v>
      </c>
      <c r="M161" s="375">
        <f t="shared" si="17"/>
        <v>0.19105761839561713</v>
      </c>
      <c r="N161" s="119"/>
      <c r="O161" s="302"/>
      <c r="P161" s="302"/>
      <c r="Q161" s="302"/>
      <c r="R161" s="302"/>
    </row>
    <row r="162" spans="1:18" s="142" customFormat="1" x14ac:dyDescent="0.15">
      <c r="A162" s="118"/>
      <c r="B162" s="72" t="s">
        <v>165</v>
      </c>
      <c r="C162" s="72" t="s">
        <v>162</v>
      </c>
      <c r="D162" s="477">
        <f>'Offroad Data'!P277*SUMIFS('Emission Factors'!$G$60:$G$100,'Emission Factors'!$B$60:$B$100,'Off-road'!$B162,'Emission Factors'!$A$60:$A$100,'Off-road'!$C162)/grams_to_mton</f>
        <v>1.3626924691963575E-2</v>
      </c>
      <c r="E162" s="477">
        <f>'Offroad Data'!Q277*SUMIFS('Emission Factors'!$G$60:$G$100,'Emission Factors'!$B$60:$B$100,'Off-road'!$B162,'Emission Factors'!$A$60:$A$100,'Off-road'!$C162)/grams_to_mton</f>
        <v>4.8540475827004784E-3</v>
      </c>
      <c r="F162" s="477">
        <f>'Offroad Data'!R277*SUMIFS('Emission Factors'!$G$60:$G$100,'Emission Factors'!$B$60:$B$100,'Off-road'!$B162,'Emission Factors'!$A$60:$A$100,'Off-road'!$C162)/grams_to_mton</f>
        <v>1.8480972274664054E-2</v>
      </c>
      <c r="G162" s="477">
        <f>'Offroad Data'!S277*SUMIFS('Emission Factors'!$G$60:$G$100,'Emission Factors'!$B$60:$B$100,'Off-road'!$B162,'Emission Factors'!$A$60:$A$100,'Off-road'!$C162)/grams_to_mton</f>
        <v>7.6434170118925429E-3</v>
      </c>
      <c r="H162" s="477">
        <f>'Offroad Data'!T277*SUMIFS('Emission Factors'!$G$60:$G$100,'Emission Factors'!$B$60:$B$100,'Off-road'!$B162,'Emission Factors'!$A$60:$A$100,'Off-road'!$C162)/grams_to_mton</f>
        <v>3.3257996623564409E-3</v>
      </c>
      <c r="I162" s="477">
        <f>'Offroad Data'!U277*SUMIFS('Emission Factors'!$G$60:$G$100,'Emission Factors'!$B$60:$B$100,'Off-road'!$B162,'Emission Factors'!$A$60:$A$100,'Off-road'!$C162)/grams_to_mton</f>
        <v>5.3236894047912554E-4</v>
      </c>
      <c r="J162" s="477">
        <f>'Offroad Data'!V277*SUMIFS('Emission Factors'!$G$60:$G$100,'Emission Factors'!$B$60:$B$100,'Off-road'!$B162,'Emission Factors'!$A$60:$A$100,'Off-road'!$C162)/grams_to_mton</f>
        <v>2.4690525863994106E-3</v>
      </c>
      <c r="K162" s="477">
        <f>'Offroad Data'!W277*SUMIFS('Emission Factors'!$G$60:$G$100,'Emission Factors'!$B$60:$B$100,'Off-road'!$B162,'Emission Factors'!$A$60:$A$100,'Off-road'!$C162)/grams_to_mton</f>
        <v>4.8203469006811474E-4</v>
      </c>
      <c r="L162" s="477">
        <f>'Offroad Data'!X277*SUMIFS('Emission Factors'!$G$60:$G$100,'Emission Factors'!$B$60:$B$100,'Off-road'!$B162,'Emission Factors'!$A$60:$A$100,'Off-road'!$C162)/grams_to_mton</f>
        <v>4.0846144803574199E-3</v>
      </c>
      <c r="M162" s="375">
        <f t="shared" si="17"/>
        <v>3.7018259646217105E-2</v>
      </c>
      <c r="N162" s="119"/>
      <c r="O162" s="302"/>
      <c r="P162" s="302"/>
      <c r="Q162" s="302"/>
      <c r="R162" s="302"/>
    </row>
    <row r="163" spans="1:18" s="142" customFormat="1" ht="15" thickBot="1" x14ac:dyDescent="0.2">
      <c r="A163" s="118"/>
      <c r="B163" s="72" t="s">
        <v>165</v>
      </c>
      <c r="C163" s="72" t="s">
        <v>163</v>
      </c>
      <c r="D163" s="477">
        <f>'Offroad Data'!P278*SUMIFS('Emission Factors'!$G$60:$G$100,'Emission Factors'!$B$60:$B$100,'Off-road'!$B163,'Emission Factors'!$A$60:$A$100,'Off-road'!$C163)/grams_to_mton</f>
        <v>1.6627126849364986</v>
      </c>
      <c r="E163" s="477">
        <f>'Offroad Data'!Q278*SUMIFS('Emission Factors'!$G$60:$G$100,'Emission Factors'!$B$60:$B$100,'Off-road'!$B163,'Emission Factors'!$A$60:$A$100,'Off-road'!$C163)/grams_to_mton</f>
        <v>1.5309148526894902</v>
      </c>
      <c r="F163" s="477">
        <f>'Offroad Data'!R278*SUMIFS('Emission Factors'!$G$60:$G$100,'Emission Factors'!$B$60:$B$100,'Off-road'!$B163,'Emission Factors'!$A$60:$A$100,'Off-road'!$C163)/grams_to_mton</f>
        <v>3.1936275376259884</v>
      </c>
      <c r="G163" s="477">
        <f>'Offroad Data'!S278*SUMIFS('Emission Factors'!$G$60:$G$100,'Emission Factors'!$B$60:$B$100,'Off-road'!$B163,'Emission Factors'!$A$60:$A$100,'Off-road'!$C163)/grams_to_mton</f>
        <v>0.78920819356836425</v>
      </c>
      <c r="H163" s="477">
        <f>'Offroad Data'!T278*SUMIFS('Emission Factors'!$G$60:$G$100,'Emission Factors'!$B$60:$B$100,'Off-road'!$B163,'Emission Factors'!$A$60:$A$100,'Off-road'!$C163)/grams_to_mton</f>
        <v>0.41340603649283875</v>
      </c>
      <c r="I163" s="477">
        <f>'Offroad Data'!U278*SUMIFS('Emission Factors'!$G$60:$G$100,'Emission Factors'!$B$60:$B$100,'Off-road'!$B163,'Emission Factors'!$A$60:$A$100,'Off-road'!$C163)/grams_to_mton</f>
        <v>0.33796755407763213</v>
      </c>
      <c r="J163" s="477">
        <f>'Offroad Data'!V278*SUMIFS('Emission Factors'!$G$60:$G$100,'Emission Factors'!$B$60:$B$100,'Off-road'!$B163,'Emission Factors'!$A$60:$A$100,'Off-road'!$C163)/grams_to_mton</f>
        <v>1.5591524799106866</v>
      </c>
      <c r="K163" s="477">
        <f>'Offroad Data'!W278*SUMIFS('Emission Factors'!$G$60:$G$100,'Emission Factors'!$B$60:$B$100,'Off-road'!$B163,'Emission Factors'!$A$60:$A$100,'Off-road'!$C163)/grams_to_mton</f>
        <v>0.60130716065513956</v>
      </c>
      <c r="L163" s="477">
        <f>'Offroad Data'!X278*SUMIFS('Emission Factors'!$G$60:$G$100,'Emission Factors'!$B$60:$B$100,'Off-road'!$B163,'Emission Factors'!$A$60:$A$100,'Off-road'!$C163)/grams_to_mton</f>
        <v>0.73268791087202545</v>
      </c>
      <c r="M163" s="375">
        <f t="shared" si="17"/>
        <v>7.6273568732026753</v>
      </c>
      <c r="N163" s="119"/>
      <c r="O163" s="302"/>
      <c r="P163" s="302"/>
      <c r="Q163" s="302"/>
      <c r="R163" s="302"/>
    </row>
    <row r="164" spans="1:18" s="142" customFormat="1" x14ac:dyDescent="0.15">
      <c r="A164" s="118"/>
      <c r="B164" s="175" t="s">
        <v>88</v>
      </c>
      <c r="C164" s="175"/>
      <c r="D164" s="360">
        <f t="shared" ref="D164:L164" si="18">SUM(D132:D163)</f>
        <v>55.379122041381642</v>
      </c>
      <c r="E164" s="360">
        <f t="shared" si="18"/>
        <v>114.54141492917287</v>
      </c>
      <c r="F164" s="360">
        <f t="shared" si="18"/>
        <v>169.92053697055451</v>
      </c>
      <c r="G164" s="360">
        <f t="shared" si="18"/>
        <v>56.304728443378444</v>
      </c>
      <c r="H164" s="360">
        <f t="shared" si="18"/>
        <v>33.274242059277078</v>
      </c>
      <c r="I164" s="360">
        <f t="shared" si="18"/>
        <v>6.9355895373128682</v>
      </c>
      <c r="J164" s="360">
        <f t="shared" si="18"/>
        <v>42.927788490771903</v>
      </c>
      <c r="K164" s="360">
        <f t="shared" si="18"/>
        <v>20.687032304185593</v>
      </c>
      <c r="L164" s="360">
        <f t="shared" si="18"/>
        <v>35.71966664017625</v>
      </c>
      <c r="M164" s="377">
        <f>SUM(F164:L164)</f>
        <v>365.76958444565662</v>
      </c>
      <c r="N164" s="119"/>
      <c r="O164" s="302"/>
      <c r="P164" s="302"/>
      <c r="Q164" s="302"/>
      <c r="R164" s="302"/>
    </row>
    <row r="165" spans="1:18" outlineLevel="1" x14ac:dyDescent="0.15">
      <c r="A165" s="66"/>
      <c r="B165" s="82"/>
      <c r="C165" s="182"/>
      <c r="D165" s="182"/>
      <c r="E165" s="182"/>
      <c r="F165" s="182"/>
      <c r="G165" s="182"/>
      <c r="H165" s="182"/>
      <c r="I165" s="182"/>
      <c r="J165" s="182"/>
      <c r="K165" s="182"/>
      <c r="L165" s="66"/>
      <c r="M165" s="110"/>
      <c r="N165" s="66"/>
      <c r="O165" s="302"/>
      <c r="P165" s="302"/>
      <c r="Q165" s="302"/>
      <c r="R165" s="302"/>
    </row>
    <row r="166" spans="1:18" ht="15" thickBot="1" x14ac:dyDescent="0.2">
      <c r="B166" s="82" t="s">
        <v>167</v>
      </c>
      <c r="M166" s="110"/>
      <c r="N166" s="66"/>
      <c r="O166" s="302"/>
      <c r="P166" s="302"/>
      <c r="Q166" s="302"/>
      <c r="R166" s="302"/>
    </row>
    <row r="167" spans="1:18" s="133" customFormat="1" x14ac:dyDescent="0.15">
      <c r="B167" s="662" t="s">
        <v>76</v>
      </c>
      <c r="C167" s="665" t="s">
        <v>80</v>
      </c>
      <c r="D167" s="668" t="s">
        <v>77</v>
      </c>
      <c r="E167" s="678" t="s">
        <v>128</v>
      </c>
      <c r="F167" s="678"/>
      <c r="G167" s="679"/>
      <c r="H167" s="677" t="s">
        <v>129</v>
      </c>
      <c r="I167" s="678"/>
      <c r="J167" s="678"/>
      <c r="K167" s="679"/>
      <c r="L167" s="66"/>
      <c r="M167" s="381"/>
      <c r="O167" s="302"/>
      <c r="P167" s="302"/>
      <c r="Q167" s="302"/>
      <c r="R167" s="302"/>
    </row>
    <row r="168" spans="1:18" s="133" customFormat="1" ht="15" customHeight="1" thickBot="1" x14ac:dyDescent="0.2">
      <c r="B168" s="708"/>
      <c r="C168" s="709"/>
      <c r="D168" s="710"/>
      <c r="E168" s="345" t="s">
        <v>94</v>
      </c>
      <c r="F168" s="343" t="s">
        <v>95</v>
      </c>
      <c r="G168" s="344" t="s">
        <v>96</v>
      </c>
      <c r="H168" s="342" t="s">
        <v>94</v>
      </c>
      <c r="I168" s="343" t="s">
        <v>95</v>
      </c>
      <c r="J168" s="343" t="s">
        <v>96</v>
      </c>
      <c r="K168" s="344" t="s">
        <v>130</v>
      </c>
      <c r="L168" s="66"/>
      <c r="M168" s="381"/>
      <c r="O168" s="302"/>
      <c r="P168" s="302"/>
      <c r="Q168" s="302"/>
      <c r="R168" s="302"/>
    </row>
    <row r="169" spans="1:18" ht="14.75" customHeight="1" x14ac:dyDescent="0.15">
      <c r="B169" s="335">
        <v>2015</v>
      </c>
      <c r="C169" s="336">
        <v>1</v>
      </c>
      <c r="D169" s="349" t="s">
        <v>59</v>
      </c>
      <c r="E169" s="346">
        <f>'Offroad Data'!D5/'Constants &amp; Conversions'!$D$32</f>
        <v>1476972.4503369404</v>
      </c>
      <c r="F169" s="337">
        <f>F128</f>
        <v>690.39634745990497</v>
      </c>
      <c r="G169" s="338">
        <f>F164</f>
        <v>169.92053697055451</v>
      </c>
      <c r="H169" s="339">
        <f t="shared" ref="H169:H177" si="19">E169*CO2_GWP</f>
        <v>1476972.4503369404</v>
      </c>
      <c r="I169" s="339">
        <f t="shared" ref="I169:I177" si="20">F169*CH4_GWP</f>
        <v>19331.097728877339</v>
      </c>
      <c r="J169" s="340">
        <f t="shared" ref="J169:J177" si="21">G169*N2O_GWP</f>
        <v>45028.942297196947</v>
      </c>
      <c r="K169" s="341">
        <f>SUM(H169:J169)</f>
        <v>1541332.4903630146</v>
      </c>
      <c r="L169" s="66"/>
      <c r="O169" s="302">
        <f t="shared" ref="O169:O177" si="22">H169/mton_per_mmton</f>
        <v>1.4769724503369404</v>
      </c>
      <c r="P169" s="302">
        <f t="shared" ref="P169" si="23">I169/mton_per_mmton</f>
        <v>1.9331097728877339E-2</v>
      </c>
      <c r="Q169" s="302">
        <f t="shared" ref="Q169:Q177" si="24">J169/mton_per_mmton</f>
        <v>4.502894229719695E-2</v>
      </c>
      <c r="R169" s="302"/>
    </row>
    <row r="170" spans="1:18" ht="14.75" customHeight="1" x14ac:dyDescent="0.15">
      <c r="B170" s="305">
        <v>2015</v>
      </c>
      <c r="C170" s="306">
        <v>1</v>
      </c>
      <c r="D170" s="350" t="s">
        <v>58</v>
      </c>
      <c r="E170" s="346">
        <f>'Offroad Data'!D6/'Constants &amp; Conversions'!$D$32</f>
        <v>495908.89608921588</v>
      </c>
      <c r="F170" s="308">
        <f>D128</f>
        <v>210.87118230488173</v>
      </c>
      <c r="G170" s="309">
        <f>D164</f>
        <v>55.379122041381642</v>
      </c>
      <c r="H170" s="310">
        <f t="shared" si="19"/>
        <v>495908.89608921588</v>
      </c>
      <c r="I170" s="310">
        <f t="shared" si="20"/>
        <v>5904.393104536688</v>
      </c>
      <c r="J170" s="311">
        <f t="shared" si="21"/>
        <v>14675.467340966135</v>
      </c>
      <c r="K170" s="312">
        <f>SUM(H170:J170)</f>
        <v>516488.75653471873</v>
      </c>
      <c r="L170" s="66"/>
      <c r="O170" s="302">
        <f t="shared" si="22"/>
        <v>0.4959088960892159</v>
      </c>
      <c r="P170" s="302">
        <f t="shared" ref="P170:P177" si="25">I170/mton_per_mmton</f>
        <v>5.9043931045366883E-3</v>
      </c>
      <c r="Q170" s="302">
        <f t="shared" si="24"/>
        <v>1.4675467340966135E-2</v>
      </c>
      <c r="R170" s="302"/>
    </row>
    <row r="171" spans="1:18" ht="14.75" customHeight="1" x14ac:dyDescent="0.15">
      <c r="B171" s="305">
        <v>2015</v>
      </c>
      <c r="C171" s="306">
        <v>1</v>
      </c>
      <c r="D171" s="351" t="s">
        <v>131</v>
      </c>
      <c r="E171" s="346">
        <f>'Offroad Data'!D7/'Constants &amp; Conversions'!$D$32</f>
        <v>981063.55424772436</v>
      </c>
      <c r="F171" s="308">
        <f>E128</f>
        <v>479.52516515502327</v>
      </c>
      <c r="G171" s="309">
        <f>E164</f>
        <v>114.54141492917287</v>
      </c>
      <c r="H171" s="310">
        <f t="shared" si="19"/>
        <v>981063.55424772436</v>
      </c>
      <c r="I171" s="310">
        <f t="shared" si="20"/>
        <v>13426.704624340651</v>
      </c>
      <c r="J171" s="311">
        <f t="shared" si="21"/>
        <v>30353.47495623081</v>
      </c>
      <c r="K171" s="312">
        <f t="shared" ref="K171:K178" si="26">SUM(H171:J171)</f>
        <v>1024843.7338282958</v>
      </c>
      <c r="L171" s="66"/>
      <c r="O171" s="302">
        <f t="shared" si="22"/>
        <v>0.9810635542477244</v>
      </c>
      <c r="P171" s="302">
        <f t="shared" si="25"/>
        <v>1.3426704624340651E-2</v>
      </c>
      <c r="Q171" s="302">
        <f t="shared" si="24"/>
        <v>3.0353474956230808E-2</v>
      </c>
      <c r="R171" s="302"/>
    </row>
    <row r="172" spans="1:18" ht="14.75" customHeight="1" x14ac:dyDescent="0.15">
      <c r="B172" s="305">
        <v>2015</v>
      </c>
      <c r="C172" s="306">
        <v>1</v>
      </c>
      <c r="D172" s="352" t="s">
        <v>60</v>
      </c>
      <c r="E172" s="346">
        <f>'Offroad Data'!D8/'Constants &amp; Conversions'!$D$32</f>
        <v>457887.76678527059</v>
      </c>
      <c r="F172" s="308">
        <f>G128</f>
        <v>249.46332714839997</v>
      </c>
      <c r="G172" s="309">
        <f>G164</f>
        <v>56.304728443378444</v>
      </c>
      <c r="H172" s="310">
        <f>E172*CO2_GWP</f>
        <v>457887.76678527059</v>
      </c>
      <c r="I172" s="310">
        <f t="shared" si="20"/>
        <v>6984.9731601551994</v>
      </c>
      <c r="J172" s="311">
        <f t="shared" si="21"/>
        <v>14920.753037495288</v>
      </c>
      <c r="K172" s="315">
        <f t="shared" si="26"/>
        <v>479793.49298292107</v>
      </c>
      <c r="L172" s="66"/>
      <c r="O172" s="302">
        <f t="shared" si="22"/>
        <v>0.4578877667852706</v>
      </c>
      <c r="P172" s="302">
        <f t="shared" si="25"/>
        <v>6.9849731601551992E-3</v>
      </c>
      <c r="Q172" s="302">
        <f>J172/mton_per_mmton</f>
        <v>1.4920753037495288E-2</v>
      </c>
      <c r="R172" s="302"/>
    </row>
    <row r="173" spans="1:18" ht="14.75" customHeight="1" x14ac:dyDescent="0.15">
      <c r="B173" s="305">
        <v>2015</v>
      </c>
      <c r="C173" s="306">
        <v>1</v>
      </c>
      <c r="D173" s="352" t="s">
        <v>62</v>
      </c>
      <c r="E173" s="346">
        <f>'Offroad Data'!D9/'Constants &amp; Conversions'!$D$32</f>
        <v>296529.42366847454</v>
      </c>
      <c r="F173" s="308">
        <f>H128</f>
        <v>114.69590601977715</v>
      </c>
      <c r="G173" s="309">
        <f>H164</f>
        <v>33.274242059277078</v>
      </c>
      <c r="H173" s="310">
        <f t="shared" si="19"/>
        <v>296529.42366847454</v>
      </c>
      <c r="I173" s="310">
        <f t="shared" si="20"/>
        <v>3211.4853685537605</v>
      </c>
      <c r="J173" s="311">
        <f t="shared" si="21"/>
        <v>8817.6741457084263</v>
      </c>
      <c r="K173" s="315">
        <f t="shared" si="26"/>
        <v>308558.58318273677</v>
      </c>
      <c r="L173" s="66"/>
      <c r="O173" s="302">
        <f t="shared" si="22"/>
        <v>0.29652942366847457</v>
      </c>
      <c r="P173" s="302">
        <f t="shared" si="25"/>
        <v>3.2114853685537605E-3</v>
      </c>
      <c r="Q173" s="302">
        <f t="shared" si="24"/>
        <v>8.8176741457084255E-3</v>
      </c>
      <c r="R173" s="302"/>
    </row>
    <row r="174" spans="1:18" ht="14.75" customHeight="1" x14ac:dyDescent="0.15">
      <c r="B174" s="305">
        <v>2015</v>
      </c>
      <c r="C174" s="306">
        <v>1</v>
      </c>
      <c r="D174" s="352" t="s">
        <v>61</v>
      </c>
      <c r="E174" s="346">
        <f>'Offroad Data'!D10/'Constants &amp; Conversions'!$D$32</f>
        <v>75163.88765496845</v>
      </c>
      <c r="F174" s="308">
        <f>I128</f>
        <v>21.07535287142046</v>
      </c>
      <c r="G174" s="309">
        <f>I164</f>
        <v>6.9355895373128682</v>
      </c>
      <c r="H174" s="310">
        <f t="shared" si="19"/>
        <v>75163.88765496845</v>
      </c>
      <c r="I174" s="310">
        <f t="shared" si="20"/>
        <v>590.10988039977292</v>
      </c>
      <c r="J174" s="311">
        <f t="shared" si="21"/>
        <v>1837.93122738791</v>
      </c>
      <c r="K174" s="315">
        <f t="shared" si="26"/>
        <v>77591.928762756128</v>
      </c>
      <c r="L174" s="66"/>
      <c r="O174" s="302">
        <f t="shared" si="22"/>
        <v>7.5163887654968453E-2</v>
      </c>
      <c r="P174" s="302">
        <f t="shared" si="25"/>
        <v>5.9010988039977295E-4</v>
      </c>
      <c r="Q174" s="302">
        <f t="shared" si="24"/>
        <v>1.83793122738791E-3</v>
      </c>
      <c r="R174" s="302"/>
    </row>
    <row r="175" spans="1:18" ht="14.75" customHeight="1" x14ac:dyDescent="0.15">
      <c r="B175" s="305">
        <v>2015</v>
      </c>
      <c r="C175" s="306">
        <v>1</v>
      </c>
      <c r="D175" s="352" t="s">
        <v>63</v>
      </c>
      <c r="E175" s="346">
        <f>'Offroad Data'!D11/'Constants &amp; Conversions'!$D$32</f>
        <v>345036.69689712446</v>
      </c>
      <c r="F175" s="308">
        <f>J128</f>
        <v>188.28227210044886</v>
      </c>
      <c r="G175" s="309">
        <f>J164</f>
        <v>42.927788490771903</v>
      </c>
      <c r="H175" s="310">
        <f t="shared" si="19"/>
        <v>345036.69689712446</v>
      </c>
      <c r="I175" s="310">
        <f t="shared" si="20"/>
        <v>5271.9036188125683</v>
      </c>
      <c r="J175" s="311">
        <f t="shared" si="21"/>
        <v>11375.863950054554</v>
      </c>
      <c r="K175" s="315">
        <f t="shared" si="26"/>
        <v>361684.46446599159</v>
      </c>
      <c r="L175" s="66"/>
      <c r="O175" s="302">
        <f t="shared" si="22"/>
        <v>0.34503669689712446</v>
      </c>
      <c r="P175" s="302">
        <f t="shared" si="25"/>
        <v>5.2719036188125686E-3</v>
      </c>
      <c r="Q175" s="302">
        <f t="shared" si="24"/>
        <v>1.1375863950054554E-2</v>
      </c>
      <c r="R175" s="302"/>
    </row>
    <row r="176" spans="1:18" ht="14.75" customHeight="1" x14ac:dyDescent="0.15">
      <c r="B176" s="305">
        <v>2015</v>
      </c>
      <c r="C176" s="306">
        <v>1</v>
      </c>
      <c r="D176" s="352" t="s">
        <v>64</v>
      </c>
      <c r="E176" s="346">
        <f>'Offroad Data'!D12/'Constants &amp; Conversions'!$D$32</f>
        <v>189996.97316604547</v>
      </c>
      <c r="F176" s="308">
        <f>K128</f>
        <v>67.050638521742741</v>
      </c>
      <c r="G176" s="309">
        <f>K164</f>
        <v>20.687032304185593</v>
      </c>
      <c r="H176" s="310">
        <f t="shared" si="19"/>
        <v>189996.97316604547</v>
      </c>
      <c r="I176" s="310">
        <f t="shared" si="20"/>
        <v>1877.4178786087969</v>
      </c>
      <c r="J176" s="311">
        <f>G176*N2O_GWP</f>
        <v>5482.0635606091819</v>
      </c>
      <c r="K176" s="315">
        <f t="shared" si="26"/>
        <v>197356.45460526345</v>
      </c>
      <c r="L176" s="66"/>
      <c r="O176" s="302">
        <f t="shared" si="22"/>
        <v>0.18999697316604547</v>
      </c>
      <c r="P176" s="302">
        <f t="shared" si="25"/>
        <v>1.8774178786087968E-3</v>
      </c>
      <c r="Q176" s="302">
        <f t="shared" si="24"/>
        <v>5.482063560609182E-3</v>
      </c>
      <c r="R176" s="302"/>
    </row>
    <row r="177" spans="1:18" ht="14.75" customHeight="1" thickBot="1" x14ac:dyDescent="0.2">
      <c r="B177" s="305">
        <v>2015</v>
      </c>
      <c r="C177" s="306">
        <v>1</v>
      </c>
      <c r="D177" s="352" t="s">
        <v>65</v>
      </c>
      <c r="E177" s="346">
        <f>'Offroad Data'!D13/'Constants &amp; Conversions'!$D$32</f>
        <v>338202.36297808052</v>
      </c>
      <c r="F177" s="308">
        <f>L128</f>
        <v>98.43331116844152</v>
      </c>
      <c r="G177" s="309">
        <f>L164</f>
        <v>35.71966664017625</v>
      </c>
      <c r="H177" s="310">
        <f t="shared" si="19"/>
        <v>338202.36297808052</v>
      </c>
      <c r="I177" s="310">
        <f t="shared" si="20"/>
        <v>2756.1327127163627</v>
      </c>
      <c r="J177" s="311">
        <f t="shared" si="21"/>
        <v>9465.7116596467058</v>
      </c>
      <c r="K177" s="315">
        <f t="shared" si="26"/>
        <v>350424.20735044358</v>
      </c>
      <c r="L177" s="66"/>
      <c r="O177" s="302">
        <f t="shared" si="22"/>
        <v>0.33820236297808054</v>
      </c>
      <c r="P177" s="302">
        <f t="shared" si="25"/>
        <v>2.7561327127163626E-3</v>
      </c>
      <c r="Q177" s="302">
        <f t="shared" si="24"/>
        <v>9.4657116596467052E-3</v>
      </c>
      <c r="R177" s="302"/>
    </row>
    <row r="178" spans="1:18" s="19" customFormat="1" ht="16" thickBot="1" x14ac:dyDescent="0.2">
      <c r="B178" s="316">
        <v>2015</v>
      </c>
      <c r="C178" s="317">
        <v>1</v>
      </c>
      <c r="D178" s="55" t="s">
        <v>66</v>
      </c>
      <c r="E178" s="348">
        <f>SUM(E169,E172:E177)</f>
        <v>3179789.5614869045</v>
      </c>
      <c r="F178" s="319">
        <f t="shared" ref="F178:G178" si="27">SUM(F169,F172:F177)</f>
        <v>1429.3971552901355</v>
      </c>
      <c r="G178" s="319">
        <f t="shared" si="27"/>
        <v>365.76958444565662</v>
      </c>
      <c r="H178" s="319">
        <f>SUM(H169,H172:H177)</f>
        <v>3179789.5614869045</v>
      </c>
      <c r="I178" s="319">
        <f t="shared" ref="I178:J178" si="28">SUM(I169,I172:I177)</f>
        <v>40023.120348123797</v>
      </c>
      <c r="J178" s="320">
        <f t="shared" si="28"/>
        <v>96928.939878099016</v>
      </c>
      <c r="K178" s="321">
        <f t="shared" si="26"/>
        <v>3316741.6217131275</v>
      </c>
      <c r="L178" s="66"/>
      <c r="M178" s="383"/>
      <c r="O178" s="302"/>
      <c r="P178" s="302"/>
      <c r="Q178" s="302"/>
      <c r="R178" s="302"/>
    </row>
    <row r="179" spans="1:18" x14ac:dyDescent="0.15">
      <c r="A179" s="66"/>
      <c r="B179" s="82"/>
      <c r="C179" s="114"/>
      <c r="D179" s="114"/>
      <c r="E179" s="354"/>
      <c r="F179" s="353">
        <f>F178-M128</f>
        <v>0</v>
      </c>
      <c r="G179" s="353">
        <f>G178-M164</f>
        <v>0</v>
      </c>
      <c r="H179" s="114"/>
      <c r="I179" s="114"/>
      <c r="J179" s="114"/>
      <c r="K179" s="114"/>
      <c r="L179" s="66"/>
      <c r="M179" s="110"/>
      <c r="N179" s="66"/>
      <c r="O179" s="302"/>
      <c r="P179" s="302"/>
      <c r="Q179" s="302"/>
      <c r="R179" s="302"/>
    </row>
    <row r="180" spans="1:18" x14ac:dyDescent="0.15">
      <c r="E180" s="287">
        <f>E169-E170-E171</f>
        <v>0</v>
      </c>
      <c r="F180" s="287">
        <f t="shared" ref="F180:G180" si="29">F169-F170-F171</f>
        <v>0</v>
      </c>
      <c r="G180" s="287">
        <f t="shared" si="29"/>
        <v>0</v>
      </c>
      <c r="O180" s="302"/>
      <c r="P180" s="302"/>
      <c r="Q180" s="302"/>
      <c r="R180" s="302"/>
    </row>
    <row r="181" spans="1:18" ht="18" x14ac:dyDescent="0.2">
      <c r="A181" s="300"/>
      <c r="B181" s="301">
        <v>2010</v>
      </c>
      <c r="C181" s="29"/>
      <c r="D181" s="29"/>
      <c r="E181" s="29"/>
      <c r="F181" s="29"/>
      <c r="G181" s="29"/>
      <c r="H181" s="29"/>
      <c r="I181" s="29"/>
      <c r="J181" s="29"/>
      <c r="K181" s="29"/>
      <c r="L181" s="29"/>
      <c r="M181" s="378"/>
      <c r="O181" s="302"/>
      <c r="P181" s="302"/>
      <c r="Q181" s="302"/>
      <c r="R181" s="302"/>
    </row>
    <row r="182" spans="1:18" x14ac:dyDescent="0.15">
      <c r="A182" s="82"/>
      <c r="B182" s="82"/>
      <c r="C182" s="82"/>
      <c r="D182" s="138"/>
      <c r="E182" s="183"/>
      <c r="F182" s="183"/>
      <c r="G182" s="183"/>
      <c r="H182" s="183"/>
      <c r="I182" s="183"/>
      <c r="J182" s="183"/>
      <c r="K182" s="183"/>
      <c r="L182" s="183"/>
      <c r="M182" s="384"/>
      <c r="O182" s="302"/>
      <c r="P182" s="302"/>
      <c r="Q182" s="302"/>
      <c r="R182" s="302"/>
    </row>
    <row r="183" spans="1:18" x14ac:dyDescent="0.15">
      <c r="A183" s="66"/>
      <c r="B183" s="82" t="s">
        <v>138</v>
      </c>
      <c r="C183" s="118"/>
      <c r="D183" s="119"/>
      <c r="E183" s="119"/>
      <c r="F183" s="119"/>
      <c r="G183" s="66"/>
      <c r="H183" s="119"/>
      <c r="I183" s="119"/>
      <c r="J183" s="119"/>
      <c r="K183" s="119"/>
      <c r="L183" s="119"/>
      <c r="M183" s="379"/>
      <c r="N183" s="119"/>
      <c r="O183" s="302"/>
      <c r="P183" s="302"/>
      <c r="Q183" s="302"/>
      <c r="R183" s="302"/>
    </row>
    <row r="184" spans="1:18" x14ac:dyDescent="0.15">
      <c r="A184" s="82"/>
      <c r="B184" s="372" t="s">
        <v>152</v>
      </c>
      <c r="C184" s="372" t="s">
        <v>153</v>
      </c>
      <c r="D184" s="373" t="s">
        <v>58</v>
      </c>
      <c r="E184" s="373" t="s">
        <v>100</v>
      </c>
      <c r="F184" s="373" t="s">
        <v>59</v>
      </c>
      <c r="G184" s="373" t="s">
        <v>60</v>
      </c>
      <c r="H184" s="373" t="s">
        <v>62</v>
      </c>
      <c r="I184" s="373" t="s">
        <v>61</v>
      </c>
      <c r="J184" s="373" t="s">
        <v>63</v>
      </c>
      <c r="K184" s="373" t="s">
        <v>64</v>
      </c>
      <c r="L184" s="373" t="s">
        <v>65</v>
      </c>
      <c r="M184" s="380" t="s">
        <v>88</v>
      </c>
      <c r="N184" s="66"/>
      <c r="O184" s="302"/>
      <c r="P184" s="302"/>
      <c r="Q184" s="302"/>
      <c r="R184" s="302"/>
    </row>
    <row r="185" spans="1:18" x14ac:dyDescent="0.15">
      <c r="A185" s="82"/>
      <c r="B185" s="72" t="s">
        <v>154</v>
      </c>
      <c r="C185" s="72" t="s">
        <v>155</v>
      </c>
      <c r="D185" s="477">
        <f>'Offroad Data'!C466/'Constants &amp; Conversions'!$D$32</f>
        <v>0</v>
      </c>
      <c r="E185" s="477">
        <f>'Offroad Data'!D466/'Constants &amp; Conversions'!$D$32</f>
        <v>0.11911093994099688</v>
      </c>
      <c r="F185" s="477">
        <f>'Offroad Data'!E466/'Constants &amp; Conversions'!$D$32</f>
        <v>0.11911093994099688</v>
      </c>
      <c r="G185" s="477">
        <f>'Offroad Data'!F466/'Constants &amp; Conversions'!$D$32</f>
        <v>4.0000724478210639E-2</v>
      </c>
      <c r="H185" s="477">
        <f>'Offroad Data'!G466/'Constants &amp; Conversions'!$D$32</f>
        <v>1.4299283219233867</v>
      </c>
      <c r="I185" s="477">
        <f>'Offroad Data'!H466/'Constants &amp; Conversions'!$D$32</f>
        <v>1.2521171938558291</v>
      </c>
      <c r="J185" s="477">
        <f>'Offroad Data'!I466/'Constants &amp; Conversions'!$D$32</f>
        <v>0.23725095829207493</v>
      </c>
      <c r="K185" s="477">
        <f>'Offroad Data'!J466/'Constants &amp; Conversions'!$D$32</f>
        <v>1.6124334313081969</v>
      </c>
      <c r="L185" s="477">
        <f>'Offroad Data'!K466/'Constants &amp; Conversions'!$D$32</f>
        <v>1.9498494112314468</v>
      </c>
      <c r="M185" s="375">
        <f>SUM(F185:L185)</f>
        <v>6.6406909810301418</v>
      </c>
      <c r="N185" s="66"/>
      <c r="O185" s="302"/>
      <c r="P185" s="302"/>
      <c r="Q185" s="302"/>
      <c r="R185" s="302"/>
    </row>
    <row r="186" spans="1:18" x14ac:dyDescent="0.15">
      <c r="A186" s="82"/>
      <c r="B186" s="72" t="s">
        <v>154</v>
      </c>
      <c r="C186" s="72" t="s">
        <v>104</v>
      </c>
      <c r="D186" s="477">
        <f>'Offroad Data'!C467/'Constants &amp; Conversions'!$D$32</f>
        <v>40.08334524850968</v>
      </c>
      <c r="E186" s="477">
        <f>'Offroad Data'!D467/'Constants &amp; Conversions'!$D$32</f>
        <v>77.514208141138681</v>
      </c>
      <c r="F186" s="477">
        <f>'Offroad Data'!E467/'Constants &amp; Conversions'!$D$32</f>
        <v>117.59755338964835</v>
      </c>
      <c r="G186" s="477">
        <f>'Offroad Data'!F467/'Constants &amp; Conversions'!$D$32</f>
        <v>42.651361878766657</v>
      </c>
      <c r="H186" s="477">
        <f>'Offroad Data'!G467/'Constants &amp; Conversions'!$D$32</f>
        <v>11.787254680629175</v>
      </c>
      <c r="I186" s="477">
        <f>'Offroad Data'!H467/'Constants &amp; Conversions'!$D$32</f>
        <v>1.0040490953292831</v>
      </c>
      <c r="J186" s="477">
        <f>'Offroad Data'!I467/'Constants &amp; Conversions'!$D$32</f>
        <v>20.067225332658939</v>
      </c>
      <c r="K186" s="477">
        <f>'Offroad Data'!J467/'Constants &amp; Conversions'!$D$32</f>
        <v>7.399711860857269</v>
      </c>
      <c r="L186" s="477">
        <f>'Offroad Data'!K467/'Constants &amp; Conversions'!$D$32</f>
        <v>9.682882091840467</v>
      </c>
      <c r="M186" s="375">
        <f t="shared" ref="M186:M216" si="30">SUM(F186:L186)</f>
        <v>210.19003832973016</v>
      </c>
      <c r="N186" s="66"/>
      <c r="O186" s="302"/>
      <c r="P186" s="302"/>
      <c r="Q186" s="302"/>
      <c r="R186" s="302"/>
    </row>
    <row r="187" spans="1:18" x14ac:dyDescent="0.15">
      <c r="A187" s="82"/>
      <c r="B187" s="72" t="s">
        <v>154</v>
      </c>
      <c r="C187" s="72" t="s">
        <v>156</v>
      </c>
      <c r="D187" s="477">
        <f>'Offroad Data'!C468/'Constants &amp; Conversions'!$D$32</f>
        <v>0.10326797572193633</v>
      </c>
      <c r="E187" s="477">
        <f>'Offroad Data'!D468/'Constants &amp; Conversions'!$D$32</f>
        <v>0.19970227821047068</v>
      </c>
      <c r="F187" s="477">
        <f>'Offroad Data'!E468/'Constants &amp; Conversions'!$D$32</f>
        <v>0.30297025393240701</v>
      </c>
      <c r="G187" s="477">
        <f>'Offroad Data'!F468/'Constants &amp; Conversions'!$D$32</f>
        <v>7.5979555836268794E-2</v>
      </c>
      <c r="H187" s="477">
        <f>'Offroad Data'!G468/'Constants &amp; Conversions'!$D$32</f>
        <v>6.9599963171822599E-2</v>
      </c>
      <c r="I187" s="477">
        <f>'Offroad Data'!H468/'Constants &amp; Conversions'!$D$32</f>
        <v>1.6223606385912203E-2</v>
      </c>
      <c r="J187" s="477">
        <f>'Offroad Data'!I468/'Constants &amp; Conversions'!$D$32</f>
        <v>5.61175300837925E-2</v>
      </c>
      <c r="K187" s="477">
        <f>'Offroad Data'!J468/'Constants &amp; Conversions'!$D$32</f>
        <v>4.2519167988368398E-2</v>
      </c>
      <c r="L187" s="477">
        <f>'Offroad Data'!K468/'Constants &amp; Conversions'!$D$32</f>
        <v>9.9680187251499686E-2</v>
      </c>
      <c r="M187" s="375">
        <f t="shared" si="30"/>
        <v>0.66309026465007115</v>
      </c>
      <c r="N187" s="66"/>
      <c r="O187" s="302"/>
      <c r="P187" s="302"/>
      <c r="Q187" s="302"/>
      <c r="R187" s="302"/>
    </row>
    <row r="188" spans="1:18" x14ac:dyDescent="0.15">
      <c r="A188" s="82"/>
      <c r="B188" s="173" t="s">
        <v>154</v>
      </c>
      <c r="C188" s="173" t="s">
        <v>157</v>
      </c>
      <c r="D188" s="477">
        <f>'Offroad Data'!C469/'Constants &amp; Conversions'!$D$32</f>
        <v>168.27900614063495</v>
      </c>
      <c r="E188" s="477">
        <f>'Offroad Data'!D469/'Constants &amp; Conversions'!$D$32</f>
        <v>325.42228765834142</v>
      </c>
      <c r="F188" s="477">
        <f>'Offroad Data'!E469/'Constants &amp; Conversions'!$D$32</f>
        <v>493.70129379897634</v>
      </c>
      <c r="G188" s="477">
        <f>'Offroad Data'!F469/'Constants &amp; Conversions'!$D$32</f>
        <v>126.50356020562744</v>
      </c>
      <c r="H188" s="477">
        <f>'Offroad Data'!G469/'Constants &amp; Conversions'!$D$32</f>
        <v>67.334088701132572</v>
      </c>
      <c r="I188" s="477">
        <f>'Offroad Data'!H469/'Constants &amp; Conversions'!$D$32</f>
        <v>3.9101738707579123</v>
      </c>
      <c r="J188" s="477">
        <f>'Offroad Data'!I469/'Constants &amp; Conversions'!$D$32</f>
        <v>96.059295806795291</v>
      </c>
      <c r="K188" s="477">
        <f>'Offroad Data'!J469/'Constants &amp; Conversions'!$D$32</f>
        <v>50.054463745913885</v>
      </c>
      <c r="L188" s="477">
        <f>'Offroad Data'!K469/'Constants &amp; Conversions'!$D$32</f>
        <v>46.170164691527155</v>
      </c>
      <c r="M188" s="377">
        <f t="shared" si="30"/>
        <v>883.73304082073059</v>
      </c>
      <c r="N188" s="66"/>
      <c r="O188" s="302"/>
      <c r="P188" s="302"/>
      <c r="Q188" s="302"/>
      <c r="R188" s="302"/>
    </row>
    <row r="189" spans="1:18" x14ac:dyDescent="0.15">
      <c r="A189" s="82"/>
      <c r="B189" s="174" t="s">
        <v>154</v>
      </c>
      <c r="C189" s="174" t="s">
        <v>158</v>
      </c>
      <c r="D189" s="478">
        <f>'Offroad Data'!C470/'Constants &amp; Conversions'!$D$32</f>
        <v>0.25856390786642192</v>
      </c>
      <c r="E189" s="478">
        <f>'Offroad Data'!D470/'Constants &amp; Conversions'!$D$32</f>
        <v>0.50001756210428105</v>
      </c>
      <c r="F189" s="478">
        <f>'Offroad Data'!E470/'Constants &amp; Conversions'!$D$32</f>
        <v>0.75858146997070297</v>
      </c>
      <c r="G189" s="478">
        <f>'Offroad Data'!F470/'Constants &amp; Conversions'!$D$32</f>
        <v>0.61950773840331996</v>
      </c>
      <c r="H189" s="478">
        <f>'Offroad Data'!G470/'Constants &amp; Conversions'!$D$32</f>
        <v>7.5858148178100493E-2</v>
      </c>
      <c r="I189" s="478">
        <f>'Offroad Data'!H470/'Constants &amp; Conversions'!$D$32</f>
        <v>0</v>
      </c>
      <c r="J189" s="478">
        <f>'Offroad Data'!I470/'Constants &amp; Conversions'!$D$32</f>
        <v>0.49307778527831997</v>
      </c>
      <c r="K189" s="478">
        <f>'Offroad Data'!J470/'Constants &amp; Conversions'!$D$32</f>
        <v>0</v>
      </c>
      <c r="L189" s="478">
        <f>'Offroad Data'!K470/'Constants &amp; Conversions'!$D$32</f>
        <v>0.75858146997070297</v>
      </c>
      <c r="M189" s="376">
        <f>SUM(F189:L189)</f>
        <v>2.7056066118011461</v>
      </c>
      <c r="N189" s="66"/>
      <c r="O189" s="302"/>
      <c r="P189" s="302"/>
      <c r="Q189" s="302"/>
      <c r="R189" s="302"/>
    </row>
    <row r="190" spans="1:18" x14ac:dyDescent="0.15">
      <c r="A190" s="82"/>
      <c r="B190" s="72" t="s">
        <v>146</v>
      </c>
      <c r="C190" s="72" t="s">
        <v>155</v>
      </c>
      <c r="D190" s="477">
        <f>'Offroad Data'!C516/'Constants &amp; Conversions'!$D$32</f>
        <v>0</v>
      </c>
      <c r="E190" s="477">
        <f>'Offroad Data'!D516/'Constants &amp; Conversions'!$D$32</f>
        <v>5.6609779722794663E-2</v>
      </c>
      <c r="F190" s="477">
        <f>'Offroad Data'!E516/'Constants &amp; Conversions'!$D$32</f>
        <v>5.6609779722794663E-2</v>
      </c>
      <c r="G190" s="477">
        <f>'Offroad Data'!F516/'Constants &amp; Conversions'!$D$32</f>
        <v>1.9011103995488519E-2</v>
      </c>
      <c r="H190" s="477">
        <f>'Offroad Data'!G516/'Constants &amp; Conversions'!$D$32</f>
        <v>0.67960021850193153</v>
      </c>
      <c r="I190" s="477">
        <f>'Offroad Data'!H516/'Constants &amp; Conversions'!$D$32</f>
        <v>0.59509249912850559</v>
      </c>
      <c r="J190" s="477">
        <f>'Offroad Data'!I516/'Constants &amp; Conversions'!$D$32</f>
        <v>0.11275802723876198</v>
      </c>
      <c r="K190" s="477">
        <f>'Offroad Data'!J516/'Constants &amp; Conversions'!$D$32</f>
        <v>0.76633963458715715</v>
      </c>
      <c r="L190" s="477">
        <f>'Offroad Data'!K516/'Constants &amp; Conversions'!$D$32</f>
        <v>0.92670303444401192</v>
      </c>
      <c r="M190" s="375">
        <f t="shared" si="30"/>
        <v>3.1561142976186511</v>
      </c>
      <c r="N190" s="66"/>
      <c r="O190" s="302"/>
      <c r="P190" s="302"/>
      <c r="Q190" s="302"/>
      <c r="R190" s="302"/>
    </row>
    <row r="191" spans="1:18" x14ac:dyDescent="0.15">
      <c r="A191" s="82"/>
      <c r="B191" s="72" t="s">
        <v>146</v>
      </c>
      <c r="C191" s="72" t="s">
        <v>159</v>
      </c>
      <c r="D191" s="477">
        <f>'Offroad Data'!C517/'Constants &amp; Conversions'!$D$32</f>
        <v>0.94995891259765597</v>
      </c>
      <c r="E191" s="477">
        <f>'Offroad Data'!D517/'Constants &amp; Conversions'!$D$32</f>
        <v>0</v>
      </c>
      <c r="F191" s="477">
        <f>'Offroad Data'!E517/'Constants &amp; Conversions'!$D$32</f>
        <v>0.94995891259765597</v>
      </c>
      <c r="G191" s="477">
        <f>'Offroad Data'!F517/'Constants &amp; Conversions'!$D$32</f>
        <v>2.23644563794136E-4</v>
      </c>
      <c r="H191" s="477">
        <f>'Offroad Data'!G517/'Constants &amp; Conversions'!$D$32</f>
        <v>1.0184948235750101E-4</v>
      </c>
      <c r="I191" s="477">
        <f>'Offroad Data'!H517/'Constants &amp; Conversions'!$D$32</f>
        <v>0</v>
      </c>
      <c r="J191" s="477">
        <f>'Offroad Data'!I517/'Constants &amp; Conversions'!$D$32</f>
        <v>1.12458947271108E-4</v>
      </c>
      <c r="K191" s="477">
        <f>'Offroad Data'!J517/'Constants &amp; Conversions'!$D$32</f>
        <v>9.7605716854333812E-5</v>
      </c>
      <c r="L191" s="477">
        <f>'Offroad Data'!K517/'Constants &amp; Conversions'!$D$32</f>
        <v>2.2916140532493502E-4</v>
      </c>
      <c r="M191" s="375">
        <f t="shared" si="30"/>
        <v>0.95072363271325788</v>
      </c>
      <c r="N191" s="66"/>
      <c r="O191" s="302"/>
      <c r="P191" s="302"/>
      <c r="Q191" s="302"/>
      <c r="R191" s="302"/>
    </row>
    <row r="192" spans="1:18" x14ac:dyDescent="0.15">
      <c r="A192" s="82"/>
      <c r="B192" s="72" t="s">
        <v>146</v>
      </c>
      <c r="C192" s="72" t="s">
        <v>104</v>
      </c>
      <c r="D192" s="477">
        <f>'Offroad Data'!C518/'Constants &amp; Conversions'!$D$32</f>
        <v>1.0979736109807885</v>
      </c>
      <c r="E192" s="477">
        <f>'Offroad Data'!D518/'Constants &amp; Conversions'!$D$32</f>
        <v>2.1232897226362821</v>
      </c>
      <c r="F192" s="477">
        <f>'Offroad Data'!E518/'Constants &amp; Conversions'!$D$32</f>
        <v>3.2212633336170708</v>
      </c>
      <c r="G192" s="477">
        <f>'Offroad Data'!F518/'Constants &amp; Conversions'!$D$32</f>
        <v>1.1683201144790627</v>
      </c>
      <c r="H192" s="477">
        <f>'Offroad Data'!G518/'Constants &amp; Conversions'!$D$32</f>
        <v>0.32287983595071429</v>
      </c>
      <c r="I192" s="477">
        <f>'Offroad Data'!H518/'Constants &amp; Conversions'!$D$32</f>
        <v>2.7503183314229653E-2</v>
      </c>
      <c r="J192" s="477">
        <f>'Offroad Data'!I518/'Constants &amp; Conversions'!$D$32</f>
        <v>0.54968664229992348</v>
      </c>
      <c r="K192" s="477">
        <f>'Offroad Data'!J518/'Constants &amp; Conversions'!$D$32</f>
        <v>0.20269470498636763</v>
      </c>
      <c r="L192" s="477">
        <f>'Offroad Data'!K518/'Constants &amp; Conversions'!$D$32</f>
        <v>0.26523585364723173</v>
      </c>
      <c r="M192" s="375">
        <f t="shared" si="30"/>
        <v>5.7575836682946004</v>
      </c>
      <c r="N192" s="66"/>
      <c r="O192" s="302"/>
      <c r="P192" s="302"/>
      <c r="Q192" s="302"/>
      <c r="R192" s="302"/>
    </row>
    <row r="193" spans="1:18" x14ac:dyDescent="0.15">
      <c r="A193" s="82"/>
      <c r="B193" s="72" t="s">
        <v>146</v>
      </c>
      <c r="C193" s="72" t="s">
        <v>156</v>
      </c>
      <c r="D193" s="477">
        <f>'Offroad Data'!C519/'Constants &amp; Conversions'!$D$32</f>
        <v>8.5683295587735824</v>
      </c>
      <c r="E193" s="477">
        <f>'Offroad Data'!D519/'Constants &amp; Conversions'!$D$32</f>
        <v>16.569656966576172</v>
      </c>
      <c r="F193" s="477">
        <f>'Offroad Data'!E519/'Constants &amp; Conversions'!$D$32</f>
        <v>25.137986525349756</v>
      </c>
      <c r="G193" s="477">
        <f>'Offroad Data'!F519/'Constants &amp; Conversions'!$D$32</f>
        <v>6.3041518225234823</v>
      </c>
      <c r="H193" s="477">
        <f>'Offroad Data'!G519/'Constants &amp; Conversions'!$D$32</f>
        <v>5.7748308425341364</v>
      </c>
      <c r="I193" s="477">
        <f>'Offroad Data'!H519/'Constants &amp; Conversions'!$D$32</f>
        <v>1.3461005174979324</v>
      </c>
      <c r="J193" s="477">
        <f>'Offroad Data'!I519/'Constants &amp; Conversions'!$D$32</f>
        <v>4.6561673781006183</v>
      </c>
      <c r="K193" s="477">
        <f>'Offroad Data'!J519/'Constants &amp; Conversions'!$D$32</f>
        <v>3.5278890489637025</v>
      </c>
      <c r="L193" s="477">
        <f>'Offroad Data'!K519/'Constants &amp; Conversions'!$D$32</f>
        <v>8.270632906413617</v>
      </c>
      <c r="M193" s="375">
        <f t="shared" si="30"/>
        <v>55.017759041383243</v>
      </c>
      <c r="N193" s="66"/>
      <c r="O193" s="302"/>
      <c r="P193" s="302"/>
      <c r="Q193" s="302"/>
      <c r="R193" s="302"/>
    </row>
    <row r="194" spans="1:18" x14ac:dyDescent="0.15">
      <c r="A194" s="82"/>
      <c r="B194" s="72" t="s">
        <v>146</v>
      </c>
      <c r="C194" s="72" t="s">
        <v>157</v>
      </c>
      <c r="D194" s="477">
        <f>'Offroad Data'!C520/'Constants &amp; Conversions'!$D$32</f>
        <v>2.9796880697664396</v>
      </c>
      <c r="E194" s="477">
        <f>'Offroad Data'!D520/'Constants &amp; Conversions'!$D$32</f>
        <v>5.7621977358322161</v>
      </c>
      <c r="F194" s="477">
        <f>'Offroad Data'!E520/'Constants &amp; Conversions'!$D$32</f>
        <v>8.7418858055986561</v>
      </c>
      <c r="G194" s="477">
        <f>'Offroad Data'!F520/'Constants &amp; Conversions'!$D$32</f>
        <v>1.9626596139668033</v>
      </c>
      <c r="H194" s="477">
        <f>'Offroad Data'!G520/'Constants &amp; Conversions'!$D$32</f>
        <v>1.015473746827259</v>
      </c>
      <c r="I194" s="477">
        <f>'Offroad Data'!H520/'Constants &amp; Conversions'!$D$32</f>
        <v>8.1041541340827777E-2</v>
      </c>
      <c r="J194" s="477">
        <f>'Offroad Data'!I520/'Constants &amp; Conversions'!$D$32</f>
        <v>1.4754168107381527</v>
      </c>
      <c r="K194" s="477">
        <f>'Offroad Data'!J520/'Constants &amp; Conversions'!$D$32</f>
        <v>0.72438842793587033</v>
      </c>
      <c r="L194" s="477">
        <f>'Offroad Data'!K520/'Constants &amp; Conversions'!$D$32</f>
        <v>0.851677925702502</v>
      </c>
      <c r="M194" s="375">
        <f t="shared" si="30"/>
        <v>14.852543872110072</v>
      </c>
      <c r="N194" s="66"/>
      <c r="O194" s="302"/>
      <c r="P194" s="302"/>
      <c r="Q194" s="302"/>
      <c r="R194" s="302"/>
    </row>
    <row r="195" spans="1:18" x14ac:dyDescent="0.15">
      <c r="A195" s="82"/>
      <c r="B195" s="72" t="s">
        <v>146</v>
      </c>
      <c r="C195" s="72" t="s">
        <v>160</v>
      </c>
      <c r="D195" s="477">
        <f>'Offroad Data'!C521/'Constants &amp; Conversions'!$D$32</f>
        <v>0.21614557296181688</v>
      </c>
      <c r="E195" s="477">
        <f>'Offroad Data'!D521/'Constants &amp; Conversions'!$D$32</f>
        <v>0.6838267510781425</v>
      </c>
      <c r="F195" s="477">
        <f>'Offroad Data'!E521/'Constants &amp; Conversions'!$D$32</f>
        <v>0.89997232403995941</v>
      </c>
      <c r="G195" s="477">
        <f>'Offroad Data'!F521/'Constants &amp; Conversions'!$D$32</f>
        <v>0.57440473460409225</v>
      </c>
      <c r="H195" s="477">
        <f>'Offroad Data'!G521/'Constants &amp; Conversions'!$D$32</f>
        <v>0.30354131003858309</v>
      </c>
      <c r="I195" s="477">
        <f>'Offroad Data'!H521/'Constants &amp; Conversions'!$D$32</f>
        <v>2.5174066540303137E-2</v>
      </c>
      <c r="J195" s="477">
        <f>'Offroad Data'!I521/'Constants &amp; Conversions'!$D$32</f>
        <v>0.5206681192710485</v>
      </c>
      <c r="K195" s="477">
        <f>'Offroad Data'!J521/'Constants &amp; Conversions'!$D$32</f>
        <v>0.13603683033967265</v>
      </c>
      <c r="L195" s="477">
        <f>'Offroad Data'!K521/'Constants &amp; Conversions'!$D$32</f>
        <v>0.21833664006504211</v>
      </c>
      <c r="M195" s="375">
        <f t="shared" si="30"/>
        <v>2.6781340248987013</v>
      </c>
      <c r="N195" s="66"/>
      <c r="O195" s="302"/>
      <c r="P195" s="302"/>
      <c r="Q195" s="302"/>
      <c r="R195" s="302"/>
    </row>
    <row r="196" spans="1:18" x14ac:dyDescent="0.15">
      <c r="A196" s="82"/>
      <c r="B196" s="72" t="s">
        <v>146</v>
      </c>
      <c r="C196" s="72" t="s">
        <v>161</v>
      </c>
      <c r="D196" s="477">
        <f>'Offroad Data'!C522/'Constants &amp; Conversions'!$D$32</f>
        <v>0</v>
      </c>
      <c r="E196" s="477">
        <f>'Offroad Data'!D522/'Constants &amp; Conversions'!$D$32</f>
        <v>3.6862018699645997E-2</v>
      </c>
      <c r="F196" s="477">
        <f>'Offroad Data'!E522/'Constants &amp; Conversions'!$D$32</f>
        <v>3.6862018699645997E-2</v>
      </c>
      <c r="G196" s="477">
        <f>'Offroad Data'!F522/'Constants &amp; Conversions'!$D$32</f>
        <v>5.9805397453308101E-3</v>
      </c>
      <c r="H196" s="477">
        <f>'Offroad Data'!G522/'Constants &amp; Conversions'!$D$32</f>
        <v>9.0643340909140405E-3</v>
      </c>
      <c r="I196" s="477">
        <f>'Offroad Data'!H522/'Constants &amp; Conversions'!$D$32</f>
        <v>1.5916089890071299E-2</v>
      </c>
      <c r="J196" s="477">
        <f>'Offroad Data'!I522/'Constants &amp; Conversions'!$D$32</f>
        <v>2.1983485700334801E-2</v>
      </c>
      <c r="K196" s="477">
        <f>'Offroad Data'!J522/'Constants &amp; Conversions'!$D$32</f>
        <v>5.2706423267909398E-2</v>
      </c>
      <c r="L196" s="477">
        <f>'Offroad Data'!K522/'Constants &amp; Conversions'!$D$32</f>
        <v>5.5226273696899399E-2</v>
      </c>
      <c r="M196" s="377">
        <f t="shared" si="30"/>
        <v>0.19773916509110573</v>
      </c>
      <c r="N196" s="66"/>
      <c r="O196" s="302"/>
      <c r="P196" s="302"/>
      <c r="Q196" s="302"/>
      <c r="R196" s="302"/>
    </row>
    <row r="197" spans="1:18" x14ac:dyDescent="0.15">
      <c r="A197" s="82"/>
      <c r="B197" s="72" t="s">
        <v>146</v>
      </c>
      <c r="C197" s="72" t="s">
        <v>158</v>
      </c>
      <c r="D197" s="477">
        <f>'Offroad Data'!C523/'Constants &amp; Conversions'!$D$32</f>
        <v>1.2368381827064465E-2</v>
      </c>
      <c r="E197" s="477">
        <f>'Offroad Data'!D523/'Constants &amp; Conversions'!$D$32</f>
        <v>2.3918296174339337E-2</v>
      </c>
      <c r="F197" s="477">
        <f>'Offroad Data'!E523/'Constants &amp; Conversions'!$D$32</f>
        <v>3.6286678001403797E-2</v>
      </c>
      <c r="G197" s="477">
        <f>'Offroad Data'!F523/'Constants &amp; Conversions'!$D$32</f>
        <v>2.9634112998962396E-2</v>
      </c>
      <c r="H197" s="477">
        <f>'Offroad Data'!G523/'Constants &amp; Conversions'!$D$32</f>
        <v>3.6286673460006699E-3</v>
      </c>
      <c r="I197" s="477">
        <f>'Offroad Data'!H523/'Constants &amp; Conversions'!$D$32</f>
        <v>0</v>
      </c>
      <c r="J197" s="477">
        <f>'Offroad Data'!I523/'Constants &amp; Conversions'!$D$32</f>
        <v>2.35863178253173E-2</v>
      </c>
      <c r="K197" s="477">
        <f>'Offroad Data'!J523/'Constants &amp; Conversions'!$D$32</f>
        <v>0</v>
      </c>
      <c r="L197" s="477">
        <f>'Offroad Data'!K523/'Constants &amp; Conversions'!$D$32</f>
        <v>3.6286678001403797E-2</v>
      </c>
      <c r="M197" s="375">
        <f t="shared" si="30"/>
        <v>0.12942245417308795</v>
      </c>
      <c r="N197" s="66"/>
      <c r="O197" s="302"/>
      <c r="P197" s="302"/>
      <c r="Q197" s="302"/>
      <c r="R197" s="302"/>
    </row>
    <row r="198" spans="1:18" x14ac:dyDescent="0.15">
      <c r="A198" s="82"/>
      <c r="B198" s="72" t="s">
        <v>146</v>
      </c>
      <c r="C198" s="72" t="s">
        <v>162</v>
      </c>
      <c r="D198" s="477">
        <f>'Offroad Data'!C524/'Constants &amp; Conversions'!$D$32</f>
        <v>5.7764555745589231E-2</v>
      </c>
      <c r="E198" s="477">
        <f>'Offroad Data'!D524/'Constants &amp; Conversions'!$D$32</f>
        <v>2.0576315531266161E-2</v>
      </c>
      <c r="F198" s="477">
        <f>'Offroad Data'!E524/'Constants &amp; Conversions'!$D$32</f>
        <v>7.8340871276855392E-2</v>
      </c>
      <c r="G198" s="477">
        <f>'Offroad Data'!F524/'Constants &amp; Conversions'!$D$32</f>
        <v>3.24003337647574E-2</v>
      </c>
      <c r="H198" s="477">
        <f>'Offroad Data'!G524/'Constants &amp; Conversions'!$D$32</f>
        <v>1.4098042507989E-2</v>
      </c>
      <c r="I198" s="477">
        <f>'Offroad Data'!H524/'Constants &amp; Conversions'!$D$32</f>
        <v>2.2567086939130499E-3</v>
      </c>
      <c r="J198" s="477">
        <f>'Offroad Data'!I524/'Constants &amp; Conversions'!$D$32</f>
        <v>1.0466312372480101E-2</v>
      </c>
      <c r="K198" s="477">
        <f>'Offroad Data'!J524/'Constants &amp; Conversions'!$D$32</f>
        <v>2.0433426136629903E-3</v>
      </c>
      <c r="L198" s="477">
        <f>'Offroad Data'!K524/'Constants &amp; Conversions'!$D$32</f>
        <v>1.7314672225407102E-2</v>
      </c>
      <c r="M198" s="375">
        <f t="shared" si="30"/>
        <v>0.15692028345506506</v>
      </c>
      <c r="N198" s="66"/>
      <c r="O198" s="302"/>
      <c r="P198" s="302"/>
      <c r="Q198" s="302"/>
      <c r="R198" s="302"/>
    </row>
    <row r="199" spans="1:18" x14ac:dyDescent="0.15">
      <c r="A199" s="82"/>
      <c r="B199" s="174" t="s">
        <v>146</v>
      </c>
      <c r="C199" s="174" t="s">
        <v>163</v>
      </c>
      <c r="D199" s="478">
        <f>'Offroad Data'!C525/'Constants &amp; Conversions'!$D$32</f>
        <v>1.5883015370098695E-2</v>
      </c>
      <c r="E199" s="478">
        <f>'Offroad Data'!D525/'Constants &amp; Conversions'!$D$32</f>
        <v>1.4624020346911706E-2</v>
      </c>
      <c r="F199" s="478">
        <f>'Offroad Data'!E525/'Constants &amp; Conversions'!$D$32</f>
        <v>3.0507035717010401E-2</v>
      </c>
      <c r="G199" s="478">
        <f>'Offroad Data'!F525/'Constants &amp; Conversions'!$D$32</f>
        <v>5.3055673270225494E-3</v>
      </c>
      <c r="H199" s="478">
        <f>'Offroad Data'!G525/'Constants &amp; Conversions'!$D$32</f>
        <v>2.6527815670626502E-3</v>
      </c>
      <c r="I199" s="478">
        <f>'Offroad Data'!H525/'Constants &amp; Conversions'!$D$32</f>
        <v>5.3055673270225494E-3</v>
      </c>
      <c r="J199" s="478">
        <f>'Offroad Data'!I525/'Constants &amp; Conversions'!$D$32</f>
        <v>1.5916691602434398E-2</v>
      </c>
      <c r="K199" s="478">
        <f>'Offroad Data'!J525/'Constants &amp; Conversions'!$D$32</f>
        <v>3.9791735721996808E-3</v>
      </c>
      <c r="L199" s="478">
        <f>'Offroad Data'!K525/'Constants &amp; Conversions'!$D$32</f>
        <v>6.6319558556420391E-3</v>
      </c>
      <c r="M199" s="376">
        <f t="shared" si="30"/>
        <v>7.0298772968394263E-2</v>
      </c>
      <c r="N199" s="66"/>
      <c r="O199" s="302"/>
      <c r="P199" s="302"/>
      <c r="Q199" s="302"/>
      <c r="R199" s="302"/>
    </row>
    <row r="200" spans="1:18" x14ac:dyDescent="0.15">
      <c r="A200" s="82"/>
      <c r="B200" s="72" t="s">
        <v>164</v>
      </c>
      <c r="C200" s="72" t="s">
        <v>155</v>
      </c>
      <c r="D200" s="477">
        <f>'Offroad Data'!C595/'Constants &amp; Conversions'!$D$32</f>
        <v>0</v>
      </c>
      <c r="E200" s="477">
        <f>'Offroad Data'!D595/'Constants &amp; Conversions'!$D$32</f>
        <v>3.1508005708030199E-4</v>
      </c>
      <c r="F200" s="477">
        <f>'Offroad Data'!E595/'Constants &amp; Conversions'!$D$32</f>
        <v>3.1508005708030199E-4</v>
      </c>
      <c r="G200" s="477">
        <f>'Offroad Data'!F595/'Constants &amp; Conversions'!$D$32</f>
        <v>1.05812494277954E-4</v>
      </c>
      <c r="H200" s="477">
        <f>'Offroad Data'!G595/'Constants &amp; Conversions'!$D$32</f>
        <v>3.78254059641701E-3</v>
      </c>
      <c r="I200" s="477">
        <f>'Offroad Data'!H595/'Constants &amp; Conversions'!$D$32</f>
        <v>3.3121769980703E-3</v>
      </c>
      <c r="J200" s="477">
        <f>'Offroad Data'!I595/'Constants &amp; Conversions'!$D$32</f>
        <v>6.2759170342343098E-4</v>
      </c>
      <c r="K200" s="477">
        <f>'Offroad Data'!J595/'Constants &amp; Conversions'!$D$32</f>
        <v>4.2653140208380501E-3</v>
      </c>
      <c r="L200" s="477">
        <f>'Offroad Data'!K595/'Constants &amp; Conversions'!$D$32</f>
        <v>5.1578689526830404E-3</v>
      </c>
      <c r="M200" s="375">
        <f t="shared" si="30"/>
        <v>1.7566384822790087E-2</v>
      </c>
      <c r="N200" s="66"/>
      <c r="O200" s="302"/>
      <c r="P200" s="302"/>
      <c r="Q200" s="302"/>
      <c r="R200" s="302"/>
    </row>
    <row r="201" spans="1:18" x14ac:dyDescent="0.15">
      <c r="A201" s="82"/>
      <c r="B201" s="72" t="s">
        <v>164</v>
      </c>
      <c r="C201" s="72" t="s">
        <v>104</v>
      </c>
      <c r="D201" s="477">
        <f>'Offroad Data'!C596/'Constants &amp; Conversions'!$D$32</f>
        <v>1.4650575374336747</v>
      </c>
      <c r="E201" s="477">
        <f>'Offroad Data'!D596/'Constants &amp; Conversions'!$D$32</f>
        <v>2.8331660990695435</v>
      </c>
      <c r="F201" s="477">
        <f>'Offroad Data'!E596/'Constants &amp; Conversions'!$D$32</f>
        <v>4.2982236365032183</v>
      </c>
      <c r="G201" s="477">
        <f>'Offroad Data'!F596/'Constants &amp; Conversions'!$D$32</f>
        <v>1.5589250410327731</v>
      </c>
      <c r="H201" s="477">
        <f>'Offroad Data'!G596/'Constants &amp; Conversions'!$D$32</f>
        <v>0.43082822301287299</v>
      </c>
      <c r="I201" s="477">
        <f>'Offroad Data'!H596/'Constants &amp; Conversions'!$D$32</f>
        <v>3.6698337087859502E-2</v>
      </c>
      <c r="J201" s="477">
        <f>'Offroad Data'!I596/'Constants &amp; Conversions'!$D$32</f>
        <v>0.73346334999820173</v>
      </c>
      <c r="K201" s="477">
        <f>'Offroad Data'!J596/'Constants &amp; Conversions'!$D$32</f>
        <v>0.27046146605326765</v>
      </c>
      <c r="L201" s="477">
        <f>'Offroad Data'!K596/'Constants &amp; Conversions'!$D$32</f>
        <v>0.35391291890323151</v>
      </c>
      <c r="M201" s="375">
        <f t="shared" si="30"/>
        <v>7.6825129725914252</v>
      </c>
      <c r="N201" s="66"/>
      <c r="O201" s="302"/>
      <c r="P201" s="302"/>
      <c r="Q201" s="302"/>
      <c r="R201" s="302"/>
    </row>
    <row r="202" spans="1:18" x14ac:dyDescent="0.15">
      <c r="A202" s="82"/>
      <c r="B202" s="173" t="s">
        <v>164</v>
      </c>
      <c r="C202" s="173" t="s">
        <v>156</v>
      </c>
      <c r="D202" s="477">
        <f>'Offroad Data'!C597/'Constants &amp; Conversions'!$D$32</f>
        <v>0.92728635679103288</v>
      </c>
      <c r="E202" s="477">
        <f>'Offroad Data'!D597/'Constants &amp; Conversions'!$D$32</f>
        <v>1.7932103027107189</v>
      </c>
      <c r="F202" s="477">
        <f>'Offroad Data'!E597/'Constants &amp; Conversions'!$D$32</f>
        <v>2.7204966595017517</v>
      </c>
      <c r="G202" s="477">
        <f>'Offroad Data'!F597/'Constants &amp; Conversions'!$D$32</f>
        <v>0.68225239954814176</v>
      </c>
      <c r="H202" s="477">
        <f>'Offroad Data'!G597/'Constants &amp; Conversions'!$D$32</f>
        <v>0.62496689190779753</v>
      </c>
      <c r="I202" s="477">
        <f>'Offroad Data'!H597/'Constants &amp; Conversions'!$D$32</f>
        <v>0.14567846898440878</v>
      </c>
      <c r="J202" s="477">
        <f>'Offroad Data'!I597/'Constants &amp; Conversions'!$D$32</f>
        <v>0.50390267869510696</v>
      </c>
      <c r="K202" s="477">
        <f>'Offroad Data'!J597/'Constants &amp; Conversions'!$D$32</f>
        <v>0.38179744424264689</v>
      </c>
      <c r="L202" s="477">
        <f>'Offroad Data'!K597/'Constants &amp; Conversions'!$D$32</f>
        <v>0.8950691279806815</v>
      </c>
      <c r="M202" s="375">
        <f t="shared" si="30"/>
        <v>5.9541636708605354</v>
      </c>
      <c r="N202" s="66"/>
      <c r="O202" s="302"/>
      <c r="P202" s="302"/>
      <c r="Q202" s="302"/>
      <c r="R202" s="302"/>
    </row>
    <row r="203" spans="1:18" x14ac:dyDescent="0.15">
      <c r="A203" s="82"/>
      <c r="B203" s="173" t="s">
        <v>164</v>
      </c>
      <c r="C203" s="173" t="s">
        <v>157</v>
      </c>
      <c r="D203" s="477">
        <f>'Offroad Data'!C598/'Constants &amp; Conversions'!$D$32</f>
        <v>3.0268074645471557E-2</v>
      </c>
      <c r="E203" s="477">
        <f>'Offroad Data'!D598/'Constants &amp; Conversions'!$D$32</f>
        <v>5.8533184382554442E-2</v>
      </c>
      <c r="F203" s="477">
        <f>'Offroad Data'!E598/'Constants &amp; Conversions'!$D$32</f>
        <v>8.8801259028025992E-2</v>
      </c>
      <c r="G203" s="477">
        <f>'Offroad Data'!F598/'Constants &amp; Conversions'!$D$32</f>
        <v>2.2765131221021889E-2</v>
      </c>
      <c r="H203" s="477">
        <f>'Offroad Data'!G598/'Constants &amp; Conversions'!$D$32</f>
        <v>1.2118365189552257E-2</v>
      </c>
      <c r="I203" s="477">
        <f>'Offroad Data'!H598/'Constants &amp; Conversions'!$D$32</f>
        <v>7.0284480271381978E-4</v>
      </c>
      <c r="J203" s="477">
        <f>'Offroad Data'!I598/'Constants &amp; Conversions'!$D$32</f>
        <v>1.7287091128008629E-2</v>
      </c>
      <c r="K203" s="477">
        <f>'Offroad Data'!J598/'Constants &amp; Conversions'!$D$32</f>
        <v>9.0096993587698241E-3</v>
      </c>
      <c r="L203" s="477">
        <f>'Offroad Data'!K598/'Constants &amp; Conversions'!$D$32</f>
        <v>8.3031968783310386E-3</v>
      </c>
      <c r="M203" s="375">
        <f t="shared" si="30"/>
        <v>0.15898758760642345</v>
      </c>
      <c r="N203" s="66"/>
      <c r="O203" s="302"/>
      <c r="P203" s="302"/>
      <c r="Q203" s="302"/>
      <c r="R203" s="302"/>
    </row>
    <row r="204" spans="1:18" x14ac:dyDescent="0.15">
      <c r="A204" s="82"/>
      <c r="B204" s="173" t="s">
        <v>164</v>
      </c>
      <c r="C204" s="173" t="s">
        <v>160</v>
      </c>
      <c r="D204" s="477">
        <f>'Offroad Data'!C599/'Constants &amp; Conversions'!$D$32</f>
        <v>13.462659147985931</v>
      </c>
      <c r="E204" s="477">
        <f>'Offroad Data'!D599/'Constants &amp; Conversions'!$D$32</f>
        <v>42.592250860793513</v>
      </c>
      <c r="F204" s="477">
        <f>'Offroad Data'!E599/'Constants &amp; Conversions'!$D$32</f>
        <v>56.054910008779451</v>
      </c>
      <c r="G204" s="477">
        <f>'Offroad Data'!F599/'Constants &amp; Conversions'!$D$32</f>
        <v>27.094367122563476</v>
      </c>
      <c r="H204" s="477">
        <f>'Offroad Data'!G599/'Constants &amp; Conversions'!$D$32</f>
        <v>14.035451722684051</v>
      </c>
      <c r="I204" s="477">
        <f>'Offroad Data'!H599/'Constants &amp; Conversions'!$D$32</f>
        <v>1.2524577632469369</v>
      </c>
      <c r="J204" s="477">
        <f>'Offroad Data'!I599/'Constants &amp; Conversions'!$D$32</f>
        <v>23.88511799898443</v>
      </c>
      <c r="K204" s="477">
        <f>'Offroad Data'!J599/'Constants &amp; Conversions'!$D$32</f>
        <v>6.5730739119347845</v>
      </c>
      <c r="L204" s="477">
        <f>'Offroad Data'!K599/'Constants &amp; Conversions'!$D$32</f>
        <v>10.823571739954531</v>
      </c>
      <c r="M204" s="375">
        <f t="shared" si="30"/>
        <v>139.71895026814767</v>
      </c>
      <c r="N204" s="66"/>
      <c r="O204" s="302"/>
      <c r="P204" s="302"/>
      <c r="Q204" s="302"/>
      <c r="R204" s="302"/>
    </row>
    <row r="205" spans="1:18" x14ac:dyDescent="0.15">
      <c r="A205" s="82"/>
      <c r="B205" s="173" t="s">
        <v>164</v>
      </c>
      <c r="C205" s="173" t="s">
        <v>161</v>
      </c>
      <c r="D205" s="477">
        <f>'Offroad Data'!C600/'Constants &amp; Conversions'!$D$32</f>
        <v>0</v>
      </c>
      <c r="E205" s="477">
        <f>'Offroad Data'!D600/'Constants &amp; Conversions'!$D$32</f>
        <v>1.7141808741433201E-2</v>
      </c>
      <c r="F205" s="477">
        <f>'Offroad Data'!E600/'Constants &amp; Conversions'!$D$32</f>
        <v>1.7141808741433201E-2</v>
      </c>
      <c r="G205" s="477">
        <f>'Offroad Data'!F600/'Constants &amp; Conversions'!$D$32</f>
        <v>2.7811022295270603E-3</v>
      </c>
      <c r="H205" s="477">
        <f>'Offroad Data'!G600/'Constants &amp; Conversions'!$D$32</f>
        <v>4.2151547058650405E-3</v>
      </c>
      <c r="I205" s="477">
        <f>'Offroad Data'!H600/'Constants &amp; Conversions'!$D$32</f>
        <v>7.4013954195295004E-3</v>
      </c>
      <c r="J205" s="477">
        <f>'Offroad Data'!I600/'Constants &amp; Conversions'!$D$32</f>
        <v>1.0222900604248001E-2</v>
      </c>
      <c r="K205" s="477">
        <f>'Offroad Data'!J600/'Constants &amp; Conversions'!$D$32</f>
        <v>2.45098818446568E-2</v>
      </c>
      <c r="L205" s="477">
        <f>'Offroad Data'!K600/'Constants &amp; Conversions'!$D$32</f>
        <v>2.5681650219508502E-2</v>
      </c>
      <c r="M205" s="375">
        <f t="shared" si="30"/>
        <v>9.1953893764768091E-2</v>
      </c>
      <c r="N205" s="66"/>
      <c r="O205" s="302"/>
      <c r="P205" s="302"/>
      <c r="Q205" s="302"/>
      <c r="R205" s="302"/>
    </row>
    <row r="206" spans="1:18" x14ac:dyDescent="0.15">
      <c r="A206" s="82"/>
      <c r="B206" s="173" t="s">
        <v>164</v>
      </c>
      <c r="C206" s="173" t="s">
        <v>163</v>
      </c>
      <c r="D206" s="477">
        <f>'Offroad Data'!C601/'Constants &amp; Conversions'!$D$32</f>
        <v>4.5397380511425194</v>
      </c>
      <c r="E206" s="477">
        <f>'Offroad Data'!D601/'Constants &amp; Conversions'!$D$32</f>
        <v>4.1798877658043194</v>
      </c>
      <c r="F206" s="477">
        <f>'Offroad Data'!E601/'Constants &amp; Conversions'!$D$32</f>
        <v>8.7196258169468379</v>
      </c>
      <c r="G206" s="477">
        <f>'Offroad Data'!F601/'Constants &amp; Conversions'!$D$32</f>
        <v>1.5164563033490841</v>
      </c>
      <c r="H206" s="477">
        <f>'Offroad Data'!G601/'Constants &amp; Conversions'!$D$32</f>
        <v>0.75822830863843627</v>
      </c>
      <c r="I206" s="477">
        <f>'Offroad Data'!H601/'Constants &amp; Conversions'!$D$32</f>
        <v>10.146863053349085</v>
      </c>
      <c r="J206" s="477">
        <f>'Offroad Data'!I601/'Constants &amp; Conversions'!$D$32</f>
        <v>4.5493702706124326</v>
      </c>
      <c r="K206" s="477">
        <f>'Offroad Data'!J601/'Constants &amp; Conversions'!$D$32</f>
        <v>1.137342597272599</v>
      </c>
      <c r="L206" s="477">
        <f>'Offroad Data'!K601/'Constants &amp; Conversions'!$D$32</f>
        <v>1.895569427147991</v>
      </c>
      <c r="M206" s="375">
        <f t="shared" si="30"/>
        <v>28.723455777316463</v>
      </c>
      <c r="N206" s="66"/>
      <c r="O206" s="302"/>
      <c r="P206" s="302"/>
      <c r="Q206" s="302"/>
      <c r="R206" s="302"/>
    </row>
    <row r="207" spans="1:18" x14ac:dyDescent="0.15">
      <c r="A207" s="82"/>
      <c r="B207" s="173" t="s">
        <v>165</v>
      </c>
      <c r="C207" s="173" t="s">
        <v>155</v>
      </c>
      <c r="D207" s="477">
        <f>'Offroad Data'!C603/'Constants &amp; Conversions'!$D$32</f>
        <v>0</v>
      </c>
      <c r="E207" s="477">
        <f>'Offroad Data'!D603/'Constants &amp; Conversions'!$D$32</f>
        <v>3.247619312962869E-2</v>
      </c>
      <c r="F207" s="477">
        <f>'Offroad Data'!E603/'Constants &amp; Conversions'!$D$32</f>
        <v>3.247619312962869E-2</v>
      </c>
      <c r="G207" s="477">
        <f>'Offroad Data'!F603/'Constants &amp; Conversions'!$D$32</f>
        <v>1.0906399490012047E-2</v>
      </c>
      <c r="H207" s="477">
        <f>'Offroad Data'!G603/'Constants &amp; Conversions'!$D$32</f>
        <v>0.38987727315698051</v>
      </c>
      <c r="I207" s="477">
        <f>'Offroad Data'!H603/'Constants &amp; Conversions'!$D$32</f>
        <v>0.3413961172161446</v>
      </c>
      <c r="J207" s="477">
        <f>'Offroad Data'!I603/'Constants &amp; Conversions'!$D$32</f>
        <v>6.4687699027363918E-2</v>
      </c>
      <c r="K207" s="477">
        <f>'Offroad Data'!J603/'Constants &amp; Conversions'!$D$32</f>
        <v>0.43963839081366762</v>
      </c>
      <c r="L207" s="477">
        <f>'Offroad Data'!K603/'Constants &amp; Conversions'!$D$32</f>
        <v>0.53163641680890417</v>
      </c>
      <c r="M207" s="375">
        <f t="shared" si="30"/>
        <v>1.8106184896427013</v>
      </c>
      <c r="N207" s="66"/>
      <c r="O207" s="302"/>
      <c r="P207" s="302"/>
      <c r="Q207" s="302"/>
      <c r="R207" s="302"/>
    </row>
    <row r="208" spans="1:18" x14ac:dyDescent="0.15">
      <c r="A208" s="82"/>
      <c r="B208" s="173" t="s">
        <v>165</v>
      </c>
      <c r="C208" s="173" t="s">
        <v>159</v>
      </c>
      <c r="D208" s="477">
        <f>'Offroad Data'!C604/'Constants &amp; Conversions'!$D$32</f>
        <v>0.63816987329101504</v>
      </c>
      <c r="E208" s="477">
        <f>'Offroad Data'!D604/'Constants &amp; Conversions'!$D$32</f>
        <v>0</v>
      </c>
      <c r="F208" s="477">
        <f>'Offroad Data'!E604/'Constants &amp; Conversions'!$D$32</f>
        <v>0.63816987329101504</v>
      </c>
      <c r="G208" s="477">
        <f>'Offroad Data'!F604/'Constants &amp; Conversions'!$D$32</f>
        <v>1.5024147656559901E-4</v>
      </c>
      <c r="H208" s="477">
        <f>'Offroad Data'!G604/'Constants &amp; Conversions'!$D$32</f>
        <v>6.8421174541115706E-5</v>
      </c>
      <c r="I208" s="477">
        <f>'Offroad Data'!H604/'Constants &amp; Conversions'!$D$32</f>
        <v>0</v>
      </c>
      <c r="J208" s="477">
        <f>'Offroad Data'!I604/'Constants &amp; Conversions'!$D$32</f>
        <v>7.5548404365777898E-5</v>
      </c>
      <c r="K208" s="477">
        <f>'Offroad Data'!J604/'Constants &amp; Conversions'!$D$32</f>
        <v>6.5570280790328892E-5</v>
      </c>
      <c r="L208" s="477">
        <f>'Offroad Data'!K604/'Constants &amp; Conversions'!$D$32</f>
        <v>1.5394767153262999E-4</v>
      </c>
      <c r="M208" s="375">
        <f t="shared" si="30"/>
        <v>0.63868360229881049</v>
      </c>
      <c r="N208" s="66"/>
      <c r="O208" s="302"/>
      <c r="P208" s="302"/>
      <c r="Q208" s="302"/>
      <c r="R208" s="302"/>
    </row>
    <row r="209" spans="1:18" x14ac:dyDescent="0.15">
      <c r="A209" s="82"/>
      <c r="B209" s="173" t="s">
        <v>165</v>
      </c>
      <c r="C209" s="173" t="s">
        <v>104</v>
      </c>
      <c r="D209" s="477">
        <f>'Offroad Data'!C605/'Constants &amp; Conversions'!$D$32</f>
        <v>54.565154510167055</v>
      </c>
      <c r="E209" s="477">
        <f>'Offroad Data'!D605/'Constants &amp; Conversions'!$D$32</f>
        <v>105.51950486497229</v>
      </c>
      <c r="F209" s="477">
        <f>'Offroad Data'!E605/'Constants &amp; Conversions'!$D$32</f>
        <v>160.08465937513932</v>
      </c>
      <c r="G209" s="477">
        <f>'Offroad Data'!F605/'Constants &amp; Conversions'!$D$32</f>
        <v>58.061111756277761</v>
      </c>
      <c r="H209" s="477">
        <f>'Offroad Data'!G605/'Constants &amp; Conversions'!$D$32</f>
        <v>16.04590964891268</v>
      </c>
      <c r="I209" s="477">
        <f>'Offroad Data'!H605/'Constants &amp; Conversions'!$D$32</f>
        <v>1.3668047718124374</v>
      </c>
      <c r="J209" s="477">
        <f>'Offroad Data'!I605/'Constants &amp; Conversions'!$D$32</f>
        <v>27.317369564095571</v>
      </c>
      <c r="K209" s="477">
        <f>'Offroad Data'!J605/'Constants &amp; Conversions'!$D$32</f>
        <v>10.073158700413266</v>
      </c>
      <c r="L209" s="477">
        <f>'Offroad Data'!K605/'Constants &amp; Conversions'!$D$32</f>
        <v>13.181237989576042</v>
      </c>
      <c r="M209" s="375">
        <f t="shared" si="30"/>
        <v>286.13025180622708</v>
      </c>
      <c r="N209" s="66"/>
      <c r="O209" s="302"/>
      <c r="P209" s="302"/>
      <c r="Q209" s="302"/>
      <c r="R209" s="302"/>
    </row>
    <row r="210" spans="1:18" x14ac:dyDescent="0.15">
      <c r="A210" s="82"/>
      <c r="B210" s="173" t="s">
        <v>165</v>
      </c>
      <c r="C210" s="173" t="s">
        <v>156</v>
      </c>
      <c r="D210" s="477">
        <f>'Offroad Data'!C606/'Constants &amp; Conversions'!$D$32</f>
        <v>5.1669670095223657</v>
      </c>
      <c r="E210" s="477">
        <f>'Offroad Data'!D606/'Constants &amp; Conversions'!$D$32</f>
        <v>9.9920142331285273</v>
      </c>
      <c r="F210" s="477">
        <f>'Offroad Data'!E606/'Constants &amp; Conversions'!$D$32</f>
        <v>15.158981242650894</v>
      </c>
      <c r="G210" s="477">
        <f>'Offroad Data'!F606/'Constants &amp; Conversions'!$D$32</f>
        <v>3.8016003975242141</v>
      </c>
      <c r="H210" s="477">
        <f>'Offroad Data'!G606/'Constants &amp; Conversions'!$D$32</f>
        <v>3.4824018858698205</v>
      </c>
      <c r="I210" s="477">
        <f>'Offroad Data'!H606/'Constants &amp; Conversions'!$D$32</f>
        <v>0.81174047543199468</v>
      </c>
      <c r="J210" s="477">
        <f>'Offroad Data'!I606/'Constants &amp; Conversions'!$D$32</f>
        <v>2.807813788772374</v>
      </c>
      <c r="K210" s="477">
        <f>'Offroad Data'!J606/'Constants &amp; Conversions'!$D$32</f>
        <v>2.1274271090012999</v>
      </c>
      <c r="L210" s="477">
        <f>'Offroad Data'!K606/'Constants &amp; Conversions'!$D$32</f>
        <v>4.9874495538107952</v>
      </c>
      <c r="M210" s="375">
        <f t="shared" si="30"/>
        <v>33.177414453061395</v>
      </c>
      <c r="N210" s="66"/>
      <c r="O210" s="302"/>
      <c r="P210" s="302"/>
      <c r="Q210" s="302"/>
      <c r="R210" s="302"/>
    </row>
    <row r="211" spans="1:18" x14ac:dyDescent="0.15">
      <c r="A211" s="82"/>
      <c r="B211" s="173" t="s">
        <v>165</v>
      </c>
      <c r="C211" s="173" t="s">
        <v>157</v>
      </c>
      <c r="D211" s="477">
        <f>'Offroad Data'!C607/'Constants &amp; Conversions'!$D$32</f>
        <v>9.0032842963585136</v>
      </c>
      <c r="E211" s="477">
        <f>'Offroad Data'!D607/'Constants &amp; Conversions'!$D$32</f>
        <v>17.410783670250844</v>
      </c>
      <c r="F211" s="477">
        <f>'Offroad Data'!E607/'Constants &amp; Conversions'!$D$32</f>
        <v>26.414067966609355</v>
      </c>
      <c r="G211" s="477">
        <f>'Offroad Data'!F607/'Constants &amp; Conversions'!$D$32</f>
        <v>6.7602376602886611</v>
      </c>
      <c r="H211" s="477">
        <f>'Offroad Data'!G607/'Constants &amp; Conversions'!$D$32</f>
        <v>3.5974319972899274</v>
      </c>
      <c r="I211" s="477">
        <f>'Offroad Data'!H607/'Constants &amp; Conversions'!$D$32</f>
        <v>0.20954217284945068</v>
      </c>
      <c r="J211" s="477">
        <f>'Offroad Data'!I607/'Constants &amp; Conversions'!$D$32</f>
        <v>5.1328960691250307</v>
      </c>
      <c r="K211" s="477">
        <f>'Offroad Data'!J607/'Constants &amp; Conversions'!$D$32</f>
        <v>2.6733612850612878</v>
      </c>
      <c r="L211" s="477">
        <f>'Offroad Data'!K607/'Constants &amp; Conversions'!$D$32</f>
        <v>2.4711841118229412</v>
      </c>
      <c r="M211" s="375">
        <f t="shared" si="30"/>
        <v>47.258721263046667</v>
      </c>
      <c r="N211" s="66"/>
      <c r="O211" s="302"/>
      <c r="P211" s="302"/>
      <c r="Q211" s="302"/>
      <c r="R211" s="302"/>
    </row>
    <row r="212" spans="1:18" x14ac:dyDescent="0.15">
      <c r="A212" s="82"/>
      <c r="B212" s="173" t="s">
        <v>165</v>
      </c>
      <c r="C212" s="173" t="s">
        <v>160</v>
      </c>
      <c r="D212" s="477">
        <f>'Offroad Data'!C608/'Constants &amp; Conversions'!$D$32</f>
        <v>90.585703581438693</v>
      </c>
      <c r="E212" s="477">
        <f>'Offroad Data'!D608/'Constants &amp; Conversions'!$D$32</f>
        <v>286.58892488705163</v>
      </c>
      <c r="F212" s="477">
        <f>'Offroad Data'!E608/'Constants &amp; Conversions'!$D$32</f>
        <v>377.17462846849031</v>
      </c>
      <c r="G212" s="477">
        <f>'Offroad Data'!F608/'Constants &amp; Conversions'!$D$32</f>
        <v>158.51500654023539</v>
      </c>
      <c r="H212" s="477">
        <f>'Offroad Data'!G608/'Constants &amp; Conversions'!$D$32</f>
        <v>81.092091076559541</v>
      </c>
      <c r="I212" s="477">
        <f>'Offroad Data'!H608/'Constants &amp; Conversions'!$D$32</f>
        <v>7.5627224164305353</v>
      </c>
      <c r="J212" s="477">
        <f>'Offroad Data'!I608/'Constants &amp; Conversions'!$D$32</f>
        <v>137.29851081125881</v>
      </c>
      <c r="K212" s="477">
        <f>'Offroad Data'!J608/'Constants &amp; Conversions'!$D$32</f>
        <v>39.02111456105645</v>
      </c>
      <c r="L212" s="477">
        <f>'Offroad Data'!K608/'Constants &amp; Conversions'!$D$32</f>
        <v>65.221938208414571</v>
      </c>
      <c r="M212" s="375">
        <f t="shared" si="30"/>
        <v>865.88601208244563</v>
      </c>
      <c r="N212" s="66"/>
      <c r="O212" s="302"/>
      <c r="P212" s="302"/>
      <c r="Q212" s="302"/>
      <c r="R212" s="302"/>
    </row>
    <row r="213" spans="1:18" x14ac:dyDescent="0.15">
      <c r="A213" s="82"/>
      <c r="B213" s="173" t="s">
        <v>165</v>
      </c>
      <c r="C213" s="173" t="s">
        <v>161</v>
      </c>
      <c r="D213" s="477">
        <f>'Offroad Data'!C609/'Constants &amp; Conversions'!$D$32</f>
        <v>0</v>
      </c>
      <c r="E213" s="477">
        <f>'Offroad Data'!D609/'Constants &amp; Conversions'!$D$32</f>
        <v>3.6457787507942735E-2</v>
      </c>
      <c r="F213" s="477">
        <f>'Offroad Data'!E609/'Constants &amp; Conversions'!$D$32</f>
        <v>3.6457787507942735E-2</v>
      </c>
      <c r="G213" s="477">
        <f>'Offroad Data'!F609/'Constants &amp; Conversions'!$D$32</f>
        <v>5.9149437973541833E-3</v>
      </c>
      <c r="H213" s="477">
        <f>'Offroad Data'!G609/'Constants &amp; Conversions'!$D$32</f>
        <v>8.9649235083631065E-3</v>
      </c>
      <c r="I213" s="477">
        <f>'Offroad Data'!H609/'Constants &amp; Conversions'!$D$32</f>
        <v>1.5741544721620374E-2</v>
      </c>
      <c r="J213" s="477">
        <f>'Offroad Data'!I609/'Constants &amp; Conversions'!$D$32</f>
        <v>2.1742406397598064E-2</v>
      </c>
      <c r="K213" s="477">
        <f>'Offroad Data'!J609/'Constants &amp; Conversions'!$D$32</f>
        <v>5.2128464244569996E-2</v>
      </c>
      <c r="L213" s="477">
        <f>'Offroad Data'!K609/'Constants &amp; Conversions'!$D$32</f>
        <v>5.4620605047089696E-2</v>
      </c>
      <c r="M213" s="375">
        <f t="shared" si="30"/>
        <v>0.19557067522453814</v>
      </c>
      <c r="N213" s="66"/>
      <c r="O213" s="302"/>
      <c r="P213" s="302"/>
      <c r="Q213" s="302"/>
      <c r="R213" s="302"/>
    </row>
    <row r="214" spans="1:18" x14ac:dyDescent="0.15">
      <c r="A214" s="82"/>
      <c r="B214" s="173" t="s">
        <v>165</v>
      </c>
      <c r="C214" s="173" t="s">
        <v>158</v>
      </c>
      <c r="D214" s="477">
        <f>'Offroad Data'!C610/'Constants &amp; Conversions'!$D$32</f>
        <v>0.10997872402264612</v>
      </c>
      <c r="E214" s="477">
        <f>'Offroad Data'!D610/'Constants &amp; Conversions'!$D$32</f>
        <v>0.21267969657061492</v>
      </c>
      <c r="F214" s="477">
        <f>'Offroad Data'!E610/'Constants &amp; Conversions'!$D$32</f>
        <v>0.32265842059326105</v>
      </c>
      <c r="G214" s="477">
        <f>'Offroad Data'!F610/'Constants &amp; Conversions'!$D$32</f>
        <v>0.26350424615478502</v>
      </c>
      <c r="H214" s="477">
        <f>'Offroad Data'!G610/'Constants &amp; Conversions'!$D$32</f>
        <v>3.2265842346191398E-2</v>
      </c>
      <c r="I214" s="477">
        <f>'Offroad Data'!H610/'Constants &amp; Conversions'!$D$32</f>
        <v>0</v>
      </c>
      <c r="J214" s="477">
        <f>'Offroad Data'!I610/'Constants &amp; Conversions'!$D$32</f>
        <v>0.20972805227661101</v>
      </c>
      <c r="K214" s="477">
        <f>'Offroad Data'!J610/'Constants &amp; Conversions'!$D$32</f>
        <v>0</v>
      </c>
      <c r="L214" s="477">
        <f>'Offroad Data'!K610/'Constants &amp; Conversions'!$D$32</f>
        <v>0.32265842059326105</v>
      </c>
      <c r="M214" s="375">
        <f t="shared" si="30"/>
        <v>1.1508149819641094</v>
      </c>
      <c r="N214" s="66"/>
      <c r="O214" s="302"/>
      <c r="P214" s="302"/>
      <c r="Q214" s="302"/>
      <c r="R214" s="302"/>
    </row>
    <row r="215" spans="1:18" x14ac:dyDescent="0.15">
      <c r="A215" s="82"/>
      <c r="B215" s="173" t="s">
        <v>165</v>
      </c>
      <c r="C215" s="173" t="s">
        <v>162</v>
      </c>
      <c r="D215" s="477">
        <f>'Offroad Data'!C611/'Constants &amp; Conversions'!$D$32</f>
        <v>8.0980566453570851E-2</v>
      </c>
      <c r="E215" s="477">
        <f>'Offroad Data'!D611/'Constants &amp; Conversions'!$D$32</f>
        <v>2.884609196317716E-2</v>
      </c>
      <c r="F215" s="477">
        <f>'Offroad Data'!E611/'Constants &amp; Conversions'!$D$32</f>
        <v>0.109826658416748</v>
      </c>
      <c r="G215" s="477">
        <f>'Offroad Data'!F611/'Constants &amp; Conversions'!$D$32</f>
        <v>4.5422293028695201E-2</v>
      </c>
      <c r="H215" s="477">
        <f>'Offroad Data'!G611/'Constants &amp; Conversions'!$D$32</f>
        <v>1.97641360157557E-2</v>
      </c>
      <c r="I215" s="477">
        <f>'Offroad Data'!H611/'Constants &amp; Conversions'!$D$32</f>
        <v>3.1636928435053104E-3</v>
      </c>
      <c r="J215" s="477">
        <f>'Offroad Data'!I611/'Constants &amp; Conversions'!$D$32</f>
        <v>1.4672787776947001E-2</v>
      </c>
      <c r="K215" s="477">
        <f>'Offroad Data'!J611/'Constants &amp; Conversions'!$D$32</f>
        <v>2.8645728167125098E-3</v>
      </c>
      <c r="L215" s="477">
        <f>'Offroad Data'!K611/'Constants &amp; Conversions'!$D$32</f>
        <v>2.4273541725703597E-2</v>
      </c>
      <c r="M215" s="375">
        <f t="shared" si="30"/>
        <v>0.21998768262406732</v>
      </c>
      <c r="N215" s="66"/>
      <c r="O215" s="302"/>
      <c r="P215" s="302"/>
      <c r="Q215" s="302"/>
      <c r="R215" s="302"/>
    </row>
    <row r="216" spans="1:18" ht="15" thickBot="1" x14ac:dyDescent="0.2">
      <c r="A216" s="82"/>
      <c r="B216" s="173" t="s">
        <v>165</v>
      </c>
      <c r="C216" s="173" t="s">
        <v>163</v>
      </c>
      <c r="D216" s="477">
        <f>'Offroad Data'!C612/'Constants &amp; Conversions'!$D$32</f>
        <v>8.7800370115407667</v>
      </c>
      <c r="E216" s="477">
        <f>'Offroad Data'!D612/'Constants &amp; Conversions'!$D$32</f>
        <v>8.0840720046858561</v>
      </c>
      <c r="F216" s="477">
        <f>'Offroad Data'!E612/'Constants &amp; Conversions'!$D$32</f>
        <v>16.864109016226625</v>
      </c>
      <c r="G216" s="477">
        <f>'Offroad Data'!F612/'Constants &amp; Conversions'!$D$32</f>
        <v>4.005234467478056</v>
      </c>
      <c r="H216" s="477">
        <f>'Offroad Data'!G612/'Constants &amp; Conversions'!$D$32</f>
        <v>2.088853697356623</v>
      </c>
      <c r="I216" s="477">
        <f>'Offroad Data'!H612/'Constants &amp; Conversions'!$D$32</f>
        <v>1.9355323701738569</v>
      </c>
      <c r="J216" s="477">
        <f>'Offroad Data'!I612/'Constants &amp; Conversions'!$D$32</f>
        <v>8.3074890233459389</v>
      </c>
      <c r="K216" s="477">
        <f>'Offroad Data'!J612/'Constants &amp; Conversions'!$D$32</f>
        <v>3.047043866448524</v>
      </c>
      <c r="L216" s="477">
        <f>'Offroad Data'!K612/'Constants &amp; Conversions'!$D$32</f>
        <v>3.8423352794014907</v>
      </c>
      <c r="M216" s="375">
        <f t="shared" si="30"/>
        <v>40.090597720431113</v>
      </c>
      <c r="N216" s="66"/>
      <c r="O216" s="302"/>
      <c r="P216" s="302"/>
      <c r="Q216" s="302"/>
      <c r="R216" s="302"/>
    </row>
    <row r="217" spans="1:18" x14ac:dyDescent="0.15">
      <c r="A217" s="82"/>
      <c r="B217" s="175" t="s">
        <v>88</v>
      </c>
      <c r="C217" s="175"/>
      <c r="D217" s="371">
        <f t="shared" ref="D217:L217" si="31">SUM(D185:D216)</f>
        <v>411.97757969154918</v>
      </c>
      <c r="E217" s="371">
        <f t="shared" si="31"/>
        <v>908.42715271715326</v>
      </c>
      <c r="F217" s="371">
        <f t="shared" si="31"/>
        <v>1320.4047324087028</v>
      </c>
      <c r="G217" s="371">
        <f t="shared" si="31"/>
        <v>442.33924354927052</v>
      </c>
      <c r="H217" s="371">
        <f t="shared" si="31"/>
        <v>211.44982155280744</v>
      </c>
      <c r="I217" s="371">
        <f t="shared" si="31"/>
        <v>32.120711541429891</v>
      </c>
      <c r="J217" s="371">
        <f t="shared" si="31"/>
        <v>335.17470728941123</v>
      </c>
      <c r="K217" s="371">
        <f t="shared" si="31"/>
        <v>130.36256623291527</v>
      </c>
      <c r="L217" s="371">
        <f t="shared" si="31"/>
        <v>173.95418695818762</v>
      </c>
      <c r="M217" s="377">
        <f>SUM(F217:L217)</f>
        <v>2645.8059695327252</v>
      </c>
      <c r="N217" s="66"/>
      <c r="O217" s="302"/>
      <c r="P217" s="302"/>
      <c r="Q217" s="302"/>
      <c r="R217" s="302"/>
    </row>
    <row r="218" spans="1:18" x14ac:dyDescent="0.15">
      <c r="A218" s="82"/>
      <c r="B218" s="82"/>
      <c r="C218" s="82"/>
      <c r="D218" s="138"/>
      <c r="E218" s="183"/>
      <c r="F218" s="183"/>
      <c r="G218" s="183"/>
      <c r="H218" s="183"/>
      <c r="I218" s="183"/>
      <c r="J218" s="183"/>
      <c r="K218" s="183"/>
      <c r="L218" s="183"/>
      <c r="M218" s="384"/>
      <c r="N218" s="119"/>
      <c r="O218" s="302"/>
      <c r="P218" s="302"/>
      <c r="Q218" s="302"/>
      <c r="R218" s="302"/>
    </row>
    <row r="219" spans="1:18" x14ac:dyDescent="0.15">
      <c r="A219" s="66"/>
      <c r="B219" s="82" t="s">
        <v>166</v>
      </c>
      <c r="C219" s="119"/>
      <c r="D219" s="119"/>
      <c r="E219" s="119"/>
      <c r="F219" s="119"/>
      <c r="G219" s="119"/>
      <c r="H219" s="119"/>
      <c r="I219" s="119"/>
      <c r="J219" s="119"/>
      <c r="K219" s="119"/>
      <c r="L219" s="119"/>
      <c r="M219" s="379"/>
      <c r="N219" s="119"/>
      <c r="O219" s="302"/>
      <c r="P219" s="302"/>
      <c r="Q219" s="302"/>
      <c r="R219" s="302"/>
    </row>
    <row r="220" spans="1:18" x14ac:dyDescent="0.15">
      <c r="A220" s="118"/>
      <c r="B220" s="372" t="s">
        <v>152</v>
      </c>
      <c r="C220" s="372" t="s">
        <v>153</v>
      </c>
      <c r="D220" s="373" t="s">
        <v>58</v>
      </c>
      <c r="E220" s="373" t="s">
        <v>100</v>
      </c>
      <c r="F220" s="373" t="s">
        <v>59</v>
      </c>
      <c r="G220" s="373" t="s">
        <v>60</v>
      </c>
      <c r="H220" s="373" t="s">
        <v>62</v>
      </c>
      <c r="I220" s="373" t="s">
        <v>61</v>
      </c>
      <c r="J220" s="373" t="s">
        <v>63</v>
      </c>
      <c r="K220" s="373" t="s">
        <v>64</v>
      </c>
      <c r="L220" s="373" t="s">
        <v>65</v>
      </c>
      <c r="M220" s="380" t="s">
        <v>88</v>
      </c>
      <c r="N220" s="66"/>
      <c r="O220" s="302"/>
      <c r="P220" s="302"/>
      <c r="Q220" s="302"/>
      <c r="R220" s="302"/>
    </row>
    <row r="221" spans="1:18" x14ac:dyDescent="0.15">
      <c r="A221" s="118"/>
      <c r="B221" s="72" t="s">
        <v>154</v>
      </c>
      <c r="C221" s="72" t="s">
        <v>155</v>
      </c>
      <c r="D221" s="477">
        <f>'Offroad Data'!P445*SUMIFS('Emission Factors'!$F$60:$F$100,'Emission Factors'!$B$60:$B$100,'Off-road'!$B221,'Emission Factors'!$A$60:$A$100,'Off-road'!$C221)/grams_to_mton</f>
        <v>0</v>
      </c>
      <c r="E221" s="477">
        <f>'Offroad Data'!Q445*SUMIFS('Emission Factors'!$F$60:$F$100,'Emission Factors'!$B$60:$B$100,'Off-road'!$B221,'Emission Factors'!$A$60:$A$100,'Off-road'!$C221)/grams_to_mton</f>
        <v>6.3041904289772426E-5</v>
      </c>
      <c r="F221" s="477">
        <f>'Offroad Data'!R445*SUMIFS('Emission Factors'!$F$60:$F$100,'Emission Factors'!$B$60:$B$100,'Off-road'!$B221,'Emission Factors'!$A$60:$A$100,'Off-road'!$C221)/grams_to_mton</f>
        <v>6.3041904289772426E-5</v>
      </c>
      <c r="G221" s="477">
        <f>'Offroad Data'!S445*SUMIFS('Emission Factors'!$F$60:$F$100,'Emission Factors'!$B$60:$B$100,'Off-road'!$B221,'Emission Factors'!$A$60:$A$100,'Off-road'!$C221)/grams_to_mton</f>
        <v>2.1171177492935616E-5</v>
      </c>
      <c r="H221" s="477">
        <f>'Offroad Data'!T445*SUMIFS('Emission Factors'!$F$60:$F$100,'Emission Factors'!$B$60:$B$100,'Off-road'!$B221,'Emission Factors'!$A$60:$A$100,'Off-road'!$C221)/grams_to_mton</f>
        <v>7.5681876785771039E-4</v>
      </c>
      <c r="I221" s="477">
        <f>'Offroad Data'!U445*SUMIFS('Emission Factors'!$F$60:$F$100,'Emission Factors'!$B$60:$B$100,'Off-road'!$B221,'Emission Factors'!$A$60:$A$100,'Off-road'!$C221)/grams_to_mton</f>
        <v>6.6270853966375013E-4</v>
      </c>
      <c r="J221" s="477">
        <f>'Offroad Data'!V445*SUMIFS('Emission Factors'!$F$60:$F$100,'Emission Factors'!$B$60:$B$100,'Off-road'!$B221,'Emission Factors'!$A$60:$A$100,'Off-road'!$C221)/grams_to_mton</f>
        <v>1.2557009106124145E-4</v>
      </c>
      <c r="K221" s="477">
        <f>'Offroad Data'!W445*SUMIFS('Emission Factors'!$F$60:$F$100,'Emission Factors'!$B$60:$B$100,'Off-road'!$B221,'Emission Factors'!$A$60:$A$100,'Off-road'!$C221)/grams_to_mton</f>
        <v>8.5341328243451297E-4</v>
      </c>
      <c r="L221" s="477">
        <f>'Offroad Data'!X445*SUMIFS('Emission Factors'!$F$60:$F$100,'Emission Factors'!$B$60:$B$100,'Off-road'!$B221,'Emission Factors'!$A$60:$A$100,'Off-road'!$C221)/grams_to_mton</f>
        <v>1.0319980597284779E-3</v>
      </c>
      <c r="M221" s="375">
        <f t="shared" ref="M221:M253" si="32">SUM(F221:L221)</f>
        <v>3.514721822528401E-3</v>
      </c>
      <c r="N221" s="66"/>
      <c r="O221" s="302"/>
      <c r="P221" s="302"/>
      <c r="Q221" s="302"/>
      <c r="R221" s="302"/>
    </row>
    <row r="222" spans="1:18" x14ac:dyDescent="0.15">
      <c r="A222" s="118"/>
      <c r="B222" s="72" t="s">
        <v>154</v>
      </c>
      <c r="C222" s="72" t="s">
        <v>104</v>
      </c>
      <c r="D222" s="477">
        <f>'Offroad Data'!P446*SUMIFS('Emission Factors'!$F$60:$F$100,'Emission Factors'!$B$60:$B$100,'Off-road'!$B222,'Emission Factors'!$A$60:$A$100,'Off-road'!$C222)/grams_to_mton</f>
        <v>3.5634758865308688E-2</v>
      </c>
      <c r="E222" s="477">
        <f>'Offroad Data'!Q446*SUMIFS('Emission Factors'!$F$60:$F$100,'Emission Factors'!$B$60:$B$100,'Off-road'!$B222,'Emission Factors'!$A$60:$A$100,'Off-road'!$C222)/grams_to_mton</f>
        <v>6.8911416914423443E-2</v>
      </c>
      <c r="F222" s="477">
        <f>'Offroad Data'!R446*SUMIFS('Emission Factors'!$F$60:$F$100,'Emission Factors'!$B$60:$B$100,'Off-road'!$B222,'Emission Factors'!$A$60:$A$100,'Off-road'!$C222)/grams_to_mton</f>
        <v>0.10454617577973212</v>
      </c>
      <c r="G222" s="477">
        <f>'Offroad Data'!S446*SUMIFS('Emission Factors'!$F$60:$F$100,'Emission Factors'!$B$60:$B$100,'Off-road'!$B222,'Emission Factors'!$A$60:$A$100,'Off-road'!$C222)/grams_to_mton</f>
        <v>3.7917879742721518E-2</v>
      </c>
      <c r="H222" s="477">
        <f>'Offroad Data'!T446*SUMIFS('Emission Factors'!$F$60:$F$100,'Emission Factors'!$B$60:$B$100,'Off-road'!$B222,'Emission Factors'!$A$60:$A$100,'Off-road'!$C222)/grams_to_mton</f>
        <v>1.0479076629056061E-2</v>
      </c>
      <c r="I222" s="477">
        <f>'Offroad Data'!U446*SUMIFS('Emission Factors'!$F$60:$F$100,'Emission Factors'!$B$60:$B$100,'Off-road'!$B222,'Emission Factors'!$A$60:$A$100,'Off-road'!$C222)/grams_to_mton</f>
        <v>8.9261713780591453E-4</v>
      </c>
      <c r="J222" s="477">
        <f>'Offroad Data'!V446*SUMIFS('Emission Factors'!$F$60:$F$100,'Emission Factors'!$B$60:$B$100,'Off-road'!$B222,'Emission Factors'!$A$60:$A$100,'Off-road'!$C222)/grams_to_mton</f>
        <v>1.784011786153681E-2</v>
      </c>
      <c r="K222" s="477">
        <f>'Offroad Data'!W446*SUMIFS('Emission Factors'!$F$60:$F$100,'Emission Factors'!$B$60:$B$100,'Off-road'!$B222,'Emission Factors'!$A$60:$A$100,'Off-road'!$C222)/grams_to_mton</f>
        <v>6.5784678071405985E-3</v>
      </c>
      <c r="L222" s="477">
        <f>'Offroad Data'!X446*SUMIFS('Emission Factors'!$F$60:$F$100,'Emission Factors'!$B$60:$B$100,'Off-road'!$B222,'Emission Factors'!$A$60:$A$100,'Off-road'!$C222)/grams_to_mton</f>
        <v>8.6082489230505949E-3</v>
      </c>
      <c r="M222" s="375">
        <f t="shared" si="32"/>
        <v>0.18686258388104363</v>
      </c>
      <c r="N222" s="66"/>
      <c r="O222" s="302"/>
      <c r="P222" s="302"/>
      <c r="Q222" s="302"/>
      <c r="R222" s="302"/>
    </row>
    <row r="223" spans="1:18" x14ac:dyDescent="0.15">
      <c r="A223" s="118"/>
      <c r="B223" s="72" t="s">
        <v>154</v>
      </c>
      <c r="C223" s="72" t="s">
        <v>156</v>
      </c>
      <c r="D223" s="477">
        <f>'Offroad Data'!P447*SUMIFS('Emission Factors'!$F$60:$F$100,'Emission Factors'!$B$60:$B$100,'Off-road'!$B223,'Emission Factors'!$A$60:$A$100,'Off-road'!$C223)/grams_to_mton</f>
        <v>2.5093663903312268E-5</v>
      </c>
      <c r="E223" s="477">
        <f>'Offroad Data'!Q447*SUMIFS('Emission Factors'!$F$60:$F$100,'Emission Factors'!$B$60:$B$100,'Off-road'!$B223,'Emission Factors'!$A$60:$A$100,'Off-road'!$C223)/grams_to_mton</f>
        <v>4.8526775267028034E-5</v>
      </c>
      <c r="F223" s="477">
        <f>'Offroad Data'!R447*SUMIFS('Emission Factors'!$F$60:$F$100,'Emission Factors'!$B$60:$B$100,'Off-road'!$B223,'Emission Factors'!$A$60:$A$100,'Off-road'!$C223)/grams_to_mton</f>
        <v>7.3620439170340302E-5</v>
      </c>
      <c r="G223" s="477">
        <f>'Offroad Data'!S447*SUMIFS('Emission Factors'!$F$60:$F$100,'Emission Factors'!$B$60:$B$100,'Off-road'!$B223,'Emission Factors'!$A$60:$A$100,'Off-road'!$C223)/grams_to_mton</f>
        <v>1.8462678411586203E-5</v>
      </c>
      <c r="H223" s="477">
        <f>'Offroad Data'!T447*SUMIFS('Emission Factors'!$F$60:$F$100,'Emission Factors'!$B$60:$B$100,'Off-road'!$B223,'Emission Factors'!$A$60:$A$100,'Off-road'!$C223)/grams_to_mton</f>
        <v>1.6912464070451992E-5</v>
      </c>
      <c r="I223" s="477">
        <f>'Offroad Data'!U447*SUMIFS('Emission Factors'!$F$60:$F$100,'Emission Factors'!$B$60:$B$100,'Off-road'!$B223,'Emission Factors'!$A$60:$A$100,'Off-road'!$C223)/grams_to_mton</f>
        <v>3.9422614137224243E-6</v>
      </c>
      <c r="J223" s="477">
        <f>'Offroad Data'!V447*SUMIFS('Emission Factors'!$F$60:$F$100,'Emission Factors'!$B$60:$B$100,'Off-road'!$B223,'Emission Factors'!$A$60:$A$100,'Off-road'!$C223)/grams_to_mton</f>
        <v>1.3636306494140605E-5</v>
      </c>
      <c r="K223" s="477">
        <f>'Offroad Data'!W447*SUMIFS('Emission Factors'!$F$60:$F$100,'Emission Factors'!$B$60:$B$100,'Off-road'!$B223,'Emission Factors'!$A$60:$A$100,'Off-road'!$C223)/grams_to_mton</f>
        <v>1.0331954165631951E-5</v>
      </c>
      <c r="L223" s="477">
        <f>'Offroad Data'!X447*SUMIFS('Emission Factors'!$F$60:$F$100,'Emission Factors'!$B$60:$B$100,'Off-road'!$B223,'Emission Factors'!$A$60:$A$100,'Off-road'!$C223)/grams_to_mton</f>
        <v>2.4221816606724306E-5</v>
      </c>
      <c r="M223" s="375">
        <f t="shared" si="32"/>
        <v>1.6112792033259779E-4</v>
      </c>
      <c r="N223" s="66"/>
      <c r="O223" s="302"/>
      <c r="P223" s="302"/>
      <c r="Q223" s="302"/>
      <c r="R223" s="302"/>
    </row>
    <row r="224" spans="1:18" x14ac:dyDescent="0.15">
      <c r="A224" s="118"/>
      <c r="B224" s="173" t="s">
        <v>154</v>
      </c>
      <c r="C224" s="173" t="s">
        <v>157</v>
      </c>
      <c r="D224" s="476">
        <f>'Offroad Data'!P448*SUMIFS('Emission Factors'!$F$60:$F$100,'Emission Factors'!$B$60:$B$100,'Off-road'!$B224,'Emission Factors'!$A$60:$A$100,'Off-road'!$C224)/grams_to_mton</f>
        <v>7.9489514041053658E-2</v>
      </c>
      <c r="E224" s="476">
        <f>'Offroad Data'!Q448*SUMIFS('Emission Factors'!$F$60:$F$100,'Emission Factors'!$B$60:$B$100,'Off-road'!$B224,'Emission Factors'!$A$60:$A$100,'Off-road'!$C224)/grams_to_mton</f>
        <v>0.15371887496454123</v>
      </c>
      <c r="F224" s="476">
        <f>'Offroad Data'!R448*SUMIFS('Emission Factors'!$F$60:$F$100,'Emission Factors'!$B$60:$B$100,'Off-road'!$B224,'Emission Factors'!$A$60:$A$100,'Off-road'!$C224)/grams_to_mton</f>
        <v>0.23320838900559493</v>
      </c>
      <c r="G224" s="476">
        <f>'Offroad Data'!S448*SUMIFS('Emission Factors'!$F$60:$F$100,'Emission Factors'!$B$60:$B$100,'Off-road'!$B224,'Emission Factors'!$A$60:$A$100,'Off-road'!$C224)/grams_to_mton</f>
        <v>5.9746878975321972E-2</v>
      </c>
      <c r="H224" s="476">
        <f>'Offroad Data'!T448*SUMIFS('Emission Factors'!$F$60:$F$100,'Emission Factors'!$B$60:$B$100,'Off-road'!$B224,'Emission Factors'!$A$60:$A$100,'Off-road'!$C224)/grams_to_mton</f>
        <v>3.1800454940488852E-2</v>
      </c>
      <c r="I224" s="476">
        <f>'Offroad Data'!U448*SUMIFS('Emission Factors'!$F$60:$F$100,'Emission Factors'!$B$60:$B$100,'Off-road'!$B224,'Emission Factors'!$A$60:$A$100,'Off-road'!$C224)/grams_to_mton</f>
        <v>1.8474402320746467E-3</v>
      </c>
      <c r="J224" s="476">
        <f>'Offroad Data'!V448*SUMIFS('Emission Factors'!$F$60:$F$100,'Emission Factors'!$B$60:$B$100,'Off-road'!$B224,'Emission Factors'!$A$60:$A$100,'Off-road'!$C224)/grams_to_mton</f>
        <v>4.5367715076621774E-2</v>
      </c>
      <c r="K224" s="476">
        <f>'Offroad Data'!W448*SUMIFS('Emission Factors'!$F$60:$F$100,'Emission Factors'!$B$60:$B$100,'Off-road'!$B224,'Emission Factors'!$A$60:$A$100,'Off-road'!$C224)/grams_to_mton</f>
        <v>2.3638630691459189E-2</v>
      </c>
      <c r="L224" s="476">
        <f>'Offroad Data'!X448*SUMIFS('Emission Factors'!$F$60:$F$100,'Emission Factors'!$B$60:$B$100,'Off-road'!$B224,'Emission Factors'!$A$60:$A$100,'Off-road'!$C224)/grams_to_mton</f>
        <v>2.1810468288049015E-2</v>
      </c>
      <c r="M224" s="377">
        <f t="shared" si="32"/>
        <v>0.41741997720961044</v>
      </c>
      <c r="N224" s="66"/>
      <c r="O224" s="302"/>
      <c r="P224" s="302"/>
      <c r="Q224" s="302"/>
      <c r="R224" s="302"/>
    </row>
    <row r="225" spans="1:18" x14ac:dyDescent="0.15">
      <c r="A225" s="118"/>
      <c r="B225" s="174" t="s">
        <v>154</v>
      </c>
      <c r="C225" s="174" t="s">
        <v>158</v>
      </c>
      <c r="D225" s="478">
        <f>'Offroad Data'!P449*SUMIFS('Emission Factors'!$F$60:$F$100,'Emission Factors'!$B$60:$B$100,'Off-road'!$B225,'Emission Factors'!$A$60:$A$100,'Off-road'!$C225)/grams_to_mton</f>
        <v>8.536035008570585E-4</v>
      </c>
      <c r="E225" s="478">
        <f>'Offroad Data'!Q449*SUMIFS('Emission Factors'!$F$60:$F$100,'Emission Factors'!$B$60:$B$100,'Off-road'!$B225,'Emission Factors'!$A$60:$A$100,'Off-road'!$C225)/grams_to_mton</f>
        <v>1.6507204931429417E-3</v>
      </c>
      <c r="F225" s="478">
        <f>'Offroad Data'!R449*SUMIFS('Emission Factors'!$F$60:$F$100,'Emission Factors'!$B$60:$B$100,'Off-road'!$B225,'Emission Factors'!$A$60:$A$100,'Off-road'!$C225)/grams_to_mton</f>
        <v>2.5043239940000005E-3</v>
      </c>
      <c r="G225" s="478">
        <f>'Offroad Data'!S449*SUMIFS('Emission Factors'!$F$60:$F$100,'Emission Factors'!$B$60:$B$100,'Off-road'!$B225,'Emission Factors'!$A$60:$A$100,'Off-road'!$C225)/grams_to_mton</f>
        <v>2.0452008500000001E-3</v>
      </c>
      <c r="H225" s="478">
        <f>'Offroad Data'!T449*SUMIFS('Emission Factors'!$F$60:$F$100,'Emission Factors'!$B$60:$B$100,'Off-road'!$B225,'Emission Factors'!$A$60:$A$100,'Off-road'!$C225)/grams_to_mton</f>
        <v>2.5043239931835923E-4</v>
      </c>
      <c r="I225" s="478">
        <f>'Offroad Data'!U449*SUMIFS('Emission Factors'!$F$60:$F$100,'Emission Factors'!$B$60:$B$100,'Off-road'!$B225,'Emission Factors'!$A$60:$A$100,'Off-road'!$C225)/grams_to_mton</f>
        <v>0</v>
      </c>
      <c r="J225" s="478">
        <f>'Offroad Data'!V449*SUMIFS('Emission Factors'!$F$60:$F$100,'Emission Factors'!$B$60:$B$100,'Off-road'!$B225,'Emission Factors'!$A$60:$A$100,'Off-road'!$C225)/grams_to_mton</f>
        <v>1.6278099086562499E-3</v>
      </c>
      <c r="K225" s="478">
        <f>'Offroad Data'!W449*SUMIFS('Emission Factors'!$F$60:$F$100,'Emission Factors'!$B$60:$B$100,'Off-road'!$B225,'Emission Factors'!$A$60:$A$100,'Off-road'!$C225)/grams_to_mton</f>
        <v>0</v>
      </c>
      <c r="L225" s="478">
        <f>'Offroad Data'!X449*SUMIFS('Emission Factors'!$F$60:$F$100,'Emission Factors'!$B$60:$B$100,'Off-road'!$B225,'Emission Factors'!$A$60:$A$100,'Off-road'!$C225)/grams_to_mton</f>
        <v>2.5043239940000005E-3</v>
      </c>
      <c r="M225" s="376">
        <f t="shared" si="32"/>
        <v>8.9320911459746105E-3</v>
      </c>
      <c r="N225" s="66"/>
      <c r="O225" s="302"/>
      <c r="P225" s="302"/>
      <c r="Q225" s="302"/>
      <c r="R225" s="302"/>
    </row>
    <row r="226" spans="1:18" x14ac:dyDescent="0.15">
      <c r="A226" s="118"/>
      <c r="B226" s="72" t="s">
        <v>146</v>
      </c>
      <c r="C226" s="72" t="s">
        <v>155</v>
      </c>
      <c r="D226" s="477">
        <f>'Offroad Data'!P450*SUMIFS('Emission Factors'!$F$60:$F$100,'Emission Factors'!$B$60:$B$100,'Off-road'!$B226,'Emission Factors'!$A$60:$A$100,'Off-road'!$C226)/grams_to_mton</f>
        <v>0</v>
      </c>
      <c r="E226" s="477">
        <f>'Offroad Data'!Q450*SUMIFS('Emission Factors'!$F$60:$F$100,'Emission Factors'!$B$60:$B$100,'Off-road'!$B226,'Emission Factors'!$A$60:$A$100,'Off-road'!$C226)/grams_to_mton</f>
        <v>0.16581595380909064</v>
      </c>
      <c r="F226" s="477">
        <f>'Offroad Data'!R450*SUMIFS('Emission Factors'!$F$60:$F$100,'Emission Factors'!$B$60:$B$100,'Off-road'!$B226,'Emission Factors'!$A$60:$A$100,'Off-road'!$C226)/grams_to_mton</f>
        <v>0.16581595380909064</v>
      </c>
      <c r="G226" s="477">
        <f>'Offroad Data'!S450*SUMIFS('Emission Factors'!$F$60:$F$100,'Emission Factors'!$B$60:$B$100,'Off-road'!$B226,'Emission Factors'!$A$60:$A$100,'Off-road'!$C226)/grams_to_mton</f>
        <v>5.568557421669354E-2</v>
      </c>
      <c r="H226" s="477">
        <f>'Offroad Data'!T450*SUMIFS('Emission Factors'!$F$60:$F$100,'Emission Factors'!$B$60:$B$100,'Off-road'!$B226,'Emission Factors'!$A$60:$A$100,'Off-road'!$C226)/grams_to_mton</f>
        <v>1.9906235118544091</v>
      </c>
      <c r="I226" s="477">
        <f>'Offroad Data'!U450*SUMIFS('Emission Factors'!$F$60:$F$100,'Emission Factors'!$B$60:$B$100,'Off-road'!$B226,'Emission Factors'!$A$60:$A$100,'Off-road'!$C226)/grams_to_mton</f>
        <v>1.7430889968938612</v>
      </c>
      <c r="J226" s="477">
        <f>'Offroad Data'!V450*SUMIFS('Emission Factors'!$F$60:$F$100,'Emission Factors'!$B$60:$B$100,'Off-road'!$B226,'Emission Factors'!$A$60:$A$100,'Off-road'!$C226)/grams_to_mton</f>
        <v>0.33028073323917112</v>
      </c>
      <c r="K226" s="477">
        <f>'Offroad Data'!W450*SUMIFS('Emission Factors'!$F$60:$F$100,'Emission Factors'!$B$60:$B$100,'Off-road'!$B226,'Emission Factors'!$A$60:$A$100,'Off-road'!$C226)/grams_to_mton</f>
        <v>2.2446936497427301</v>
      </c>
      <c r="L226" s="477">
        <f>'Offroad Data'!X450*SUMIFS('Emission Factors'!$F$60:$F$100,'Emission Factors'!$B$60:$B$100,'Off-road'!$B226,'Emission Factors'!$A$60:$A$100,'Off-road'!$C226)/grams_to_mton</f>
        <v>2.7144168010030314</v>
      </c>
      <c r="M226" s="375">
        <f t="shared" si="32"/>
        <v>9.2446052207589862</v>
      </c>
      <c r="N226" s="66"/>
      <c r="O226" s="302"/>
      <c r="P226" s="302"/>
      <c r="Q226" s="302"/>
      <c r="R226" s="302"/>
    </row>
    <row r="227" spans="1:18" x14ac:dyDescent="0.15">
      <c r="A227" s="118"/>
      <c r="B227" s="72" t="s">
        <v>146</v>
      </c>
      <c r="C227" s="72" t="s">
        <v>159</v>
      </c>
      <c r="D227" s="477">
        <f>'Offroad Data'!P451*SUMIFS('Emission Factors'!$F$60:$F$100,'Emission Factors'!$B$60:$B$100,'Off-road'!$B227,'Emission Factors'!$A$60:$A$100,'Off-road'!$C227)/grams_to_mton</f>
        <v>2.8166451674999999</v>
      </c>
      <c r="E227" s="477">
        <f>'Offroad Data'!Q451*SUMIFS('Emission Factors'!$F$60:$F$100,'Emission Factors'!$B$60:$B$100,'Off-road'!$B227,'Emission Factors'!$A$60:$A$100,'Off-road'!$C227)/grams_to_mton</f>
        <v>0</v>
      </c>
      <c r="F227" s="477">
        <f>'Offroad Data'!R451*SUMIFS('Emission Factors'!$F$60:$F$100,'Emission Factors'!$B$60:$B$100,'Off-road'!$B227,'Emission Factors'!$A$60:$A$100,'Off-road'!$C227)/grams_to_mton</f>
        <v>2.8166451674999999</v>
      </c>
      <c r="G227" s="477">
        <f>'Offroad Data'!S451*SUMIFS('Emission Factors'!$F$60:$F$100,'Emission Factors'!$B$60:$B$100,'Off-road'!$B227,'Emission Factors'!$A$60:$A$100,'Off-road'!$C227)/grams_to_mton</f>
        <v>6.631096323413061E-4</v>
      </c>
      <c r="H227" s="477">
        <f>'Offroad Data'!T451*SUMIFS('Emission Factors'!$F$60:$F$100,'Emission Factors'!$B$60:$B$100,'Off-road'!$B227,'Emission Factors'!$A$60:$A$100,'Off-road'!$C227)/grams_to_mton</f>
        <v>3.0198535179199002E-4</v>
      </c>
      <c r="I227" s="477">
        <f>'Offroad Data'!U451*SUMIFS('Emission Factors'!$F$60:$F$100,'Emission Factors'!$B$60:$B$100,'Off-road'!$B227,'Emission Factors'!$A$60:$A$100,'Off-road'!$C227)/grams_to_mton</f>
        <v>0</v>
      </c>
      <c r="J227" s="477">
        <f>'Offroad Data'!V451*SUMIFS('Emission Factors'!$F$60:$F$100,'Emission Factors'!$B$60:$B$100,'Off-road'!$B227,'Emission Factors'!$A$60:$A$100,'Off-road'!$C227)/grams_to_mton</f>
        <v>3.3344219708129864E-4</v>
      </c>
      <c r="K227" s="477">
        <f>'Offroad Data'!W451*SUMIFS('Emission Factors'!$F$60:$F$100,'Emission Factors'!$B$60:$B$100,'Off-road'!$B227,'Emission Factors'!$A$60:$A$100,'Off-road'!$C227)/grams_to_mton</f>
        <v>2.8940280545287884E-4</v>
      </c>
      <c r="L227" s="477">
        <f>'Offroad Data'!X451*SUMIFS('Emission Factors'!$F$60:$F$100,'Emission Factors'!$B$60:$B$100,'Off-road'!$B227,'Emission Factors'!$A$60:$A$100,'Off-road'!$C227)/grams_to_mton</f>
        <v>6.7946735401611146E-4</v>
      </c>
      <c r="M227" s="375">
        <f t="shared" si="32"/>
        <v>2.8189125748406836</v>
      </c>
      <c r="N227" s="66"/>
      <c r="O227" s="302"/>
      <c r="P227" s="302"/>
      <c r="Q227" s="302"/>
      <c r="R227" s="302"/>
    </row>
    <row r="228" spans="1:18" x14ac:dyDescent="0.15">
      <c r="A228" s="118"/>
      <c r="B228" s="72" t="s">
        <v>146</v>
      </c>
      <c r="C228" s="72" t="s">
        <v>104</v>
      </c>
      <c r="D228" s="477">
        <f>'Offroad Data'!P452*SUMIFS('Emission Factors'!$F$60:$F$100,'Emission Factors'!$B$60:$B$100,'Off-road'!$B228,'Emission Factors'!$A$60:$A$100,'Off-road'!$C228)/grams_to_mton</f>
        <v>2.911032110871151</v>
      </c>
      <c r="E228" s="477">
        <f>'Offroad Data'!Q452*SUMIFS('Emission Factors'!$F$60:$F$100,'Emission Factors'!$B$60:$B$100,'Off-road'!$B228,'Emission Factors'!$A$60:$A$100,'Off-road'!$C228)/grams_to_mton</f>
        <v>5.6294290695708424</v>
      </c>
      <c r="F228" s="477">
        <f>'Offroad Data'!R452*SUMIFS('Emission Factors'!$F$60:$F$100,'Emission Factors'!$B$60:$B$100,'Off-road'!$B228,'Emission Factors'!$A$60:$A$100,'Off-road'!$C228)/grams_to_mton</f>
        <v>8.5404611804419925</v>
      </c>
      <c r="G228" s="477">
        <f>'Offroad Data'!S452*SUMIFS('Emission Factors'!$F$60:$F$100,'Emission Factors'!$B$60:$B$100,'Off-road'!$B228,'Emission Factors'!$A$60:$A$100,'Off-road'!$C228)/grams_to_mton</f>
        <v>3.0975421124224258</v>
      </c>
      <c r="H228" s="477">
        <f>'Offroad Data'!T452*SUMIFS('Emission Factors'!$F$60:$F$100,'Emission Factors'!$B$60:$B$100,'Off-road'!$B228,'Emission Factors'!$A$60:$A$100,'Off-road'!$C228)/grams_to_mton</f>
        <v>0.85604390056925872</v>
      </c>
      <c r="I228" s="477">
        <f>'Offroad Data'!U452*SUMIFS('Emission Factors'!$F$60:$F$100,'Emission Factors'!$B$60:$B$100,'Off-road'!$B228,'Emission Factors'!$A$60:$A$100,'Off-road'!$C228)/grams_to_mton</f>
        <v>7.2918538900492602E-2</v>
      </c>
      <c r="J228" s="477">
        <f>'Offroad Data'!V452*SUMIFS('Emission Factors'!$F$60:$F$100,'Emission Factors'!$B$60:$B$100,'Off-road'!$B228,'Emission Factors'!$A$60:$A$100,'Off-road'!$C228)/grams_to_mton</f>
        <v>1.4573712490221409</v>
      </c>
      <c r="K228" s="477">
        <f>'Offroad Data'!W452*SUMIFS('Emission Factors'!$F$60:$F$100,'Emission Factors'!$B$60:$B$100,'Off-road'!$B228,'Emission Factors'!$A$60:$A$100,'Off-road'!$C228)/grams_to_mton</f>
        <v>0.53739974207773389</v>
      </c>
      <c r="L228" s="477">
        <f>'Offroad Data'!X452*SUMIFS('Emission Factors'!$F$60:$F$100,'Emission Factors'!$B$60:$B$100,'Off-road'!$B228,'Emission Factors'!$A$60:$A$100,'Off-road'!$C228)/grams_to_mton</f>
        <v>0.70321442623368258</v>
      </c>
      <c r="M228" s="375">
        <f t="shared" si="32"/>
        <v>15.264951149667725</v>
      </c>
      <c r="N228" s="66"/>
      <c r="O228" s="302"/>
      <c r="P228" s="302"/>
      <c r="Q228" s="302"/>
      <c r="R228" s="302"/>
    </row>
    <row r="229" spans="1:18" x14ac:dyDescent="0.15">
      <c r="A229" s="118"/>
      <c r="B229" s="72" t="s">
        <v>146</v>
      </c>
      <c r="C229" s="72" t="s">
        <v>156</v>
      </c>
      <c r="D229" s="477">
        <f>'Offroad Data'!P453*SUMIFS('Emission Factors'!$F$60:$F$100,'Emission Factors'!$B$60:$B$100,'Off-road'!$B229,'Emission Factors'!$A$60:$A$100,'Off-road'!$C229)/grams_to_mton</f>
        <v>21.00770615661428</v>
      </c>
      <c r="E229" s="477">
        <f>'Offroad Data'!Q453*SUMIFS('Emission Factors'!$F$60:$F$100,'Emission Factors'!$B$60:$B$100,'Off-road'!$B229,'Emission Factors'!$A$60:$A$100,'Off-road'!$C229)/grams_to_mton</f>
        <v>40.62524466198898</v>
      </c>
      <c r="F229" s="477">
        <f>'Offroad Data'!R453*SUMIFS('Emission Factors'!$F$60:$F$100,'Emission Factors'!$B$60:$B$100,'Off-road'!$B229,'Emission Factors'!$A$60:$A$100,'Off-road'!$C229)/grams_to_mton</f>
        <v>61.63295081860327</v>
      </c>
      <c r="G229" s="477">
        <f>'Offroad Data'!S453*SUMIFS('Emission Factors'!$F$60:$F$100,'Emission Factors'!$B$60:$B$100,'Off-road'!$B229,'Emission Factors'!$A$60:$A$100,'Off-road'!$C229)/grams_to_mton</f>
        <v>15.456430425135727</v>
      </c>
      <c r="H229" s="477">
        <f>'Offroad Data'!T453*SUMIFS('Emission Factors'!$F$60:$F$100,'Emission Factors'!$B$60:$B$100,'Off-road'!$B229,'Emission Factors'!$A$60:$A$100,'Off-road'!$C229)/grams_to_mton</f>
        <v>14.158650688668045</v>
      </c>
      <c r="I229" s="477">
        <f>'Offroad Data'!U453*SUMIFS('Emission Factors'!$F$60:$F$100,'Emission Factors'!$B$60:$B$100,'Off-road'!$B229,'Emission Factors'!$A$60:$A$100,'Off-road'!$C229)/grams_to_mton</f>
        <v>3.3003505050991091</v>
      </c>
      <c r="J229" s="477">
        <f>'Offroad Data'!V453*SUMIFS('Emission Factors'!$F$60:$F$100,'Emission Factors'!$B$60:$B$100,'Off-road'!$B229,'Emission Factors'!$A$60:$A$100,'Off-road'!$C229)/grams_to_mton</f>
        <v>11.415927010505765</v>
      </c>
      <c r="K229" s="477">
        <f>'Offroad Data'!W453*SUMIFS('Emission Factors'!$F$60:$F$100,'Emission Factors'!$B$60:$B$100,'Off-road'!$B229,'Emission Factors'!$A$60:$A$100,'Off-road'!$C229)/grams_to_mton</f>
        <v>8.6496322966671286</v>
      </c>
      <c r="L229" s="477">
        <f>'Offroad Data'!X453*SUMIFS('Emission Factors'!$F$60:$F$100,'Emission Factors'!$B$60:$B$100,'Off-road'!$B229,'Emission Factors'!$A$60:$A$100,'Off-road'!$C229)/grams_to_mton</f>
        <v>20.277826412199694</v>
      </c>
      <c r="M229" s="375">
        <f t="shared" si="32"/>
        <v>134.89176815687873</v>
      </c>
      <c r="N229" s="66"/>
      <c r="O229" s="302"/>
      <c r="P229" s="302"/>
      <c r="Q229" s="302"/>
      <c r="R229" s="302"/>
    </row>
    <row r="230" spans="1:18" x14ac:dyDescent="0.15">
      <c r="A230" s="118"/>
      <c r="B230" s="72" t="s">
        <v>146</v>
      </c>
      <c r="C230" s="72" t="s">
        <v>157</v>
      </c>
      <c r="D230" s="477">
        <f>'Offroad Data'!P454*SUMIFS('Emission Factors'!$F$60:$F$100,'Emission Factors'!$B$60:$B$100,'Off-road'!$B230,'Emission Factors'!$A$60:$A$100,'Off-road'!$C230)/grams_to_mton</f>
        <v>6.0970026721498503</v>
      </c>
      <c r="E230" s="477">
        <f>'Offroad Data'!Q454*SUMIFS('Emission Factors'!$F$60:$F$100,'Emission Factors'!$B$60:$B$100,'Off-road'!$B230,'Emission Factors'!$A$60:$A$100,'Off-road'!$C230)/grams_to_mton</f>
        <v>11.790541214462976</v>
      </c>
      <c r="F230" s="477">
        <f>'Offroad Data'!R454*SUMIFS('Emission Factors'!$F$60:$F$100,'Emission Factors'!$B$60:$B$100,'Off-road'!$B230,'Emission Factors'!$A$60:$A$100,'Off-road'!$C230)/grams_to_mton</f>
        <v>17.887543886612828</v>
      </c>
      <c r="G230" s="477">
        <f>'Offroad Data'!S454*SUMIFS('Emission Factors'!$F$60:$F$100,'Emission Factors'!$B$60:$B$100,'Off-road'!$B230,'Emission Factors'!$A$60:$A$100,'Off-road'!$C230)/grams_to_mton</f>
        <v>4.0676355203731376</v>
      </c>
      <c r="H230" s="477">
        <f>'Offroad Data'!T454*SUMIFS('Emission Factors'!$F$60:$F$100,'Emission Factors'!$B$60:$B$100,'Off-road'!$B230,'Emission Factors'!$A$60:$A$100,'Off-road'!$C230)/grams_to_mton</f>
        <v>2.1107881323589792</v>
      </c>
      <c r="I230" s="477">
        <f>'Offroad Data'!U454*SUMIFS('Emission Factors'!$F$60:$F$100,'Emission Factors'!$B$60:$B$100,'Off-road'!$B230,'Emission Factors'!$A$60:$A$100,'Off-road'!$C230)/grams_to_mton</f>
        <v>0.16362697386521438</v>
      </c>
      <c r="J230" s="477">
        <f>'Offroad Data'!V454*SUMIFS('Emission Factors'!$F$60:$F$100,'Emission Factors'!$B$60:$B$100,'Off-road'!$B230,'Emission Factors'!$A$60:$A$100,'Off-road'!$C230)/grams_to_mton</f>
        <v>3.0609907462620654</v>
      </c>
      <c r="K230" s="477">
        <f>'Offroad Data'!W454*SUMIFS('Emission Factors'!$F$60:$F$100,'Emission Factors'!$B$60:$B$100,'Off-road'!$B230,'Emission Factors'!$A$60:$A$100,'Off-road'!$C230)/grams_to_mton</f>
        <v>1.5124001390938331</v>
      </c>
      <c r="L230" s="477">
        <f>'Offroad Data'!X454*SUMIFS('Emission Factors'!$F$60:$F$100,'Emission Factors'!$B$60:$B$100,'Off-road'!$B230,'Emission Factors'!$A$60:$A$100,'Off-road'!$C230)/grams_to_mton</f>
        <v>1.736332183130306</v>
      </c>
      <c r="M230" s="375">
        <f t="shared" si="32"/>
        <v>30.539317581696363</v>
      </c>
      <c r="N230" s="66"/>
      <c r="O230" s="302"/>
      <c r="P230" s="302"/>
      <c r="Q230" s="302"/>
      <c r="R230" s="302"/>
    </row>
    <row r="231" spans="1:18" x14ac:dyDescent="0.15">
      <c r="A231" s="118"/>
      <c r="B231" s="174" t="s">
        <v>146</v>
      </c>
      <c r="C231" s="174" t="s">
        <v>160</v>
      </c>
      <c r="D231" s="478">
        <f>'Offroad Data'!P455*SUMIFS('Emission Factors'!$F$60:$F$100,'Emission Factors'!$B$60:$B$100,'Off-road'!$B231,'Emission Factors'!$A$60:$A$100,'Off-road'!$C231)/grams_to_mton</f>
        <v>0.5693536471874231</v>
      </c>
      <c r="E231" s="478">
        <f>'Offroad Data'!Q455*SUMIFS('Emission Factors'!$F$60:$F$100,'Emission Factors'!$B$60:$B$100,'Off-road'!$B231,'Emission Factors'!$A$60:$A$100,'Off-road'!$C231)/grams_to_mton</f>
        <v>1.8012825774573931</v>
      </c>
      <c r="F231" s="478">
        <f>'Offroad Data'!R455*SUMIFS('Emission Factors'!$F$60:$F$100,'Emission Factors'!$B$60:$B$100,'Off-road'!$B231,'Emission Factors'!$A$60:$A$100,'Off-road'!$C231)/grams_to_mton</f>
        <v>2.3706362246448163</v>
      </c>
      <c r="G231" s="478">
        <f>'Offroad Data'!S455*SUMIFS('Emission Factors'!$F$60:$F$100,'Emission Factors'!$B$60:$B$100,'Off-road'!$B231,'Emission Factors'!$A$60:$A$100,'Off-road'!$C231)/grams_to_mton</f>
        <v>1.5130489061725789</v>
      </c>
      <c r="H231" s="478">
        <f>'Offroad Data'!T455*SUMIFS('Emission Factors'!$F$60:$F$100,'Emission Factors'!$B$60:$B$100,'Off-road'!$B231,'Emission Factors'!$A$60:$A$100,'Off-road'!$C231)/grams_to_mton</f>
        <v>0.79956366480338392</v>
      </c>
      <c r="I231" s="478">
        <f>'Offroad Data'!U455*SUMIFS('Emission Factors'!$F$60:$F$100,'Emission Factors'!$B$60:$B$100,'Off-road'!$B231,'Emission Factors'!$A$60:$A$100,'Off-road'!$C231)/grams_to_mton</f>
        <v>6.6311528456872007E-2</v>
      </c>
      <c r="J231" s="478">
        <f>'Offroad Data'!V455*SUMIFS('Emission Factors'!$F$60:$F$100,'Emission Factors'!$B$60:$B$100,'Off-road'!$B231,'Emission Factors'!$A$60:$A$100,'Off-road'!$C231)/grams_to_mton</f>
        <v>1.3715008503482384</v>
      </c>
      <c r="K231" s="478">
        <f>'Offroad Data'!W455*SUMIFS('Emission Factors'!$F$60:$F$100,'Emission Factors'!$B$60:$B$100,'Off-road'!$B231,'Emission Factors'!$A$60:$A$100,'Off-road'!$C231)/grams_to_mton</f>
        <v>0.35833710808067692</v>
      </c>
      <c r="L231" s="478">
        <f>'Offroad Data'!X455*SUMIFS('Emission Factors'!$F$60:$F$100,'Emission Factors'!$B$60:$B$100,'Off-road'!$B231,'Emission Factors'!$A$60:$A$100,'Off-road'!$C231)/grams_to_mton</f>
        <v>0.57512480456730419</v>
      </c>
      <c r="M231" s="376">
        <f t="shared" si="32"/>
        <v>7.0545230870738695</v>
      </c>
      <c r="N231" s="66"/>
      <c r="O231" s="302"/>
      <c r="P231" s="302"/>
      <c r="Q231" s="302"/>
      <c r="R231" s="302"/>
    </row>
    <row r="232" spans="1:18" x14ac:dyDescent="0.15">
      <c r="A232" s="118"/>
      <c r="B232" s="72" t="s">
        <v>146</v>
      </c>
      <c r="C232" s="72" t="s">
        <v>161</v>
      </c>
      <c r="D232" s="476">
        <f>'Offroad Data'!P456*SUMIFS('Emission Factors'!$F$60:$F$100,'Emission Factors'!$B$60:$B$100,'Off-road'!$B232,'Emission Factors'!$A$60:$A$100,'Off-road'!$C232)/grams_to_mton</f>
        <v>0</v>
      </c>
      <c r="E232" s="476">
        <f>'Offroad Data'!Q456*SUMIFS('Emission Factors'!$F$60:$F$100,'Emission Factors'!$B$60:$B$100,'Off-road'!$B232,'Emission Factors'!$A$60:$A$100,'Off-road'!$C232)/grams_to_mton</f>
        <v>9.3355214285999896E-2</v>
      </c>
      <c r="F232" s="476">
        <f>'Offroad Data'!R456*SUMIFS('Emission Factors'!$F$60:$F$100,'Emission Factors'!$B$60:$B$100,'Off-road'!$B232,'Emission Factors'!$A$60:$A$100,'Off-road'!$C232)/grams_to_mton</f>
        <v>9.3355214285999896E-2</v>
      </c>
      <c r="G232" s="476">
        <f>'Offroad Data'!S456*SUMIFS('Emission Factors'!$F$60:$F$100,'Emission Factors'!$B$60:$B$100,'Off-road'!$B232,'Emission Factors'!$A$60:$A$100,'Off-road'!$C232)/grams_to_mton</f>
        <v>1.5146048161953116E-2</v>
      </c>
      <c r="H232" s="476">
        <f>'Offroad Data'!T456*SUMIFS('Emission Factors'!$F$60:$F$100,'Emission Factors'!$B$60:$B$100,'Off-road'!$B232,'Emission Factors'!$A$60:$A$100,'Off-road'!$C232)/grams_to_mton</f>
        <v>2.2955947313999987E-2</v>
      </c>
      <c r="I232" s="476">
        <f>'Offroad Data'!U456*SUMIFS('Emission Factors'!$F$60:$F$100,'Emission Factors'!$B$60:$B$100,'Off-road'!$B232,'Emission Factors'!$A$60:$A$100,'Off-road'!$C232)/grams_to_mton</f>
        <v>4.0308504946999869E-2</v>
      </c>
      <c r="J232" s="476">
        <f>'Offroad Data'!V456*SUMIFS('Emission Factors'!$F$60:$F$100,'Emission Factors'!$B$60:$B$100,'Off-road'!$B232,'Emission Factors'!$A$60:$A$100,'Off-road'!$C232)/grams_to_mton</f>
        <v>5.5674572071999995E-2</v>
      </c>
      <c r="K232" s="476">
        <f>'Offroad Data'!W456*SUMIFS('Emission Factors'!$F$60:$F$100,'Emission Factors'!$B$60:$B$100,'Off-road'!$B232,'Emission Factors'!$A$60:$A$100,'Off-road'!$C232)/grams_to_mton</f>
        <v>0.13348235257599994</v>
      </c>
      <c r="L232" s="476">
        <f>'Offroad Data'!X456*SUMIFS('Emission Factors'!$F$60:$F$100,'Emission Factors'!$B$60:$B$100,'Off-road'!$B232,'Emission Factors'!$A$60:$A$100,'Off-road'!$C232)/grams_to_mton</f>
        <v>0.13986387342599985</v>
      </c>
      <c r="M232" s="377">
        <f t="shared" si="32"/>
        <v>0.50078651278295261</v>
      </c>
      <c r="N232" s="66"/>
      <c r="O232" s="302"/>
      <c r="P232" s="302"/>
      <c r="Q232" s="302"/>
      <c r="R232" s="302"/>
    </row>
    <row r="233" spans="1:18" x14ac:dyDescent="0.15">
      <c r="A233" s="118"/>
      <c r="B233" s="72" t="s">
        <v>146</v>
      </c>
      <c r="C233" s="72" t="s">
        <v>158</v>
      </c>
      <c r="D233" s="477">
        <f>'Offroad Data'!P457*SUMIFS('Emission Factors'!$F$60:$F$100,'Emission Factors'!$B$60:$B$100,'Off-road'!$B233,'Emission Factors'!$A$60:$A$100,'Off-road'!$C233)/grams_to_mton</f>
        <v>3.398555357279421E-2</v>
      </c>
      <c r="E233" s="477">
        <f>'Offroad Data'!Q457*SUMIFS('Emission Factors'!$F$60:$F$100,'Emission Factors'!$B$60:$B$100,'Off-road'!$B233,'Emission Factors'!$A$60:$A$100,'Off-road'!$C233)/grams_to_mton</f>
        <v>6.572214113120553E-2</v>
      </c>
      <c r="F233" s="477">
        <f>'Offroad Data'!R457*SUMIFS('Emission Factors'!$F$60:$F$100,'Emission Factors'!$B$60:$B$100,'Off-road'!$B233,'Emission Factors'!$A$60:$A$100,'Off-road'!$C233)/grams_to_mton</f>
        <v>9.9707694703999733E-2</v>
      </c>
      <c r="G233" s="477">
        <f>'Offroad Data'!S457*SUMIFS('Emission Factors'!$F$60:$F$100,'Emission Factors'!$B$60:$B$100,'Off-road'!$B233,'Emission Factors'!$A$60:$A$100,'Off-road'!$C233)/grams_to_mton</f>
        <v>8.1427923348000003E-2</v>
      </c>
      <c r="H233" s="477">
        <f>'Offroad Data'!T457*SUMIFS('Emission Factors'!$F$60:$F$100,'Emission Factors'!$B$60:$B$100,'Off-road'!$B233,'Emission Factors'!$A$60:$A$100,'Off-road'!$C233)/grams_to_mton</f>
        <v>9.9707693959062513E-3</v>
      </c>
      <c r="I233" s="477">
        <f>'Offroad Data'!U457*SUMIFS('Emission Factors'!$F$60:$F$100,'Emission Factors'!$B$60:$B$100,'Off-road'!$B233,'Emission Factors'!$A$60:$A$100,'Off-road'!$C233)/grams_to_mton</f>
        <v>0</v>
      </c>
      <c r="J233" s="477">
        <f>'Offroad Data'!V457*SUMIFS('Emission Factors'!$F$60:$F$100,'Emission Factors'!$B$60:$B$100,'Off-road'!$B233,'Emission Factors'!$A$60:$A$100,'Off-road'!$C233)/grams_to_mton</f>
        <v>6.4810021724000008E-2</v>
      </c>
      <c r="K233" s="477">
        <f>'Offroad Data'!W457*SUMIFS('Emission Factors'!$F$60:$F$100,'Emission Factors'!$B$60:$B$100,'Off-road'!$B233,'Emission Factors'!$A$60:$A$100,'Off-road'!$C233)/grams_to_mton</f>
        <v>0</v>
      </c>
      <c r="L233" s="477">
        <f>'Offroad Data'!X457*SUMIFS('Emission Factors'!$F$60:$F$100,'Emission Factors'!$B$60:$B$100,'Off-road'!$B233,'Emission Factors'!$A$60:$A$100,'Off-road'!$C233)/grams_to_mton</f>
        <v>9.9707694703999733E-2</v>
      </c>
      <c r="M233" s="375">
        <f t="shared" si="32"/>
        <v>0.35562410387590571</v>
      </c>
      <c r="N233" s="66"/>
      <c r="O233" s="302"/>
      <c r="P233" s="302"/>
      <c r="Q233" s="302"/>
      <c r="R233" s="302"/>
    </row>
    <row r="234" spans="1:18" x14ac:dyDescent="0.15">
      <c r="A234" s="118"/>
      <c r="B234" s="72" t="s">
        <v>146</v>
      </c>
      <c r="C234" s="72" t="s">
        <v>162</v>
      </c>
      <c r="D234" s="477">
        <f>'Offroad Data'!P458*SUMIFS('Emission Factors'!$F$60:$F$100,'Emission Factors'!$B$60:$B$100,'Off-road'!$B234,'Emission Factors'!$A$60:$A$100,'Off-road'!$C234)/grams_to_mton</f>
        <v>9.3954741277217854E-2</v>
      </c>
      <c r="E234" s="477">
        <f>'Offroad Data'!Q458*SUMIFS('Emission Factors'!$F$60:$F$100,'Emission Factors'!$B$60:$B$100,'Off-road'!$B234,'Emission Factors'!$A$60:$A$100,'Off-road'!$C234)/grams_to_mton</f>
        <v>3.3467623479924886E-2</v>
      </c>
      <c r="F234" s="477">
        <f>'Offroad Data'!R458*SUMIFS('Emission Factors'!$F$60:$F$100,'Emission Factors'!$B$60:$B$100,'Off-road'!$B234,'Emission Factors'!$A$60:$A$100,'Off-road'!$C234)/grams_to_mton</f>
        <v>0.12742236475714275</v>
      </c>
      <c r="G234" s="477">
        <f>'Offroad Data'!S458*SUMIFS('Emission Factors'!$F$60:$F$100,'Emission Factors'!$B$60:$B$100,'Off-road'!$B234,'Emission Factors'!$A$60:$A$100,'Off-road'!$C234)/grams_to_mton</f>
        <v>5.269956385371425E-2</v>
      </c>
      <c r="H234" s="477">
        <f>'Offroad Data'!T458*SUMIFS('Emission Factors'!$F$60:$F$100,'Emission Factors'!$B$60:$B$100,'Off-road'!$B234,'Emission Factors'!$A$60:$A$100,'Off-road'!$C234)/grams_to_mton</f>
        <v>2.2930593687984373E-2</v>
      </c>
      <c r="I234" s="477">
        <f>'Offroad Data'!U458*SUMIFS('Emission Factors'!$F$60:$F$100,'Emission Factors'!$B$60:$B$100,'Off-road'!$B234,'Emission Factors'!$A$60:$A$100,'Off-road'!$C234)/grams_to_mton</f>
        <v>3.6705584492678499E-3</v>
      </c>
      <c r="J234" s="477">
        <f>'Offroad Data'!V458*SUMIFS('Emission Factors'!$F$60:$F$100,'Emission Factors'!$B$60:$B$100,'Off-road'!$B234,'Emission Factors'!$A$60:$A$100,'Off-road'!$C234)/grams_to_mton</f>
        <v>1.7023560199513399E-2</v>
      </c>
      <c r="K234" s="477">
        <f>'Offroad Data'!W458*SUMIFS('Emission Factors'!$F$60:$F$100,'Emission Factors'!$B$60:$B$100,'Off-road'!$B234,'Emission Factors'!$A$60:$A$100,'Off-road'!$C234)/grams_to_mton</f>
        <v>3.3235172334517222E-3</v>
      </c>
      <c r="L234" s="477">
        <f>'Offroad Data'!X458*SUMIFS('Emission Factors'!$F$60:$F$100,'Emission Factors'!$B$60:$B$100,'Off-road'!$B234,'Emission Factors'!$A$60:$A$100,'Off-road'!$C234)/grams_to_mton</f>
        <v>2.8162454208428504E-2</v>
      </c>
      <c r="M234" s="375">
        <f t="shared" si="32"/>
        <v>0.25523261238950284</v>
      </c>
      <c r="N234" s="66"/>
      <c r="O234" s="302"/>
      <c r="P234" s="302"/>
      <c r="Q234" s="302"/>
      <c r="R234" s="302"/>
    </row>
    <row r="235" spans="1:18" x14ac:dyDescent="0.15">
      <c r="A235" s="118"/>
      <c r="B235" s="174" t="s">
        <v>146</v>
      </c>
      <c r="C235" s="174" t="s">
        <v>163</v>
      </c>
      <c r="D235" s="478">
        <f>'Offroad Data'!P459*SUMIFS('Emission Factors'!$F$60:$F$100,'Emission Factors'!$B$60:$B$100,'Off-road'!$B235,'Emission Factors'!$A$60:$A$100,'Off-road'!$C235)/grams_to_mton</f>
        <v>2.8994727058723736E-2</v>
      </c>
      <c r="E235" s="478">
        <f>'Offroad Data'!Q459*SUMIFS('Emission Factors'!$F$60:$F$100,'Emission Factors'!$B$60:$B$100,'Off-road'!$B235,'Emission Factors'!$A$60:$A$100,'Off-road'!$C235)/grams_to_mton</f>
        <v>2.6696409250990514E-2</v>
      </c>
      <c r="F235" s="478">
        <f>'Offroad Data'!R459*SUMIFS('Emission Factors'!$F$60:$F$100,'Emission Factors'!$B$60:$B$100,'Off-road'!$B235,'Emission Factors'!$A$60:$A$100,'Off-road'!$C235)/grams_to_mton</f>
        <v>5.5691136309714243E-2</v>
      </c>
      <c r="G235" s="478">
        <f>'Offroad Data'!S459*SUMIFS('Emission Factors'!$F$60:$F$100,'Emission Factors'!$B$60:$B$100,'Off-road'!$B235,'Emission Factors'!$A$60:$A$100,'Off-road'!$C235)/grams_to_mton</f>
        <v>9.6854090679330245E-3</v>
      </c>
      <c r="H235" s="478">
        <f>'Offroad Data'!T459*SUMIFS('Emission Factors'!$F$60:$F$100,'Emission Factors'!$B$60:$B$100,'Off-road'!$B235,'Emission Factors'!$A$60:$A$100,'Off-road'!$C235)/grams_to_mton</f>
        <v>4.8427075529754371E-3</v>
      </c>
      <c r="I235" s="478">
        <f>'Offroad Data'!U459*SUMIFS('Emission Factors'!$F$60:$F$100,'Emission Factors'!$B$60:$B$100,'Off-road'!$B235,'Emission Factors'!$A$60:$A$100,'Off-road'!$C235)/grams_to_mton</f>
        <v>9.6854090679330245E-3</v>
      </c>
      <c r="J235" s="478">
        <f>'Offroad Data'!V459*SUMIFS('Emission Factors'!$F$60:$F$100,'Emission Factors'!$B$60:$B$100,'Off-road'!$B235,'Emission Factors'!$A$60:$A$100,'Off-road'!$C235)/grams_to_mton</f>
        <v>2.9056234256142753E-2</v>
      </c>
      <c r="K235" s="478">
        <f>'Offroad Data'!W459*SUMIFS('Emission Factors'!$F$60:$F$100,'Emission Factors'!$B$60:$B$100,'Off-road'!$B235,'Emission Factors'!$A$60:$A$100,'Off-road'!$C235)/grams_to_mton</f>
        <v>7.2640563222990994E-3</v>
      </c>
      <c r="L235" s="478">
        <f>'Offroad Data'!X459*SUMIFS('Emission Factors'!$F$60:$F$100,'Emission Factors'!$B$60:$B$100,'Off-road'!$B235,'Emission Factors'!$A$60:$A$100,'Off-road'!$C235)/grams_to_mton</f>
        <v>1.2106758259607124E-2</v>
      </c>
      <c r="M235" s="376">
        <f t="shared" si="32"/>
        <v>0.12833171083660472</v>
      </c>
      <c r="N235" s="66"/>
      <c r="O235" s="302"/>
      <c r="P235" s="302"/>
      <c r="Q235" s="302"/>
      <c r="R235" s="302"/>
    </row>
    <row r="236" spans="1:18" x14ac:dyDescent="0.15">
      <c r="A236" s="118"/>
      <c r="B236" s="72" t="s">
        <v>164</v>
      </c>
      <c r="C236" s="72" t="s">
        <v>155</v>
      </c>
      <c r="D236" s="477">
        <f>'Offroad Data'!P460*SUMIFS('Emission Factors'!$F$60:$F$100,'Emission Factors'!$B$60:$B$100,'Off-road'!$B236,'Emission Factors'!$A$60:$A$100,'Off-road'!$C236)/grams_to_mton</f>
        <v>0</v>
      </c>
      <c r="E236" s="477">
        <f>'Offroad Data'!Q460*SUMIFS('Emission Factors'!$F$60:$F$100,'Emission Factors'!$B$60:$B$100,'Off-road'!$B236,'Emission Factors'!$A$60:$A$100,'Off-road'!$C236)/grams_to_mton</f>
        <v>6.2225931607927603E-6</v>
      </c>
      <c r="F236" s="477">
        <f>'Offroad Data'!R460*SUMIFS('Emission Factors'!$F$60:$F$100,'Emission Factors'!$B$60:$B$100,'Off-road'!$B236,'Emission Factors'!$A$60:$A$100,'Off-road'!$C236)/grams_to_mton</f>
        <v>6.2225931607927603E-6</v>
      </c>
      <c r="G236" s="477">
        <f>'Offroad Data'!S460*SUMIFS('Emission Factors'!$F$60:$F$100,'Emission Factors'!$B$60:$B$100,'Off-road'!$B236,'Emission Factors'!$A$60:$A$100,'Off-road'!$C236)/grams_to_mton</f>
        <v>2.0897153991851781E-6</v>
      </c>
      <c r="H236" s="477">
        <f>'Offroad Data'!T460*SUMIFS('Emission Factors'!$F$60:$F$100,'Emission Factors'!$B$60:$B$100,'Off-road'!$B236,'Emission Factors'!$A$60:$A$100,'Off-road'!$C236)/grams_to_mton</f>
        <v>7.4702219293666224E-5</v>
      </c>
      <c r="I236" s="477">
        <f>'Offroad Data'!U460*SUMIFS('Emission Factors'!$F$60:$F$100,'Emission Factors'!$B$60:$B$100,'Off-road'!$B236,'Emission Factors'!$A$60:$A$100,'Off-road'!$C236)/grams_to_mton</f>
        <v>6.5413015038643892E-5</v>
      </c>
      <c r="J236" s="477">
        <f>'Offroad Data'!V460*SUMIFS('Emission Factors'!$F$60:$F$100,'Emission Factors'!$B$60:$B$100,'Off-road'!$B236,'Emission Factors'!$A$60:$A$100,'Off-road'!$C236)/grams_to_mton</f>
        <v>1.2394454910862511E-5</v>
      </c>
      <c r="K236" s="477">
        <f>'Offroad Data'!W460*SUMIFS('Emission Factors'!$F$60:$F$100,'Emission Factors'!$B$60:$B$100,'Off-road'!$B236,'Emission Factors'!$A$60:$A$100,'Off-road'!$C236)/grams_to_mton</f>
        <v>8.4236648688755541E-5</v>
      </c>
      <c r="L236" s="477">
        <f>'Offroad Data'!X460*SUMIFS('Emission Factors'!$F$60:$F$100,'Emission Factors'!$B$60:$B$100,'Off-road'!$B236,'Emission Factors'!$A$60:$A$100,'Off-road'!$C236)/grams_to_mton</f>
        <v>1.0186391551325287E-4</v>
      </c>
      <c r="M236" s="375">
        <f t="shared" si="32"/>
        <v>3.4692256200515899E-4</v>
      </c>
      <c r="N236" s="66"/>
      <c r="O236" s="302"/>
      <c r="P236" s="302"/>
      <c r="Q236" s="302"/>
      <c r="R236" s="302"/>
    </row>
    <row r="237" spans="1:18" x14ac:dyDescent="0.15">
      <c r="A237" s="118"/>
      <c r="B237" s="72" t="s">
        <v>164</v>
      </c>
      <c r="C237" s="72" t="s">
        <v>104</v>
      </c>
      <c r="D237" s="477">
        <f>'Offroad Data'!P461*SUMIFS('Emission Factors'!$F$60:$F$100,'Emission Factors'!$B$60:$B$100,'Off-road'!$B237,'Emission Factors'!$A$60:$A$100,'Off-road'!$C237)/grams_to_mton</f>
        <v>0</v>
      </c>
      <c r="E237" s="477">
        <f>'Offroad Data'!Q461*SUMIFS('Emission Factors'!$F$60:$F$100,'Emission Factors'!$B$60:$B$100,'Off-road'!$B237,'Emission Factors'!$A$60:$A$100,'Off-road'!$C237)/grams_to_mton</f>
        <v>0</v>
      </c>
      <c r="F237" s="477">
        <f>'Offroad Data'!R461*SUMIFS('Emission Factors'!$F$60:$F$100,'Emission Factors'!$B$60:$B$100,'Off-road'!$B237,'Emission Factors'!$A$60:$A$100,'Off-road'!$C237)/grams_to_mton</f>
        <v>0</v>
      </c>
      <c r="G237" s="477">
        <f>'Offroad Data'!S461*SUMIFS('Emission Factors'!$F$60:$F$100,'Emission Factors'!$B$60:$B$100,'Off-road'!$B237,'Emission Factors'!$A$60:$A$100,'Off-road'!$C237)/grams_to_mton</f>
        <v>0</v>
      </c>
      <c r="H237" s="477">
        <f>'Offroad Data'!T461*SUMIFS('Emission Factors'!$F$60:$F$100,'Emission Factors'!$B$60:$B$100,'Off-road'!$B237,'Emission Factors'!$A$60:$A$100,'Off-road'!$C237)/grams_to_mton</f>
        <v>0</v>
      </c>
      <c r="I237" s="477">
        <f>'Offroad Data'!U461*SUMIFS('Emission Factors'!$F$60:$F$100,'Emission Factors'!$B$60:$B$100,'Off-road'!$B237,'Emission Factors'!$A$60:$A$100,'Off-road'!$C237)/grams_to_mton</f>
        <v>0</v>
      </c>
      <c r="J237" s="477">
        <f>'Offroad Data'!V461*SUMIFS('Emission Factors'!$F$60:$F$100,'Emission Factors'!$B$60:$B$100,'Off-road'!$B237,'Emission Factors'!$A$60:$A$100,'Off-road'!$C237)/grams_to_mton</f>
        <v>0</v>
      </c>
      <c r="K237" s="477">
        <f>'Offroad Data'!W461*SUMIFS('Emission Factors'!$F$60:$F$100,'Emission Factors'!$B$60:$B$100,'Off-road'!$B237,'Emission Factors'!$A$60:$A$100,'Off-road'!$C237)/grams_to_mton</f>
        <v>0</v>
      </c>
      <c r="L237" s="477">
        <f>'Offroad Data'!X461*SUMIFS('Emission Factors'!$F$60:$F$100,'Emission Factors'!$B$60:$B$100,'Off-road'!$B237,'Emission Factors'!$A$60:$A$100,'Off-road'!$C237)/grams_to_mton</f>
        <v>0</v>
      </c>
      <c r="M237" s="375">
        <f t="shared" si="32"/>
        <v>0</v>
      </c>
      <c r="N237" s="66"/>
      <c r="O237" s="302"/>
      <c r="P237" s="302"/>
      <c r="Q237" s="302"/>
      <c r="R237" s="302"/>
    </row>
    <row r="238" spans="1:18" x14ac:dyDescent="0.15">
      <c r="A238" s="118"/>
      <c r="B238" s="173" t="s">
        <v>164</v>
      </c>
      <c r="C238" s="173" t="s">
        <v>156</v>
      </c>
      <c r="D238" s="477">
        <f>'Offroad Data'!P462*SUMIFS('Emission Factors'!$F$60:$F$100,'Emission Factors'!$B$60:$B$100,'Off-road'!$B238,'Emission Factors'!$A$60:$A$100,'Off-road'!$C238)/grams_to_mton</f>
        <v>2.5137336671114507E-2</v>
      </c>
      <c r="E238" s="477">
        <f>'Offroad Data'!Q462*SUMIFS('Emission Factors'!$F$60:$F$100,'Emission Factors'!$B$60:$B$100,'Off-road'!$B238,'Emission Factors'!$A$60:$A$100,'Off-road'!$C238)/grams_to_mton</f>
        <v>4.8611230793195674E-2</v>
      </c>
      <c r="F238" s="477">
        <f>'Offroad Data'!R462*SUMIFS('Emission Factors'!$F$60:$F$100,'Emission Factors'!$B$60:$B$100,'Off-road'!$B238,'Emission Factors'!$A$60:$A$100,'Off-road'!$C238)/grams_to_mton</f>
        <v>7.3748567464310175E-2</v>
      </c>
      <c r="G238" s="477">
        <f>'Offroad Data'!S462*SUMIFS('Emission Factors'!$F$60:$F$100,'Emission Factors'!$B$60:$B$100,'Off-road'!$B238,'Emission Factors'!$A$60:$A$100,'Off-road'!$C238)/grams_to_mton</f>
        <v>1.8494820813800609E-2</v>
      </c>
      <c r="H238" s="477">
        <f>'Offroad Data'!T462*SUMIFS('Emission Factors'!$F$60:$F$100,'Emission Factors'!$B$60:$B$100,'Off-road'!$B238,'Emission Factors'!$A$60:$A$100,'Off-road'!$C238)/grams_to_mton</f>
        <v>1.6941931442229115E-2</v>
      </c>
      <c r="I238" s="477">
        <f>'Offroad Data'!U462*SUMIFS('Emission Factors'!$F$60:$F$100,'Emission Factors'!$B$60:$B$100,'Off-road'!$B238,'Emission Factors'!$A$60:$A$100,'Off-road'!$C238)/grams_to_mton</f>
        <v>3.9491259887109277E-3</v>
      </c>
      <c r="J238" s="477">
        <f>'Offroad Data'!V462*SUMIFS('Emission Factors'!$F$60:$F$100,'Emission Factors'!$B$60:$B$100,'Off-road'!$B238,'Emission Factors'!$A$60:$A$100,'Off-road'!$C238)/grams_to_mton</f>
        <v>1.3660042363623261E-2</v>
      </c>
      <c r="K238" s="477">
        <f>'Offroad Data'!W462*SUMIFS('Emission Factors'!$F$60:$F$100,'Emission Factors'!$B$60:$B$100,'Off-road'!$B238,'Emission Factors'!$A$60:$A$100,'Off-road'!$C238)/grams_to_mton</f>
        <v>1.0349953750159591E-2</v>
      </c>
      <c r="L238" s="477">
        <f>'Offroad Data'!X462*SUMIFS('Emission Factors'!$F$60:$F$100,'Emission Factors'!$B$60:$B$100,'Off-road'!$B238,'Emission Factors'!$A$60:$A$100,'Off-road'!$C238)/grams_to_mton</f>
        <v>2.4263979407292236E-2</v>
      </c>
      <c r="M238" s="375">
        <f t="shared" si="32"/>
        <v>0.16140842123012594</v>
      </c>
      <c r="N238" s="66"/>
      <c r="O238" s="302"/>
      <c r="P238" s="302"/>
      <c r="Q238" s="302"/>
      <c r="R238" s="302"/>
    </row>
    <row r="239" spans="1:18" x14ac:dyDescent="0.15">
      <c r="A239" s="118"/>
      <c r="B239" s="173" t="s">
        <v>164</v>
      </c>
      <c r="C239" s="173" t="s">
        <v>157</v>
      </c>
      <c r="D239" s="477">
        <f>'Offroad Data'!P463*SUMIFS('Emission Factors'!$F$60:$F$100,'Emission Factors'!$B$60:$B$100,'Off-road'!$B239,'Emission Factors'!$A$60:$A$100,'Off-road'!$C239)/grams_to_mton</f>
        <v>4.4922748495845985E-4</v>
      </c>
      <c r="E239" s="477">
        <f>'Offroad Data'!Q463*SUMIFS('Emission Factors'!$F$60:$F$100,'Emission Factors'!$B$60:$B$100,'Off-road'!$B239,'Emission Factors'!$A$60:$A$100,'Off-road'!$C239)/grams_to_mton</f>
        <v>8.6872771112049281E-4</v>
      </c>
      <c r="F239" s="477">
        <f>'Offroad Data'!R463*SUMIFS('Emission Factors'!$F$60:$F$100,'Emission Factors'!$B$60:$B$100,'Off-road'!$B239,'Emission Factors'!$A$60:$A$100,'Off-road'!$C239)/grams_to_mton</f>
        <v>1.3179551960789528E-3</v>
      </c>
      <c r="G239" s="477">
        <f>'Offroad Data'!S463*SUMIFS('Emission Factors'!$F$60:$F$100,'Emission Factors'!$B$60:$B$100,'Off-road'!$B239,'Emission Factors'!$A$60:$A$100,'Off-road'!$C239)/grams_to_mton</f>
        <v>3.3787138437907995E-4</v>
      </c>
      <c r="H239" s="477">
        <f>'Offroad Data'!T463*SUMIFS('Emission Factors'!$F$60:$F$100,'Emission Factors'!$B$60:$B$100,'Off-road'!$B239,'Emission Factors'!$A$60:$A$100,'Off-road'!$C239)/grams_to_mton</f>
        <v>1.7985603774663394E-4</v>
      </c>
      <c r="I239" s="477">
        <f>'Offroad Data'!U463*SUMIFS('Emission Factors'!$F$60:$F$100,'Emission Factors'!$B$60:$B$100,'Off-road'!$B239,'Emission Factors'!$A$60:$A$100,'Off-road'!$C239)/grams_to_mton</f>
        <v>1.0431358181283055E-5</v>
      </c>
      <c r="J239" s="477">
        <f>'Offroad Data'!V463*SUMIFS('Emission Factors'!$F$60:$F$100,'Emission Factors'!$B$60:$B$100,'Off-road'!$B239,'Emission Factors'!$A$60:$A$100,'Off-road'!$C239)/grams_to_mton</f>
        <v>2.565682089813049E-4</v>
      </c>
      <c r="K239" s="477">
        <f>'Offroad Data'!W463*SUMIFS('Emission Factors'!$F$60:$F$100,'Emission Factors'!$B$60:$B$100,'Off-road'!$B239,'Emission Factors'!$A$60:$A$100,'Off-road'!$C239)/grams_to_mton</f>
        <v>1.3371853508433292E-4</v>
      </c>
      <c r="L239" s="477">
        <f>'Offroad Data'!X463*SUMIFS('Emission Factors'!$F$60:$F$100,'Emission Factors'!$B$60:$B$100,'Off-road'!$B239,'Emission Factors'!$A$60:$A$100,'Off-road'!$C239)/grams_to_mton</f>
        <v>1.2323278474335567E-4</v>
      </c>
      <c r="M239" s="375">
        <f t="shared" si="32"/>
        <v>2.359633505194943E-3</v>
      </c>
      <c r="N239" s="66"/>
      <c r="O239" s="302"/>
      <c r="P239" s="302"/>
      <c r="Q239" s="302"/>
      <c r="R239" s="302"/>
    </row>
    <row r="240" spans="1:18" x14ac:dyDescent="0.15">
      <c r="A240" s="118"/>
      <c r="B240" s="173" t="s">
        <v>164</v>
      </c>
      <c r="C240" s="173" t="s">
        <v>160</v>
      </c>
      <c r="D240" s="477">
        <f>'Offroad Data'!P464*SUMIFS('Emission Factors'!$F$60:$F$100,'Emission Factors'!$B$60:$B$100,'Off-road'!$B240,'Emission Factors'!$A$60:$A$100,'Off-road'!$C240)/grams_to_mton</f>
        <v>0.21708435584705291</v>
      </c>
      <c r="E240" s="477">
        <f>'Offroad Data'!Q464*SUMIFS('Emission Factors'!$F$60:$F$100,'Emission Factors'!$B$60:$B$100,'Off-road'!$B240,'Emission Factors'!$A$60:$A$100,'Off-road'!$C240)/grams_to_mton</f>
        <v>0.68679680890344041</v>
      </c>
      <c r="F240" s="477">
        <f>'Offroad Data'!R464*SUMIFS('Emission Factors'!$F$60:$F$100,'Emission Factors'!$B$60:$B$100,'Off-road'!$B240,'Emission Factors'!$A$60:$A$100,'Off-road'!$C240)/grams_to_mton</f>
        <v>0.90388116475049329</v>
      </c>
      <c r="G240" s="477">
        <f>'Offroad Data'!S464*SUMIFS('Emission Factors'!$F$60:$F$100,'Emission Factors'!$B$60:$B$100,'Off-road'!$B240,'Emission Factors'!$A$60:$A$100,'Off-road'!$C240)/grams_to_mton</f>
        <v>0.44217440599376351</v>
      </c>
      <c r="H240" s="477">
        <f>'Offroad Data'!T464*SUMIFS('Emission Factors'!$F$60:$F$100,'Emission Factors'!$B$60:$B$100,'Off-road'!$B240,'Emission Factors'!$A$60:$A$100,'Off-road'!$C240)/grams_to_mton</f>
        <v>0.22928245762944338</v>
      </c>
      <c r="I240" s="477">
        <f>'Offroad Data'!U464*SUMIFS('Emission Factors'!$F$60:$F$100,'Emission Factors'!$B$60:$B$100,'Off-road'!$B240,'Emission Factors'!$A$60:$A$100,'Off-road'!$C240)/grams_to_mton</f>
        <v>2.0387653029689101E-2</v>
      </c>
      <c r="J240" s="477">
        <f>'Offroad Data'!V464*SUMIFS('Emission Factors'!$F$60:$F$100,'Emission Factors'!$B$60:$B$100,'Off-road'!$B240,'Emission Factors'!$A$60:$A$100,'Off-road'!$C240)/grams_to_mton</f>
        <v>0.39034164378566638</v>
      </c>
      <c r="K240" s="477">
        <f>'Offroad Data'!W464*SUMIFS('Emission Factors'!$F$60:$F$100,'Emission Factors'!$B$60:$B$100,'Off-road'!$B240,'Emission Factors'!$A$60:$A$100,'Off-road'!$C240)/grams_to_mton</f>
        <v>0.10714555656956569</v>
      </c>
      <c r="L240" s="477">
        <f>'Offroad Data'!X464*SUMIFS('Emission Factors'!$F$60:$F$100,'Emission Factors'!$B$60:$B$100,'Off-road'!$B240,'Emission Factors'!$A$60:$A$100,'Off-road'!$C240)/grams_to_mton</f>
        <v>0.17621712273996043</v>
      </c>
      <c r="M240" s="375">
        <f t="shared" si="32"/>
        <v>2.2694300044985818</v>
      </c>
      <c r="N240" s="66"/>
      <c r="O240" s="302"/>
      <c r="P240" s="302"/>
      <c r="Q240" s="302"/>
      <c r="R240" s="302"/>
    </row>
    <row r="241" spans="1:18" x14ac:dyDescent="0.15">
      <c r="A241" s="118"/>
      <c r="B241" s="173" t="s">
        <v>164</v>
      </c>
      <c r="C241" s="173" t="s">
        <v>161</v>
      </c>
      <c r="D241" s="477">
        <f>'Offroad Data'!P465*SUMIFS('Emission Factors'!$F$60:$F$100,'Emission Factors'!$B$60:$B$100,'Off-road'!$B241,'Emission Factors'!$A$60:$A$100,'Off-road'!$C241)/grams_to_mton</f>
        <v>0</v>
      </c>
      <c r="E241" s="477">
        <f>'Offroad Data'!Q465*SUMIFS('Emission Factors'!$F$60:$F$100,'Emission Factors'!$B$60:$B$100,'Off-road'!$B241,'Emission Factors'!$A$60:$A$100,'Off-road'!$C241)/grams_to_mton</f>
        <v>4.9334220839174106E-4</v>
      </c>
      <c r="F241" s="477">
        <f>'Offroad Data'!R465*SUMIFS('Emission Factors'!$F$60:$F$100,'Emission Factors'!$B$60:$B$100,'Off-road'!$B241,'Emission Factors'!$A$60:$A$100,'Off-road'!$C241)/grams_to_mton</f>
        <v>4.9334220839174106E-4</v>
      </c>
      <c r="G241" s="477">
        <f>'Offroad Data'!S465*SUMIFS('Emission Factors'!$F$60:$F$100,'Emission Factors'!$B$60:$B$100,'Off-road'!$B241,'Emission Factors'!$A$60:$A$100,'Off-road'!$C241)/grams_to_mton</f>
        <v>8.0040377019391658E-5</v>
      </c>
      <c r="H241" s="477">
        <f>'Offroad Data'!T465*SUMIFS('Emission Factors'!$F$60:$F$100,'Emission Factors'!$B$60:$B$100,'Off-road'!$B241,'Emission Factors'!$A$60:$A$100,'Off-road'!$C241)/grams_to_mton</f>
        <v>1.2131230405231578E-4</v>
      </c>
      <c r="I241" s="477">
        <f>'Offroad Data'!U465*SUMIFS('Emission Factors'!$F$60:$F$100,'Emission Factors'!$B$60:$B$100,'Off-road'!$B241,'Emission Factors'!$A$60:$A$100,'Off-road'!$C241)/grams_to_mton</f>
        <v>2.1301264896791288E-4</v>
      </c>
      <c r="J241" s="477">
        <f>'Offroad Data'!V465*SUMIFS('Emission Factors'!$F$60:$F$100,'Emission Factors'!$B$60:$B$100,'Off-road'!$B241,'Emission Factors'!$A$60:$A$100,'Off-road'!$C241)/grams_to_mton</f>
        <v>2.9421548793359345E-4</v>
      </c>
      <c r="K241" s="477">
        <f>'Offroad Data'!W465*SUMIFS('Emission Factors'!$F$60:$F$100,'Emission Factors'!$B$60:$B$100,'Off-road'!$B241,'Emission Factors'!$A$60:$A$100,'Off-road'!$C241)/grams_to_mton</f>
        <v>7.0539456618191919E-4</v>
      </c>
      <c r="L241" s="477">
        <f>'Offroad Data'!X465*SUMIFS('Emission Factors'!$F$60:$F$100,'Emission Factors'!$B$60:$B$100,'Off-road'!$B241,'Emission Factors'!$A$60:$A$100,'Off-road'!$C241)/grams_to_mton</f>
        <v>7.3911966308035603E-4</v>
      </c>
      <c r="M241" s="375">
        <f t="shared" si="32"/>
        <v>2.6464372556272301E-3</v>
      </c>
      <c r="N241" s="66"/>
      <c r="O241" s="302"/>
      <c r="P241" s="302"/>
      <c r="Q241" s="302"/>
      <c r="R241" s="302"/>
    </row>
    <row r="242" spans="1:18" x14ac:dyDescent="0.15">
      <c r="A242" s="118"/>
      <c r="B242" s="173" t="s">
        <v>164</v>
      </c>
      <c r="C242" s="173" t="s">
        <v>163</v>
      </c>
      <c r="D242" s="477">
        <f>'Offroad Data'!P466*SUMIFS('Emission Factors'!$F$60:$F$100,'Emission Factors'!$B$60:$B$100,'Off-road'!$B242,'Emission Factors'!$A$60:$A$100,'Off-road'!$C242)/grams_to_mton</f>
        <v>3.6002622563890072E-2</v>
      </c>
      <c r="E242" s="477">
        <f>'Offroad Data'!Q466*SUMIFS('Emission Factors'!$F$60:$F$100,'Emission Factors'!$B$60:$B$100,'Off-road'!$B242,'Emission Factors'!$A$60:$A$100,'Off-road'!$C242)/grams_to_mton</f>
        <v>3.3148811648681248E-2</v>
      </c>
      <c r="F242" s="477">
        <f>'Offroad Data'!R466*SUMIFS('Emission Factors'!$F$60:$F$100,'Emission Factors'!$B$60:$B$100,'Off-road'!$B242,'Emission Factors'!$A$60:$A$100,'Off-road'!$C242)/grams_to_mton</f>
        <v>6.9151434212571333E-2</v>
      </c>
      <c r="G242" s="477">
        <f>'Offroad Data'!S466*SUMIFS('Emission Factors'!$F$60:$F$100,'Emission Factors'!$B$60:$B$100,'Off-road'!$B242,'Emission Factors'!$A$60:$A$100,'Off-road'!$C242)/grams_to_mton</f>
        <v>1.2026331458857108E-2</v>
      </c>
      <c r="H242" s="477">
        <f>'Offroad Data'!T466*SUMIFS('Emission Factors'!$F$60:$F$100,'Emission Factors'!$B$60:$B$100,'Off-road'!$B242,'Emission Factors'!$A$60:$A$100,'Off-road'!$C242)/grams_to_mton</f>
        <v>6.013169629321421E-3</v>
      </c>
      <c r="I242" s="477">
        <f>'Offroad Data'!U466*SUMIFS('Emission Factors'!$F$60:$F$100,'Emission Factors'!$B$60:$B$100,'Off-road'!$B242,'Emission Factors'!$A$60:$A$100,'Off-road'!$C242)/grams_to_mton</f>
        <v>0.20833858380171411</v>
      </c>
      <c r="J242" s="477">
        <f>'Offroad Data'!V466*SUMIFS('Emission Factors'!$F$60:$F$100,'Emission Factors'!$B$60:$B$100,'Off-road'!$B242,'Emission Factors'!$A$60:$A$100,'Off-road'!$C242)/grams_to_mton</f>
        <v>3.6078982480285633E-2</v>
      </c>
      <c r="K242" s="477">
        <f>'Offroad Data'!W466*SUMIFS('Emission Factors'!$F$60:$F$100,'Emission Factors'!$B$60:$B$100,'Off-road'!$B242,'Emission Factors'!$A$60:$A$100,'Off-road'!$C242)/grams_to_mton</f>
        <v>9.0197502934642737E-3</v>
      </c>
      <c r="L242" s="477">
        <f>'Offroad Data'!X466*SUMIFS('Emission Factors'!$F$60:$F$100,'Emission Factors'!$B$60:$B$100,'Off-road'!$B242,'Emission Factors'!$A$60:$A$100,'Off-road'!$C242)/grams_to_mton</f>
        <v>1.5032906848499977E-2</v>
      </c>
      <c r="M242" s="375">
        <f t="shared" si="32"/>
        <v>0.35566115872471382</v>
      </c>
      <c r="N242" s="66"/>
      <c r="O242" s="302"/>
      <c r="P242" s="302"/>
      <c r="Q242" s="302"/>
      <c r="R242" s="302"/>
    </row>
    <row r="243" spans="1:18" x14ac:dyDescent="0.15">
      <c r="A243" s="118"/>
      <c r="B243" s="173" t="s">
        <v>165</v>
      </c>
      <c r="C243" s="173" t="s">
        <v>155</v>
      </c>
      <c r="D243" s="477">
        <f>'Offroad Data'!P467*SUMIFS('Emission Factors'!$F$60:$F$100,'Emission Factors'!$B$60:$B$100,'Off-road'!$B243,'Emission Factors'!$A$60:$A$100,'Off-road'!$C243)/grams_to_mton</f>
        <v>0</v>
      </c>
      <c r="E243" s="477">
        <f>'Offroad Data'!Q467*SUMIFS('Emission Factors'!$F$60:$F$100,'Emission Factors'!$B$60:$B$100,'Off-road'!$B243,'Emission Factors'!$A$60:$A$100,'Off-road'!$C243)/grams_to_mton</f>
        <v>5.2205694919270551E-3</v>
      </c>
      <c r="F243" s="477">
        <f>'Offroad Data'!R467*SUMIFS('Emission Factors'!$F$60:$F$100,'Emission Factors'!$B$60:$B$100,'Off-road'!$B243,'Emission Factors'!$A$60:$A$100,'Off-road'!$C243)/grams_to_mton</f>
        <v>5.2205694919270551E-3</v>
      </c>
      <c r="G243" s="477">
        <f>'Offroad Data'!S467*SUMIFS('Emission Factors'!$F$60:$F$100,'Emission Factors'!$B$60:$B$100,'Off-road'!$B243,'Emission Factors'!$A$60:$A$100,'Off-road'!$C243)/grams_to_mton</f>
        <v>1.7532091723580199E-3</v>
      </c>
      <c r="H243" s="477">
        <f>'Offroad Data'!T467*SUMIFS('Emission Factors'!$F$60:$F$100,'Emission Factors'!$B$60:$B$100,'Off-road'!$B243,'Emission Factors'!$A$60:$A$100,'Off-road'!$C243)/grams_to_mton</f>
        <v>6.2672934609824676E-2</v>
      </c>
      <c r="I243" s="477">
        <f>'Offroad Data'!U467*SUMIFS('Emission Factors'!$F$60:$F$100,'Emission Factors'!$B$60:$B$100,'Off-road'!$B243,'Emission Factors'!$A$60:$A$100,'Off-road'!$C243)/grams_to_mton</f>
        <v>5.4879609243234012E-2</v>
      </c>
      <c r="J243" s="477">
        <f>'Offroad Data'!V467*SUMIFS('Emission Factors'!$F$60:$F$100,'Emission Factors'!$B$60:$B$100,'Off-road'!$B243,'Emission Factors'!$A$60:$A$100,'Off-road'!$C243)/grams_to_mton</f>
        <v>1.0398585564967209E-2</v>
      </c>
      <c r="K243" s="477">
        <f>'Offroad Data'!W467*SUMIFS('Emission Factors'!$F$60:$F$100,'Emission Factors'!$B$60:$B$100,'Off-road'!$B243,'Emission Factors'!$A$60:$A$100,'Off-road'!$C243)/grams_to_mton</f>
        <v>7.0672106727080991E-2</v>
      </c>
      <c r="L243" s="477">
        <f>'Offroad Data'!X467*SUMIFS('Emission Factors'!$F$60:$F$100,'Emission Factors'!$B$60:$B$100,'Off-road'!$B243,'Emission Factors'!$A$60:$A$100,'Off-road'!$C243)/grams_to_mton</f>
        <v>8.5460841209041724E-2</v>
      </c>
      <c r="M243" s="375">
        <f t="shared" si="32"/>
        <v>0.2910578560184337</v>
      </c>
      <c r="N243" s="66"/>
      <c r="O243" s="302"/>
      <c r="P243" s="302"/>
      <c r="Q243" s="302"/>
      <c r="R243" s="302"/>
    </row>
    <row r="244" spans="1:18" x14ac:dyDescent="0.15">
      <c r="A244" s="118"/>
      <c r="B244" s="173" t="s">
        <v>165</v>
      </c>
      <c r="C244" s="173" t="s">
        <v>159</v>
      </c>
      <c r="D244" s="477">
        <f>'Offroad Data'!P468*SUMIFS('Emission Factors'!$F$60:$F$100,'Emission Factors'!$B$60:$B$100,'Off-road'!$B244,'Emission Factors'!$A$60:$A$100,'Off-road'!$C244)/grams_to_mton</f>
        <v>0.17998497195899998</v>
      </c>
      <c r="E244" s="477">
        <f>'Offroad Data'!Q468*SUMIFS('Emission Factors'!$F$60:$F$100,'Emission Factors'!$B$60:$B$100,'Off-road'!$B244,'Emission Factors'!$A$60:$A$100,'Off-road'!$C244)/grams_to_mton</f>
        <v>0</v>
      </c>
      <c r="F244" s="477">
        <f>'Offroad Data'!R468*SUMIFS('Emission Factors'!$F$60:$F$100,'Emission Factors'!$B$60:$B$100,'Off-road'!$B244,'Emission Factors'!$A$60:$A$100,'Off-road'!$C244)/grams_to_mton</f>
        <v>0.17998497195899998</v>
      </c>
      <c r="G244" s="477">
        <f>'Offroad Data'!S468*SUMIFS('Emission Factors'!$F$60:$F$100,'Emission Factors'!$B$60:$B$100,'Off-road'!$B244,'Emission Factors'!$A$60:$A$100,'Off-road'!$C244)/grams_to_mton</f>
        <v>4.2372954142822247E-5</v>
      </c>
      <c r="H244" s="477">
        <f>'Offroad Data'!T468*SUMIFS('Emission Factors'!$F$60:$F$100,'Emission Factors'!$B$60:$B$100,'Off-road'!$B244,'Emission Factors'!$A$60:$A$100,'Off-road'!$C244)/grams_to_mton</f>
        <v>1.9297019238487236E-5</v>
      </c>
      <c r="I244" s="477">
        <f>'Offroad Data'!U468*SUMIFS('Emission Factors'!$F$60:$F$100,'Emission Factors'!$B$60:$B$100,'Off-road'!$B244,'Emission Factors'!$A$60:$A$100,'Off-road'!$C244)/grams_to_mton</f>
        <v>0</v>
      </c>
      <c r="J244" s="477">
        <f>'Offroad Data'!V468*SUMIFS('Emission Factors'!$F$60:$F$100,'Emission Factors'!$B$60:$B$100,'Off-road'!$B244,'Emission Factors'!$A$60:$A$100,'Off-road'!$C244)/grams_to_mton</f>
        <v>2.1307129992759634E-5</v>
      </c>
      <c r="K244" s="477">
        <f>'Offroad Data'!W468*SUMIFS('Emission Factors'!$F$60:$F$100,'Emission Factors'!$B$60:$B$100,'Off-road'!$B244,'Emission Factors'!$A$60:$A$100,'Off-road'!$C244)/grams_to_mton</f>
        <v>1.8492973068901004E-5</v>
      </c>
      <c r="L244" s="477">
        <f>'Offroad Data'!X468*SUMIFS('Emission Factors'!$F$60:$F$100,'Emission Factors'!$B$60:$B$100,'Off-road'!$B244,'Emission Factors'!$A$60:$A$100,'Off-road'!$C244)/grams_to_mton</f>
        <v>4.34182952101593E-5</v>
      </c>
      <c r="M244" s="375">
        <f t="shared" si="32"/>
        <v>0.18012986033065312</v>
      </c>
      <c r="N244" s="66"/>
      <c r="O244" s="302"/>
      <c r="P244" s="302"/>
      <c r="Q244" s="302"/>
      <c r="R244" s="302"/>
    </row>
    <row r="245" spans="1:18" x14ac:dyDescent="0.15">
      <c r="A245" s="118"/>
      <c r="B245" s="173" t="s">
        <v>165</v>
      </c>
      <c r="C245" s="173" t="s">
        <v>104</v>
      </c>
      <c r="D245" s="477">
        <f>'Offroad Data'!P469*SUMIFS('Emission Factors'!$F$60:$F$100,'Emission Factors'!$B$60:$B$100,'Off-road'!$B245,'Emission Factors'!$A$60:$A$100,'Off-road'!$C245)/grams_to_mton</f>
        <v>8.0773169744852442</v>
      </c>
      <c r="E245" s="477">
        <f>'Offroad Data'!Q469*SUMIFS('Emission Factors'!$F$60:$F$100,'Emission Factors'!$B$60:$B$100,'Off-road'!$B245,'Emission Factors'!$A$60:$A$100,'Off-road'!$C245)/grams_to_mton</f>
        <v>15.620124151326435</v>
      </c>
      <c r="F245" s="477">
        <f>'Offroad Data'!R469*SUMIFS('Emission Factors'!$F$60:$F$100,'Emission Factors'!$B$60:$B$100,'Off-road'!$B245,'Emission Factors'!$A$60:$A$100,'Off-road'!$C245)/grams_to_mton</f>
        <v>23.697441125811679</v>
      </c>
      <c r="G245" s="477">
        <f>'Offroad Data'!S469*SUMIFS('Emission Factors'!$F$60:$F$100,'Emission Factors'!$B$60:$B$100,'Off-road'!$B245,'Emission Factors'!$A$60:$A$100,'Off-road'!$C245)/grams_to_mton</f>
        <v>8.5948215084598463</v>
      </c>
      <c r="H245" s="477">
        <f>'Offroad Data'!T469*SUMIFS('Emission Factors'!$F$60:$F$100,'Emission Factors'!$B$60:$B$100,'Off-road'!$B245,'Emission Factors'!$A$60:$A$100,'Off-road'!$C245)/grams_to_mton</f>
        <v>2.3752874318559845</v>
      </c>
      <c r="I245" s="477">
        <f>'Offroad Data'!U469*SUMIFS('Emission Factors'!$F$60:$F$100,'Emission Factors'!$B$60:$B$100,'Off-road'!$B245,'Emission Factors'!$A$60:$A$100,'Off-road'!$C245)/grams_to_mton</f>
        <v>0.20232890653971991</v>
      </c>
      <c r="J245" s="477">
        <f>'Offroad Data'!V469*SUMIFS('Emission Factors'!$F$60:$F$100,'Emission Factors'!$B$60:$B$100,'Off-road'!$B245,'Emission Factors'!$A$60:$A$100,'Off-road'!$C245)/grams_to_mton</f>
        <v>4.0438101025074191</v>
      </c>
      <c r="K245" s="477">
        <f>'Offroad Data'!W469*SUMIFS('Emission Factors'!$F$60:$F$100,'Emission Factors'!$B$60:$B$100,'Off-road'!$B245,'Emission Factors'!$A$60:$A$100,'Off-road'!$C245)/grams_to_mton</f>
        <v>1.4911376379537711</v>
      </c>
      <c r="L245" s="477">
        <f>'Offroad Data'!X469*SUMIFS('Emission Factors'!$F$60:$F$100,'Emission Factors'!$B$60:$B$100,'Off-road'!$B245,'Emission Factors'!$A$60:$A$100,'Off-road'!$C245)/grams_to_mton</f>
        <v>1.9512279222145945</v>
      </c>
      <c r="M245" s="375">
        <f t="shared" si="32"/>
        <v>42.356054635343014</v>
      </c>
      <c r="N245" s="66"/>
      <c r="O245" s="302"/>
      <c r="P245" s="302"/>
      <c r="Q245" s="302"/>
      <c r="R245" s="302"/>
    </row>
    <row r="246" spans="1:18" x14ac:dyDescent="0.15">
      <c r="A246" s="118"/>
      <c r="B246" s="173" t="s">
        <v>165</v>
      </c>
      <c r="C246" s="173" t="s">
        <v>156</v>
      </c>
      <c r="D246" s="477">
        <f>'Offroad Data'!P470*SUMIFS('Emission Factors'!$F$60:$F$100,'Emission Factors'!$B$60:$B$100,'Off-road'!$B246,'Emission Factors'!$A$60:$A$100,'Off-road'!$C246)/grams_to_mton</f>
        <v>0.76045291524358816</v>
      </c>
      <c r="E246" s="477">
        <f>'Offroad Data'!Q470*SUMIFS('Emission Factors'!$F$60:$F$100,'Emission Factors'!$B$60:$B$100,'Off-road'!$B246,'Emission Factors'!$A$60:$A$100,'Off-road'!$C246)/grams_to_mton</f>
        <v>1.4705834851924893</v>
      </c>
      <c r="F246" s="477">
        <f>'Offroad Data'!R470*SUMIFS('Emission Factors'!$F$60:$F$100,'Emission Factors'!$B$60:$B$100,'Off-road'!$B246,'Emission Factors'!$A$60:$A$100,'Off-road'!$C246)/grams_to_mton</f>
        <v>2.2310364004360776</v>
      </c>
      <c r="G246" s="477">
        <f>'Offroad Data'!S470*SUMIFS('Emission Factors'!$F$60:$F$100,'Emission Factors'!$B$60:$B$100,'Off-road'!$B246,'Emission Factors'!$A$60:$A$100,'Off-road'!$C246)/grams_to_mton</f>
        <v>0.55950380625622409</v>
      </c>
      <c r="H246" s="477">
        <f>'Offroad Data'!T470*SUMIFS('Emission Factors'!$F$60:$F$100,'Emission Factors'!$B$60:$B$100,'Off-road'!$B246,'Emission Factors'!$A$60:$A$100,'Off-road'!$C246)/grams_to_mton</f>
        <v>0.51252562498436183</v>
      </c>
      <c r="I246" s="477">
        <f>'Offroad Data'!U470*SUMIFS('Emission Factors'!$F$60:$F$100,'Emission Factors'!$B$60:$B$100,'Off-road'!$B246,'Emission Factors'!$A$60:$A$100,'Off-road'!$C246)/grams_to_mton</f>
        <v>0.11946860097205408</v>
      </c>
      <c r="J246" s="477">
        <f>'Offroad Data'!V470*SUMIFS('Emission Factors'!$F$60:$F$100,'Emission Factors'!$B$60:$B$100,'Off-road'!$B246,'Emission Factors'!$A$60:$A$100,'Off-road'!$C246)/grams_to_mton</f>
        <v>0.4132424321124552</v>
      </c>
      <c r="K246" s="477">
        <f>'Offroad Data'!W470*SUMIFS('Emission Factors'!$F$60:$F$100,'Emission Factors'!$B$60:$B$100,'Off-road'!$B246,'Emission Factors'!$A$60:$A$100,'Off-road'!$C246)/grams_to_mton</f>
        <v>0.31310593399632447</v>
      </c>
      <c r="L246" s="477">
        <f>'Offroad Data'!X470*SUMIFS('Emission Factors'!$F$60:$F$100,'Emission Factors'!$B$60:$B$100,'Off-road'!$B246,'Emission Factors'!$A$60:$A$100,'Off-road'!$C246)/grams_to_mton</f>
        <v>0.73403218908379841</v>
      </c>
      <c r="M246" s="375">
        <f t="shared" si="32"/>
        <v>4.8829149878412954</v>
      </c>
      <c r="N246" s="66"/>
      <c r="O246" s="302"/>
      <c r="P246" s="302"/>
      <c r="Q246" s="302"/>
      <c r="R246" s="302"/>
    </row>
    <row r="247" spans="1:18" x14ac:dyDescent="0.15">
      <c r="A247" s="118"/>
      <c r="B247" s="173" t="s">
        <v>165</v>
      </c>
      <c r="C247" s="173" t="s">
        <v>157</v>
      </c>
      <c r="D247" s="477">
        <f>'Offroad Data'!P471*SUMIFS('Emission Factors'!$F$60:$F$100,'Emission Factors'!$B$60:$B$100,'Off-road'!$B247,'Emission Factors'!$A$60:$A$100,'Off-road'!$C247)/grams_to_mton</f>
        <v>2.0044727475446726</v>
      </c>
      <c r="E247" s="477">
        <f>'Offroad Data'!Q471*SUMIFS('Emission Factors'!$F$60:$F$100,'Emission Factors'!$B$60:$B$100,'Off-road'!$B247,'Emission Factors'!$A$60:$A$100,'Off-road'!$C247)/grams_to_mton</f>
        <v>3.8763011620691707</v>
      </c>
      <c r="F247" s="477">
        <f>'Offroad Data'!R471*SUMIFS('Emission Factors'!$F$60:$F$100,'Emission Factors'!$B$60:$B$100,'Off-road'!$B247,'Emission Factors'!$A$60:$A$100,'Off-road'!$C247)/grams_to_mton</f>
        <v>5.8807739096138443</v>
      </c>
      <c r="G247" s="477">
        <f>'Offroad Data'!S471*SUMIFS('Emission Factors'!$F$60:$F$100,'Emission Factors'!$B$60:$B$100,'Off-road'!$B247,'Emission Factors'!$A$60:$A$100,'Off-road'!$C247)/grams_to_mton</f>
        <v>1.5055023431167744</v>
      </c>
      <c r="H247" s="477">
        <f>'Offroad Data'!T471*SUMIFS('Emission Factors'!$F$60:$F$100,'Emission Factors'!$B$60:$B$100,'Off-road'!$B247,'Emission Factors'!$A$60:$A$100,'Off-road'!$C247)/grams_to_mton</f>
        <v>0.80119078689698098</v>
      </c>
      <c r="I247" s="477">
        <f>'Offroad Data'!U471*SUMIFS('Emission Factors'!$F$60:$F$100,'Emission Factors'!$B$60:$B$100,'Off-road'!$B247,'Emission Factors'!$A$60:$A$100,'Off-road'!$C247)/grams_to_mton</f>
        <v>4.6634289658028481E-2</v>
      </c>
      <c r="J247" s="477">
        <f>'Offroad Data'!V471*SUMIFS('Emission Factors'!$F$60:$F$100,'Emission Factors'!$B$60:$B$100,'Off-road'!$B247,'Emission Factors'!$A$60:$A$100,'Off-road'!$C247)/grams_to_mton</f>
        <v>1.1431163055754414</v>
      </c>
      <c r="K247" s="477">
        <f>'Offroad Data'!W471*SUMIFS('Emission Factors'!$F$60:$F$100,'Emission Factors'!$B$60:$B$100,'Off-road'!$B247,'Emission Factors'!$A$60:$A$100,'Off-road'!$C247)/grams_to_mton</f>
        <v>0.59543487681072638</v>
      </c>
      <c r="L247" s="477">
        <f>'Offroad Data'!X471*SUMIFS('Emission Factors'!$F$60:$F$100,'Emission Factors'!$B$60:$B$100,'Off-road'!$B247,'Emission Factors'!$A$60:$A$100,'Off-road'!$C247)/grams_to_mton</f>
        <v>0.55012773866808495</v>
      </c>
      <c r="M247" s="375">
        <f t="shared" si="32"/>
        <v>10.522780250339881</v>
      </c>
      <c r="N247" s="66"/>
      <c r="O247" s="302"/>
      <c r="P247" s="302"/>
      <c r="Q247" s="302"/>
      <c r="R247" s="302"/>
    </row>
    <row r="248" spans="1:18" x14ac:dyDescent="0.15">
      <c r="A248" s="118"/>
      <c r="B248" s="173" t="s">
        <v>165</v>
      </c>
      <c r="C248" s="173" t="s">
        <v>160</v>
      </c>
      <c r="D248" s="477">
        <f>'Offroad Data'!P472*SUMIFS('Emission Factors'!$F$60:$F$100,'Emission Factors'!$B$60:$B$100,'Off-road'!$B248,'Emission Factors'!$A$60:$A$100,'Off-road'!$C248)/grams_to_mton</f>
        <v>11.118612577559119</v>
      </c>
      <c r="E248" s="477">
        <f>'Offroad Data'!Q472*SUMIFS('Emission Factors'!$F$60:$F$100,'Emission Factors'!$B$60:$B$100,'Off-road'!$B248,'Emission Factors'!$A$60:$A$100,'Off-road'!$C248)/grams_to_mton</f>
        <v>35.176314792031228</v>
      </c>
      <c r="F248" s="477">
        <f>'Offroad Data'!R472*SUMIFS('Emission Factors'!$F$60:$F$100,'Emission Factors'!$B$60:$B$100,'Off-road'!$B248,'Emission Factors'!$A$60:$A$100,'Off-road'!$C248)/grams_to_mton</f>
        <v>46.294927369590347</v>
      </c>
      <c r="G248" s="477">
        <f>'Offroad Data'!S472*SUMIFS('Emission Factors'!$F$60:$F$100,'Emission Factors'!$B$60:$B$100,'Off-road'!$B248,'Emission Factors'!$A$60:$A$100,'Off-road'!$C248)/grams_to_mton</f>
        <v>20.520995854513611</v>
      </c>
      <c r="H248" s="477">
        <f>'Offroad Data'!T472*SUMIFS('Emission Factors'!$F$60:$F$100,'Emission Factors'!$B$60:$B$100,'Off-road'!$B248,'Emission Factors'!$A$60:$A$100,'Off-road'!$C248)/grams_to_mton</f>
        <v>10.550596795860287</v>
      </c>
      <c r="I248" s="477">
        <f>'Offroad Data'!U472*SUMIFS('Emission Factors'!$F$60:$F$100,'Emission Factors'!$B$60:$B$100,'Off-road'!$B248,'Emission Factors'!$A$60:$A$100,'Off-road'!$C248)/grams_to_mton</f>
        <v>0.96694712676791361</v>
      </c>
      <c r="J248" s="477">
        <f>'Offroad Data'!V472*SUMIFS('Emission Factors'!$F$60:$F$100,'Emission Factors'!$B$60:$B$100,'Off-road'!$B248,'Emission Factors'!$A$60:$A$100,'Off-road'!$C248)/grams_to_mton</f>
        <v>17.899970938233029</v>
      </c>
      <c r="K248" s="477">
        <f>'Offroad Data'!W472*SUMIFS('Emission Factors'!$F$60:$F$100,'Emission Factors'!$B$60:$B$100,'Off-road'!$B248,'Emission Factors'!$A$60:$A$100,'Off-road'!$C248)/grams_to_mton</f>
        <v>5.0224854571964341</v>
      </c>
      <c r="L248" s="477">
        <f>'Offroad Data'!X472*SUMIFS('Emission Factors'!$F$60:$F$100,'Emission Factors'!$B$60:$B$100,'Off-road'!$B248,'Emission Factors'!$A$60:$A$100,'Off-road'!$C248)/grams_to_mton</f>
        <v>8.3457701985291965</v>
      </c>
      <c r="M248" s="375">
        <f t="shared" si="32"/>
        <v>109.60169374069082</v>
      </c>
      <c r="N248" s="66"/>
      <c r="O248" s="302"/>
      <c r="P248" s="302"/>
      <c r="Q248" s="302"/>
      <c r="R248" s="302"/>
    </row>
    <row r="249" spans="1:18" x14ac:dyDescent="0.15">
      <c r="A249" s="118"/>
      <c r="B249" s="173" t="s">
        <v>165</v>
      </c>
      <c r="C249" s="173" t="s">
        <v>161</v>
      </c>
      <c r="D249" s="477">
        <f>'Offroad Data'!P473*SUMIFS('Emission Factors'!$F$60:$F$100,'Emission Factors'!$B$60:$B$100,'Off-road'!$B249,'Emission Factors'!$A$60:$A$100,'Off-road'!$C249)/grams_to_mton</f>
        <v>0</v>
      </c>
      <c r="E249" s="477">
        <f>'Offroad Data'!Q473*SUMIFS('Emission Factors'!$F$60:$F$100,'Emission Factors'!$B$60:$B$100,'Off-road'!$B249,'Emission Factors'!$A$60:$A$100,'Off-road'!$C249)/grams_to_mton</f>
        <v>6.1530281933543998E-3</v>
      </c>
      <c r="F249" s="477">
        <f>'Offroad Data'!R473*SUMIFS('Emission Factors'!$F$60:$F$100,'Emission Factors'!$B$60:$B$100,'Off-road'!$B249,'Emission Factors'!$A$60:$A$100,'Off-road'!$C249)/grams_to_mton</f>
        <v>6.1530281933543998E-3</v>
      </c>
      <c r="G249" s="477">
        <f>'Offroad Data'!S473*SUMIFS('Emission Factors'!$F$60:$F$100,'Emission Factors'!$B$60:$B$100,'Off-road'!$B249,'Emission Factors'!$A$60:$A$100,'Off-road'!$C249)/grams_to_mton</f>
        <v>9.9827257860355236E-4</v>
      </c>
      <c r="H249" s="477">
        <f>'Offroad Data'!T473*SUMIFS('Emission Factors'!$F$60:$F$100,'Emission Factors'!$B$60:$B$100,'Off-road'!$B249,'Emission Factors'!$A$60:$A$100,'Off-road'!$C249)/grams_to_mton</f>
        <v>1.5130218258237278E-3</v>
      </c>
      <c r="I249" s="477">
        <f>'Offroad Data'!U473*SUMIFS('Emission Factors'!$F$60:$F$100,'Emission Factors'!$B$60:$B$100,'Off-road'!$B249,'Emission Factors'!$A$60:$A$100,'Off-road'!$C249)/grams_to_mton</f>
        <v>2.6567202639433845E-3</v>
      </c>
      <c r="J249" s="477">
        <f>'Offroad Data'!V473*SUMIFS('Emission Factors'!$F$60:$F$100,'Emission Factors'!$B$60:$B$100,'Off-road'!$B249,'Emission Factors'!$A$60:$A$100,'Off-road'!$C249)/grams_to_mton</f>
        <v>3.6694964130999964E-3</v>
      </c>
      <c r="K249" s="477">
        <f>'Offroad Data'!W473*SUMIFS('Emission Factors'!$F$60:$F$100,'Emission Factors'!$B$60:$B$100,'Off-road'!$B249,'Emission Factors'!$A$60:$A$100,'Off-road'!$C249)/grams_to_mton</f>
        <v>8.7977819025795694E-3</v>
      </c>
      <c r="L249" s="477">
        <f>'Offroad Data'!X473*SUMIFS('Emission Factors'!$F$60:$F$100,'Emission Factors'!$B$60:$B$100,'Off-road'!$B249,'Emission Factors'!$A$60:$A$100,'Off-road'!$C249)/grams_to_mton</f>
        <v>9.2183896998827026E-3</v>
      </c>
      <c r="M249" s="375">
        <f t="shared" si="32"/>
        <v>3.3006710877287335E-2</v>
      </c>
      <c r="N249" s="66"/>
      <c r="O249" s="302"/>
      <c r="P249" s="302"/>
      <c r="Q249" s="302"/>
      <c r="R249" s="302"/>
    </row>
    <row r="250" spans="1:18" x14ac:dyDescent="0.15">
      <c r="A250" s="118"/>
      <c r="B250" s="173" t="s">
        <v>165</v>
      </c>
      <c r="C250" s="173" t="s">
        <v>158</v>
      </c>
      <c r="D250" s="477">
        <f>'Offroad Data'!P474*SUMIFS('Emission Factors'!$F$60:$F$100,'Emission Factors'!$B$60:$B$100,'Off-road'!$B250,'Emission Factors'!$A$60:$A$100,'Off-road'!$C250)/grams_to_mton</f>
        <v>1.6176006493949301E-2</v>
      </c>
      <c r="E250" s="477">
        <f>'Offroad Data'!Q474*SUMIFS('Emission Factors'!$F$60:$F$100,'Emission Factors'!$B$60:$B$100,'Off-road'!$B250,'Emission Factors'!$A$60:$A$100,'Off-road'!$C250)/grams_to_mton</f>
        <v>3.1281579082050696E-2</v>
      </c>
      <c r="F250" s="477">
        <f>'Offroad Data'!R474*SUMIFS('Emission Factors'!$F$60:$F$100,'Emission Factors'!$B$60:$B$100,'Off-road'!$B250,'Emission Factors'!$A$60:$A$100,'Off-road'!$C250)/grams_to_mton</f>
        <v>4.7457585575999994E-2</v>
      </c>
      <c r="G250" s="477">
        <f>'Offroad Data'!S474*SUMIFS('Emission Factors'!$F$60:$F$100,'Emission Factors'!$B$60:$B$100,'Off-road'!$B250,'Emission Factors'!$A$60:$A$100,'Off-road'!$C250)/grams_to_mton</f>
        <v>3.8757029768000002E-2</v>
      </c>
      <c r="H250" s="477">
        <f>'Offroad Data'!T474*SUMIFS('Emission Factors'!$F$60:$F$100,'Emission Factors'!$B$60:$B$100,'Off-road'!$B250,'Emission Factors'!$A$60:$A$100,'Off-road'!$C250)/grams_to_mton</f>
        <v>4.7457585372968712E-3</v>
      </c>
      <c r="I250" s="477">
        <f>'Offroad Data'!U474*SUMIFS('Emission Factors'!$F$60:$F$100,'Emission Factors'!$B$60:$B$100,'Off-road'!$B250,'Emission Factors'!$A$60:$A$100,'Off-road'!$C250)/grams_to_mton</f>
        <v>0</v>
      </c>
      <c r="J250" s="477">
        <f>'Offroad Data'!V474*SUMIFS('Emission Factors'!$F$60:$F$100,'Emission Factors'!$B$60:$B$100,'Off-road'!$B250,'Emission Factors'!$A$60:$A$100,'Off-road'!$C250)/grams_to_mton</f>
        <v>3.0847440056E-2</v>
      </c>
      <c r="K250" s="477">
        <f>'Offroad Data'!W474*SUMIFS('Emission Factors'!$F$60:$F$100,'Emission Factors'!$B$60:$B$100,'Off-road'!$B250,'Emission Factors'!$A$60:$A$100,'Off-road'!$C250)/grams_to_mton</f>
        <v>0</v>
      </c>
      <c r="L250" s="477">
        <f>'Offroad Data'!X474*SUMIFS('Emission Factors'!$F$60:$F$100,'Emission Factors'!$B$60:$B$100,'Off-road'!$B250,'Emission Factors'!$A$60:$A$100,'Off-road'!$C250)/grams_to_mton</f>
        <v>4.7457585575999994E-2</v>
      </c>
      <c r="M250" s="375">
        <f t="shared" si="32"/>
        <v>0.16926539951329686</v>
      </c>
      <c r="N250" s="66"/>
      <c r="O250" s="302"/>
      <c r="P250" s="302"/>
      <c r="Q250" s="302"/>
      <c r="R250" s="302"/>
    </row>
    <row r="251" spans="1:18" x14ac:dyDescent="0.15">
      <c r="A251" s="118"/>
      <c r="B251" s="173" t="s">
        <v>165</v>
      </c>
      <c r="C251" s="173" t="s">
        <v>162</v>
      </c>
      <c r="D251" s="477">
        <f>'Offroad Data'!P475*SUMIFS('Emission Factors'!$F$60:$F$100,'Emission Factors'!$B$60:$B$100,'Off-road'!$B251,'Emission Factors'!$A$60:$A$100,'Off-road'!$C251)/grams_to_mton</f>
        <v>1.2758132386246041E-2</v>
      </c>
      <c r="E251" s="477">
        <f>'Offroad Data'!Q475*SUMIFS('Emission Factors'!$F$60:$F$100,'Emission Factors'!$B$60:$B$100,'Off-road'!$B251,'Emission Factors'!$A$60:$A$100,'Off-road'!$C251)/grams_to_mton</f>
        <v>4.5445750284179966E-3</v>
      </c>
      <c r="F251" s="477">
        <f>'Offroad Data'!R475*SUMIFS('Emission Factors'!$F$60:$F$100,'Emission Factors'!$B$60:$B$100,'Off-road'!$B251,'Emission Factors'!$A$60:$A$100,'Off-road'!$C251)/grams_to_mton</f>
        <v>1.7302707414664036E-2</v>
      </c>
      <c r="G251" s="477">
        <f>'Offroad Data'!S475*SUMIFS('Emission Factors'!$F$60:$F$100,'Emission Factors'!$B$60:$B$100,'Off-road'!$B251,'Emission Factors'!$A$60:$A$100,'Off-road'!$C251)/grams_to_mton</f>
        <v>7.1561173270485194E-3</v>
      </c>
      <c r="H251" s="477">
        <f>'Offroad Data'!T475*SUMIFS('Emission Factors'!$F$60:$F$100,'Emission Factors'!$B$60:$B$100,'Off-road'!$B251,'Emission Factors'!$A$60:$A$100,'Off-road'!$C251)/grams_to_mton</f>
        <v>3.1137630347410697E-3</v>
      </c>
      <c r="I251" s="477">
        <f>'Offroad Data'!U475*SUMIFS('Emission Factors'!$F$60:$F$100,'Emission Factors'!$B$60:$B$100,'Off-road'!$B251,'Emission Factors'!$A$60:$A$100,'Off-road'!$C251)/grams_to_mton</f>
        <v>4.9842739845256702E-4</v>
      </c>
      <c r="J251" s="477">
        <f>'Offroad Data'!V475*SUMIFS('Emission Factors'!$F$60:$F$100,'Emission Factors'!$B$60:$B$100,'Off-road'!$B251,'Emission Factors'!$A$60:$A$100,'Off-road'!$C251)/grams_to_mton</f>
        <v>2.3116362523988541E-3</v>
      </c>
      <c r="K251" s="477">
        <f>'Offroad Data'!W475*SUMIFS('Emission Factors'!$F$60:$F$100,'Emission Factors'!$B$60:$B$100,'Off-road'!$B251,'Emission Factors'!$A$60:$A$100,'Off-road'!$C251)/grams_to_mton</f>
        <v>4.5130255064714669E-4</v>
      </c>
      <c r="L251" s="477">
        <f>'Offroad Data'!X475*SUMIFS('Emission Factors'!$F$60:$F$100,'Emission Factors'!$B$60:$B$100,'Off-road'!$B251,'Emission Factors'!$A$60:$A$100,'Off-road'!$C251)/grams_to_mton</f>
        <v>3.8242077206132792E-3</v>
      </c>
      <c r="M251" s="375">
        <f t="shared" si="32"/>
        <v>3.4658161698565469E-2</v>
      </c>
      <c r="N251" s="66"/>
      <c r="O251" s="302"/>
      <c r="P251" s="302"/>
      <c r="Q251" s="302"/>
      <c r="R251" s="302"/>
    </row>
    <row r="252" spans="1:18" ht="15" thickBot="1" x14ac:dyDescent="0.2">
      <c r="A252" s="118"/>
      <c r="B252" s="173" t="s">
        <v>165</v>
      </c>
      <c r="C252" s="173" t="s">
        <v>163</v>
      </c>
      <c r="D252" s="477">
        <f>'Offroad Data'!P476*SUMIFS('Emission Factors'!$F$60:$F$100,'Emission Factors'!$B$60:$B$100,'Off-road'!$B252,'Emission Factors'!$A$60:$A$100,'Off-road'!$C252)/grams_to_mton</f>
        <v>1.6514795537326261</v>
      </c>
      <c r="E252" s="477">
        <f>'Offroad Data'!Q476*SUMIFS('Emission Factors'!$F$60:$F$100,'Emission Factors'!$B$60:$B$100,'Off-road'!$B252,'Emission Factors'!$A$60:$A$100,'Off-road'!$C252)/grams_to_mton</f>
        <v>1.5205721352987973</v>
      </c>
      <c r="F252" s="477">
        <f>'Offroad Data'!R476*SUMIFS('Emission Factors'!$F$60:$F$100,'Emission Factors'!$B$60:$B$100,'Off-road'!$B252,'Emission Factors'!$A$60:$A$100,'Off-road'!$C252)/grams_to_mton</f>
        <v>3.1720516890314236</v>
      </c>
      <c r="G252" s="477">
        <f>'Offroad Data'!S476*SUMIFS('Emission Factors'!$F$60:$F$100,'Emission Factors'!$B$60:$B$100,'Off-road'!$B252,'Emission Factors'!$A$60:$A$100,'Off-road'!$C252)/grams_to_mton</f>
        <v>0.78406597632330888</v>
      </c>
      <c r="H252" s="477">
        <f>'Offroad Data'!T476*SUMIFS('Emission Factors'!$F$60:$F$100,'Emission Factors'!$B$60:$B$100,'Off-road'!$B252,'Emission Factors'!$A$60:$A$100,'Off-road'!$C252)/grams_to_mton</f>
        <v>0.41072283998824982</v>
      </c>
      <c r="I252" s="477">
        <f>'Offroad Data'!U476*SUMIFS('Emission Factors'!$F$60:$F$100,'Emission Factors'!$B$60:$B$100,'Off-road'!$B252,'Emission Factors'!$A$60:$A$100,'Off-road'!$C252)/grams_to_mton</f>
        <v>0.335508606393839</v>
      </c>
      <c r="J252" s="477">
        <f>'Offroad Data'!V476*SUMIFS('Emission Factors'!$F$60:$F$100,'Emission Factors'!$B$60:$B$100,'Off-road'!$B252,'Emission Factors'!$A$60:$A$100,'Off-road'!$C252)/grams_to_mton</f>
        <v>1.5485317377901771</v>
      </c>
      <c r="K252" s="477">
        <f>'Offroad Data'!W476*SUMIFS('Emission Factors'!$F$60:$F$100,'Emission Factors'!$B$60:$B$100,'Off-road'!$B252,'Emission Factors'!$A$60:$A$100,'Off-road'!$C252)/grams_to_mton</f>
        <v>0.59739413454675105</v>
      </c>
      <c r="L252" s="477">
        <f>'Offroad Data'!X476*SUMIFS('Emission Factors'!$F$60:$F$100,'Emission Factors'!$B$60:$B$100,'Off-road'!$B252,'Emission Factors'!$A$60:$A$100,'Off-road'!$C252)/grams_to_mton</f>
        <v>0.72776854539774416</v>
      </c>
      <c r="M252" s="375">
        <f t="shared" si="32"/>
        <v>7.5760435294714936</v>
      </c>
      <c r="N252" s="66"/>
      <c r="O252" s="302"/>
      <c r="P252" s="302"/>
      <c r="Q252" s="302"/>
      <c r="R252" s="302"/>
    </row>
    <row r="253" spans="1:18" x14ac:dyDescent="0.15">
      <c r="A253" s="118"/>
      <c r="B253" s="175" t="s">
        <v>88</v>
      </c>
      <c r="C253" s="175"/>
      <c r="D253" s="360">
        <f t="shared" ref="D253:L253" si="33">SUM(D221:D252)</f>
        <v>57.774605168274022</v>
      </c>
      <c r="E253" s="360">
        <f t="shared" si="33"/>
        <v>118.93696806806091</v>
      </c>
      <c r="F253" s="360">
        <f t="shared" si="33"/>
        <v>176.711573236335</v>
      </c>
      <c r="G253" s="360">
        <f t="shared" si="33"/>
        <v>56.936426236021589</v>
      </c>
      <c r="H253" s="360">
        <f t="shared" si="33"/>
        <v>34.994977280632405</v>
      </c>
      <c r="I253" s="360">
        <f t="shared" si="33"/>
        <v>7.3652542309301952</v>
      </c>
      <c r="J253" s="360">
        <f t="shared" si="33"/>
        <v>43.404507097486864</v>
      </c>
      <c r="K253" s="360">
        <f t="shared" si="33"/>
        <v>21.704839443355038</v>
      </c>
      <c r="L253" s="360">
        <f t="shared" si="33"/>
        <v>38.992823397920752</v>
      </c>
      <c r="M253" s="377">
        <f t="shared" si="32"/>
        <v>380.11040092268183</v>
      </c>
      <c r="N253" s="66"/>
      <c r="O253" s="302"/>
      <c r="P253" s="302"/>
      <c r="Q253" s="302"/>
      <c r="R253" s="302"/>
    </row>
    <row r="254" spans="1:18" outlineLevel="1" x14ac:dyDescent="0.15">
      <c r="A254" s="66"/>
      <c r="B254" s="82"/>
      <c r="C254" s="182"/>
      <c r="D254" s="182"/>
      <c r="E254" s="182"/>
      <c r="F254" s="182"/>
      <c r="G254" s="182"/>
      <c r="H254" s="182"/>
      <c r="I254" s="182"/>
      <c r="J254" s="182"/>
      <c r="K254" s="182"/>
      <c r="L254" s="66"/>
      <c r="M254" s="110"/>
      <c r="N254" s="66"/>
      <c r="O254" s="302"/>
      <c r="P254" s="302"/>
      <c r="Q254" s="302"/>
      <c r="R254" s="302"/>
    </row>
    <row r="255" spans="1:18" ht="15" thickBot="1" x14ac:dyDescent="0.2">
      <c r="B255" s="82" t="s">
        <v>167</v>
      </c>
      <c r="M255" s="110"/>
      <c r="N255" s="66"/>
      <c r="O255" s="302"/>
      <c r="P255" s="302"/>
      <c r="Q255" s="302"/>
      <c r="R255" s="302"/>
    </row>
    <row r="256" spans="1:18" s="133" customFormat="1" x14ac:dyDescent="0.15">
      <c r="B256" s="662" t="s">
        <v>76</v>
      </c>
      <c r="C256" s="665" t="s">
        <v>80</v>
      </c>
      <c r="D256" s="668" t="s">
        <v>77</v>
      </c>
      <c r="E256" s="678" t="s">
        <v>128</v>
      </c>
      <c r="F256" s="678"/>
      <c r="G256" s="679"/>
      <c r="H256" s="677" t="s">
        <v>129</v>
      </c>
      <c r="I256" s="678"/>
      <c r="J256" s="678"/>
      <c r="K256" s="679"/>
      <c r="L256" s="66"/>
      <c r="M256" s="381"/>
      <c r="O256" s="302"/>
      <c r="P256" s="302"/>
      <c r="Q256" s="302"/>
      <c r="R256" s="302"/>
    </row>
    <row r="257" spans="1:18" s="133" customFormat="1" ht="15" customHeight="1" thickBot="1" x14ac:dyDescent="0.2">
      <c r="B257" s="708"/>
      <c r="C257" s="709"/>
      <c r="D257" s="710"/>
      <c r="E257" s="345" t="s">
        <v>94</v>
      </c>
      <c r="F257" s="343" t="s">
        <v>95</v>
      </c>
      <c r="G257" s="344" t="s">
        <v>96</v>
      </c>
      <c r="H257" s="342" t="s">
        <v>94</v>
      </c>
      <c r="I257" s="343" t="s">
        <v>95</v>
      </c>
      <c r="J257" s="343" t="s">
        <v>96</v>
      </c>
      <c r="K257" s="344" t="s">
        <v>130</v>
      </c>
      <c r="L257" s="66"/>
      <c r="M257" s="381"/>
      <c r="O257" s="302"/>
      <c r="P257" s="302"/>
      <c r="Q257" s="302"/>
      <c r="R257" s="302"/>
    </row>
    <row r="258" spans="1:18" ht="14.75" customHeight="1" x14ac:dyDescent="0.15">
      <c r="B258" s="335">
        <v>2010</v>
      </c>
      <c r="C258" s="336">
        <v>1</v>
      </c>
      <c r="D258" s="349" t="s">
        <v>59</v>
      </c>
      <c r="E258" s="346">
        <f>'Offroad Data'!C5/'Constants &amp; Conversions'!$D$32</f>
        <v>1579217.6810589614</v>
      </c>
      <c r="F258" s="337">
        <f>F217</f>
        <v>1320.4047324087028</v>
      </c>
      <c r="G258" s="338">
        <f>F253</f>
        <v>176.711573236335</v>
      </c>
      <c r="H258" s="339">
        <f t="shared" ref="H258:H266" si="34">E258*CO2_GWP</f>
        <v>1579217.6810589614</v>
      </c>
      <c r="I258" s="339">
        <f>F258*CH4_GWP</f>
        <v>36971.33250744368</v>
      </c>
      <c r="J258" s="340">
        <f t="shared" ref="J258:J266" si="35">G258*N2O_GWP</f>
        <v>46828.566907628774</v>
      </c>
      <c r="K258" s="341">
        <f>SUM(H258:J258)</f>
        <v>1663017.5804740337</v>
      </c>
      <c r="L258" s="66"/>
      <c r="O258" s="302">
        <f t="shared" ref="O258:O266" si="36">H258/mton_per_mmton</f>
        <v>1.5792176810589615</v>
      </c>
      <c r="P258" s="302">
        <f t="shared" ref="P258:P266" si="37">I258/mton_per_mmton</f>
        <v>3.697133250744368E-2</v>
      </c>
      <c r="Q258" s="302">
        <f t="shared" ref="Q258:Q266" si="38">J258/mton_per_mmton</f>
        <v>4.6828566907628773E-2</v>
      </c>
      <c r="R258" s="302"/>
    </row>
    <row r="259" spans="1:18" ht="14.75" customHeight="1" x14ac:dyDescent="0.15">
      <c r="B259" s="305">
        <v>2010</v>
      </c>
      <c r="C259" s="306">
        <v>1</v>
      </c>
      <c r="D259" s="350" t="s">
        <v>58</v>
      </c>
      <c r="E259" s="346">
        <f>'Offroad Data'!C6/'Constants &amp; Conversions'!$D$32</f>
        <v>530910.95845133276</v>
      </c>
      <c r="F259" s="308">
        <f>D217</f>
        <v>411.97757969154918</v>
      </c>
      <c r="G259" s="309">
        <f>D253</f>
        <v>57.774605168274022</v>
      </c>
      <c r="H259" s="310">
        <f t="shared" si="34"/>
        <v>530910.95845133276</v>
      </c>
      <c r="I259" s="310">
        <f t="shared" ref="I259:I265" si="39">F259*CH4_GWP</f>
        <v>11535.372231363377</v>
      </c>
      <c r="J259" s="311">
        <f t="shared" si="35"/>
        <v>15310.270369592616</v>
      </c>
      <c r="K259" s="312">
        <f>SUM(H259:J259)</f>
        <v>557756.60105228866</v>
      </c>
      <c r="L259" s="66"/>
      <c r="O259" s="302">
        <f t="shared" si="36"/>
        <v>0.53091095845133274</v>
      </c>
      <c r="P259" s="302">
        <f t="shared" si="37"/>
        <v>1.1535372231363377E-2</v>
      </c>
      <c r="Q259" s="302">
        <f t="shared" si="38"/>
        <v>1.5310270369592616E-2</v>
      </c>
      <c r="R259" s="302"/>
    </row>
    <row r="260" spans="1:18" ht="14.75" customHeight="1" x14ac:dyDescent="0.15">
      <c r="B260" s="305">
        <v>2010</v>
      </c>
      <c r="C260" s="306">
        <v>1</v>
      </c>
      <c r="D260" s="351" t="s">
        <v>131</v>
      </c>
      <c r="E260" s="346">
        <f>'Offroad Data'!C7/'Constants &amp; Conversions'!$D$32</f>
        <v>1048306.7226076287</v>
      </c>
      <c r="F260" s="308">
        <f>E217</f>
        <v>908.42715271715326</v>
      </c>
      <c r="G260" s="309">
        <f>E253</f>
        <v>118.93696806806091</v>
      </c>
      <c r="H260" s="310">
        <f t="shared" si="34"/>
        <v>1048306.7226076287</v>
      </c>
      <c r="I260" s="310">
        <f t="shared" si="39"/>
        <v>25435.960276080292</v>
      </c>
      <c r="J260" s="311">
        <f t="shared" si="35"/>
        <v>31518.296538036142</v>
      </c>
      <c r="K260" s="312">
        <f t="shared" ref="K260:K267" si="40">SUM(H260:J260)</f>
        <v>1105260.9794217451</v>
      </c>
      <c r="L260" s="66"/>
      <c r="O260" s="302">
        <f t="shared" si="36"/>
        <v>1.0483067226076286</v>
      </c>
      <c r="P260" s="302">
        <f t="shared" si="37"/>
        <v>2.5435960276080291E-2</v>
      </c>
      <c r="Q260" s="302">
        <f t="shared" si="38"/>
        <v>3.1518296538036145E-2</v>
      </c>
      <c r="R260" s="302"/>
    </row>
    <row r="261" spans="1:18" ht="14.75" customHeight="1" x14ac:dyDescent="0.15">
      <c r="B261" s="305">
        <v>2010</v>
      </c>
      <c r="C261" s="306">
        <v>1</v>
      </c>
      <c r="D261" s="352" t="s">
        <v>60</v>
      </c>
      <c r="E261" s="346">
        <f>'Offroad Data'!C8/'Constants &amp; Conversions'!$D$32</f>
        <v>476382.34759078122</v>
      </c>
      <c r="F261" s="308">
        <f>G217</f>
        <v>442.33924354927052</v>
      </c>
      <c r="G261" s="309">
        <f>G253</f>
        <v>56.936426236021589</v>
      </c>
      <c r="H261" s="310">
        <f t="shared" si="34"/>
        <v>476382.34759078122</v>
      </c>
      <c r="I261" s="310">
        <f t="shared" si="39"/>
        <v>12385.498819379574</v>
      </c>
      <c r="J261" s="311">
        <f t="shared" si="35"/>
        <v>15088.152952545721</v>
      </c>
      <c r="K261" s="315">
        <f t="shared" si="40"/>
        <v>503855.99936270656</v>
      </c>
      <c r="L261" s="66"/>
      <c r="O261" s="302">
        <f t="shared" si="36"/>
        <v>0.47638234759078124</v>
      </c>
      <c r="P261" s="302">
        <f t="shared" si="37"/>
        <v>1.2385498819379575E-2</v>
      </c>
      <c r="Q261" s="302">
        <f t="shared" si="38"/>
        <v>1.5088152952545722E-2</v>
      </c>
      <c r="R261" s="302"/>
    </row>
    <row r="262" spans="1:18" ht="14.75" customHeight="1" x14ac:dyDescent="0.15">
      <c r="B262" s="305">
        <v>2010</v>
      </c>
      <c r="C262" s="306">
        <v>1</v>
      </c>
      <c r="D262" s="352" t="s">
        <v>62</v>
      </c>
      <c r="E262" s="346">
        <f>'Offroad Data'!C9/'Constants &amp; Conversions'!$D$32</f>
        <v>321125.3691757911</v>
      </c>
      <c r="F262" s="308">
        <f>H217</f>
        <v>211.44982155280744</v>
      </c>
      <c r="G262" s="309">
        <f>H253</f>
        <v>34.994977280632405</v>
      </c>
      <c r="H262" s="310">
        <f t="shared" si="34"/>
        <v>321125.3691757911</v>
      </c>
      <c r="I262" s="310">
        <f t="shared" si="39"/>
        <v>5920.5950034786083</v>
      </c>
      <c r="J262" s="311">
        <f t="shared" si="35"/>
        <v>9273.6689793675869</v>
      </c>
      <c r="K262" s="315">
        <f t="shared" si="40"/>
        <v>336319.63315863733</v>
      </c>
      <c r="L262" s="66"/>
      <c r="O262" s="302">
        <f t="shared" si="36"/>
        <v>0.3211253691757911</v>
      </c>
      <c r="P262" s="302">
        <f t="shared" si="37"/>
        <v>5.9205950034786079E-3</v>
      </c>
      <c r="Q262" s="302">
        <f t="shared" si="38"/>
        <v>9.2736689793675876E-3</v>
      </c>
      <c r="R262" s="302"/>
    </row>
    <row r="263" spans="1:18" ht="14.75" customHeight="1" x14ac:dyDescent="0.15">
      <c r="B263" s="305">
        <v>2010</v>
      </c>
      <c r="C263" s="306">
        <v>1</v>
      </c>
      <c r="D263" s="352" t="s">
        <v>61</v>
      </c>
      <c r="E263" s="346">
        <f>'Offroad Data'!C10/'Constants &amp; Conversions'!$D$32</f>
        <v>80706.60195869641</v>
      </c>
      <c r="F263" s="308">
        <f>I217</f>
        <v>32.120711541429891</v>
      </c>
      <c r="G263" s="309">
        <f>I253</f>
        <v>7.3652542309301952</v>
      </c>
      <c r="H263" s="310">
        <f t="shared" si="34"/>
        <v>80706.60195869641</v>
      </c>
      <c r="I263" s="310">
        <f t="shared" si="39"/>
        <v>899.37992316003692</v>
      </c>
      <c r="J263" s="311">
        <f t="shared" si="35"/>
        <v>1951.7923711965018</v>
      </c>
      <c r="K263" s="315">
        <f t="shared" si="40"/>
        <v>83557.77425305295</v>
      </c>
      <c r="L263" s="66"/>
      <c r="O263" s="302">
        <f t="shared" si="36"/>
        <v>8.0706601958696417E-2</v>
      </c>
      <c r="P263" s="302">
        <f t="shared" si="37"/>
        <v>8.9937992316003698E-4</v>
      </c>
      <c r="Q263" s="302">
        <f t="shared" si="38"/>
        <v>1.9517923711965019E-3</v>
      </c>
      <c r="R263" s="302"/>
    </row>
    <row r="264" spans="1:18" ht="14.75" customHeight="1" x14ac:dyDescent="0.15">
      <c r="B264" s="305">
        <v>2010</v>
      </c>
      <c r="C264" s="306">
        <v>1</v>
      </c>
      <c r="D264" s="352" t="s">
        <v>63</v>
      </c>
      <c r="E264" s="346">
        <f>'Offroad Data'!C11/'Constants &amp; Conversions'!$D$32</f>
        <v>358526.03922623047</v>
      </c>
      <c r="F264" s="308">
        <f>J217</f>
        <v>335.17470728941123</v>
      </c>
      <c r="G264" s="309">
        <f>J253</f>
        <v>43.404507097486864</v>
      </c>
      <c r="H264" s="310">
        <f t="shared" si="34"/>
        <v>358526.03922623047</v>
      </c>
      <c r="I264" s="310">
        <f>F264*CH4_GWP</f>
        <v>9384.891804103514</v>
      </c>
      <c r="J264" s="311">
        <f t="shared" si="35"/>
        <v>11502.194380834018</v>
      </c>
      <c r="K264" s="315">
        <f t="shared" si="40"/>
        <v>379413.12541116797</v>
      </c>
      <c r="L264" s="66"/>
      <c r="O264" s="302">
        <f t="shared" si="36"/>
        <v>0.35852603922623044</v>
      </c>
      <c r="P264" s="302">
        <f t="shared" si="37"/>
        <v>9.384891804103514E-3</v>
      </c>
      <c r="Q264" s="302">
        <f t="shared" si="38"/>
        <v>1.1502194380834019E-2</v>
      </c>
      <c r="R264" s="302"/>
    </row>
    <row r="265" spans="1:18" ht="14.75" customHeight="1" x14ac:dyDescent="0.15">
      <c r="B265" s="305">
        <v>2010</v>
      </c>
      <c r="C265" s="306">
        <v>1</v>
      </c>
      <c r="D265" s="352" t="s">
        <v>64</v>
      </c>
      <c r="E265" s="346">
        <f>'Offroad Data'!C12/'Constants &amp; Conversions'!$D$32</f>
        <v>204205.78961051206</v>
      </c>
      <c r="F265" s="308">
        <f>K217</f>
        <v>130.36256623291527</v>
      </c>
      <c r="G265" s="309">
        <f>K253</f>
        <v>21.704839443355038</v>
      </c>
      <c r="H265" s="310">
        <f t="shared" si="34"/>
        <v>204205.78961051206</v>
      </c>
      <c r="I265" s="310">
        <f t="shared" si="39"/>
        <v>3650.1518545216277</v>
      </c>
      <c r="J265" s="311">
        <f t="shared" si="35"/>
        <v>5751.7824524890848</v>
      </c>
      <c r="K265" s="315">
        <f t="shared" si="40"/>
        <v>213607.72391752276</v>
      </c>
      <c r="L265" s="66"/>
      <c r="O265" s="302">
        <f t="shared" si="36"/>
        <v>0.20420578961051206</v>
      </c>
      <c r="P265" s="302">
        <f t="shared" si="37"/>
        <v>3.6501518545216279E-3</v>
      </c>
      <c r="Q265" s="302">
        <f t="shared" si="38"/>
        <v>5.7517824524890848E-3</v>
      </c>
      <c r="R265" s="302"/>
    </row>
    <row r="266" spans="1:18" ht="14.75" customHeight="1" thickBot="1" x14ac:dyDescent="0.2">
      <c r="B266" s="305">
        <v>2010</v>
      </c>
      <c r="C266" s="306">
        <v>1</v>
      </c>
      <c r="D266" s="352" t="s">
        <v>65</v>
      </c>
      <c r="E266" s="346">
        <f>'Offroad Data'!C13/'Constants &amp; Conversions'!$D$32</f>
        <v>379500.54566692887</v>
      </c>
      <c r="F266" s="308">
        <f>L217</f>
        <v>173.95418695818762</v>
      </c>
      <c r="G266" s="309">
        <f>L253</f>
        <v>38.992823397920752</v>
      </c>
      <c r="H266" s="310">
        <f t="shared" si="34"/>
        <v>379500.54566692887</v>
      </c>
      <c r="I266" s="310">
        <f>F266*CH4_GWP</f>
        <v>4870.7172348292534</v>
      </c>
      <c r="J266" s="311">
        <f t="shared" si="35"/>
        <v>10333.098200449</v>
      </c>
      <c r="K266" s="315">
        <f t="shared" si="40"/>
        <v>394704.36110220716</v>
      </c>
      <c r="L266" s="66"/>
      <c r="O266" s="302">
        <f t="shared" si="36"/>
        <v>0.37950054566692887</v>
      </c>
      <c r="P266" s="302">
        <f t="shared" si="37"/>
        <v>4.8707172348292534E-3</v>
      </c>
      <c r="Q266" s="302">
        <f t="shared" si="38"/>
        <v>1.0333098200449E-2</v>
      </c>
      <c r="R266" s="302"/>
    </row>
    <row r="267" spans="1:18" s="19" customFormat="1" ht="16" thickBot="1" x14ac:dyDescent="0.2">
      <c r="B267" s="316">
        <v>2010</v>
      </c>
      <c r="C267" s="317">
        <v>1</v>
      </c>
      <c r="D267" s="55" t="s">
        <v>66</v>
      </c>
      <c r="E267" s="362">
        <f>SUM(E258,E261:E266)</f>
        <v>3399664.3742879014</v>
      </c>
      <c r="F267" s="363">
        <f t="shared" ref="F267:G267" si="41">SUM(F258,F261:F266)</f>
        <v>2645.8059695327252</v>
      </c>
      <c r="G267" s="363">
        <f t="shared" si="41"/>
        <v>380.11040092268183</v>
      </c>
      <c r="H267" s="363">
        <f>SUM(H258,H261:H266)</f>
        <v>3399664.3742879014</v>
      </c>
      <c r="I267" s="363">
        <f>SUM(I258,I261:I266)</f>
        <v>74082.567146916277</v>
      </c>
      <c r="J267" s="364">
        <f t="shared" ref="J267" si="42">SUM(J258,J261:J266)</f>
        <v>100729.25624451067</v>
      </c>
      <c r="K267" s="321">
        <f t="shared" si="40"/>
        <v>3574476.1976793287</v>
      </c>
      <c r="L267" s="66"/>
      <c r="M267" s="383"/>
      <c r="O267" s="302"/>
      <c r="P267" s="302"/>
      <c r="Q267" s="302"/>
      <c r="R267" s="302"/>
    </row>
    <row r="268" spans="1:18" x14ac:dyDescent="0.15">
      <c r="A268" s="66"/>
      <c r="B268" s="82"/>
      <c r="C268" s="114"/>
      <c r="D268" s="114"/>
      <c r="E268" s="100"/>
      <c r="F268" s="353">
        <f>F267-M217</f>
        <v>0</v>
      </c>
      <c r="G268" s="353">
        <f>G267-M253</f>
        <v>0</v>
      </c>
      <c r="H268" s="114"/>
      <c r="I268" s="114"/>
      <c r="J268" s="114"/>
      <c r="K268" s="114"/>
      <c r="L268" s="66"/>
      <c r="M268" s="110"/>
      <c r="N268" s="66"/>
      <c r="O268" s="66"/>
      <c r="P268" s="66"/>
      <c r="Q268" s="66"/>
      <c r="R268" s="66"/>
    </row>
    <row r="269" spans="1:18" x14ac:dyDescent="0.15">
      <c r="E269" s="120">
        <f>E258-E259-E260</f>
        <v>0</v>
      </c>
      <c r="F269" s="120">
        <f t="shared" ref="F269:G269" si="43">F258-F259-F260</f>
        <v>0</v>
      </c>
      <c r="G269" s="120">
        <f t="shared" si="43"/>
        <v>0</v>
      </c>
    </row>
    <row r="273" spans="4:10" x14ac:dyDescent="0.15">
      <c r="D273">
        <v>2019</v>
      </c>
      <c r="E273" s="65">
        <f t="shared" ref="E273:J273" si="44">E89</f>
        <v>3487204.8789106328</v>
      </c>
      <c r="F273" s="65">
        <f t="shared" si="44"/>
        <v>1220.8385629012798</v>
      </c>
      <c r="G273" s="65">
        <f t="shared" si="44"/>
        <v>395.7755244469713</v>
      </c>
      <c r="H273" s="65">
        <f t="shared" si="44"/>
        <v>3487204.8789106328</v>
      </c>
      <c r="I273" s="65">
        <f t="shared" si="44"/>
        <v>34183.479761235838</v>
      </c>
      <c r="J273" s="65">
        <f t="shared" si="44"/>
        <v>104880.51397844739</v>
      </c>
    </row>
    <row r="274" spans="4:10" x14ac:dyDescent="0.15">
      <c r="D274">
        <v>2015</v>
      </c>
      <c r="E274" s="65">
        <f t="shared" ref="E274:J274" si="45">E178</f>
        <v>3179789.5614869045</v>
      </c>
      <c r="F274" s="65">
        <f t="shared" si="45"/>
        <v>1429.3971552901355</v>
      </c>
      <c r="G274" s="65">
        <f t="shared" si="45"/>
        <v>365.76958444565662</v>
      </c>
      <c r="H274" s="65">
        <f t="shared" si="45"/>
        <v>3179789.5614869045</v>
      </c>
      <c r="I274" s="65">
        <f t="shared" si="45"/>
        <v>40023.120348123797</v>
      </c>
      <c r="J274" s="65">
        <f t="shared" si="45"/>
        <v>96928.939878099016</v>
      </c>
    </row>
    <row r="275" spans="4:10" x14ac:dyDescent="0.15">
      <c r="D275">
        <v>2010</v>
      </c>
      <c r="E275" s="65">
        <f>E267</f>
        <v>3399664.3742879014</v>
      </c>
      <c r="F275" s="65">
        <f t="shared" ref="F275:J275" si="46">F267</f>
        <v>2645.8059695327252</v>
      </c>
      <c r="G275" s="65">
        <f t="shared" si="46"/>
        <v>380.11040092268183</v>
      </c>
      <c r="H275" s="65">
        <f t="shared" si="46"/>
        <v>3399664.3742879014</v>
      </c>
      <c r="I275" s="65">
        <f t="shared" si="46"/>
        <v>74082.567146916277</v>
      </c>
      <c r="J275" s="65">
        <f t="shared" si="46"/>
        <v>100729.25624451067</v>
      </c>
    </row>
  </sheetData>
  <mergeCells count="15">
    <mergeCell ref="B167:B168"/>
    <mergeCell ref="C167:C168"/>
    <mergeCell ref="D167:D168"/>
    <mergeCell ref="E167:G167"/>
    <mergeCell ref="H167:K167"/>
    <mergeCell ref="B256:B257"/>
    <mergeCell ref="C256:C257"/>
    <mergeCell ref="D256:D257"/>
    <mergeCell ref="E256:G256"/>
    <mergeCell ref="H256:K256"/>
    <mergeCell ref="B78:B79"/>
    <mergeCell ref="C78:C79"/>
    <mergeCell ref="D78:D79"/>
    <mergeCell ref="E78:G78"/>
    <mergeCell ref="H78:K7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8" tint="0.59999389629810485"/>
    <outlinePr summaryBelow="0"/>
  </sheetPr>
  <dimension ref="A1:X407"/>
  <sheetViews>
    <sheetView showGridLines="0" zoomScaleNormal="100" workbookViewId="0">
      <selection activeCell="E159" sqref="E159"/>
    </sheetView>
  </sheetViews>
  <sheetFormatPr baseColWidth="10" defaultColWidth="8.6640625" defaultRowHeight="14" outlineLevelRow="1" x14ac:dyDescent="0.15"/>
  <cols>
    <col min="1" max="1" width="6.6640625" customWidth="1"/>
    <col min="2" max="2" width="39.1640625" customWidth="1"/>
    <col min="3" max="3" width="17.83203125" style="64" customWidth="1"/>
    <col min="4" max="8" width="17.83203125" customWidth="1"/>
    <col min="9" max="11" width="17.83203125" style="66" customWidth="1"/>
    <col min="12" max="12" width="17.1640625" style="66" customWidth="1"/>
    <col min="13" max="13" width="11.33203125" style="66" bestFit="1" customWidth="1"/>
    <col min="14" max="17" width="12.5" style="66" bestFit="1" customWidth="1"/>
    <col min="18" max="21" width="8.83203125" style="66" bestFit="1" customWidth="1"/>
    <col min="22" max="22" width="11.33203125" style="66" bestFit="1" customWidth="1"/>
    <col min="23" max="16384" width="8.6640625" style="66"/>
  </cols>
  <sheetData>
    <row r="1" spans="1:14" ht="18" x14ac:dyDescent="0.2">
      <c r="A1" s="76" t="s">
        <v>168</v>
      </c>
      <c r="B1" s="77"/>
      <c r="C1" s="78"/>
      <c r="D1" s="77"/>
      <c r="E1" s="77"/>
      <c r="F1" s="77"/>
      <c r="G1" s="77"/>
      <c r="H1" s="77"/>
      <c r="I1" s="77"/>
      <c r="J1" s="77"/>
      <c r="K1" s="77"/>
      <c r="L1" s="77"/>
      <c r="M1" s="77"/>
      <c r="N1" s="189"/>
    </row>
    <row r="2" spans="1:14" x14ac:dyDescent="0.15">
      <c r="A2" s="66"/>
      <c r="B2" s="66"/>
      <c r="C2" s="69"/>
      <c r="D2" s="66"/>
      <c r="E2" s="66"/>
      <c r="F2" s="66"/>
      <c r="G2" s="66"/>
      <c r="H2" s="66"/>
    </row>
    <row r="3" spans="1:14" x14ac:dyDescent="0.15">
      <c r="A3" s="66"/>
      <c r="B3" s="82" t="s">
        <v>169</v>
      </c>
      <c r="C3" s="69"/>
      <c r="D3" s="66"/>
      <c r="E3" s="66"/>
      <c r="F3" s="66"/>
      <c r="G3" s="66"/>
      <c r="H3" s="66"/>
    </row>
    <row r="4" spans="1:14" ht="14.25" customHeight="1" x14ac:dyDescent="0.15">
      <c r="A4" s="66"/>
      <c r="B4" s="711" t="s">
        <v>77</v>
      </c>
      <c r="C4" s="712">
        <v>2010</v>
      </c>
      <c r="D4" s="713"/>
      <c r="E4" s="714"/>
      <c r="F4" s="715">
        <v>2015</v>
      </c>
      <c r="G4" s="716"/>
      <c r="H4" s="717"/>
      <c r="I4" s="712">
        <v>2019</v>
      </c>
      <c r="J4" s="713"/>
      <c r="K4" s="714"/>
    </row>
    <row r="5" spans="1:14" s="69" customFormat="1" ht="15" x14ac:dyDescent="0.15">
      <c r="B5" s="711"/>
      <c r="C5" s="209" t="s">
        <v>170</v>
      </c>
      <c r="D5" s="209" t="s">
        <v>171</v>
      </c>
      <c r="E5" s="209" t="s">
        <v>172</v>
      </c>
      <c r="F5" s="209" t="s">
        <v>170</v>
      </c>
      <c r="G5" s="209" t="s">
        <v>171</v>
      </c>
      <c r="H5" s="209" t="s">
        <v>172</v>
      </c>
      <c r="I5" s="209" t="s">
        <v>170</v>
      </c>
      <c r="J5" s="209" t="s">
        <v>171</v>
      </c>
      <c r="K5" s="209" t="s">
        <v>172</v>
      </c>
    </row>
    <row r="6" spans="1:14" ht="15" x14ac:dyDescent="0.15">
      <c r="A6" s="66"/>
      <c r="B6" s="386" t="s">
        <v>59</v>
      </c>
      <c r="C6" s="397">
        <f>E322</f>
        <v>27647030997.653542</v>
      </c>
      <c r="D6" s="437">
        <f>E367</f>
        <v>243252.34720923557</v>
      </c>
      <c r="E6" s="437">
        <f>E397</f>
        <v>114927.3932628309</v>
      </c>
      <c r="F6" s="397">
        <f>E207</f>
        <v>28089340818.181854</v>
      </c>
      <c r="G6" s="397">
        <f>E260</f>
        <v>26012996.568950191</v>
      </c>
      <c r="H6" s="397">
        <f>E290</f>
        <v>10394691.783183839</v>
      </c>
      <c r="I6" s="397">
        <f>E87</f>
        <v>28282459917</v>
      </c>
      <c r="J6" s="397">
        <f>E149</f>
        <v>114251483.16408347</v>
      </c>
      <c r="K6" s="397">
        <f>E176</f>
        <v>36836871.126559868</v>
      </c>
      <c r="M6" s="233"/>
    </row>
    <row r="7" spans="1:14" ht="15" x14ac:dyDescent="0.15">
      <c r="A7" s="66"/>
      <c r="B7" s="387" t="s">
        <v>58</v>
      </c>
      <c r="C7" s="397">
        <f>C322</f>
        <v>10350248389.265144</v>
      </c>
      <c r="D7" s="437">
        <f>C367</f>
        <v>144260.74169036598</v>
      </c>
      <c r="E7" s="437">
        <f>C397</f>
        <v>67242.663716952826</v>
      </c>
      <c r="F7" s="397">
        <f>C207</f>
        <v>10658659532.058065</v>
      </c>
      <c r="G7" s="397">
        <f>C260</f>
        <v>11251704.338097379</v>
      </c>
      <c r="H7" s="397">
        <f>C290</f>
        <v>4723458.2560532717</v>
      </c>
      <c r="I7" s="397">
        <f>C87</f>
        <v>10410753031</v>
      </c>
      <c r="J7" s="397">
        <f>C149</f>
        <v>54033704.419942558</v>
      </c>
      <c r="K7" s="397">
        <f>C176</f>
        <v>17634590.699489988</v>
      </c>
      <c r="M7" s="233"/>
    </row>
    <row r="8" spans="1:14" ht="15" x14ac:dyDescent="0.15">
      <c r="A8" s="66"/>
      <c r="B8" s="387" t="s">
        <v>131</v>
      </c>
      <c r="C8" s="397">
        <f>D322</f>
        <v>17296782608.388401</v>
      </c>
      <c r="D8" s="437">
        <f>D367</f>
        <v>98991.605518869619</v>
      </c>
      <c r="E8" s="437">
        <f>D397</f>
        <v>47684.729545878086</v>
      </c>
      <c r="F8" s="397">
        <f>D207</f>
        <v>17430681286.123791</v>
      </c>
      <c r="G8" s="397">
        <f>D260</f>
        <v>14761292.230852813</v>
      </c>
      <c r="H8" s="397">
        <f>D290</f>
        <v>5671233.5271305656</v>
      </c>
      <c r="I8" s="397">
        <f>D87</f>
        <v>17871706886.000004</v>
      </c>
      <c r="J8" s="397">
        <f>D149</f>
        <v>60217778.744140908</v>
      </c>
      <c r="K8" s="397">
        <f>D176</f>
        <v>19202280.427069873</v>
      </c>
      <c r="M8" s="233"/>
    </row>
    <row r="9" spans="1:14" ht="15" x14ac:dyDescent="0.15">
      <c r="A9" s="66"/>
      <c r="B9" s="386" t="s">
        <v>60</v>
      </c>
      <c r="C9" s="397">
        <f>F322</f>
        <v>8487826907.7023611</v>
      </c>
      <c r="D9" s="437">
        <f>F367</f>
        <v>131991.10389186372</v>
      </c>
      <c r="E9" s="462">
        <f>F397</f>
        <v>62083.788922824941</v>
      </c>
      <c r="F9" s="397">
        <f>F207</f>
        <v>8299657754.7147198</v>
      </c>
      <c r="G9" s="397">
        <f>F260</f>
        <v>12403072.770439014</v>
      </c>
      <c r="H9" s="397">
        <f>F290</f>
        <v>5010567.4248303045</v>
      </c>
      <c r="I9" s="397">
        <f>F87</f>
        <v>8571220886</v>
      </c>
      <c r="J9" s="397">
        <f>F149</f>
        <v>57488845.059496455</v>
      </c>
      <c r="K9" s="397">
        <f>F176</f>
        <v>19240680.7805066</v>
      </c>
      <c r="M9" s="233"/>
    </row>
    <row r="10" spans="1:14" ht="15" x14ac:dyDescent="0.15">
      <c r="A10" s="66"/>
      <c r="B10" s="386" t="s">
        <v>62</v>
      </c>
      <c r="C10" s="397">
        <f>G322</f>
        <v>3891001052.3250074</v>
      </c>
      <c r="D10" s="437">
        <f>G367</f>
        <v>29346.907259251744</v>
      </c>
      <c r="E10" s="462">
        <f>G397</f>
        <v>12500.960964658874</v>
      </c>
      <c r="F10" s="397">
        <f>G207</f>
        <v>4145388988.0351777</v>
      </c>
      <c r="G10" s="397">
        <f>G260</f>
        <v>2303227.6844644141</v>
      </c>
      <c r="H10" s="397">
        <f>G290</f>
        <v>883277.24654910341</v>
      </c>
      <c r="I10" s="397">
        <f>G87</f>
        <v>4229958834.999999</v>
      </c>
      <c r="J10" s="397">
        <f>G149</f>
        <v>11143541.384067712</v>
      </c>
      <c r="K10" s="397">
        <f>G176</f>
        <v>3474623.2219027448</v>
      </c>
      <c r="M10" s="233"/>
    </row>
    <row r="11" spans="1:14" ht="15" x14ac:dyDescent="0.15">
      <c r="A11" s="66"/>
      <c r="B11" s="386" t="s">
        <v>61</v>
      </c>
      <c r="C11" s="397">
        <f>H322</f>
        <v>886638256.64903021</v>
      </c>
      <c r="D11" s="437">
        <f>H367</f>
        <v>5585.4184612543504</v>
      </c>
      <c r="E11" s="462">
        <f>H397</f>
        <v>2336.3347149635379</v>
      </c>
      <c r="F11" s="397">
        <f>H207</f>
        <v>941460156.76950848</v>
      </c>
      <c r="G11" s="172">
        <f>H260</f>
        <v>393625.42762243957</v>
      </c>
      <c r="H11" s="397">
        <f>H290</f>
        <v>149936.03262862825</v>
      </c>
      <c r="I11" s="397">
        <f>H87</f>
        <v>1038675784.9999999</v>
      </c>
      <c r="J11" s="397">
        <f>H149</f>
        <v>1991187.6686163987</v>
      </c>
      <c r="K11" s="397">
        <f>H176</f>
        <v>614441.07112356322</v>
      </c>
      <c r="M11" s="233"/>
    </row>
    <row r="12" spans="1:14" ht="15" x14ac:dyDescent="0.15">
      <c r="A12" s="66"/>
      <c r="B12" s="386" t="s">
        <v>63</v>
      </c>
      <c r="C12" s="397">
        <f>I322</f>
        <v>6106231272.5007076</v>
      </c>
      <c r="D12" s="437">
        <f>I367</f>
        <v>86572.643584717385</v>
      </c>
      <c r="E12" s="462">
        <f>I397</f>
        <v>40044.923246925697</v>
      </c>
      <c r="F12" s="397">
        <f>I207</f>
        <v>6366295945.8190184</v>
      </c>
      <c r="G12" s="397">
        <f>I260</f>
        <v>9234756.4049969371</v>
      </c>
      <c r="H12" s="172">
        <f>I290</f>
        <v>3643036.1726579852</v>
      </c>
      <c r="I12" s="397">
        <f>I87</f>
        <v>6360756872.999999</v>
      </c>
      <c r="J12" s="397">
        <f>I149</f>
        <v>39607138.410660207</v>
      </c>
      <c r="K12" s="397">
        <f>I176</f>
        <v>12971960.172978723</v>
      </c>
      <c r="M12" s="233"/>
    </row>
    <row r="13" spans="1:14" ht="15" x14ac:dyDescent="0.15">
      <c r="A13" s="66"/>
      <c r="B13" s="386" t="s">
        <v>64</v>
      </c>
      <c r="C13" s="397">
        <f>J322</f>
        <v>2320445090.7501121</v>
      </c>
      <c r="D13" s="462">
        <f>J367</f>
        <v>17581.961333717594</v>
      </c>
      <c r="E13" s="462">
        <f>K397</f>
        <v>16388.17033242248</v>
      </c>
      <c r="F13" s="397">
        <f>J207</f>
        <v>2567932597.4705215</v>
      </c>
      <c r="G13" s="397">
        <f>J260</f>
        <v>1245608.0447689956</v>
      </c>
      <c r="H13" s="397">
        <f>J290</f>
        <v>472228.11913101387</v>
      </c>
      <c r="I13" s="397">
        <f>J87</f>
        <v>2332348753</v>
      </c>
      <c r="J13" s="397">
        <f>J149</f>
        <v>5473709.9307736754</v>
      </c>
      <c r="K13" s="397">
        <f>J176</f>
        <v>1688534.2601079163</v>
      </c>
      <c r="M13" s="233"/>
    </row>
    <row r="14" spans="1:14" ht="15" x14ac:dyDescent="0.15">
      <c r="A14" s="66"/>
      <c r="B14" s="386" t="s">
        <v>65</v>
      </c>
      <c r="C14" s="462">
        <f>K322</f>
        <v>5541648514.0241499</v>
      </c>
      <c r="D14" s="462">
        <f>K367</f>
        <v>37694.302613275941</v>
      </c>
      <c r="E14" s="172">
        <f>J397</f>
        <v>7295.3114681780889</v>
      </c>
      <c r="F14" s="462">
        <f>K207</f>
        <v>5724739738.876462</v>
      </c>
      <c r="G14" s="462">
        <f>K260</f>
        <v>3247492.1989631429</v>
      </c>
      <c r="H14" s="462">
        <f>K290</f>
        <v>1249997.3239591126</v>
      </c>
      <c r="I14" s="462">
        <f>K87</f>
        <v>6305998332</v>
      </c>
      <c r="J14" s="462">
        <f>K149</f>
        <v>15099620.015122311</v>
      </c>
      <c r="K14" s="462">
        <f>K176</f>
        <v>4754314.9416726977</v>
      </c>
      <c r="M14" s="233"/>
    </row>
    <row r="15" spans="1:14" ht="15" x14ac:dyDescent="0.15">
      <c r="A15" s="66"/>
      <c r="B15" s="438" t="s">
        <v>88</v>
      </c>
      <c r="C15" s="509">
        <f>L322</f>
        <v>54880822091.604912</v>
      </c>
      <c r="D15" s="509">
        <f>L367</f>
        <v>552024.6843533162</v>
      </c>
      <c r="E15" s="509">
        <f>L397</f>
        <v>255576.88291280452</v>
      </c>
      <c r="F15" s="509">
        <f>L207</f>
        <v>56134815999.867264</v>
      </c>
      <c r="G15" s="509">
        <f>L260</f>
        <v>54840779.100205138</v>
      </c>
      <c r="H15" s="509">
        <f>L290</f>
        <v>21803734.102939986</v>
      </c>
      <c r="I15" s="509">
        <f>L87</f>
        <v>57121419381</v>
      </c>
      <c r="J15" s="509">
        <f>L149</f>
        <v>245055525.63282022</v>
      </c>
      <c r="K15" s="509">
        <f>L176</f>
        <v>79581425.574852109</v>
      </c>
      <c r="M15" s="233"/>
    </row>
    <row r="16" spans="1:14" x14ac:dyDescent="0.15">
      <c r="A16" s="66"/>
      <c r="B16" s="568"/>
      <c r="C16" s="569">
        <f t="shared" ref="C16:K16" si="0">SUM(C7:C14)-C15</f>
        <v>0</v>
      </c>
      <c r="D16" s="569">
        <f t="shared" si="0"/>
        <v>0</v>
      </c>
      <c r="E16" s="569">
        <f t="shared" si="0"/>
        <v>0</v>
      </c>
      <c r="F16" s="569">
        <f t="shared" si="0"/>
        <v>0</v>
      </c>
      <c r="G16" s="569">
        <f t="shared" si="0"/>
        <v>0</v>
      </c>
      <c r="H16" s="569">
        <f>SUM(H7:H14)-H15</f>
        <v>0</v>
      </c>
      <c r="I16" s="569">
        <f>SUM(I7:I14)-I15</f>
        <v>0</v>
      </c>
      <c r="J16" s="569">
        <f t="shared" si="0"/>
        <v>0</v>
      </c>
      <c r="K16" s="569">
        <f t="shared" si="0"/>
        <v>0</v>
      </c>
    </row>
    <row r="17" spans="1:22" s="108" customFormat="1" ht="16" x14ac:dyDescent="0.2">
      <c r="A17" s="89">
        <v>2019</v>
      </c>
      <c r="B17" s="90"/>
      <c r="C17" s="91"/>
      <c r="D17" s="90"/>
      <c r="E17" s="90"/>
      <c r="F17" s="90"/>
      <c r="G17" s="90"/>
      <c r="H17" s="90"/>
      <c r="I17" s="90"/>
      <c r="J17" s="90"/>
      <c r="K17" s="90"/>
      <c r="L17" s="90"/>
      <c r="M17" s="90"/>
      <c r="N17" s="106"/>
    </row>
    <row r="18" spans="1:22" outlineLevel="1" x14ac:dyDescent="0.15">
      <c r="A18" s="66"/>
      <c r="B18" s="66"/>
      <c r="C18" s="69"/>
      <c r="D18" s="66"/>
      <c r="E18" s="66"/>
      <c r="F18" s="66"/>
      <c r="G18" s="66"/>
      <c r="H18" s="66"/>
    </row>
    <row r="19" spans="1:22" outlineLevel="1" x14ac:dyDescent="0.15">
      <c r="A19" s="66"/>
      <c r="B19" s="82" t="s">
        <v>97</v>
      </c>
      <c r="C19" s="66"/>
      <c r="D19" s="66"/>
      <c r="E19" s="66"/>
      <c r="F19" s="66"/>
      <c r="G19" s="66"/>
      <c r="H19" s="66"/>
      <c r="N19" s="590"/>
      <c r="O19" s="590"/>
      <c r="P19" s="590"/>
      <c r="Q19" s="590"/>
    </row>
    <row r="20" spans="1:22" outlineLevel="1" x14ac:dyDescent="0.15">
      <c r="A20" s="66"/>
      <c r="B20" s="109" t="s">
        <v>99</v>
      </c>
      <c r="C20" s="591" t="s">
        <v>58</v>
      </c>
      <c r="D20" s="109" t="s">
        <v>100</v>
      </c>
      <c r="E20" s="109" t="s">
        <v>59</v>
      </c>
      <c r="F20" s="109" t="s">
        <v>60</v>
      </c>
      <c r="G20" s="109" t="s">
        <v>62</v>
      </c>
      <c r="H20" s="109" t="s">
        <v>61</v>
      </c>
      <c r="I20" s="109" t="s">
        <v>63</v>
      </c>
      <c r="J20" s="109" t="s">
        <v>64</v>
      </c>
      <c r="K20" s="109" t="s">
        <v>65</v>
      </c>
      <c r="N20" s="590"/>
      <c r="O20" s="590"/>
      <c r="P20" s="590"/>
      <c r="Q20" s="590"/>
    </row>
    <row r="21" spans="1:22" outlineLevel="1" x14ac:dyDescent="0.15">
      <c r="A21" s="66"/>
      <c r="B21" s="359" t="s">
        <v>101</v>
      </c>
      <c r="C21" s="635">
        <v>55560.594695</v>
      </c>
      <c r="D21" s="635">
        <v>91159.479624000029</v>
      </c>
      <c r="E21" s="651">
        <f t="shared" ref="E21:E32" si="1">SUM(C21:D21)</f>
        <v>146720.07431900004</v>
      </c>
      <c r="F21" s="635">
        <v>43891.966440000004</v>
      </c>
      <c r="G21" s="635">
        <v>22149.338</v>
      </c>
      <c r="H21" s="635">
        <v>4908.4687430000004</v>
      </c>
      <c r="I21" s="635">
        <v>33182.329004000007</v>
      </c>
      <c r="J21" s="635">
        <v>11957.940622000002</v>
      </c>
      <c r="K21" s="635">
        <v>30066.305845000006</v>
      </c>
      <c r="L21" s="634"/>
      <c r="M21" s="634"/>
      <c r="N21" s="634"/>
      <c r="O21" s="634"/>
      <c r="P21" s="634"/>
      <c r="Q21" s="634"/>
      <c r="R21" s="634"/>
      <c r="S21" s="634"/>
      <c r="T21" s="634"/>
      <c r="U21" s="634"/>
      <c r="V21" s="634"/>
    </row>
    <row r="22" spans="1:22" outlineLevel="1" x14ac:dyDescent="0.15">
      <c r="A22" s="66"/>
      <c r="B22" s="359" t="s">
        <v>103</v>
      </c>
      <c r="C22" s="635">
        <v>1948891.2358540001</v>
      </c>
      <c r="D22" s="635">
        <v>2805600.1914879996</v>
      </c>
      <c r="E22" s="651">
        <f t="shared" si="1"/>
        <v>4754491.4273419995</v>
      </c>
      <c r="F22" s="635">
        <v>1197688.8258560002</v>
      </c>
      <c r="G22" s="635">
        <v>605383.23923199985</v>
      </c>
      <c r="H22" s="635">
        <v>138222.540416</v>
      </c>
      <c r="I22" s="635">
        <v>899356.9397760001</v>
      </c>
      <c r="J22" s="635">
        <v>317925.84815999999</v>
      </c>
      <c r="K22" s="635">
        <v>817342.57865599997</v>
      </c>
      <c r="N22" s="287"/>
      <c r="O22" s="287"/>
      <c r="P22" s="287"/>
      <c r="Q22" s="287"/>
    </row>
    <row r="23" spans="1:22" outlineLevel="1" x14ac:dyDescent="0.15">
      <c r="A23" s="66"/>
      <c r="B23" s="359" t="s">
        <v>105</v>
      </c>
      <c r="C23" s="635">
        <v>2058384.2750840001</v>
      </c>
      <c r="D23" s="635">
        <v>3629889.3793280004</v>
      </c>
      <c r="E23" s="651">
        <f t="shared" si="1"/>
        <v>5688273.6544120004</v>
      </c>
      <c r="F23" s="635">
        <v>1827710.3488000003</v>
      </c>
      <c r="G23" s="635">
        <v>937218.25567999971</v>
      </c>
      <c r="H23" s="635">
        <v>215678.36057600004</v>
      </c>
      <c r="I23" s="635">
        <v>1400862.020608</v>
      </c>
      <c r="J23" s="635">
        <v>540274.79104000004</v>
      </c>
      <c r="K23" s="635">
        <v>1249551.6564159999</v>
      </c>
      <c r="N23" s="287"/>
      <c r="O23" s="287"/>
      <c r="P23" s="287"/>
      <c r="Q23" s="287"/>
    </row>
    <row r="24" spans="1:22" outlineLevel="1" x14ac:dyDescent="0.15">
      <c r="A24" s="66"/>
      <c r="B24" s="359" t="s">
        <v>173</v>
      </c>
      <c r="C24" s="635">
        <v>49807.630919000003</v>
      </c>
      <c r="D24" s="635">
        <v>162807.14671999999</v>
      </c>
      <c r="E24" s="651">
        <f t="shared" si="1"/>
        <v>212614.77763899998</v>
      </c>
      <c r="F24" s="635">
        <v>88365.809568000011</v>
      </c>
      <c r="G24" s="635">
        <v>39813.469042000004</v>
      </c>
      <c r="H24" s="635">
        <v>6599.9232030000003</v>
      </c>
      <c r="I24" s="635">
        <v>59775.887456000011</v>
      </c>
      <c r="J24" s="635">
        <v>19934.891937999997</v>
      </c>
      <c r="K24" s="635">
        <v>47580.644547000004</v>
      </c>
      <c r="N24" s="287"/>
      <c r="O24" s="287"/>
      <c r="P24" s="287"/>
      <c r="Q24" s="287"/>
    </row>
    <row r="25" spans="1:22" outlineLevel="1" x14ac:dyDescent="0.15">
      <c r="A25" s="66"/>
      <c r="B25" s="359" t="s">
        <v>108</v>
      </c>
      <c r="C25" s="635">
        <v>89267.243268999999</v>
      </c>
      <c r="D25" s="635">
        <v>27750.180484000008</v>
      </c>
      <c r="E25" s="651">
        <f t="shared" si="1"/>
        <v>117017.42375300001</v>
      </c>
      <c r="F25" s="635">
        <v>2408.9174699999999</v>
      </c>
      <c r="G25" s="635">
        <v>1385.6137220000001</v>
      </c>
      <c r="H25" s="635">
        <v>8.6271120000000003</v>
      </c>
      <c r="I25" s="635">
        <v>1386.4103579999999</v>
      </c>
      <c r="J25" s="635">
        <v>228.98164899999998</v>
      </c>
      <c r="K25" s="635">
        <v>756.83393500000011</v>
      </c>
      <c r="N25" s="287"/>
      <c r="O25" s="287"/>
      <c r="P25" s="287"/>
      <c r="Q25" s="287"/>
    </row>
    <row r="26" spans="1:22" outlineLevel="1" x14ac:dyDescent="0.15">
      <c r="A26" s="66"/>
      <c r="B26" s="359" t="s">
        <v>109</v>
      </c>
      <c r="C26" s="635">
        <v>4640.1639130000003</v>
      </c>
      <c r="D26" s="635">
        <v>6644.9791489999998</v>
      </c>
      <c r="E26" s="651">
        <f t="shared" si="1"/>
        <v>11285.143061999999</v>
      </c>
      <c r="F26" s="635">
        <v>2944.0718740000002</v>
      </c>
      <c r="G26" s="635">
        <v>1140.0595529999998</v>
      </c>
      <c r="H26" s="635">
        <v>17.801182000000004</v>
      </c>
      <c r="I26" s="635">
        <v>1556.3682109999997</v>
      </c>
      <c r="J26" s="635">
        <v>381.77058</v>
      </c>
      <c r="K26" s="635">
        <v>1743.3919599999997</v>
      </c>
      <c r="N26" s="287"/>
      <c r="O26" s="287"/>
      <c r="P26" s="287"/>
      <c r="Q26" s="287"/>
    </row>
    <row r="27" spans="1:22" outlineLevel="1" x14ac:dyDescent="0.15">
      <c r="A27" s="66"/>
      <c r="B27" s="359" t="s">
        <v>110</v>
      </c>
      <c r="C27" s="635">
        <v>413.27897899999999</v>
      </c>
      <c r="D27" s="635">
        <v>1146.9355320000002</v>
      </c>
      <c r="E27" s="651">
        <f t="shared" si="1"/>
        <v>1560.2145110000001</v>
      </c>
      <c r="F27" s="635">
        <v>227.04301599999999</v>
      </c>
      <c r="G27" s="635">
        <v>147.23850700000003</v>
      </c>
      <c r="H27" s="635">
        <v>68.909672999999998</v>
      </c>
      <c r="I27" s="635">
        <v>156.16981200000004</v>
      </c>
      <c r="J27" s="635">
        <v>292.156115</v>
      </c>
      <c r="K27" s="635">
        <v>278.16828199999998</v>
      </c>
      <c r="N27" s="287"/>
      <c r="O27" s="287"/>
      <c r="P27" s="287"/>
      <c r="Q27" s="287"/>
    </row>
    <row r="28" spans="1:22" outlineLevel="1" x14ac:dyDescent="0.15">
      <c r="A28" s="66"/>
      <c r="B28" s="359" t="s">
        <v>111</v>
      </c>
      <c r="C28" s="635">
        <v>129241.24141800001</v>
      </c>
      <c r="D28" s="635">
        <v>182297.85545600002</v>
      </c>
      <c r="E28" s="651">
        <f t="shared" si="1"/>
        <v>311539.09687400004</v>
      </c>
      <c r="F28" s="635">
        <v>81531.625951999988</v>
      </c>
      <c r="G28" s="635">
        <v>36269.704709999998</v>
      </c>
      <c r="H28" s="635">
        <v>10459.02857</v>
      </c>
      <c r="I28" s="635">
        <v>72075.488415999993</v>
      </c>
      <c r="J28" s="635">
        <v>23683.917955999998</v>
      </c>
      <c r="K28" s="635">
        <v>52991.614450000008</v>
      </c>
      <c r="N28" s="287"/>
      <c r="O28" s="287"/>
      <c r="P28" s="287"/>
      <c r="Q28" s="287"/>
    </row>
    <row r="29" spans="1:22" outlineLevel="1" x14ac:dyDescent="0.15">
      <c r="A29" s="66"/>
      <c r="B29" s="359" t="s">
        <v>112</v>
      </c>
      <c r="C29" s="635">
        <v>53624.398786999998</v>
      </c>
      <c r="D29" s="635">
        <v>51000.067944999995</v>
      </c>
      <c r="E29" s="651">
        <f t="shared" si="1"/>
        <v>104624.466732</v>
      </c>
      <c r="F29" s="635">
        <v>116175.08352</v>
      </c>
      <c r="G29" s="635">
        <v>10935.018043000002</v>
      </c>
      <c r="H29" s="635">
        <v>8383.0548620000009</v>
      </c>
      <c r="I29" s="635">
        <v>47338.917175999995</v>
      </c>
      <c r="J29" s="635">
        <v>18653.011162000003</v>
      </c>
      <c r="K29" s="635">
        <v>56744.122556000009</v>
      </c>
      <c r="N29" s="287"/>
      <c r="O29" s="287"/>
      <c r="P29" s="287"/>
      <c r="Q29" s="287"/>
    </row>
    <row r="30" spans="1:22" outlineLevel="1" x14ac:dyDescent="0.15">
      <c r="A30" s="66"/>
      <c r="B30" s="359" t="s">
        <v>113</v>
      </c>
      <c r="C30" s="635">
        <v>2778.8189590000002</v>
      </c>
      <c r="D30" s="635">
        <v>3453.1739719999996</v>
      </c>
      <c r="E30" s="651">
        <f t="shared" si="1"/>
        <v>6231.9929309999998</v>
      </c>
      <c r="F30" s="635">
        <v>6071.944669999999</v>
      </c>
      <c r="G30" s="635">
        <v>1850.5723289999999</v>
      </c>
      <c r="H30" s="635">
        <v>2567.2244949999999</v>
      </c>
      <c r="I30" s="635">
        <v>8667.7050999999992</v>
      </c>
      <c r="J30" s="635">
        <v>6817.1294100000032</v>
      </c>
      <c r="K30" s="635">
        <v>7140.5843769999992</v>
      </c>
      <c r="N30" s="287"/>
      <c r="O30" s="287"/>
      <c r="P30" s="287"/>
      <c r="Q30" s="287"/>
    </row>
    <row r="31" spans="1:22" outlineLevel="1" x14ac:dyDescent="0.15">
      <c r="A31" s="66"/>
      <c r="B31" s="359" t="s">
        <v>114</v>
      </c>
      <c r="C31" s="635">
        <v>1630.53844</v>
      </c>
      <c r="D31" s="635">
        <v>8661.6977360000001</v>
      </c>
      <c r="E31" s="651">
        <f t="shared" si="1"/>
        <v>10292.236176</v>
      </c>
      <c r="F31" s="635">
        <v>3781.5642920000005</v>
      </c>
      <c r="G31" s="635">
        <v>8642.767961000005</v>
      </c>
      <c r="H31" s="635">
        <v>8023.798522</v>
      </c>
      <c r="I31" s="635">
        <v>4628.6867449999991</v>
      </c>
      <c r="J31" s="635">
        <v>7074.7341100000003</v>
      </c>
      <c r="K31" s="635">
        <v>37788.012974000005</v>
      </c>
      <c r="N31" s="287"/>
      <c r="O31" s="287"/>
      <c r="P31" s="287"/>
      <c r="Q31" s="287"/>
    </row>
    <row r="32" spans="1:22" outlineLevel="1" x14ac:dyDescent="0.15">
      <c r="A32" s="66"/>
      <c r="B32" s="359" t="s">
        <v>115</v>
      </c>
      <c r="C32" s="635">
        <v>690260.44793799997</v>
      </c>
      <c r="D32" s="635">
        <v>2109361.3583360002</v>
      </c>
      <c r="E32" s="651">
        <f t="shared" si="1"/>
        <v>2799621.8062740001</v>
      </c>
      <c r="F32" s="635">
        <v>707966.77030399989</v>
      </c>
      <c r="G32" s="635">
        <v>548258.956672</v>
      </c>
      <c r="H32" s="635">
        <v>218222.67539200003</v>
      </c>
      <c r="I32" s="635">
        <v>693344.43007999973</v>
      </c>
      <c r="J32" s="635">
        <v>303555.75316800002</v>
      </c>
      <c r="K32" s="635">
        <v>1556081.6989439994</v>
      </c>
      <c r="N32" s="287"/>
      <c r="O32" s="287"/>
      <c r="P32" s="287"/>
      <c r="Q32" s="287"/>
    </row>
    <row r="33" spans="1:21" outlineLevel="1" x14ac:dyDescent="0.15">
      <c r="A33" s="66"/>
      <c r="B33" s="73" t="s">
        <v>88</v>
      </c>
      <c r="C33" s="636">
        <f t="shared" ref="C33:K33" si="2">SUM(C21:C32)</f>
        <v>5084499.8682550006</v>
      </c>
      <c r="D33" s="636">
        <f t="shared" si="2"/>
        <v>9079772.4457699992</v>
      </c>
      <c r="E33" s="652">
        <f t="shared" si="2"/>
        <v>14164272.314025002</v>
      </c>
      <c r="F33" s="636">
        <f t="shared" si="2"/>
        <v>4078763.971762001</v>
      </c>
      <c r="G33" s="636">
        <f t="shared" si="2"/>
        <v>2213194.2334509995</v>
      </c>
      <c r="H33" s="636">
        <f t="shared" si="2"/>
        <v>613160.4127460001</v>
      </c>
      <c r="I33" s="636">
        <f t="shared" si="2"/>
        <v>3222331.3527419996</v>
      </c>
      <c r="J33" s="636">
        <f t="shared" si="2"/>
        <v>1250780.9259100002</v>
      </c>
      <c r="K33" s="636">
        <f t="shared" si="2"/>
        <v>3858065.6129419999</v>
      </c>
      <c r="N33" s="590"/>
      <c r="O33" s="590"/>
      <c r="P33" s="590"/>
      <c r="Q33" s="590"/>
    </row>
    <row r="34" spans="1:21" outlineLevel="1" x14ac:dyDescent="0.15">
      <c r="A34" s="66"/>
      <c r="B34" s="101" t="s">
        <v>174</v>
      </c>
      <c r="C34" s="139"/>
      <c r="D34" s="139"/>
      <c r="E34" s="139"/>
      <c r="F34" s="139"/>
      <c r="G34" s="139"/>
      <c r="H34" s="139"/>
      <c r="I34" s="139"/>
      <c r="J34" s="139"/>
      <c r="K34" s="139"/>
    </row>
    <row r="35" spans="1:21" outlineLevel="1" x14ac:dyDescent="0.15">
      <c r="A35" s="66"/>
      <c r="B35" s="101" t="s">
        <v>175</v>
      </c>
      <c r="C35" s="139"/>
      <c r="D35" s="139"/>
      <c r="E35" s="139"/>
      <c r="F35" s="139"/>
      <c r="G35" s="139"/>
      <c r="H35" s="139"/>
      <c r="I35" s="139"/>
      <c r="J35" s="139"/>
      <c r="K35" s="139"/>
    </row>
    <row r="36" spans="1:21" outlineLevel="1" x14ac:dyDescent="0.15">
      <c r="A36" s="66"/>
      <c r="B36" s="82"/>
      <c r="C36" s="114"/>
      <c r="D36" s="114"/>
      <c r="E36" s="114"/>
      <c r="F36" s="114"/>
      <c r="G36" s="114"/>
      <c r="H36" s="114"/>
      <c r="I36" s="114"/>
      <c r="J36" s="114"/>
      <c r="K36" s="114"/>
      <c r="N36" s="590"/>
      <c r="O36" s="590"/>
      <c r="P36" s="590"/>
      <c r="Q36" s="590"/>
    </row>
    <row r="37" spans="1:21" outlineLevel="1" x14ac:dyDescent="0.15">
      <c r="A37" s="66"/>
      <c r="B37" s="82" t="s">
        <v>116</v>
      </c>
      <c r="C37" s="66"/>
      <c r="D37" s="66"/>
      <c r="E37" s="66"/>
      <c r="F37" s="66"/>
      <c r="G37" s="66"/>
      <c r="H37" s="66"/>
      <c r="N37" s="590"/>
      <c r="O37" s="590"/>
      <c r="P37" s="590"/>
      <c r="Q37" s="590"/>
    </row>
    <row r="38" spans="1:21" outlineLevel="1" x14ac:dyDescent="0.15">
      <c r="A38" s="66"/>
      <c r="B38" s="109" t="s">
        <v>99</v>
      </c>
      <c r="C38" s="109" t="s">
        <v>58</v>
      </c>
      <c r="D38" s="109" t="s">
        <v>100</v>
      </c>
      <c r="E38" s="109" t="s">
        <v>59</v>
      </c>
      <c r="F38" s="109" t="s">
        <v>60</v>
      </c>
      <c r="G38" s="109" t="s">
        <v>62</v>
      </c>
      <c r="H38" s="109" t="s">
        <v>61</v>
      </c>
      <c r="I38" s="109" t="s">
        <v>63</v>
      </c>
      <c r="J38" s="109" t="s">
        <v>64</v>
      </c>
      <c r="K38" s="109" t="s">
        <v>65</v>
      </c>
      <c r="N38" s="590"/>
      <c r="O38" s="590"/>
      <c r="P38" s="590"/>
      <c r="Q38" s="590"/>
    </row>
    <row r="39" spans="1:21" outlineLevel="1" x14ac:dyDescent="0.15">
      <c r="A39" s="66"/>
      <c r="B39" s="72" t="s">
        <v>101</v>
      </c>
      <c r="C39" s="635">
        <v>20.250292000000002</v>
      </c>
      <c r="D39" s="635">
        <v>32.715407999999996</v>
      </c>
      <c r="E39" s="651">
        <f t="shared" ref="E39:E50" si="3">SUM(C39:D39)</f>
        <v>52.965699999999998</v>
      </c>
      <c r="F39" s="635">
        <v>15.733565000000002</v>
      </c>
      <c r="G39" s="635">
        <v>7.897793000000001</v>
      </c>
      <c r="H39" s="635">
        <v>1.806794</v>
      </c>
      <c r="I39" s="635">
        <v>11.874766999999999</v>
      </c>
      <c r="J39" s="635">
        <v>4.3918509999999991</v>
      </c>
      <c r="K39" s="635">
        <v>10.677554000000001</v>
      </c>
      <c r="L39" s="634"/>
      <c r="M39" s="634"/>
      <c r="N39" s="634"/>
      <c r="O39" s="634"/>
      <c r="P39" s="634"/>
      <c r="Q39" s="634"/>
      <c r="R39" s="634"/>
      <c r="S39" s="634"/>
      <c r="T39" s="634"/>
      <c r="U39" s="634"/>
    </row>
    <row r="40" spans="1:21" outlineLevel="1" x14ac:dyDescent="0.15">
      <c r="A40" s="66"/>
      <c r="B40" s="72" t="s">
        <v>103</v>
      </c>
      <c r="C40" s="635">
        <v>141.34143599999999</v>
      </c>
      <c r="D40" s="635">
        <v>181.11124699999999</v>
      </c>
      <c r="E40" s="651">
        <f t="shared" si="3"/>
        <v>322.45268299999998</v>
      </c>
      <c r="F40" s="635">
        <v>70.296828000000005</v>
      </c>
      <c r="G40" s="635">
        <v>39.233769000000002</v>
      </c>
      <c r="H40" s="635">
        <v>9.8952960000000001</v>
      </c>
      <c r="I40" s="635">
        <v>53.430862999999995</v>
      </c>
      <c r="J40" s="635">
        <v>23.550158000000003</v>
      </c>
      <c r="K40" s="635">
        <v>55.540924000000011</v>
      </c>
      <c r="N40" s="590"/>
      <c r="O40" s="590"/>
      <c r="P40" s="590"/>
      <c r="Q40" s="590"/>
    </row>
    <row r="41" spans="1:21" outlineLevel="1" x14ac:dyDescent="0.15">
      <c r="A41" s="66"/>
      <c r="B41" s="72" t="s">
        <v>105</v>
      </c>
      <c r="C41" s="635">
        <v>132.40926899999999</v>
      </c>
      <c r="D41" s="635">
        <v>203.76406800000001</v>
      </c>
      <c r="E41" s="651">
        <f t="shared" si="3"/>
        <v>336.173337</v>
      </c>
      <c r="F41" s="635">
        <v>86.652857999999995</v>
      </c>
      <c r="G41" s="635">
        <v>54.858683999999997</v>
      </c>
      <c r="H41" s="635">
        <v>13.196129000000004</v>
      </c>
      <c r="I41" s="635">
        <v>72.225883999999994</v>
      </c>
      <c r="J41" s="635">
        <v>34.885460000000002</v>
      </c>
      <c r="K41" s="635">
        <v>73.656078999999991</v>
      </c>
      <c r="N41" s="590"/>
      <c r="O41" s="590"/>
      <c r="P41" s="590"/>
      <c r="Q41" s="590"/>
    </row>
    <row r="42" spans="1:21" outlineLevel="1" x14ac:dyDescent="0.15">
      <c r="A42" s="66"/>
      <c r="B42" s="72" t="s">
        <v>173</v>
      </c>
      <c r="C42" s="635">
        <v>5.6688070000000002</v>
      </c>
      <c r="D42" s="635">
        <v>13.114400999999999</v>
      </c>
      <c r="E42" s="651">
        <f t="shared" si="3"/>
        <v>18.783207999999998</v>
      </c>
      <c r="F42" s="635">
        <v>6.0303079999999998</v>
      </c>
      <c r="G42" s="635">
        <v>3.4369390000000006</v>
      </c>
      <c r="H42" s="635">
        <v>0.57478999999999991</v>
      </c>
      <c r="I42" s="635">
        <v>4.5164759999999999</v>
      </c>
      <c r="J42" s="635">
        <v>1.8021800000000006</v>
      </c>
      <c r="K42" s="635">
        <v>3.7136750000000003</v>
      </c>
      <c r="N42" s="590"/>
      <c r="O42" s="590"/>
      <c r="P42" s="590"/>
      <c r="Q42" s="590"/>
    </row>
    <row r="43" spans="1:21" outlineLevel="1" x14ac:dyDescent="0.15">
      <c r="A43" s="66"/>
      <c r="B43" s="72" t="s">
        <v>108</v>
      </c>
      <c r="C43" s="635">
        <v>47.547792999999999</v>
      </c>
      <c r="D43" s="635">
        <v>19.062296999999997</v>
      </c>
      <c r="E43" s="651">
        <f t="shared" si="3"/>
        <v>66.61009</v>
      </c>
      <c r="F43" s="635">
        <v>2.0145019999999998</v>
      </c>
      <c r="G43" s="635">
        <v>1.1803939999999999</v>
      </c>
      <c r="H43" s="635">
        <v>2.2949999999999995E-2</v>
      </c>
      <c r="I43" s="635">
        <v>1.066265</v>
      </c>
      <c r="J43" s="635">
        <v>0.19281200000000001</v>
      </c>
      <c r="K43" s="635">
        <v>0.60812700000000008</v>
      </c>
      <c r="N43" s="590"/>
      <c r="O43" s="590"/>
      <c r="P43" s="590"/>
      <c r="Q43" s="590"/>
    </row>
    <row r="44" spans="1:21" outlineLevel="1" x14ac:dyDescent="0.15">
      <c r="A44" s="66"/>
      <c r="B44" s="72" t="s">
        <v>109</v>
      </c>
      <c r="C44" s="635">
        <v>0.84178600000000003</v>
      </c>
      <c r="D44" s="635">
        <v>1.6445830000000004</v>
      </c>
      <c r="E44" s="651">
        <f t="shared" si="3"/>
        <v>2.4863690000000003</v>
      </c>
      <c r="F44" s="635">
        <v>0.93264200000000008</v>
      </c>
      <c r="G44" s="635">
        <v>0.35907</v>
      </c>
      <c r="H44" s="635">
        <v>4.9717000000000004E-2</v>
      </c>
      <c r="I44" s="635">
        <v>0.50843899999999997</v>
      </c>
      <c r="J44" s="635">
        <v>0.18189600000000003</v>
      </c>
      <c r="K44" s="635">
        <v>0.66114799999999985</v>
      </c>
      <c r="N44" s="590"/>
      <c r="O44" s="590"/>
      <c r="P44" s="590"/>
      <c r="Q44" s="590"/>
    </row>
    <row r="45" spans="1:21" outlineLevel="1" x14ac:dyDescent="0.15">
      <c r="A45" s="66"/>
      <c r="B45" s="72" t="s">
        <v>110</v>
      </c>
      <c r="C45" s="635">
        <v>0.17913899999999999</v>
      </c>
      <c r="D45" s="635">
        <v>0.52403500000000003</v>
      </c>
      <c r="E45" s="651">
        <f t="shared" si="3"/>
        <v>0.70317399999999997</v>
      </c>
      <c r="F45" s="635">
        <v>8.7290000000000006E-3</v>
      </c>
      <c r="G45" s="635">
        <v>1.1721999999999998E-2</v>
      </c>
      <c r="H45" s="635">
        <v>7.6957000000000012E-2</v>
      </c>
      <c r="I45" s="635">
        <v>8.649999999999998E-3</v>
      </c>
      <c r="J45" s="635">
        <v>0.32263299999999995</v>
      </c>
      <c r="K45" s="635">
        <v>9.7804999999999975E-2</v>
      </c>
      <c r="N45" s="590"/>
      <c r="O45" s="590"/>
      <c r="P45" s="590"/>
      <c r="Q45" s="590"/>
    </row>
    <row r="46" spans="1:21" outlineLevel="1" x14ac:dyDescent="0.15">
      <c r="A46" s="66"/>
      <c r="B46" s="72" t="s">
        <v>111</v>
      </c>
      <c r="C46" s="635">
        <v>22.368078000000001</v>
      </c>
      <c r="D46" s="635">
        <v>26.834275999999999</v>
      </c>
      <c r="E46" s="651">
        <f t="shared" si="3"/>
        <v>49.202354</v>
      </c>
      <c r="F46" s="635">
        <v>13.440757999999999</v>
      </c>
      <c r="G46" s="635">
        <v>5.7712089999999998</v>
      </c>
      <c r="H46" s="635">
        <v>1.5362150000000001</v>
      </c>
      <c r="I46" s="635">
        <v>11.341687</v>
      </c>
      <c r="J46" s="635">
        <v>3.7238069999999999</v>
      </c>
      <c r="K46" s="635">
        <v>8.2409940000000024</v>
      </c>
      <c r="N46" s="590"/>
      <c r="O46" s="590"/>
      <c r="P46" s="590"/>
      <c r="Q46" s="590"/>
    </row>
    <row r="47" spans="1:21" outlineLevel="1" x14ac:dyDescent="0.15">
      <c r="A47" s="66"/>
      <c r="B47" s="72" t="s">
        <v>112</v>
      </c>
      <c r="C47" s="635">
        <v>7.5928490000000002</v>
      </c>
      <c r="D47" s="635">
        <v>6.5066299999999995</v>
      </c>
      <c r="E47" s="651">
        <f t="shared" si="3"/>
        <v>14.099478999999999</v>
      </c>
      <c r="F47" s="635">
        <v>16.251318000000001</v>
      </c>
      <c r="G47" s="635">
        <v>1.4530849999999997</v>
      </c>
      <c r="H47" s="635">
        <v>0.95695000000000008</v>
      </c>
      <c r="I47" s="635">
        <v>6.1032840000000004</v>
      </c>
      <c r="J47" s="635">
        <v>2.4427249999999989</v>
      </c>
      <c r="K47" s="635">
        <v>7.3075669999999997</v>
      </c>
      <c r="N47" s="590"/>
      <c r="O47" s="590"/>
      <c r="P47" s="590"/>
      <c r="Q47" s="590"/>
    </row>
    <row r="48" spans="1:21" outlineLevel="1" x14ac:dyDescent="0.15">
      <c r="A48" s="66"/>
      <c r="B48" s="72" t="s">
        <v>113</v>
      </c>
      <c r="C48" s="635">
        <v>0.27587099999999998</v>
      </c>
      <c r="D48" s="635">
        <v>0.34013800000000005</v>
      </c>
      <c r="E48" s="651">
        <f t="shared" si="3"/>
        <v>0.61600900000000003</v>
      </c>
      <c r="F48" s="635">
        <v>0.37495799999999996</v>
      </c>
      <c r="G48" s="635">
        <v>0.16145999999999996</v>
      </c>
      <c r="H48" s="635">
        <v>0.15951100000000001</v>
      </c>
      <c r="I48" s="635">
        <v>0.48378100000000007</v>
      </c>
      <c r="J48" s="635">
        <v>0.436164</v>
      </c>
      <c r="K48" s="635">
        <v>0.472887</v>
      </c>
      <c r="N48" s="590"/>
      <c r="O48" s="590"/>
      <c r="P48" s="590"/>
      <c r="Q48" s="590"/>
    </row>
    <row r="49" spans="1:17" outlineLevel="1" x14ac:dyDescent="0.15">
      <c r="A49" s="66"/>
      <c r="B49" s="72" t="s">
        <v>114</v>
      </c>
      <c r="C49" s="635">
        <v>7.4267E-2</v>
      </c>
      <c r="D49" s="635">
        <v>0.32078100000000004</v>
      </c>
      <c r="E49" s="651">
        <f t="shared" si="3"/>
        <v>0.39504800000000007</v>
      </c>
      <c r="F49" s="635">
        <v>0.27296799999999999</v>
      </c>
      <c r="G49" s="635">
        <v>0.50851000000000013</v>
      </c>
      <c r="H49" s="635">
        <v>0.36561700000000003</v>
      </c>
      <c r="I49" s="635">
        <v>0.17395899999999997</v>
      </c>
      <c r="J49" s="635">
        <v>0.31840000000000007</v>
      </c>
      <c r="K49" s="635">
        <v>3.8536349999999997</v>
      </c>
      <c r="N49" s="590"/>
      <c r="O49" s="590"/>
      <c r="P49" s="590"/>
      <c r="Q49" s="590"/>
    </row>
    <row r="50" spans="1:17" outlineLevel="1" x14ac:dyDescent="0.15">
      <c r="A50" s="66"/>
      <c r="B50" s="72" t="s">
        <v>115</v>
      </c>
      <c r="C50" s="635">
        <v>12.475674</v>
      </c>
      <c r="D50" s="635">
        <v>33.372450999999998</v>
      </c>
      <c r="E50" s="651">
        <f t="shared" si="3"/>
        <v>45.848124999999996</v>
      </c>
      <c r="F50" s="635">
        <v>12.153602999999999</v>
      </c>
      <c r="G50" s="635">
        <v>7.8108580000000005</v>
      </c>
      <c r="H50" s="635">
        <v>3.4176219999999997</v>
      </c>
      <c r="I50" s="635">
        <v>10.876269000000001</v>
      </c>
      <c r="J50" s="635">
        <v>3.9947339999999989</v>
      </c>
      <c r="K50" s="635">
        <v>22.629189</v>
      </c>
      <c r="N50" s="590"/>
      <c r="O50" s="590"/>
      <c r="P50" s="590"/>
      <c r="Q50" s="590"/>
    </row>
    <row r="51" spans="1:17" outlineLevel="1" x14ac:dyDescent="0.15">
      <c r="A51" s="66"/>
      <c r="B51" s="73" t="s">
        <v>88</v>
      </c>
      <c r="C51" s="637">
        <f t="shared" ref="C51:K51" si="4">SUM(C39:C50)</f>
        <v>391.02526100000011</v>
      </c>
      <c r="D51" s="637">
        <f t="shared" si="4"/>
        <v>519.31031500000006</v>
      </c>
      <c r="E51" s="653">
        <f t="shared" si="4"/>
        <v>910.33557599999972</v>
      </c>
      <c r="F51" s="637">
        <f t="shared" si="4"/>
        <v>224.16303699999992</v>
      </c>
      <c r="G51" s="637">
        <f t="shared" si="4"/>
        <v>122.68349300000001</v>
      </c>
      <c r="H51" s="637">
        <f t="shared" si="4"/>
        <v>32.058548000000002</v>
      </c>
      <c r="I51" s="637">
        <f t="shared" si="4"/>
        <v>172.61032399999999</v>
      </c>
      <c r="J51" s="637">
        <f t="shared" si="4"/>
        <v>76.242819999999995</v>
      </c>
      <c r="K51" s="637">
        <f t="shared" si="4"/>
        <v>187.45958399999995</v>
      </c>
      <c r="N51" s="590"/>
      <c r="O51" s="590"/>
      <c r="P51" s="590"/>
      <c r="Q51" s="590"/>
    </row>
    <row r="52" spans="1:17" outlineLevel="1" x14ac:dyDescent="0.15">
      <c r="A52" s="66"/>
      <c r="B52" s="101" t="s">
        <v>174</v>
      </c>
      <c r="C52" s="139"/>
      <c r="D52" s="139"/>
      <c r="E52" s="139"/>
      <c r="F52" s="139"/>
      <c r="G52" s="139"/>
      <c r="H52" s="139"/>
      <c r="I52" s="139"/>
      <c r="J52" s="139"/>
      <c r="K52" s="139"/>
    </row>
    <row r="53" spans="1:17" outlineLevel="1" x14ac:dyDescent="0.15">
      <c r="A53" s="66"/>
      <c r="B53" s="101" t="s">
        <v>175</v>
      </c>
      <c r="C53" s="139"/>
      <c r="D53" s="139"/>
      <c r="E53" s="139"/>
      <c r="F53" s="139"/>
      <c r="G53" s="139"/>
      <c r="H53" s="139"/>
      <c r="I53" s="139"/>
      <c r="J53" s="139"/>
      <c r="K53" s="139"/>
    </row>
    <row r="54" spans="1:17" outlineLevel="1" x14ac:dyDescent="0.15">
      <c r="A54" s="66"/>
      <c r="B54" s="82"/>
      <c r="C54" s="114"/>
      <c r="D54" s="114"/>
      <c r="E54" s="114"/>
      <c r="F54" s="114"/>
      <c r="G54" s="114"/>
      <c r="H54" s="114"/>
      <c r="I54" s="114"/>
      <c r="J54" s="114"/>
      <c r="K54" s="114"/>
      <c r="N54" s="590"/>
      <c r="O54" s="590"/>
      <c r="P54" s="590"/>
      <c r="Q54" s="590"/>
    </row>
    <row r="55" spans="1:17" outlineLevel="1" x14ac:dyDescent="0.15">
      <c r="A55" s="66"/>
      <c r="B55" s="82" t="s">
        <v>119</v>
      </c>
      <c r="C55" s="66"/>
      <c r="D55" s="66"/>
      <c r="E55" s="66"/>
      <c r="F55" s="66"/>
      <c r="G55" s="66"/>
      <c r="H55" s="66"/>
      <c r="N55" s="590"/>
      <c r="O55" s="590"/>
      <c r="P55" s="590"/>
      <c r="Q55" s="590"/>
    </row>
    <row r="56" spans="1:17" outlineLevel="1" x14ac:dyDescent="0.15">
      <c r="A56" s="66"/>
      <c r="B56" s="109" t="s">
        <v>99</v>
      </c>
      <c r="C56" s="109" t="s">
        <v>58</v>
      </c>
      <c r="D56" s="109" t="s">
        <v>100</v>
      </c>
      <c r="E56" s="109" t="s">
        <v>59</v>
      </c>
      <c r="F56" s="109" t="s">
        <v>60</v>
      </c>
      <c r="G56" s="109" t="s">
        <v>62</v>
      </c>
      <c r="H56" s="109" t="s">
        <v>61</v>
      </c>
      <c r="I56" s="109" t="s">
        <v>63</v>
      </c>
      <c r="J56" s="109" t="s">
        <v>64</v>
      </c>
      <c r="K56" s="109" t="s">
        <v>65</v>
      </c>
      <c r="N56" s="590"/>
      <c r="O56" s="590"/>
      <c r="P56" s="590"/>
      <c r="Q56" s="590"/>
    </row>
    <row r="57" spans="1:17" outlineLevel="1" x14ac:dyDescent="0.15">
      <c r="A57" s="66"/>
      <c r="B57" s="72" t="s">
        <v>101</v>
      </c>
      <c r="C57" s="635">
        <v>0.435726</v>
      </c>
      <c r="D57" s="635">
        <v>0.65058399999999994</v>
      </c>
      <c r="E57" s="651">
        <f t="shared" ref="E57:E68" si="5">SUM(C57:D57)</f>
        <v>1.0863099999999999</v>
      </c>
      <c r="F57" s="635">
        <v>0.31513600000000003</v>
      </c>
      <c r="G57" s="635">
        <v>0.15800500000000001</v>
      </c>
      <c r="H57" s="635">
        <v>3.7560999999999997E-2</v>
      </c>
      <c r="I57" s="635">
        <v>0.23932900000000001</v>
      </c>
      <c r="J57" s="635">
        <v>9.2742000000000019E-2</v>
      </c>
      <c r="K57" s="635">
        <v>0.21135700000000002</v>
      </c>
      <c r="N57" s="287"/>
      <c r="O57" s="287"/>
      <c r="P57" s="287"/>
      <c r="Q57" s="287"/>
    </row>
    <row r="58" spans="1:17" outlineLevel="1" x14ac:dyDescent="0.15">
      <c r="A58" s="66"/>
      <c r="B58" s="72" t="s">
        <v>103</v>
      </c>
      <c r="C58" s="635">
        <v>43.106552000000001</v>
      </c>
      <c r="D58" s="635">
        <v>56.924382000000001</v>
      </c>
      <c r="E58" s="651">
        <f t="shared" si="5"/>
        <v>100.030934</v>
      </c>
      <c r="F58" s="635">
        <v>21.674159999999997</v>
      </c>
      <c r="G58" s="635">
        <v>11.449124000000001</v>
      </c>
      <c r="H58" s="635">
        <v>2.6348760000000002</v>
      </c>
      <c r="I58" s="635">
        <v>15.953176000000001</v>
      </c>
      <c r="J58" s="635">
        <v>6.8137910000000002</v>
      </c>
      <c r="K58" s="635">
        <v>14.683786000000003</v>
      </c>
      <c r="N58" s="287"/>
      <c r="O58" s="287"/>
      <c r="P58" s="287"/>
      <c r="Q58" s="287"/>
    </row>
    <row r="59" spans="1:17" outlineLevel="1" x14ac:dyDescent="0.15">
      <c r="A59" s="66"/>
      <c r="B59" s="72" t="s">
        <v>105</v>
      </c>
      <c r="C59" s="635">
        <v>51.909160999999997</v>
      </c>
      <c r="D59" s="635">
        <v>82.119918999999996</v>
      </c>
      <c r="E59" s="651">
        <f t="shared" si="5"/>
        <v>134.02907999999999</v>
      </c>
      <c r="F59" s="635">
        <v>34.856536000000006</v>
      </c>
      <c r="G59" s="635">
        <v>20.700477000000006</v>
      </c>
      <c r="H59" s="635">
        <v>4.6489049999999992</v>
      </c>
      <c r="I59" s="635">
        <v>28.043936000000002</v>
      </c>
      <c r="J59" s="635">
        <v>13.089107</v>
      </c>
      <c r="K59" s="635">
        <v>25.662433999999998</v>
      </c>
      <c r="N59" s="287"/>
      <c r="O59" s="287"/>
      <c r="P59" s="287"/>
      <c r="Q59" s="287"/>
    </row>
    <row r="60" spans="1:17" outlineLevel="1" x14ac:dyDescent="0.15">
      <c r="A60" s="66"/>
      <c r="B60" s="72" t="s">
        <v>173</v>
      </c>
      <c r="C60" s="635">
        <v>2.0829219999999999</v>
      </c>
      <c r="D60" s="635">
        <v>5.134669999999999</v>
      </c>
      <c r="E60" s="651">
        <f t="shared" si="5"/>
        <v>7.2175919999999989</v>
      </c>
      <c r="F60" s="635">
        <v>2.3075510000000001</v>
      </c>
      <c r="G60" s="635">
        <v>1.2896240000000001</v>
      </c>
      <c r="H60" s="635">
        <v>0.207648</v>
      </c>
      <c r="I60" s="635">
        <v>1.706404</v>
      </c>
      <c r="J60" s="635">
        <v>0.67056899999999975</v>
      </c>
      <c r="K60" s="635">
        <v>1.3364999999999998</v>
      </c>
      <c r="N60" s="287"/>
      <c r="O60" s="287"/>
      <c r="P60" s="287"/>
      <c r="Q60" s="287"/>
    </row>
    <row r="61" spans="1:17" outlineLevel="1" x14ac:dyDescent="0.15">
      <c r="A61" s="66"/>
      <c r="B61" s="72" t="s">
        <v>108</v>
      </c>
      <c r="C61" s="635">
        <v>1.0424020000000001</v>
      </c>
      <c r="D61" s="635">
        <v>0.72626099999999993</v>
      </c>
      <c r="E61" s="651">
        <f t="shared" si="5"/>
        <v>1.7686630000000001</v>
      </c>
      <c r="F61" s="635">
        <v>8.970199999999999E-2</v>
      </c>
      <c r="G61" s="635">
        <v>5.5022000000000008E-2</v>
      </c>
      <c r="H61" s="635">
        <v>7.3349999999999995E-3</v>
      </c>
      <c r="I61" s="635">
        <v>5.7085999999999998E-2</v>
      </c>
      <c r="J61" s="635">
        <v>1.9438999999999998E-2</v>
      </c>
      <c r="K61" s="635">
        <v>4.2253999999999986E-2</v>
      </c>
      <c r="N61" s="287"/>
      <c r="O61" s="287"/>
      <c r="P61" s="287"/>
      <c r="Q61" s="287"/>
    </row>
    <row r="62" spans="1:17" outlineLevel="1" x14ac:dyDescent="0.15">
      <c r="A62" s="66"/>
      <c r="B62" s="72" t="s">
        <v>109</v>
      </c>
      <c r="C62" s="635">
        <v>2.3633000000000001E-2</v>
      </c>
      <c r="D62" s="635">
        <v>6.8786000000000014E-2</v>
      </c>
      <c r="E62" s="651">
        <f t="shared" si="5"/>
        <v>9.2419000000000015E-2</v>
      </c>
      <c r="F62" s="635">
        <v>4.3468E-2</v>
      </c>
      <c r="G62" s="635">
        <v>1.8383E-2</v>
      </c>
      <c r="H62" s="635">
        <v>4.0489999999999996E-3</v>
      </c>
      <c r="I62" s="635">
        <v>2.6804000000000001E-2</v>
      </c>
      <c r="J62" s="635">
        <v>1.1487999999999996E-2</v>
      </c>
      <c r="K62" s="635">
        <v>3.9016999999999996E-2</v>
      </c>
      <c r="N62" s="287"/>
      <c r="O62" s="287"/>
      <c r="P62" s="287"/>
      <c r="Q62" s="287"/>
    </row>
    <row r="63" spans="1:17" outlineLevel="1" x14ac:dyDescent="0.15">
      <c r="A63" s="66"/>
      <c r="B63" s="72" t="s">
        <v>110</v>
      </c>
      <c r="C63" s="635">
        <v>1.7240000000000001E-3</v>
      </c>
      <c r="D63" s="635">
        <v>1.4019999999999998E-2</v>
      </c>
      <c r="E63" s="651">
        <f t="shared" si="5"/>
        <v>1.5743999999999998E-2</v>
      </c>
      <c r="F63" s="635">
        <v>6.2599999999999993E-4</v>
      </c>
      <c r="G63" s="635">
        <v>3.6499999999999998E-4</v>
      </c>
      <c r="H63" s="635">
        <v>6.3000000000000003E-4</v>
      </c>
      <c r="I63" s="635">
        <v>9.68E-4</v>
      </c>
      <c r="J63" s="635">
        <v>2.5620000000000005E-3</v>
      </c>
      <c r="K63" s="635">
        <v>1.1250000000000001E-3</v>
      </c>
      <c r="N63" s="287"/>
      <c r="O63" s="287"/>
      <c r="P63" s="287"/>
      <c r="Q63" s="287"/>
    </row>
    <row r="64" spans="1:17" outlineLevel="1" x14ac:dyDescent="0.15">
      <c r="A64" s="66"/>
      <c r="B64" s="72" t="s">
        <v>111</v>
      </c>
      <c r="C64" s="635">
        <v>2.2380960000000001</v>
      </c>
      <c r="D64" s="635">
        <v>2.1614</v>
      </c>
      <c r="E64" s="651">
        <f t="shared" si="5"/>
        <v>4.3994960000000001</v>
      </c>
      <c r="F64" s="635">
        <v>1.028143</v>
      </c>
      <c r="G64" s="635">
        <v>0.56812300000000004</v>
      </c>
      <c r="H64" s="635">
        <v>0.11961999999999999</v>
      </c>
      <c r="I64" s="635">
        <v>0.9764830000000001</v>
      </c>
      <c r="J64" s="635">
        <v>0.33940200000000004</v>
      </c>
      <c r="K64" s="635">
        <v>0.766011</v>
      </c>
      <c r="N64" s="287"/>
      <c r="O64" s="287"/>
      <c r="P64" s="287"/>
      <c r="Q64" s="287"/>
    </row>
    <row r="65" spans="1:17" outlineLevel="1" x14ac:dyDescent="0.15">
      <c r="A65" s="66"/>
      <c r="B65" s="72" t="s">
        <v>112</v>
      </c>
      <c r="C65" s="635">
        <v>0.36335899999999999</v>
      </c>
      <c r="D65" s="635">
        <v>0.36943899999999991</v>
      </c>
      <c r="E65" s="651">
        <f t="shared" si="5"/>
        <v>0.73279799999999984</v>
      </c>
      <c r="F65" s="635">
        <v>0.62526400000000004</v>
      </c>
      <c r="G65" s="635">
        <v>9.6113000000000004E-2</v>
      </c>
      <c r="H65" s="635">
        <v>5.6107000000000011E-2</v>
      </c>
      <c r="I65" s="635">
        <v>0.30425800000000003</v>
      </c>
      <c r="J65" s="635">
        <v>0.12962000000000001</v>
      </c>
      <c r="K65" s="635">
        <v>0.32759500000000003</v>
      </c>
      <c r="N65" s="287"/>
      <c r="O65" s="287"/>
      <c r="P65" s="287"/>
      <c r="Q65" s="287"/>
    </row>
    <row r="66" spans="1:17" outlineLevel="1" x14ac:dyDescent="0.15">
      <c r="A66" s="66"/>
      <c r="B66" s="72" t="s">
        <v>113</v>
      </c>
      <c r="C66" s="635">
        <v>4.267E-2</v>
      </c>
      <c r="D66" s="635">
        <v>5.9802000000000001E-2</v>
      </c>
      <c r="E66" s="651">
        <f t="shared" si="5"/>
        <v>0.10247200000000001</v>
      </c>
      <c r="F66" s="635">
        <v>6.0434000000000002E-2</v>
      </c>
      <c r="G66" s="635">
        <v>2.6780999999999996E-2</v>
      </c>
      <c r="H66" s="635">
        <v>2.4322999999999997E-2</v>
      </c>
      <c r="I66" s="635">
        <v>7.3305000000000009E-2</v>
      </c>
      <c r="J66" s="635">
        <v>6.7025000000000015E-2</v>
      </c>
      <c r="K66" s="635">
        <v>7.696299999999999E-2</v>
      </c>
      <c r="N66" s="287"/>
      <c r="O66" s="287"/>
      <c r="P66" s="287"/>
      <c r="Q66" s="287"/>
    </row>
    <row r="67" spans="1:17" outlineLevel="1" x14ac:dyDescent="0.15">
      <c r="A67" s="66"/>
      <c r="B67" s="72" t="s">
        <v>114</v>
      </c>
      <c r="C67" s="635">
        <v>3.4090000000000001E-3</v>
      </c>
      <c r="D67" s="635">
        <v>1.7086999999999998E-2</v>
      </c>
      <c r="E67" s="651">
        <f t="shared" si="5"/>
        <v>2.0495999999999997E-2</v>
      </c>
      <c r="F67" s="635">
        <v>9.3429999999999989E-3</v>
      </c>
      <c r="G67" s="635">
        <v>1.4947000000000002E-2</v>
      </c>
      <c r="H67" s="635">
        <v>1.3561000000000005E-2</v>
      </c>
      <c r="I67" s="635">
        <v>7.9629999999999996E-3</v>
      </c>
      <c r="J67" s="635">
        <v>1.2029000000000005E-2</v>
      </c>
      <c r="K67" s="635">
        <v>7.9465000000000036E-2</v>
      </c>
      <c r="N67" s="287"/>
      <c r="O67" s="287"/>
      <c r="P67" s="287"/>
      <c r="Q67" s="287"/>
    </row>
    <row r="68" spans="1:17" outlineLevel="1" x14ac:dyDescent="0.15">
      <c r="A68" s="66"/>
      <c r="B68" s="72" t="s">
        <v>115</v>
      </c>
      <c r="C68" s="635">
        <v>0.85831599999999997</v>
      </c>
      <c r="D68" s="635">
        <v>2.2682929999999999</v>
      </c>
      <c r="E68" s="651">
        <f t="shared" si="5"/>
        <v>3.1266089999999997</v>
      </c>
      <c r="F68" s="635">
        <v>0.79852800000000002</v>
      </c>
      <c r="G68" s="635">
        <v>0.46275899999999986</v>
      </c>
      <c r="H68" s="635">
        <v>0.18795099999999998</v>
      </c>
      <c r="I68" s="635">
        <v>0.75865299999999991</v>
      </c>
      <c r="J68" s="635">
        <v>0.27631600000000006</v>
      </c>
      <c r="K68" s="635">
        <v>1.544252</v>
      </c>
      <c r="N68" s="287"/>
      <c r="O68" s="287"/>
      <c r="P68" s="287"/>
      <c r="Q68" s="287"/>
    </row>
    <row r="69" spans="1:17" outlineLevel="1" x14ac:dyDescent="0.15">
      <c r="A69" s="66"/>
      <c r="B69" s="73" t="s">
        <v>88</v>
      </c>
      <c r="C69" s="637">
        <f t="shared" ref="C69:K69" si="6">SUM(C57:C68)</f>
        <v>102.10796999999999</v>
      </c>
      <c r="D69" s="637">
        <f t="shared" si="6"/>
        <v>150.51464299999995</v>
      </c>
      <c r="E69" s="653">
        <f t="shared" si="6"/>
        <v>252.62261300000003</v>
      </c>
      <c r="F69" s="637">
        <f t="shared" si="6"/>
        <v>61.808891000000003</v>
      </c>
      <c r="G69" s="637">
        <f t="shared" si="6"/>
        <v>34.839723000000014</v>
      </c>
      <c r="H69" s="637">
        <f t="shared" si="6"/>
        <v>7.9425660000000002</v>
      </c>
      <c r="I69" s="637">
        <f t="shared" si="6"/>
        <v>48.148364999999991</v>
      </c>
      <c r="J69" s="637">
        <f t="shared" si="6"/>
        <v>21.524090000000001</v>
      </c>
      <c r="K69" s="637">
        <f t="shared" si="6"/>
        <v>44.770759000000005</v>
      </c>
      <c r="N69" s="590"/>
      <c r="O69" s="590"/>
      <c r="P69" s="590"/>
      <c r="Q69" s="590"/>
    </row>
    <row r="70" spans="1:17" outlineLevel="1" x14ac:dyDescent="0.15">
      <c r="A70" s="66"/>
      <c r="B70" s="101" t="s">
        <v>174</v>
      </c>
      <c r="C70" s="139"/>
      <c r="D70" s="139"/>
      <c r="E70" s="139"/>
      <c r="F70" s="139"/>
      <c r="G70" s="139"/>
      <c r="H70" s="139"/>
      <c r="I70" s="139"/>
      <c r="J70" s="139"/>
      <c r="K70" s="139"/>
    </row>
    <row r="71" spans="1:17" outlineLevel="1" x14ac:dyDescent="0.15">
      <c r="A71" s="66"/>
      <c r="B71" s="101" t="s">
        <v>175</v>
      </c>
      <c r="C71" s="139"/>
      <c r="D71" s="139"/>
      <c r="E71" s="139"/>
      <c r="F71" s="139"/>
      <c r="G71" s="139"/>
      <c r="H71" s="139"/>
      <c r="I71" s="139"/>
      <c r="J71" s="139"/>
      <c r="K71" s="139"/>
    </row>
    <row r="72" spans="1:17" outlineLevel="1" x14ac:dyDescent="0.15">
      <c r="A72" s="66"/>
      <c r="B72" s="82"/>
      <c r="C72" s="182"/>
      <c r="D72" s="182"/>
      <c r="E72" s="182"/>
      <c r="F72" s="182"/>
      <c r="G72" s="182"/>
      <c r="H72" s="182"/>
      <c r="I72" s="182"/>
      <c r="J72" s="182"/>
      <c r="K72" s="182"/>
      <c r="L72" s="182"/>
      <c r="N72" s="590"/>
      <c r="O72" s="590"/>
      <c r="P72" s="590"/>
      <c r="Q72" s="590"/>
    </row>
    <row r="73" spans="1:17" outlineLevel="1" x14ac:dyDescent="0.15">
      <c r="A73" s="66"/>
      <c r="B73" s="82" t="s">
        <v>176</v>
      </c>
      <c r="C73" s="69"/>
      <c r="D73" s="66"/>
      <c r="E73" s="66"/>
      <c r="F73" s="66"/>
      <c r="G73" s="66"/>
      <c r="H73" s="66"/>
    </row>
    <row r="74" spans="1:17" ht="15" outlineLevel="1" x14ac:dyDescent="0.15">
      <c r="A74" s="66"/>
      <c r="B74" s="83"/>
      <c r="C74" s="83" t="s">
        <v>177</v>
      </c>
      <c r="D74" s="84" t="s">
        <v>100</v>
      </c>
      <c r="E74" s="84" t="s">
        <v>178</v>
      </c>
      <c r="F74" s="84" t="s">
        <v>179</v>
      </c>
      <c r="G74" s="84" t="s">
        <v>180</v>
      </c>
      <c r="H74" s="84" t="s">
        <v>181</v>
      </c>
      <c r="I74" s="84" t="s">
        <v>182</v>
      </c>
      <c r="J74" s="84" t="s">
        <v>183</v>
      </c>
      <c r="K74" s="84" t="s">
        <v>184</v>
      </c>
      <c r="L74" s="84" t="s">
        <v>88</v>
      </c>
    </row>
    <row r="75" spans="1:17" ht="15" outlineLevel="1" x14ac:dyDescent="0.15">
      <c r="A75" s="66"/>
      <c r="B75" s="85" t="s">
        <v>101</v>
      </c>
      <c r="C75" s="397">
        <f>156.108755*10^6</f>
        <v>156108755</v>
      </c>
      <c r="D75" s="397">
        <v>249046444</v>
      </c>
      <c r="E75" s="397">
        <f t="shared" ref="E75:E86" si="7">SUM(C75:D75)</f>
        <v>405155199</v>
      </c>
      <c r="F75" s="397">
        <v>120503983.00000001</v>
      </c>
      <c r="G75" s="397">
        <v>59824226.999999978</v>
      </c>
      <c r="H75" s="397">
        <v>13437346</v>
      </c>
      <c r="I75" s="397">
        <v>90539332.999999985</v>
      </c>
      <c r="J75" s="397">
        <v>32400183</v>
      </c>
      <c r="K75" s="397">
        <v>80900093</v>
      </c>
      <c r="L75" s="397">
        <f t="shared" ref="L75:L86" si="8">SUM(E75:K75)</f>
        <v>802760364</v>
      </c>
      <c r="N75" s="233">
        <f>L75/$L$87</f>
        <v>1.4053578722293059E-2</v>
      </c>
    </row>
    <row r="76" spans="1:17" ht="15" outlineLevel="1" x14ac:dyDescent="0.15">
      <c r="A76" s="66"/>
      <c r="B76" s="85" t="s">
        <v>103</v>
      </c>
      <c r="C76" s="397">
        <f>5328.752563*10^6</f>
        <v>5328752563</v>
      </c>
      <c r="D76" s="397">
        <v>7880582914.0000019</v>
      </c>
      <c r="E76" s="397">
        <f t="shared" si="7"/>
        <v>13209335477.000002</v>
      </c>
      <c r="F76" s="397">
        <v>3442269051</v>
      </c>
      <c r="G76" s="397">
        <v>1694678742.9999998</v>
      </c>
      <c r="H76" s="397">
        <v>386076714</v>
      </c>
      <c r="I76" s="397">
        <v>2550144036.999999</v>
      </c>
      <c r="J76" s="397">
        <v>875715631.00000012</v>
      </c>
      <c r="K76" s="397">
        <v>2329589694</v>
      </c>
      <c r="L76" s="397">
        <f t="shared" si="8"/>
        <v>24487809347</v>
      </c>
      <c r="N76" s="233">
        <f t="shared" ref="N76:N86" si="9">L76/$L$87</f>
        <v>0.42869749408127017</v>
      </c>
    </row>
    <row r="77" spans="1:17" ht="15" outlineLevel="1" x14ac:dyDescent="0.15">
      <c r="A77" s="66"/>
      <c r="B77" s="85" t="s">
        <v>105</v>
      </c>
      <c r="C77" s="397">
        <f>4221.932357*10^6</f>
        <v>4221932356.9999995</v>
      </c>
      <c r="D77" s="397">
        <v>7934953578.000001</v>
      </c>
      <c r="E77" s="397">
        <f t="shared" si="7"/>
        <v>12156885935</v>
      </c>
      <c r="F77" s="397">
        <v>4202065293.0000005</v>
      </c>
      <c r="G77" s="397">
        <v>2035359098.9999995</v>
      </c>
      <c r="H77" s="397">
        <v>480349103.99999988</v>
      </c>
      <c r="I77" s="397">
        <v>3086298169</v>
      </c>
      <c r="J77" s="397">
        <v>1163350792.9999998</v>
      </c>
      <c r="K77" s="397">
        <v>2770617476.0000005</v>
      </c>
      <c r="L77" s="397">
        <f t="shared" si="8"/>
        <v>25894925869</v>
      </c>
      <c r="N77" s="233">
        <f t="shared" si="9"/>
        <v>0.45333127484596952</v>
      </c>
    </row>
    <row r="78" spans="1:17" ht="15" outlineLevel="1" x14ac:dyDescent="0.15">
      <c r="A78" s="66"/>
      <c r="B78" s="85" t="s">
        <v>173</v>
      </c>
      <c r="C78" s="397">
        <f>95.670034*10^6</f>
        <v>95670034</v>
      </c>
      <c r="D78" s="397">
        <v>337038641.00000006</v>
      </c>
      <c r="E78" s="397">
        <f t="shared" si="7"/>
        <v>432708675.00000006</v>
      </c>
      <c r="F78" s="397">
        <v>188539326</v>
      </c>
      <c r="G78" s="397">
        <v>80713633.000000015</v>
      </c>
      <c r="H78" s="397">
        <v>13452983.999999998</v>
      </c>
      <c r="I78" s="397">
        <v>123794832</v>
      </c>
      <c r="J78" s="397">
        <v>40663709</v>
      </c>
      <c r="K78" s="397">
        <v>100128486.00000001</v>
      </c>
      <c r="L78" s="397">
        <f t="shared" si="8"/>
        <v>980001645</v>
      </c>
      <c r="N78" s="233">
        <f t="shared" si="9"/>
        <v>1.7156465221275171E-2</v>
      </c>
    </row>
    <row r="79" spans="1:17" ht="15" outlineLevel="1" x14ac:dyDescent="0.15">
      <c r="A79" s="66"/>
      <c r="B79" s="85" t="s">
        <v>108</v>
      </c>
      <c r="C79" s="397">
        <f>54.387444*10^6</f>
        <v>54387444</v>
      </c>
      <c r="D79" s="397">
        <v>16582888.999999998</v>
      </c>
      <c r="E79" s="397">
        <f t="shared" si="7"/>
        <v>70970333</v>
      </c>
      <c r="F79" s="397">
        <v>1419914.0000000002</v>
      </c>
      <c r="G79" s="397">
        <v>798028</v>
      </c>
      <c r="H79" s="397">
        <v>0</v>
      </c>
      <c r="I79" s="397">
        <v>806687.99999999988</v>
      </c>
      <c r="J79" s="397">
        <v>129837.00000000001</v>
      </c>
      <c r="K79" s="397">
        <v>437702</v>
      </c>
      <c r="L79" s="397">
        <f t="shared" si="8"/>
        <v>74562502</v>
      </c>
      <c r="N79" s="233">
        <f t="shared" si="9"/>
        <v>1.3053334950006747E-3</v>
      </c>
    </row>
    <row r="80" spans="1:17" ht="15" outlineLevel="1" x14ac:dyDescent="0.15">
      <c r="A80" s="66"/>
      <c r="B80" s="85" t="s">
        <v>109</v>
      </c>
      <c r="C80" s="397">
        <f>3.484151*10^6</f>
        <v>3484151</v>
      </c>
      <c r="D80" s="397">
        <v>4979660</v>
      </c>
      <c r="E80" s="397">
        <f>SUM(C80:D80)</f>
        <v>8463811</v>
      </c>
      <c r="F80" s="397">
        <v>2144972.0000000005</v>
      </c>
      <c r="G80" s="397">
        <v>828977.99999999977</v>
      </c>
      <c r="H80" s="397">
        <v>0</v>
      </c>
      <c r="I80" s="397">
        <v>1126877.0000000002</v>
      </c>
      <c r="J80" s="397">
        <v>266850.99999999994</v>
      </c>
      <c r="K80" s="397">
        <v>1253012.9999999998</v>
      </c>
      <c r="L80" s="397">
        <f t="shared" si="8"/>
        <v>14084502</v>
      </c>
      <c r="N80" s="233">
        <f t="shared" si="9"/>
        <v>2.4657128889001055E-4</v>
      </c>
    </row>
    <row r="81" spans="1:17" ht="15" outlineLevel="1" x14ac:dyDescent="0.15">
      <c r="A81" s="66"/>
      <c r="B81" s="85" t="s">
        <v>110</v>
      </c>
      <c r="C81" s="397">
        <f>0.226881*10^6</f>
        <v>226881</v>
      </c>
      <c r="D81" s="397">
        <v>683450</v>
      </c>
      <c r="E81" s="397">
        <f>SUM(C81:D81)</f>
        <v>910331</v>
      </c>
      <c r="F81" s="397">
        <v>129660</v>
      </c>
      <c r="G81" s="397">
        <v>81163.000000000015</v>
      </c>
      <c r="H81" s="397">
        <v>39007</v>
      </c>
      <c r="I81" s="397">
        <v>89831</v>
      </c>
      <c r="J81" s="397">
        <v>166706.00000000003</v>
      </c>
      <c r="K81" s="397">
        <v>160603.00000000003</v>
      </c>
      <c r="L81" s="397">
        <f t="shared" si="8"/>
        <v>1577301</v>
      </c>
      <c r="N81" s="233">
        <f t="shared" si="9"/>
        <v>2.7613126863662101E-5</v>
      </c>
    </row>
    <row r="82" spans="1:17" ht="15" outlineLevel="1" x14ac:dyDescent="0.15">
      <c r="A82" s="66"/>
      <c r="B82" s="85" t="s">
        <v>111</v>
      </c>
      <c r="C82" s="397">
        <f>116.115855*10^6</f>
        <v>116115855</v>
      </c>
      <c r="D82" s="397">
        <v>171833424</v>
      </c>
      <c r="E82" s="397">
        <f t="shared" si="7"/>
        <v>287949279</v>
      </c>
      <c r="F82" s="397">
        <v>77440307.999999985</v>
      </c>
      <c r="G82" s="397">
        <v>33401917.000000004</v>
      </c>
      <c r="H82" s="397">
        <v>9797047.0000000019</v>
      </c>
      <c r="I82" s="397">
        <v>66625026.000000007</v>
      </c>
      <c r="J82" s="397">
        <v>22107352.999999996</v>
      </c>
      <c r="K82" s="397">
        <v>50122019.999999993</v>
      </c>
      <c r="L82" s="397">
        <f t="shared" si="8"/>
        <v>547442950</v>
      </c>
      <c r="N82" s="233">
        <f t="shared" si="9"/>
        <v>9.583847109059988E-3</v>
      </c>
    </row>
    <row r="83" spans="1:17" ht="15" outlineLevel="1" x14ac:dyDescent="0.15">
      <c r="A83" s="66"/>
      <c r="B83" s="85" t="s">
        <v>112</v>
      </c>
      <c r="C83" s="397">
        <f>49.513415*10^6</f>
        <v>49513415</v>
      </c>
      <c r="D83" s="397">
        <v>49889390</v>
      </c>
      <c r="E83" s="397">
        <f t="shared" si="7"/>
        <v>99402805</v>
      </c>
      <c r="F83" s="397">
        <v>115601531.00000001</v>
      </c>
      <c r="G83" s="397">
        <v>10202570.000000002</v>
      </c>
      <c r="H83" s="397">
        <v>8063123.0000000009</v>
      </c>
      <c r="I83" s="397">
        <v>45787279.999999985</v>
      </c>
      <c r="J83" s="397">
        <v>17484502.000000004</v>
      </c>
      <c r="K83" s="397">
        <v>56281202</v>
      </c>
      <c r="L83" s="397">
        <f t="shared" si="8"/>
        <v>352823013</v>
      </c>
      <c r="N83" s="233">
        <f t="shared" si="9"/>
        <v>6.1767199909139106E-3</v>
      </c>
    </row>
    <row r="84" spans="1:17" ht="15" outlineLevel="1" x14ac:dyDescent="0.15">
      <c r="A84" s="66"/>
      <c r="B84" s="85" t="s">
        <v>113</v>
      </c>
      <c r="C84" s="397">
        <f>2.36197*10^6</f>
        <v>2361970</v>
      </c>
      <c r="D84" s="397">
        <v>2871815</v>
      </c>
      <c r="E84" s="397">
        <f>SUM(C84:D84)</f>
        <v>5233785</v>
      </c>
      <c r="F84" s="397">
        <v>5115863.9999999991</v>
      </c>
      <c r="G84" s="397">
        <v>1382408</v>
      </c>
      <c r="H84" s="397">
        <v>2149692</v>
      </c>
      <c r="I84" s="397">
        <v>7086541</v>
      </c>
      <c r="J84" s="397">
        <v>5419209.0000000009</v>
      </c>
      <c r="K84" s="397">
        <v>6097259</v>
      </c>
      <c r="L84" s="397">
        <f t="shared" si="8"/>
        <v>32484758</v>
      </c>
      <c r="N84" s="233">
        <f t="shared" si="9"/>
        <v>5.6869661769653492E-4</v>
      </c>
    </row>
    <row r="85" spans="1:17" ht="15" outlineLevel="1" x14ac:dyDescent="0.15">
      <c r="A85" s="66"/>
      <c r="B85" s="85" t="s">
        <v>114</v>
      </c>
      <c r="C85" s="397">
        <f>0.881683*10^6</f>
        <v>881683</v>
      </c>
      <c r="D85" s="397">
        <v>4990475</v>
      </c>
      <c r="E85" s="397">
        <f>SUM(C85:D85)</f>
        <v>5872158</v>
      </c>
      <c r="F85" s="397">
        <v>2114343</v>
      </c>
      <c r="G85" s="397">
        <v>4980472.0000000009</v>
      </c>
      <c r="H85" s="397">
        <v>4433019</v>
      </c>
      <c r="I85" s="397">
        <v>2564635.9999999995</v>
      </c>
      <c r="J85" s="397">
        <v>4041185.0000000014</v>
      </c>
      <c r="K85" s="397">
        <v>21707592</v>
      </c>
      <c r="L85" s="397">
        <f t="shared" si="8"/>
        <v>45713405</v>
      </c>
      <c r="N85" s="233">
        <f t="shared" si="9"/>
        <v>8.0028482302044147E-4</v>
      </c>
    </row>
    <row r="86" spans="1:17" ht="15" outlineLevel="1" x14ac:dyDescent="0.15">
      <c r="A86" s="66"/>
      <c r="B86" s="85" t="s">
        <v>115</v>
      </c>
      <c r="C86" s="397">
        <f>381.317923*10^6</f>
        <v>381317923</v>
      </c>
      <c r="D86" s="397">
        <v>1218254205.9999998</v>
      </c>
      <c r="E86" s="397">
        <f t="shared" si="7"/>
        <v>1599572128.9999998</v>
      </c>
      <c r="F86" s="397">
        <v>413876641</v>
      </c>
      <c r="G86" s="397">
        <v>307707596.99999994</v>
      </c>
      <c r="H86" s="397">
        <v>120877748.99999999</v>
      </c>
      <c r="I86" s="397">
        <v>385893623</v>
      </c>
      <c r="J86" s="397">
        <v>170602794</v>
      </c>
      <c r="K86" s="397">
        <v>888703192.00000012</v>
      </c>
      <c r="L86" s="397">
        <f t="shared" si="8"/>
        <v>3887233724.9999995</v>
      </c>
      <c r="N86" s="233">
        <f t="shared" si="9"/>
        <v>6.8052120677746852E-2</v>
      </c>
    </row>
    <row r="87" spans="1:17" ht="15" outlineLevel="1" x14ac:dyDescent="0.15">
      <c r="A87" s="66"/>
      <c r="B87" s="68" t="s">
        <v>88</v>
      </c>
      <c r="C87" s="169">
        <f t="shared" ref="C87" si="10">SUM(C75:C86)</f>
        <v>10410753031</v>
      </c>
      <c r="D87" s="169">
        <f t="shared" ref="D87:L87" si="11">SUM(D75:D86)</f>
        <v>17871706886.000004</v>
      </c>
      <c r="E87" s="169">
        <f t="shared" si="11"/>
        <v>28282459917</v>
      </c>
      <c r="F87" s="169">
        <f t="shared" si="11"/>
        <v>8571220886</v>
      </c>
      <c r="G87" s="169">
        <f t="shared" si="11"/>
        <v>4229958834.999999</v>
      </c>
      <c r="H87" s="169">
        <f t="shared" si="11"/>
        <v>1038675784.9999999</v>
      </c>
      <c r="I87" s="169">
        <f t="shared" si="11"/>
        <v>6360756872.999999</v>
      </c>
      <c r="J87" s="169">
        <f t="shared" si="11"/>
        <v>2332348753</v>
      </c>
      <c r="K87" s="169">
        <f t="shared" si="11"/>
        <v>6305998332</v>
      </c>
      <c r="L87" s="169">
        <f t="shared" si="11"/>
        <v>57121419381</v>
      </c>
    </row>
    <row r="88" spans="1:17" outlineLevel="1" x14ac:dyDescent="0.15">
      <c r="A88" s="66"/>
      <c r="B88" s="101" t="s">
        <v>174</v>
      </c>
      <c r="C88" s="139"/>
      <c r="D88" s="139"/>
      <c r="E88" s="139"/>
      <c r="F88" s="139"/>
      <c r="G88" s="139"/>
      <c r="H88" s="139"/>
      <c r="I88" s="139"/>
      <c r="J88" s="139"/>
      <c r="K88" s="139"/>
    </row>
    <row r="89" spans="1:17" ht="42.75" customHeight="1" outlineLevel="1" x14ac:dyDescent="0.15">
      <c r="A89" s="66"/>
      <c r="B89" s="718" t="s">
        <v>185</v>
      </c>
      <c r="C89" s="718"/>
      <c r="D89" s="718"/>
      <c r="E89" s="718"/>
      <c r="F89" s="718"/>
      <c r="G89" s="718"/>
      <c r="H89" s="718"/>
      <c r="I89" s="718"/>
      <c r="J89" s="718"/>
      <c r="K89" s="718"/>
      <c r="L89" s="718"/>
    </row>
    <row r="90" spans="1:17" outlineLevel="1" x14ac:dyDescent="0.15">
      <c r="A90" s="66"/>
      <c r="B90" s="597"/>
      <c r="C90" s="640"/>
      <c r="D90" s="597"/>
      <c r="E90" s="597"/>
      <c r="F90" s="597"/>
      <c r="G90" s="597"/>
      <c r="H90" s="597"/>
      <c r="I90" s="597"/>
      <c r="J90" s="597"/>
      <c r="K90" s="597"/>
      <c r="L90" s="597"/>
    </row>
    <row r="91" spans="1:17" outlineLevel="1" x14ac:dyDescent="0.15">
      <c r="A91" s="66"/>
      <c r="B91" s="82" t="s">
        <v>186</v>
      </c>
      <c r="C91" s="66"/>
      <c r="D91" s="66"/>
      <c r="E91" s="66"/>
      <c r="F91" s="66"/>
      <c r="G91" s="66"/>
      <c r="H91" s="66"/>
      <c r="L91" s="597"/>
    </row>
    <row r="92" spans="1:17" outlineLevel="1" x14ac:dyDescent="0.15">
      <c r="A92" s="66"/>
      <c r="B92" s="109" t="s">
        <v>99</v>
      </c>
      <c r="C92" s="591" t="s">
        <v>58</v>
      </c>
      <c r="D92" s="109" t="s">
        <v>100</v>
      </c>
      <c r="E92" s="109" t="s">
        <v>59</v>
      </c>
      <c r="F92" s="109" t="s">
        <v>60</v>
      </c>
      <c r="G92" s="109" t="s">
        <v>62</v>
      </c>
      <c r="H92" s="109" t="s">
        <v>61</v>
      </c>
      <c r="I92" s="109" t="s">
        <v>63</v>
      </c>
      <c r="J92" s="109" t="s">
        <v>64</v>
      </c>
      <c r="K92" s="109" t="s">
        <v>65</v>
      </c>
      <c r="L92" s="597"/>
    </row>
    <row r="93" spans="1:17" outlineLevel="1" x14ac:dyDescent="0.15">
      <c r="A93" s="66"/>
      <c r="B93" s="359" t="s">
        <v>103</v>
      </c>
      <c r="C93" s="635">
        <f>C22-((C146/C76)*C22)</f>
        <v>1938176.510227225</v>
      </c>
      <c r="D93" s="635">
        <f t="shared" ref="D93:K93" si="12">D22-((D146/D76)*D22)</f>
        <v>2792715.3400095496</v>
      </c>
      <c r="E93" s="635">
        <f t="shared" si="12"/>
        <v>4730919.8161771083</v>
      </c>
      <c r="F93" s="635">
        <f t="shared" si="12"/>
        <v>1188152.4348852718</v>
      </c>
      <c r="G93" s="635">
        <f t="shared" si="12"/>
        <v>602769.32308705593</v>
      </c>
      <c r="H93" s="635">
        <f t="shared" si="12"/>
        <v>137736.35644596943</v>
      </c>
      <c r="I93" s="635">
        <f t="shared" si="12"/>
        <v>891910.07579995086</v>
      </c>
      <c r="J93" s="635">
        <f t="shared" si="12"/>
        <v>316569.01906346611</v>
      </c>
      <c r="K93" s="635">
        <f t="shared" si="12"/>
        <v>813991.21869155718</v>
      </c>
      <c r="L93" s="597"/>
    </row>
    <row r="94" spans="1:17" outlineLevel="1" x14ac:dyDescent="0.15">
      <c r="A94" s="66"/>
      <c r="B94" s="359" t="s">
        <v>105</v>
      </c>
      <c r="C94" s="635">
        <f>C23-((C147/C77)*C23)</f>
        <v>2046323.8689490019</v>
      </c>
      <c r="D94" s="635">
        <f t="shared" ref="D94:K94" si="13">D23-((D147/D77)*D23)</f>
        <v>3618898.6278896364</v>
      </c>
      <c r="E94" s="635">
        <f t="shared" si="13"/>
        <v>5665457.2664398942</v>
      </c>
      <c r="F94" s="635">
        <f t="shared" si="13"/>
        <v>1814626.7337307248</v>
      </c>
      <c r="G94" s="635">
        <f t="shared" si="13"/>
        <v>935456.37575309782</v>
      </c>
      <c r="H94" s="635">
        <f t="shared" si="13"/>
        <v>215394.05101365256</v>
      </c>
      <c r="I94" s="635">
        <f t="shared" si="13"/>
        <v>1392468.8212781881</v>
      </c>
      <c r="J94" s="635">
        <f t="shared" si="13"/>
        <v>539468.39813907351</v>
      </c>
      <c r="K94" s="635">
        <f t="shared" si="13"/>
        <v>1247049.6940266769</v>
      </c>
      <c r="N94" s="287"/>
      <c r="O94" s="287"/>
      <c r="P94" s="287"/>
      <c r="Q94" s="287"/>
    </row>
    <row r="95" spans="1:17" outlineLevel="1" x14ac:dyDescent="0.15">
      <c r="A95" s="66"/>
      <c r="B95" s="66"/>
      <c r="C95" s="111"/>
      <c r="D95" s="111"/>
      <c r="E95" s="111"/>
      <c r="F95" s="111"/>
      <c r="G95" s="111"/>
      <c r="H95" s="111"/>
      <c r="I95" s="111"/>
      <c r="J95" s="111"/>
      <c r="K95" s="111"/>
      <c r="N95" s="287"/>
      <c r="O95" s="287"/>
      <c r="P95" s="287"/>
      <c r="Q95" s="287"/>
    </row>
    <row r="96" spans="1:17" outlineLevel="1" x14ac:dyDescent="0.15">
      <c r="A96" s="66"/>
      <c r="B96" s="82" t="s">
        <v>187</v>
      </c>
      <c r="C96" s="66"/>
      <c r="D96" s="66"/>
      <c r="E96" s="66"/>
      <c r="F96" s="66"/>
      <c r="G96" s="66"/>
      <c r="H96" s="66"/>
      <c r="L96" s="597"/>
    </row>
    <row r="97" spans="1:23" outlineLevel="1" x14ac:dyDescent="0.15">
      <c r="A97" s="66"/>
      <c r="B97" s="109" t="s">
        <v>99</v>
      </c>
      <c r="C97" s="591" t="s">
        <v>58</v>
      </c>
      <c r="D97" s="109" t="s">
        <v>100</v>
      </c>
      <c r="E97" s="109" t="s">
        <v>59</v>
      </c>
      <c r="F97" s="109" t="s">
        <v>60</v>
      </c>
      <c r="G97" s="109" t="s">
        <v>62</v>
      </c>
      <c r="H97" s="109" t="s">
        <v>61</v>
      </c>
      <c r="I97" s="109" t="s">
        <v>63</v>
      </c>
      <c r="J97" s="109" t="s">
        <v>64</v>
      </c>
      <c r="K97" s="109" t="s">
        <v>65</v>
      </c>
      <c r="L97" s="597"/>
    </row>
    <row r="98" spans="1:23" outlineLevel="1" x14ac:dyDescent="0.15">
      <c r="A98" s="66"/>
      <c r="B98" s="359" t="s">
        <v>103</v>
      </c>
      <c r="C98" s="635">
        <f t="shared" ref="C98:K98" si="14">C40-((C146/C76)*C40)</f>
        <v>140.56436097468656</v>
      </c>
      <c r="D98" s="635">
        <f t="shared" si="14"/>
        <v>180.27948503842333</v>
      </c>
      <c r="E98" s="635">
        <f t="shared" si="14"/>
        <v>320.85404108868181</v>
      </c>
      <c r="F98" s="635">
        <f t="shared" si="14"/>
        <v>69.737101615869364</v>
      </c>
      <c r="G98" s="635">
        <f t="shared" si="14"/>
        <v>39.064365925104504</v>
      </c>
      <c r="H98" s="635">
        <f t="shared" si="14"/>
        <v>9.8604902853934782</v>
      </c>
      <c r="I98" s="635">
        <f t="shared" si="14"/>
        <v>52.988444254687344</v>
      </c>
      <c r="J98" s="635">
        <f t="shared" si="14"/>
        <v>23.449651734821185</v>
      </c>
      <c r="K98" s="635">
        <f t="shared" si="14"/>
        <v>55.313188856936947</v>
      </c>
      <c r="L98" s="597"/>
    </row>
    <row r="99" spans="1:23" outlineLevel="1" x14ac:dyDescent="0.15">
      <c r="A99" s="66"/>
      <c r="B99" s="359" t="s">
        <v>105</v>
      </c>
      <c r="C99" s="635">
        <f t="shared" ref="C99:K99" si="15">C41-((C147/C77)*C41)</f>
        <v>131.63346169350808</v>
      </c>
      <c r="D99" s="635">
        <f t="shared" si="15"/>
        <v>203.14710147859253</v>
      </c>
      <c r="E99" s="635">
        <f t="shared" si="15"/>
        <v>334.82490305520901</v>
      </c>
      <c r="F99" s="635">
        <f t="shared" si="15"/>
        <v>86.03255586105935</v>
      </c>
      <c r="G99" s="635">
        <f t="shared" si="15"/>
        <v>54.755554965145969</v>
      </c>
      <c r="H99" s="635">
        <f t="shared" si="15"/>
        <v>13.178733719125969</v>
      </c>
      <c r="I99" s="635">
        <f t="shared" si="15"/>
        <v>71.793145991355317</v>
      </c>
      <c r="J99" s="635">
        <f t="shared" si="15"/>
        <v>34.833391334653975</v>
      </c>
      <c r="K99" s="635">
        <f t="shared" si="15"/>
        <v>73.508598310861004</v>
      </c>
      <c r="N99" s="287"/>
      <c r="O99" s="287"/>
      <c r="P99" s="287"/>
      <c r="Q99" s="287"/>
    </row>
    <row r="100" spans="1:23" outlineLevel="1" x14ac:dyDescent="0.15">
      <c r="A100" s="66"/>
      <c r="B100" s="66"/>
      <c r="C100" s="111"/>
      <c r="D100" s="111"/>
      <c r="E100" s="111"/>
      <c r="F100" s="111"/>
      <c r="G100" s="111"/>
      <c r="H100" s="111"/>
      <c r="I100" s="111"/>
      <c r="J100" s="111"/>
      <c r="K100" s="111"/>
      <c r="N100" s="287"/>
      <c r="O100" s="287"/>
      <c r="P100" s="287"/>
      <c r="Q100" s="287"/>
    </row>
    <row r="101" spans="1:23" outlineLevel="1" x14ac:dyDescent="0.15">
      <c r="A101" s="66"/>
      <c r="B101" s="82" t="s">
        <v>188</v>
      </c>
      <c r="C101" s="66"/>
      <c r="D101" s="66"/>
      <c r="E101" s="66"/>
      <c r="F101" s="66"/>
      <c r="G101" s="66"/>
      <c r="H101" s="66"/>
      <c r="L101" s="597"/>
    </row>
    <row r="102" spans="1:23" outlineLevel="1" x14ac:dyDescent="0.15">
      <c r="A102" s="66"/>
      <c r="B102" s="109" t="s">
        <v>99</v>
      </c>
      <c r="C102" s="591" t="s">
        <v>58</v>
      </c>
      <c r="D102" s="109" t="s">
        <v>100</v>
      </c>
      <c r="E102" s="109" t="s">
        <v>59</v>
      </c>
      <c r="F102" s="109" t="s">
        <v>60</v>
      </c>
      <c r="G102" s="109" t="s">
        <v>62</v>
      </c>
      <c r="H102" s="109" t="s">
        <v>61</v>
      </c>
      <c r="I102" s="109" t="s">
        <v>63</v>
      </c>
      <c r="J102" s="109" t="s">
        <v>64</v>
      </c>
      <c r="K102" s="109" t="s">
        <v>65</v>
      </c>
      <c r="L102" s="597"/>
    </row>
    <row r="103" spans="1:23" outlineLevel="1" x14ac:dyDescent="0.15">
      <c r="A103" s="66"/>
      <c r="B103" s="359" t="s">
        <v>103</v>
      </c>
      <c r="C103" s="635">
        <f>C58-((C146/C76)*C58)</f>
        <v>42.869558334628053</v>
      </c>
      <c r="D103" s="635">
        <f t="shared" ref="D103:K103" si="16">D58-((D146/D76)*D58)</f>
        <v>56.662954085289336</v>
      </c>
      <c r="E103" s="635">
        <f t="shared" si="16"/>
        <v>99.535004978622624</v>
      </c>
      <c r="F103" s="635">
        <f t="shared" si="16"/>
        <v>21.501583234432868</v>
      </c>
      <c r="G103" s="635">
        <f t="shared" si="16"/>
        <v>11.399689116227814</v>
      </c>
      <c r="H103" s="635">
        <f t="shared" si="16"/>
        <v>2.6256080870361465</v>
      </c>
      <c r="I103" s="635">
        <f t="shared" si="16"/>
        <v>15.821080358765986</v>
      </c>
      <c r="J103" s="635">
        <f t="shared" si="16"/>
        <v>6.7847114207836299</v>
      </c>
      <c r="K103" s="635">
        <f t="shared" si="16"/>
        <v>14.623577889212768</v>
      </c>
      <c r="L103" s="597"/>
    </row>
    <row r="104" spans="1:23" outlineLevel="1" x14ac:dyDescent="0.15">
      <c r="A104" s="66"/>
      <c r="B104" s="359" t="s">
        <v>105</v>
      </c>
      <c r="C104" s="635">
        <f t="shared" ref="C104:K104" si="17">C59-((C147/C77)*C59)</f>
        <v>51.605016836363959</v>
      </c>
      <c r="D104" s="635">
        <f t="shared" si="17"/>
        <v>81.871272409553569</v>
      </c>
      <c r="E104" s="635">
        <f t="shared" si="17"/>
        <v>133.49147233999361</v>
      </c>
      <c r="F104" s="635">
        <f t="shared" si="17"/>
        <v>34.607016430352786</v>
      </c>
      <c r="G104" s="635">
        <f t="shared" si="17"/>
        <v>20.6615620997806</v>
      </c>
      <c r="H104" s="635">
        <f t="shared" si="17"/>
        <v>4.6427767628304695</v>
      </c>
      <c r="I104" s="635">
        <f t="shared" si="17"/>
        <v>27.875912068036794</v>
      </c>
      <c r="J104" s="635">
        <f t="shared" si="17"/>
        <v>13.069570713763232</v>
      </c>
      <c r="K104" s="635">
        <f t="shared" si="17"/>
        <v>25.611050414250016</v>
      </c>
      <c r="N104" s="287"/>
      <c r="O104" s="287"/>
      <c r="P104" s="287"/>
      <c r="Q104" s="287"/>
    </row>
    <row r="105" spans="1:23" outlineLevel="1" x14ac:dyDescent="0.15">
      <c r="A105" s="66"/>
      <c r="B105" s="597"/>
      <c r="C105" s="597"/>
      <c r="D105" s="597"/>
      <c r="E105" s="597"/>
      <c r="F105" s="597"/>
      <c r="G105" s="597"/>
      <c r="H105" s="597"/>
      <c r="I105" s="597"/>
      <c r="J105" s="597"/>
      <c r="K105" s="597"/>
      <c r="L105" s="597"/>
    </row>
    <row r="106" spans="1:23" ht="16" outlineLevel="1" x14ac:dyDescent="0.2">
      <c r="A106" s="98" t="s">
        <v>189</v>
      </c>
      <c r="B106" s="66"/>
      <c r="C106" s="66"/>
      <c r="D106" s="66"/>
      <c r="E106" s="66"/>
      <c r="F106" s="283"/>
      <c r="G106" s="66"/>
      <c r="H106" s="66"/>
    </row>
    <row r="107" spans="1:23" ht="16" outlineLevel="1" x14ac:dyDescent="0.2">
      <c r="A107" s="98"/>
      <c r="B107" s="66"/>
      <c r="C107" s="66"/>
      <c r="D107" s="66"/>
      <c r="E107" s="66"/>
      <c r="F107" s="562"/>
      <c r="G107" s="66"/>
      <c r="H107" s="66"/>
      <c r="M107" s="292"/>
    </row>
    <row r="108" spans="1:23" outlineLevel="1" x14ac:dyDescent="0.15">
      <c r="A108" s="66"/>
      <c r="B108" s="66" t="s">
        <v>190</v>
      </c>
      <c r="C108" s="69"/>
      <c r="D108" s="66"/>
      <c r="E108" s="82"/>
      <c r="H108" s="82"/>
      <c r="I108" s="82"/>
      <c r="K108" s="69"/>
      <c r="L108" s="82"/>
      <c r="M108" s="550"/>
    </row>
    <row r="109" spans="1:23" ht="15" customHeight="1" outlineLevel="1" x14ac:dyDescent="0.15">
      <c r="A109" s="66"/>
      <c r="B109" s="130" t="s">
        <v>191</v>
      </c>
      <c r="C109" s="472">
        <v>2019</v>
      </c>
      <c r="E109" s="130" t="s">
        <v>99</v>
      </c>
      <c r="F109" s="472" t="s">
        <v>192</v>
      </c>
      <c r="H109" s="66"/>
      <c r="J109" s="244"/>
      <c r="K109" s="245"/>
    </row>
    <row r="110" spans="1:23" ht="13.5" customHeight="1" outlineLevel="1" x14ac:dyDescent="0.15">
      <c r="A110" s="66"/>
      <c r="B110" s="536" t="s">
        <v>193</v>
      </c>
      <c r="C110" s="537">
        <f>SUM(C111:C112)</f>
        <v>11048.599999999999</v>
      </c>
      <c r="E110" s="538" t="s">
        <v>193</v>
      </c>
      <c r="F110" s="544">
        <f>C111/($C$111+$C$114)</f>
        <v>0.88507053414102665</v>
      </c>
      <c r="J110" s="246"/>
    </row>
    <row r="111" spans="1:23" ht="13.5" customHeight="1" outlineLevel="1" x14ac:dyDescent="0.15">
      <c r="A111" s="66"/>
      <c r="B111" s="538" t="s">
        <v>194</v>
      </c>
      <c r="C111" s="539">
        <v>8488.7999999999993</v>
      </c>
      <c r="E111" s="538" t="s">
        <v>195</v>
      </c>
      <c r="F111" s="544">
        <f>C114/($C$111+$C$114)</f>
        <v>0.11492946585897344</v>
      </c>
      <c r="J111" s="248"/>
      <c r="K111" s="110"/>
      <c r="L111" s="110"/>
      <c r="M111" s="110"/>
      <c r="P111" s="241"/>
    </row>
    <row r="112" spans="1:23" ht="13.5" customHeight="1" outlineLevel="1" x14ac:dyDescent="0.2">
      <c r="A112" s="66"/>
      <c r="B112" s="538" t="s">
        <v>196</v>
      </c>
      <c r="C112" s="540">
        <v>2559.8000000000002</v>
      </c>
      <c r="E112" s="101" t="s">
        <v>197</v>
      </c>
      <c r="J112" s="248"/>
      <c r="K112" s="249"/>
      <c r="L112" s="283"/>
      <c r="M112" s="283"/>
      <c r="P112" s="241"/>
      <c r="S112" s="242"/>
      <c r="T112" s="242"/>
      <c r="U112" s="242"/>
      <c r="V112" s="242"/>
      <c r="W112" s="242"/>
    </row>
    <row r="113" spans="1:23" ht="13.5" customHeight="1" outlineLevel="1" x14ac:dyDescent="0.2">
      <c r="A113" s="66"/>
      <c r="B113" s="536" t="s">
        <v>195</v>
      </c>
      <c r="C113" s="537">
        <f>C114</f>
        <v>1102.3</v>
      </c>
      <c r="H113" s="66"/>
      <c r="J113" s="246"/>
      <c r="K113" s="247"/>
      <c r="S113" s="242"/>
      <c r="T113" s="242"/>
      <c r="U113" s="242"/>
      <c r="V113" s="242"/>
      <c r="W113" s="242"/>
    </row>
    <row r="114" spans="1:23" ht="13.5" customHeight="1" outlineLevel="1" x14ac:dyDescent="0.2">
      <c r="A114" s="66"/>
      <c r="B114" s="538" t="s">
        <v>194</v>
      </c>
      <c r="C114" s="540">
        <v>1102.3</v>
      </c>
      <c r="G114" s="66"/>
      <c r="H114" s="66"/>
      <c r="J114" s="248"/>
      <c r="K114" s="249"/>
      <c r="Q114" s="242"/>
      <c r="R114" s="242"/>
      <c r="S114" s="242"/>
      <c r="T114" s="242"/>
      <c r="U114" s="242"/>
      <c r="V114" s="242"/>
      <c r="W114" s="242"/>
    </row>
    <row r="115" spans="1:23" ht="13.5" customHeight="1" outlineLevel="1" x14ac:dyDescent="0.2">
      <c r="A115" s="66"/>
      <c r="B115" s="536" t="s">
        <v>198</v>
      </c>
      <c r="C115" s="541">
        <f>C116</f>
        <v>33.9</v>
      </c>
      <c r="G115" s="66"/>
      <c r="H115" s="66"/>
      <c r="J115" s="246"/>
      <c r="K115" s="247"/>
      <c r="L115" s="549"/>
      <c r="M115" s="549"/>
      <c r="Q115" s="242"/>
      <c r="R115" s="242"/>
      <c r="S115" s="242"/>
      <c r="T115" s="242"/>
      <c r="U115" s="242"/>
      <c r="V115" s="242"/>
      <c r="W115" s="242"/>
    </row>
    <row r="116" spans="1:23" ht="13.5" customHeight="1" outlineLevel="1" x14ac:dyDescent="0.2">
      <c r="A116" s="66"/>
      <c r="B116" s="538" t="s">
        <v>199</v>
      </c>
      <c r="C116" s="540">
        <v>33.9</v>
      </c>
      <c r="G116" s="66"/>
      <c r="H116" s="66"/>
      <c r="J116" s="248"/>
      <c r="K116" s="249"/>
      <c r="Q116" s="242"/>
      <c r="R116" s="242"/>
      <c r="S116" s="242"/>
      <c r="T116" s="242"/>
      <c r="U116" s="242"/>
      <c r="V116" s="242"/>
      <c r="W116" s="242"/>
    </row>
    <row r="117" spans="1:23" ht="13.5" customHeight="1" outlineLevel="1" x14ac:dyDescent="0.2">
      <c r="A117" s="66"/>
      <c r="B117" s="542" t="s">
        <v>170</v>
      </c>
      <c r="C117" s="543">
        <f>C110+C113+C115</f>
        <v>12184.799999999997</v>
      </c>
      <c r="G117" s="66"/>
      <c r="H117" s="66"/>
      <c r="J117" s="246"/>
      <c r="K117" s="247"/>
      <c r="Q117" s="242"/>
      <c r="R117" s="242"/>
      <c r="S117" s="242"/>
      <c r="T117" s="242"/>
      <c r="U117" s="242"/>
      <c r="V117" s="242"/>
      <c r="W117" s="242"/>
    </row>
    <row r="118" spans="1:23" outlineLevel="1" x14ac:dyDescent="0.15">
      <c r="A118" s="66"/>
      <c r="B118" s="101" t="s">
        <v>200</v>
      </c>
      <c r="C118" s="69"/>
      <c r="D118" s="66"/>
      <c r="E118" s="66"/>
      <c r="F118" s="66"/>
      <c r="G118" s="66"/>
      <c r="H118" s="66"/>
    </row>
    <row r="119" spans="1:23" outlineLevel="1" x14ac:dyDescent="0.15">
      <c r="A119" s="66"/>
      <c r="B119" s="101"/>
      <c r="C119" s="69"/>
      <c r="D119" s="66"/>
      <c r="E119" s="66"/>
      <c r="F119" s="66"/>
      <c r="G119" s="66"/>
      <c r="H119" s="66"/>
    </row>
    <row r="120" spans="1:23" ht="16" outlineLevel="1" x14ac:dyDescent="0.2">
      <c r="A120" s="98" t="s">
        <v>201</v>
      </c>
      <c r="B120" s="66"/>
      <c r="C120" s="69"/>
      <c r="D120" s="66"/>
      <c r="E120" s="66"/>
      <c r="F120" s="66"/>
      <c r="G120" s="66"/>
      <c r="H120" s="66"/>
    </row>
    <row r="121" spans="1:23" outlineLevel="1" x14ac:dyDescent="0.15">
      <c r="A121" s="66"/>
      <c r="B121" s="238"/>
      <c r="C121" s="69"/>
      <c r="D121" s="66"/>
      <c r="E121" s="66"/>
      <c r="F121" s="66"/>
      <c r="G121" s="66"/>
      <c r="H121" s="66"/>
    </row>
    <row r="122" spans="1:23" ht="15" outlineLevel="1" x14ac:dyDescent="0.15">
      <c r="A122" s="66"/>
      <c r="B122" s="131">
        <v>2019</v>
      </c>
      <c r="C122" s="83" t="s">
        <v>177</v>
      </c>
      <c r="D122" s="84" t="s">
        <v>100</v>
      </c>
      <c r="E122" s="84" t="s">
        <v>178</v>
      </c>
      <c r="F122" s="84" t="s">
        <v>179</v>
      </c>
      <c r="G122" s="84" t="s">
        <v>180</v>
      </c>
      <c r="H122" s="84" t="s">
        <v>181</v>
      </c>
      <c r="I122" s="84" t="s">
        <v>182</v>
      </c>
      <c r="J122" s="84" t="s">
        <v>183</v>
      </c>
      <c r="K122" s="84" t="s">
        <v>184</v>
      </c>
      <c r="L122" s="119"/>
      <c r="N122" s="119"/>
      <c r="R122" s="251"/>
      <c r="T122" s="251"/>
      <c r="U122" s="255"/>
    </row>
    <row r="123" spans="1:23" ht="13.5" customHeight="1" outlineLevel="1" x14ac:dyDescent="0.15">
      <c r="A123" s="66"/>
      <c r="B123" s="72" t="s">
        <v>202</v>
      </c>
      <c r="C123" s="140">
        <v>1396808</v>
      </c>
      <c r="D123" s="140">
        <v>765182</v>
      </c>
      <c r="E123" s="140">
        <v>2161990</v>
      </c>
      <c r="F123" s="140">
        <v>934602</v>
      </c>
      <c r="G123" s="140">
        <v>464497</v>
      </c>
      <c r="H123" s="140">
        <v>113769</v>
      </c>
      <c r="I123" s="140">
        <v>647724</v>
      </c>
      <c r="J123" s="140">
        <v>322346</v>
      </c>
      <c r="K123" s="140">
        <v>645986</v>
      </c>
      <c r="L123" s="254"/>
      <c r="N123" s="254"/>
      <c r="R123" s="252"/>
      <c r="T123" s="252"/>
      <c r="U123" s="255"/>
    </row>
    <row r="124" spans="1:23" ht="13.5" customHeight="1" outlineLevel="1" x14ac:dyDescent="0.15">
      <c r="A124" s="66"/>
      <c r="B124" s="72" t="s">
        <v>203</v>
      </c>
      <c r="C124" s="140">
        <v>1142186</v>
      </c>
      <c r="D124" s="140">
        <f>E124-C124</f>
        <v>417951</v>
      </c>
      <c r="E124" s="140">
        <v>1560137</v>
      </c>
      <c r="F124" s="140">
        <v>617914</v>
      </c>
      <c r="G124" s="140">
        <v>315780</v>
      </c>
      <c r="H124" s="140">
        <v>77998</v>
      </c>
      <c r="I124" s="140">
        <v>453249</v>
      </c>
      <c r="J124" s="140">
        <v>201421</v>
      </c>
      <c r="K124" s="140">
        <v>429606</v>
      </c>
      <c r="L124" s="254"/>
      <c r="N124" s="254"/>
      <c r="R124" s="252"/>
      <c r="T124" s="252"/>
      <c r="U124" s="255"/>
    </row>
    <row r="125" spans="1:23" ht="13.5" customHeight="1" outlineLevel="1" x14ac:dyDescent="0.15">
      <c r="A125" s="66"/>
      <c r="B125" s="72" t="s">
        <v>204</v>
      </c>
      <c r="C125" s="140">
        <v>64372</v>
      </c>
      <c r="D125" s="140">
        <f t="shared" ref="D125:D127" si="18">E125-C125</f>
        <v>66675</v>
      </c>
      <c r="E125" s="140">
        <v>131047</v>
      </c>
      <c r="F125" s="140">
        <v>55342</v>
      </c>
      <c r="G125" s="140">
        <v>46971</v>
      </c>
      <c r="H125" s="140">
        <v>12279</v>
      </c>
      <c r="I125" s="140">
        <v>52413</v>
      </c>
      <c r="J125" s="140">
        <v>33232</v>
      </c>
      <c r="K125" s="140">
        <v>62685</v>
      </c>
      <c r="L125" s="254"/>
      <c r="M125" s="281"/>
      <c r="N125" s="254"/>
      <c r="R125" s="252"/>
      <c r="T125" s="252"/>
      <c r="U125" s="255"/>
    </row>
    <row r="126" spans="1:23" ht="13.5" customHeight="1" outlineLevel="1" x14ac:dyDescent="0.15">
      <c r="A126" s="66"/>
      <c r="B126" s="72" t="s">
        <v>205</v>
      </c>
      <c r="C126" s="140">
        <v>1626</v>
      </c>
      <c r="D126" s="140">
        <f t="shared" si="18"/>
        <v>3548</v>
      </c>
      <c r="E126" s="140">
        <v>5174</v>
      </c>
      <c r="F126" s="140">
        <v>3379</v>
      </c>
      <c r="G126" s="140">
        <v>1246</v>
      </c>
      <c r="H126" s="140">
        <v>289</v>
      </c>
      <c r="I126" s="140">
        <v>1805</v>
      </c>
      <c r="J126" s="140">
        <v>1026</v>
      </c>
      <c r="K126" s="140">
        <v>2159</v>
      </c>
      <c r="L126" s="254"/>
      <c r="N126" s="254"/>
      <c r="R126" s="252"/>
      <c r="T126" s="252"/>
      <c r="U126" s="255"/>
    </row>
    <row r="127" spans="1:23" ht="13.5" customHeight="1" outlineLevel="1" x14ac:dyDescent="0.15">
      <c r="A127" s="66"/>
      <c r="B127" s="72" t="s">
        <v>206</v>
      </c>
      <c r="C127" s="565">
        <f>562+0</f>
        <v>562</v>
      </c>
      <c r="D127" s="140">
        <f t="shared" si="18"/>
        <v>3223</v>
      </c>
      <c r="E127" s="140">
        <v>3785</v>
      </c>
      <c r="F127" s="140">
        <v>2790</v>
      </c>
      <c r="G127" s="140">
        <v>1389</v>
      </c>
      <c r="H127" s="140">
        <v>358</v>
      </c>
      <c r="I127" s="140">
        <v>1936</v>
      </c>
      <c r="J127" s="140">
        <v>928</v>
      </c>
      <c r="K127" s="140">
        <v>2617</v>
      </c>
      <c r="L127" s="254"/>
      <c r="N127" s="254"/>
      <c r="R127" s="252"/>
      <c r="T127" s="252"/>
      <c r="U127" s="255"/>
    </row>
    <row r="128" spans="1:23" ht="13.5" customHeight="1" outlineLevel="1" x14ac:dyDescent="0.15">
      <c r="A128" s="66"/>
      <c r="B128" s="72" t="s">
        <v>207</v>
      </c>
      <c r="C128" s="140">
        <v>3209</v>
      </c>
      <c r="D128" s="140">
        <v>1685</v>
      </c>
      <c r="E128" s="140">
        <v>4894</v>
      </c>
      <c r="F128" s="140">
        <v>3299</v>
      </c>
      <c r="G128" s="140">
        <v>739</v>
      </c>
      <c r="H128" s="140">
        <v>137</v>
      </c>
      <c r="I128" s="140">
        <v>2627</v>
      </c>
      <c r="J128" s="140">
        <v>417</v>
      </c>
      <c r="K128" s="140">
        <v>1054</v>
      </c>
      <c r="L128" s="254"/>
      <c r="N128" s="254"/>
      <c r="R128" s="252"/>
      <c r="T128" s="252"/>
      <c r="U128" s="255"/>
    </row>
    <row r="129" spans="1:21" ht="13.5" customHeight="1" outlineLevel="1" x14ac:dyDescent="0.15">
      <c r="A129" s="66"/>
      <c r="B129" s="72" t="s">
        <v>208</v>
      </c>
      <c r="C129" s="140">
        <v>41157</v>
      </c>
      <c r="D129" s="140">
        <v>5123</v>
      </c>
      <c r="E129" s="140">
        <v>46280</v>
      </c>
      <c r="F129" s="140">
        <v>23935</v>
      </c>
      <c r="G129" s="140">
        <v>8489</v>
      </c>
      <c r="H129" s="140">
        <v>1832</v>
      </c>
      <c r="I129" s="140">
        <v>17087</v>
      </c>
      <c r="J129" s="140">
        <v>5870</v>
      </c>
      <c r="K129" s="140">
        <v>9916</v>
      </c>
      <c r="L129" s="254"/>
      <c r="R129" s="251"/>
      <c r="T129" s="251"/>
      <c r="U129" s="255"/>
    </row>
    <row r="130" spans="1:21" ht="15" outlineLevel="1" x14ac:dyDescent="0.15">
      <c r="A130" s="66"/>
      <c r="B130" s="101" t="s">
        <v>209</v>
      </c>
      <c r="C130" s="69"/>
      <c r="D130" s="66"/>
      <c r="E130" s="66"/>
      <c r="F130" s="66"/>
      <c r="G130" s="66"/>
      <c r="H130" s="66"/>
      <c r="R130" s="253"/>
      <c r="T130" s="251"/>
      <c r="U130" s="255"/>
    </row>
    <row r="131" spans="1:21" ht="15" customHeight="1" outlineLevel="1" x14ac:dyDescent="0.15">
      <c r="A131" s="66"/>
      <c r="B131" s="102" t="s">
        <v>210</v>
      </c>
      <c r="C131" s="69"/>
      <c r="D131" s="66"/>
      <c r="E131" s="66"/>
      <c r="F131" s="66"/>
      <c r="G131" s="66"/>
      <c r="H131" s="66"/>
      <c r="R131" s="253"/>
      <c r="T131" s="251"/>
      <c r="U131" s="255"/>
    </row>
    <row r="132" spans="1:21" ht="15" customHeight="1" outlineLevel="1" x14ac:dyDescent="0.15">
      <c r="A132" s="66"/>
      <c r="B132" s="101" t="s">
        <v>211</v>
      </c>
      <c r="C132" s="69"/>
      <c r="D132" s="66"/>
      <c r="E132" s="66"/>
      <c r="F132" s="66"/>
      <c r="G132" s="66"/>
      <c r="H132" s="66"/>
    </row>
    <row r="133" spans="1:21" ht="15" outlineLevel="1" x14ac:dyDescent="0.15">
      <c r="A133" s="66"/>
      <c r="B133" s="102" t="s">
        <v>212</v>
      </c>
      <c r="C133" s="69"/>
      <c r="D133" s="66"/>
      <c r="E133" s="66"/>
      <c r="F133" s="66"/>
      <c r="G133" s="66"/>
      <c r="H133" s="66"/>
    </row>
    <row r="134" spans="1:21" outlineLevel="1" x14ac:dyDescent="0.15">
      <c r="A134" s="66"/>
      <c r="B134" s="101"/>
      <c r="C134" s="69"/>
      <c r="D134" s="66"/>
      <c r="E134" s="66"/>
      <c r="F134" s="66"/>
      <c r="G134" s="66"/>
      <c r="H134" s="66"/>
    </row>
    <row r="135" spans="1:21" ht="15" outlineLevel="1" x14ac:dyDescent="0.15">
      <c r="A135" s="66"/>
      <c r="B135" s="131"/>
      <c r="C135" s="83" t="s">
        <v>177</v>
      </c>
      <c r="D135" s="84" t="s">
        <v>100</v>
      </c>
      <c r="E135" s="84" t="s">
        <v>178</v>
      </c>
      <c r="F135" s="84" t="s">
        <v>179</v>
      </c>
      <c r="G135" s="84" t="s">
        <v>180</v>
      </c>
      <c r="H135" s="84" t="s">
        <v>181</v>
      </c>
      <c r="I135" s="84" t="s">
        <v>182</v>
      </c>
      <c r="J135" s="84" t="s">
        <v>183</v>
      </c>
      <c r="K135" s="84" t="s">
        <v>184</v>
      </c>
    </row>
    <row r="136" spans="1:21" ht="13.5" customHeight="1" outlineLevel="1" x14ac:dyDescent="0.15">
      <c r="A136" s="66"/>
      <c r="B136" s="72" t="s">
        <v>213</v>
      </c>
      <c r="C136" s="115">
        <f>(C128*$F$110)/C124</f>
        <v>2.4866276981669838E-3</v>
      </c>
      <c r="D136" s="115">
        <f t="shared" ref="D136:K136" si="19">(D128*$F$110)/D124</f>
        <v>3.5682265385837812E-3</v>
      </c>
      <c r="E136" s="115">
        <f t="shared" si="19"/>
        <v>2.7763813011845656E-3</v>
      </c>
      <c r="F136" s="115">
        <f t="shared" si="19"/>
        <v>4.7253302112126392E-3</v>
      </c>
      <c r="G136" s="115">
        <f t="shared" si="19"/>
        <v>2.0712746998866891E-3</v>
      </c>
      <c r="H136" s="115">
        <f t="shared" si="19"/>
        <v>1.5545868250124446E-3</v>
      </c>
      <c r="I136" s="115">
        <f t="shared" si="19"/>
        <v>5.1298078830587087E-3</v>
      </c>
      <c r="J136" s="115">
        <f t="shared" si="19"/>
        <v>1.8323531942389729E-3</v>
      </c>
      <c r="K136" s="115">
        <f t="shared" si="19"/>
        <v>2.1714416069250481E-3</v>
      </c>
      <c r="L136" s="294"/>
      <c r="N136" s="254"/>
      <c r="R136" s="252"/>
      <c r="T136" s="252"/>
      <c r="U136" s="255"/>
    </row>
    <row r="137" spans="1:21" ht="13.5" customHeight="1" outlineLevel="1" x14ac:dyDescent="0.15">
      <c r="A137" s="66"/>
      <c r="B137" s="72" t="s">
        <v>214</v>
      </c>
      <c r="C137" s="115">
        <f>C128*$F$111/C125</f>
        <v>5.7293334981272257E-3</v>
      </c>
      <c r="D137" s="115">
        <f t="shared" ref="D137:K137" si="20">D128*$F$111/D125</f>
        <v>2.9044791896868432E-3</v>
      </c>
      <c r="E137" s="115">
        <f t="shared" si="20"/>
        <v>4.2920845644220471E-3</v>
      </c>
      <c r="F137" s="115">
        <f t="shared" si="20"/>
        <v>6.85107708194054E-3</v>
      </c>
      <c r="G137" s="115">
        <f t="shared" si="20"/>
        <v>1.808198149278946E-3</v>
      </c>
      <c r="H137" s="115">
        <f t="shared" si="20"/>
        <v>1.2822979739945729E-3</v>
      </c>
      <c r="I137" s="115">
        <f t="shared" si="20"/>
        <v>5.7603973596535825E-3</v>
      </c>
      <c r="J137" s="115">
        <f t="shared" si="20"/>
        <v>1.4421517592438592E-3</v>
      </c>
      <c r="K137" s="115">
        <f t="shared" si="20"/>
        <v>1.9324504588874214E-3</v>
      </c>
      <c r="L137" s="294"/>
      <c r="N137" s="254"/>
      <c r="R137" s="252"/>
      <c r="T137" s="252"/>
      <c r="U137" s="255"/>
    </row>
    <row r="138" spans="1:21" ht="13.5" customHeight="1" outlineLevel="1" x14ac:dyDescent="0.15">
      <c r="A138" s="66"/>
      <c r="B138" s="72" t="s">
        <v>215</v>
      </c>
      <c r="C138" s="115">
        <f>C129*C139/C124</f>
        <v>3.01122945756075E-3</v>
      </c>
      <c r="D138" s="115">
        <f t="shared" ref="D138:K138" si="21">D129*D139/D124</f>
        <v>1.0243207236889417E-3</v>
      </c>
      <c r="E138" s="115">
        <f t="shared" si="21"/>
        <v>2.4789489640973839E-3</v>
      </c>
      <c r="F138" s="115">
        <f t="shared" si="21"/>
        <v>3.2369975360739809E-3</v>
      </c>
      <c r="G138" s="115">
        <f t="shared" si="21"/>
        <v>2.2465127371424139E-3</v>
      </c>
      <c r="H138" s="115">
        <f t="shared" si="21"/>
        <v>1.9628132210823038E-3</v>
      </c>
      <c r="I138" s="115">
        <f t="shared" si="21"/>
        <v>3.1504017274925473E-3</v>
      </c>
      <c r="J138" s="115">
        <f t="shared" si="21"/>
        <v>2.4354001337352047E-3</v>
      </c>
      <c r="K138" s="115">
        <f t="shared" si="21"/>
        <v>1.9288708593036934E-3</v>
      </c>
      <c r="L138" s="295"/>
      <c r="R138" s="251"/>
      <c r="T138" s="251"/>
      <c r="U138" s="255"/>
    </row>
    <row r="139" spans="1:21" ht="13.5" customHeight="1" outlineLevel="1" x14ac:dyDescent="0.15">
      <c r="A139" s="66"/>
      <c r="B139" s="72" t="s">
        <v>216</v>
      </c>
      <c r="C139" s="115">
        <f>1309/(14355+1309)</f>
        <v>8.3567415730337075E-2</v>
      </c>
      <c r="D139" s="115">
        <f t="shared" ref="D139:K139" si="22">1309/(14355+1309)</f>
        <v>8.3567415730337075E-2</v>
      </c>
      <c r="E139" s="115">
        <f t="shared" si="22"/>
        <v>8.3567415730337075E-2</v>
      </c>
      <c r="F139" s="115">
        <f t="shared" si="22"/>
        <v>8.3567415730337075E-2</v>
      </c>
      <c r="G139" s="115">
        <f t="shared" si="22"/>
        <v>8.3567415730337075E-2</v>
      </c>
      <c r="H139" s="115">
        <f t="shared" si="22"/>
        <v>8.3567415730337075E-2</v>
      </c>
      <c r="I139" s="115">
        <f t="shared" si="22"/>
        <v>8.3567415730337075E-2</v>
      </c>
      <c r="J139" s="115">
        <f t="shared" si="22"/>
        <v>8.3567415730337075E-2</v>
      </c>
      <c r="K139" s="115">
        <f t="shared" si="22"/>
        <v>8.3567415730337075E-2</v>
      </c>
      <c r="L139" s="295"/>
      <c r="R139" s="251"/>
      <c r="T139" s="251"/>
      <c r="U139" s="255"/>
    </row>
    <row r="140" spans="1:21" ht="13.5" customHeight="1" outlineLevel="1" x14ac:dyDescent="0.15">
      <c r="A140" s="66"/>
      <c r="B140" s="72" t="s">
        <v>217</v>
      </c>
      <c r="C140" s="115">
        <v>0</v>
      </c>
      <c r="D140" s="115">
        <v>0</v>
      </c>
      <c r="E140" s="115">
        <v>0</v>
      </c>
      <c r="F140" s="115">
        <v>0</v>
      </c>
      <c r="G140" s="115">
        <v>0</v>
      </c>
      <c r="H140" s="115">
        <v>0</v>
      </c>
      <c r="I140" s="115">
        <v>0</v>
      </c>
      <c r="J140" s="115">
        <v>0</v>
      </c>
      <c r="K140" s="115">
        <v>0</v>
      </c>
      <c r="L140" s="295"/>
      <c r="R140" s="251"/>
      <c r="T140" s="251"/>
      <c r="U140" s="255"/>
    </row>
    <row r="141" spans="1:21" ht="15" outlineLevel="1" x14ac:dyDescent="0.15">
      <c r="A141" s="66"/>
      <c r="B141" s="102" t="s">
        <v>218</v>
      </c>
      <c r="C141" s="69"/>
      <c r="D141" s="66"/>
      <c r="E141" s="66"/>
      <c r="F141" s="66"/>
      <c r="G141" s="66"/>
      <c r="H141" s="66"/>
    </row>
    <row r="142" spans="1:21" outlineLevel="1" x14ac:dyDescent="0.15">
      <c r="A142" s="66"/>
      <c r="B142" s="101" t="s">
        <v>219</v>
      </c>
      <c r="C142" s="69"/>
      <c r="D142" s="66"/>
      <c r="E142" s="66"/>
      <c r="F142" s="66"/>
      <c r="G142" s="66"/>
      <c r="H142" s="66"/>
    </row>
    <row r="143" spans="1:21" outlineLevel="1" x14ac:dyDescent="0.15">
      <c r="A143" s="66"/>
      <c r="B143" s="238"/>
      <c r="C143" s="288"/>
      <c r="D143" s="288"/>
      <c r="E143" s="288"/>
      <c r="F143" s="288"/>
      <c r="G143" s="288"/>
      <c r="H143" s="288"/>
      <c r="I143" s="288"/>
      <c r="J143" s="288"/>
      <c r="K143" s="288"/>
    </row>
    <row r="144" spans="1:21" ht="16" outlineLevel="1" x14ac:dyDescent="0.2">
      <c r="A144" s="98" t="s">
        <v>171</v>
      </c>
      <c r="B144" s="522"/>
      <c r="C144" s="289"/>
      <c r="D144" s="289"/>
      <c r="E144" s="289"/>
      <c r="F144" s="289"/>
      <c r="G144" s="289"/>
      <c r="H144" s="289"/>
      <c r="I144" s="289"/>
      <c r="J144" s="289"/>
      <c r="K144" s="289"/>
    </row>
    <row r="145" spans="1:14" ht="16" outlineLevel="1" x14ac:dyDescent="0.2">
      <c r="A145" s="98"/>
      <c r="B145" s="83" t="s">
        <v>191</v>
      </c>
      <c r="C145" s="83" t="s">
        <v>177</v>
      </c>
      <c r="D145" s="84" t="s">
        <v>100</v>
      </c>
      <c r="E145" s="84" t="s">
        <v>178</v>
      </c>
      <c r="F145" s="84" t="s">
        <v>179</v>
      </c>
      <c r="G145" s="84" t="s">
        <v>180</v>
      </c>
      <c r="H145" s="84" t="s">
        <v>181</v>
      </c>
      <c r="I145" s="84" t="s">
        <v>182</v>
      </c>
      <c r="J145" s="84" t="s">
        <v>183</v>
      </c>
      <c r="K145" s="84" t="s">
        <v>184</v>
      </c>
      <c r="L145" s="84" t="s">
        <v>88</v>
      </c>
    </row>
    <row r="146" spans="1:14" ht="13.5" customHeight="1" outlineLevel="1" x14ac:dyDescent="0.2">
      <c r="A146" s="98"/>
      <c r="B146" s="576" t="s">
        <v>103</v>
      </c>
      <c r="C146" s="570">
        <f>(C136+C138)*C76</f>
        <v>29296720.409592051</v>
      </c>
      <c r="D146" s="571">
        <f>(D136+D138)*D76</f>
        <v>36191949.486803912</v>
      </c>
      <c r="E146" s="572">
        <f t="shared" ref="E146:E148" si="23">SUM(C146:D146)</f>
        <v>65488669.896395966</v>
      </c>
      <c r="F146" s="571">
        <f t="shared" ref="F146:K146" si="24">(F136+F138)*F76</f>
        <v>27408474.37840328</v>
      </c>
      <c r="G146" s="571">
        <f t="shared" si="24"/>
        <v>7317262.5863256706</v>
      </c>
      <c r="H146" s="571">
        <f t="shared" si="24"/>
        <v>1357986.251619709</v>
      </c>
      <c r="I146" s="571">
        <f t="shared" si="24"/>
        <v>21115727.163457368</v>
      </c>
      <c r="J146" s="571">
        <f t="shared" si="24"/>
        <v>3737338.2985592573</v>
      </c>
      <c r="K146" s="571">
        <f t="shared" si="24"/>
        <v>9552045.6635061987</v>
      </c>
      <c r="L146" s="573">
        <f t="shared" ref="L146:L148" si="25">SUM(E146:K146)</f>
        <v>135977504.23826745</v>
      </c>
      <c r="M146" s="241"/>
    </row>
    <row r="147" spans="1:14" ht="13.5" customHeight="1" outlineLevel="1" x14ac:dyDescent="0.2">
      <c r="A147" s="98"/>
      <c r="B147" s="576" t="s">
        <v>105</v>
      </c>
      <c r="C147" s="570">
        <f>C137*(C77+C78)</f>
        <v>24736984.010350503</v>
      </c>
      <c r="D147" s="571">
        <f>D137*(D77+D78)</f>
        <v>24025829.257336996</v>
      </c>
      <c r="E147" s="572">
        <f t="shared" si="23"/>
        <v>48762813.2676875</v>
      </c>
      <c r="F147" s="571">
        <f t="shared" ref="F147:K147" si="26">F137*(F77+F78)</f>
        <v>30080370.681093175</v>
      </c>
      <c r="G147" s="571">
        <f t="shared" si="26"/>
        <v>3826278.7977420422</v>
      </c>
      <c r="H147" s="571">
        <f t="shared" si="26"/>
        <v>633201.41699668963</v>
      </c>
      <c r="I147" s="571">
        <f t="shared" si="26"/>
        <v>18491411.247202843</v>
      </c>
      <c r="J147" s="571">
        <f t="shared" si="26"/>
        <v>1736371.6322144186</v>
      </c>
      <c r="K147" s="571">
        <f t="shared" si="26"/>
        <v>5547574.3516161125</v>
      </c>
      <c r="L147" s="573">
        <f t="shared" si="25"/>
        <v>109078021.39455277</v>
      </c>
      <c r="M147" s="241"/>
    </row>
    <row r="148" spans="1:14" ht="13.5" customHeight="1" outlineLevel="1" x14ac:dyDescent="0.2">
      <c r="A148" s="98"/>
      <c r="B148" s="576" t="s">
        <v>108</v>
      </c>
      <c r="C148" s="570">
        <f>C140*C79</f>
        <v>0</v>
      </c>
      <c r="D148" s="571">
        <f>D140*D79</f>
        <v>0</v>
      </c>
      <c r="E148" s="579">
        <f t="shared" si="23"/>
        <v>0</v>
      </c>
      <c r="F148" s="571">
        <f t="shared" ref="F148:K148" si="27">F140*F79</f>
        <v>0</v>
      </c>
      <c r="G148" s="571">
        <f t="shared" si="27"/>
        <v>0</v>
      </c>
      <c r="H148" s="571">
        <f t="shared" si="27"/>
        <v>0</v>
      </c>
      <c r="I148" s="571">
        <f t="shared" si="27"/>
        <v>0</v>
      </c>
      <c r="J148" s="571">
        <f t="shared" si="27"/>
        <v>0</v>
      </c>
      <c r="K148" s="571">
        <f t="shared" si="27"/>
        <v>0</v>
      </c>
      <c r="L148" s="579">
        <f t="shared" si="25"/>
        <v>0</v>
      </c>
      <c r="M148" s="241"/>
    </row>
    <row r="149" spans="1:14" ht="13.5" customHeight="1" outlineLevel="1" x14ac:dyDescent="0.2">
      <c r="A149" s="98"/>
      <c r="B149" s="546" t="s">
        <v>170</v>
      </c>
      <c r="C149" s="574">
        <f t="shared" ref="C149:K149" si="28">SUM(C146:C148)</f>
        <v>54033704.419942558</v>
      </c>
      <c r="D149" s="574">
        <f t="shared" si="28"/>
        <v>60217778.744140908</v>
      </c>
      <c r="E149" s="574">
        <f t="shared" si="28"/>
        <v>114251483.16408347</v>
      </c>
      <c r="F149" s="574">
        <f t="shared" si="28"/>
        <v>57488845.059496455</v>
      </c>
      <c r="G149" s="574">
        <f t="shared" si="28"/>
        <v>11143541.384067712</v>
      </c>
      <c r="H149" s="574">
        <f t="shared" si="28"/>
        <v>1991187.6686163987</v>
      </c>
      <c r="I149" s="574">
        <f t="shared" si="28"/>
        <v>39607138.410660207</v>
      </c>
      <c r="J149" s="574">
        <f t="shared" si="28"/>
        <v>5473709.9307736754</v>
      </c>
      <c r="K149" s="574">
        <f t="shared" si="28"/>
        <v>15099620.015122311</v>
      </c>
      <c r="L149" s="575">
        <f>SUM(E149:K149)</f>
        <v>245055525.63282022</v>
      </c>
    </row>
    <row r="150" spans="1:14" ht="16" outlineLevel="1" x14ac:dyDescent="0.2">
      <c r="A150" s="98"/>
      <c r="B150" s="518"/>
      <c r="C150" s="639"/>
      <c r="D150" s="147"/>
      <c r="E150" s="147"/>
      <c r="F150" s="147"/>
      <c r="G150" s="147"/>
      <c r="H150" s="147"/>
      <c r="I150" s="147"/>
      <c r="J150" s="147"/>
      <c r="K150" s="147"/>
    </row>
    <row r="151" spans="1:14" ht="16" outlineLevel="1" x14ac:dyDescent="0.2">
      <c r="A151" s="98"/>
      <c r="B151" s="522" t="s">
        <v>220</v>
      </c>
      <c r="C151" s="126"/>
      <c r="D151" s="126"/>
      <c r="E151" s="126"/>
      <c r="F151" s="66"/>
      <c r="G151" s="66"/>
      <c r="H151" s="66"/>
    </row>
    <row r="152" spans="1:14" ht="15" outlineLevel="1" x14ac:dyDescent="0.15">
      <c r="A152" s="66"/>
      <c r="B152" s="130"/>
      <c r="C152" s="130"/>
      <c r="D152" s="128" t="s">
        <v>221</v>
      </c>
      <c r="E152" s="128" t="s">
        <v>222</v>
      </c>
      <c r="F152" s="66"/>
      <c r="G152" s="66"/>
      <c r="H152" s="66"/>
    </row>
    <row r="153" spans="1:14" outlineLevel="1" x14ac:dyDescent="0.15">
      <c r="A153" s="66"/>
      <c r="B153" s="129"/>
      <c r="C153" s="129"/>
      <c r="D153" s="131">
        <v>2019</v>
      </c>
      <c r="E153" s="131">
        <v>2019</v>
      </c>
      <c r="F153" s="66"/>
      <c r="G153" s="66"/>
      <c r="H153" s="66"/>
    </row>
    <row r="154" spans="1:14" outlineLevel="1" x14ac:dyDescent="0.15">
      <c r="A154" s="66"/>
      <c r="B154" s="72" t="s">
        <v>223</v>
      </c>
      <c r="C154" s="72" t="s">
        <v>224</v>
      </c>
      <c r="D154" s="334">
        <f>1/((26.16+(30.7-26.16)*4/5)*(393.2%+(476.3%-393.2%)*4/5)/112194)</f>
        <v>819.24606497846719</v>
      </c>
      <c r="E154" s="127">
        <f>+D154*'Constants &amp; Conversions'!$D$55</f>
        <v>0.24010463672388915</v>
      </c>
      <c r="F154" s="66" t="s">
        <v>225</v>
      </c>
      <c r="G154" s="66"/>
      <c r="H154" s="66"/>
    </row>
    <row r="155" spans="1:14" outlineLevel="1" x14ac:dyDescent="0.15">
      <c r="A155" s="66"/>
      <c r="B155" s="72"/>
      <c r="C155" s="72" t="s">
        <v>226</v>
      </c>
      <c r="D155" s="556">
        <f>D267</f>
        <v>1232</v>
      </c>
      <c r="E155" s="127">
        <f>+D155*'Constants &amp; Conversions'!$D$55</f>
        <v>0.36107455999999999</v>
      </c>
      <c r="F155" s="66" t="s">
        <v>227</v>
      </c>
      <c r="G155" s="66"/>
      <c r="H155" s="66"/>
    </row>
    <row r="156" spans="1:14" outlineLevel="1" x14ac:dyDescent="0.15">
      <c r="A156" s="66"/>
      <c r="B156" s="192" t="s">
        <v>228</v>
      </c>
      <c r="C156" s="192" t="s">
        <v>224</v>
      </c>
      <c r="D156" s="194">
        <f>(D158*C167)+(D160*D167)</f>
        <v>1348.8728541700805</v>
      </c>
      <c r="E156" s="554">
        <f>+D156*'Constants &amp; Conversions'!$D$55</f>
        <v>0.39532765610016718</v>
      </c>
      <c r="F156" s="66"/>
      <c r="G156" s="66"/>
      <c r="H156" s="66"/>
      <c r="J156" s="295"/>
      <c r="L156" s="295"/>
      <c r="N156" s="295"/>
    </row>
    <row r="157" spans="1:14" outlineLevel="1" x14ac:dyDescent="0.15">
      <c r="A157" s="66"/>
      <c r="B157" s="192"/>
      <c r="C157" s="192" t="s">
        <v>226</v>
      </c>
      <c r="D157" s="194">
        <f>(D159*C167)+(D161*D167)</f>
        <v>1532.2627500000006</v>
      </c>
      <c r="E157" s="554">
        <f>+D157*'Constants &amp; Conversions'!$D$55</f>
        <v>0.44907556677000016</v>
      </c>
      <c r="F157" s="66"/>
      <c r="G157" s="66"/>
      <c r="H157" s="66"/>
      <c r="J157" s="88"/>
      <c r="K157" s="295"/>
    </row>
    <row r="158" spans="1:14" outlineLevel="1" x14ac:dyDescent="0.15">
      <c r="A158" s="66"/>
      <c r="B158" s="72" t="s">
        <v>229</v>
      </c>
      <c r="C158" s="72" t="s">
        <v>224</v>
      </c>
      <c r="D158" s="334">
        <f>1/(20.06*(352.8%+(432.8%-352.8%)*4/5)/112194)</f>
        <v>1341.8716977665852</v>
      </c>
      <c r="E158" s="555">
        <f>+D158*'Constants &amp; Conversions'!$D$55</f>
        <v>0.39327575718143076</v>
      </c>
      <c r="F158" s="66" t="s">
        <v>230</v>
      </c>
      <c r="G158" s="66"/>
      <c r="H158" s="66"/>
    </row>
    <row r="159" spans="1:14" outlineLevel="1" x14ac:dyDescent="0.15">
      <c r="A159" s="66"/>
      <c r="B159" s="72"/>
      <c r="C159" s="72" t="s">
        <v>226</v>
      </c>
      <c r="D159" s="80">
        <v>1485</v>
      </c>
      <c r="E159" s="555">
        <f>+D159*'Constants &amp; Conversions'!$D$55</f>
        <v>0.43522379999999999</v>
      </c>
      <c r="F159" s="66" t="s">
        <v>231</v>
      </c>
      <c r="G159" s="66"/>
      <c r="H159" s="66"/>
    </row>
    <row r="160" spans="1:14" outlineLevel="1" x14ac:dyDescent="0.15">
      <c r="A160" s="66"/>
      <c r="B160" s="72" t="s">
        <v>232</v>
      </c>
      <c r="C160" s="72" t="s">
        <v>224</v>
      </c>
      <c r="D160" s="334">
        <f>1/((16.43+(20.93-16.43)*4/5)*(333.8%+(423.5%-333.8%)*4/5)/112194)</f>
        <v>1381.1268500149467</v>
      </c>
      <c r="E160" s="555">
        <f>+D160*'Constants &amp; Conversions'!$D$55</f>
        <v>0.40478065720238054</v>
      </c>
      <c r="F160" s="66" t="s">
        <v>233</v>
      </c>
      <c r="G160" s="66"/>
      <c r="H160" s="66"/>
    </row>
    <row r="161" spans="1:12" outlineLevel="1" x14ac:dyDescent="0.15">
      <c r="A161" s="66"/>
      <c r="B161" s="72"/>
      <c r="C161" s="72" t="s">
        <v>226</v>
      </c>
      <c r="D161" s="334">
        <f>D273</f>
        <v>1750</v>
      </c>
      <c r="E161" s="555">
        <f>+D161*'Constants &amp; Conversions'!$D$55</f>
        <v>0.51288999999999996</v>
      </c>
      <c r="F161" s="66" t="s">
        <v>234</v>
      </c>
      <c r="G161" s="66"/>
      <c r="H161" s="66"/>
    </row>
    <row r="162" spans="1:12" outlineLevel="1" x14ac:dyDescent="0.15">
      <c r="A162" s="66"/>
      <c r="B162" s="72" t="s">
        <v>235</v>
      </c>
      <c r="C162" s="72" t="s">
        <v>224</v>
      </c>
      <c r="D162" s="556">
        <f>8076+ (9289-8076)*4/5</f>
        <v>9046.4</v>
      </c>
      <c r="E162" s="127">
        <f>+D162*'Constants &amp; Conversions'!$D$55</f>
        <v>2.6513189119999998</v>
      </c>
      <c r="F162" s="66" t="s">
        <v>236</v>
      </c>
      <c r="G162" s="66"/>
      <c r="H162" s="66"/>
    </row>
    <row r="163" spans="1:12" outlineLevel="1" x14ac:dyDescent="0.15">
      <c r="A163" s="66"/>
      <c r="B163" s="220" t="s">
        <v>237</v>
      </c>
      <c r="C163"/>
      <c r="F163" s="66"/>
      <c r="G163" s="66"/>
      <c r="H163" s="66"/>
    </row>
    <row r="164" spans="1:12" outlineLevel="1" x14ac:dyDescent="0.15">
      <c r="A164" s="66"/>
      <c r="B164" s="66"/>
      <c r="C164" s="66"/>
      <c r="D164" s="66"/>
      <c r="E164" s="66"/>
      <c r="F164" s="188"/>
      <c r="G164" s="188"/>
      <c r="H164" s="66"/>
    </row>
    <row r="165" spans="1:12" outlineLevel="1" x14ac:dyDescent="0.15">
      <c r="A165" s="66"/>
      <c r="B165" s="523" t="s">
        <v>238</v>
      </c>
      <c r="C165" s="66"/>
      <c r="D165" s="66"/>
      <c r="E165" s="66"/>
      <c r="F165" s="66"/>
      <c r="G165" s="66"/>
      <c r="H165" s="66"/>
    </row>
    <row r="166" spans="1:12" outlineLevel="1" x14ac:dyDescent="0.15">
      <c r="A166" s="66"/>
      <c r="B166" s="178"/>
      <c r="C166" s="195" t="s">
        <v>229</v>
      </c>
      <c r="D166" s="195" t="s">
        <v>232</v>
      </c>
      <c r="E166" s="66"/>
      <c r="F166" s="66"/>
      <c r="G166" s="66"/>
      <c r="H166" s="66"/>
    </row>
    <row r="167" spans="1:12" x14ac:dyDescent="0.15">
      <c r="A167" s="66"/>
      <c r="B167" s="285">
        <v>2019</v>
      </c>
      <c r="C167" s="580">
        <f>C280</f>
        <v>0.82164999999999822</v>
      </c>
      <c r="D167" s="580">
        <f>D280</f>
        <v>0.17835000000000178</v>
      </c>
      <c r="E167" s="66"/>
      <c r="F167" s="66"/>
      <c r="G167" s="66"/>
      <c r="H167" s="66"/>
    </row>
    <row r="168" spans="1:12" x14ac:dyDescent="0.15">
      <c r="A168" s="66"/>
      <c r="B168" s="101" t="s">
        <v>239</v>
      </c>
      <c r="C168" s="66"/>
      <c r="D168" s="66"/>
      <c r="E168" s="66"/>
      <c r="F168" s="66"/>
      <c r="G168" s="66"/>
      <c r="H168" s="66"/>
    </row>
    <row r="169" spans="1:12" x14ac:dyDescent="0.15">
      <c r="A169" s="66"/>
      <c r="B169" s="101"/>
      <c r="C169" s="66"/>
      <c r="D169" s="66"/>
      <c r="E169" s="66"/>
      <c r="F169" s="66"/>
      <c r="G169" s="66"/>
      <c r="H169" s="66"/>
    </row>
    <row r="170" spans="1:12" outlineLevel="1" x14ac:dyDescent="0.15">
      <c r="A170" s="66"/>
      <c r="B170" s="522" t="s">
        <v>240</v>
      </c>
      <c r="C170" s="69"/>
      <c r="D170" s="66"/>
      <c r="E170" s="66"/>
      <c r="F170" s="66"/>
      <c r="G170" s="66"/>
      <c r="H170" s="66"/>
    </row>
    <row r="171" spans="1:12" ht="15" outlineLevel="1" x14ac:dyDescent="0.15">
      <c r="A171" s="66"/>
      <c r="B171" s="134" t="s">
        <v>191</v>
      </c>
      <c r="C171" s="134" t="s">
        <v>177</v>
      </c>
      <c r="D171" s="135" t="s">
        <v>100</v>
      </c>
      <c r="E171" s="135" t="s">
        <v>178</v>
      </c>
      <c r="F171" s="135" t="s">
        <v>179</v>
      </c>
      <c r="G171" s="135" t="s">
        <v>180</v>
      </c>
      <c r="H171" s="135" t="s">
        <v>181</v>
      </c>
      <c r="I171" s="135" t="s">
        <v>182</v>
      </c>
      <c r="J171" s="135" t="s">
        <v>183</v>
      </c>
      <c r="K171" s="135" t="s">
        <v>184</v>
      </c>
      <c r="L171" s="84" t="s">
        <v>88</v>
      </c>
    </row>
    <row r="172" spans="1:12" outlineLevel="1" x14ac:dyDescent="0.15">
      <c r="A172" s="66"/>
      <c r="B172" s="137" t="s">
        <v>241</v>
      </c>
      <c r="C172" s="136">
        <f>C146*$C$111/$C$110*$E$154</f>
        <v>5404538.3647285607</v>
      </c>
      <c r="D172" s="136">
        <f t="shared" ref="D172:K172" si="29">D146*$C$111/$C$110*$E$154</f>
        <v>6676541.8368025972</v>
      </c>
      <c r="E172" s="136">
        <f t="shared" si="29"/>
        <v>12081080.201531159</v>
      </c>
      <c r="F172" s="136">
        <f t="shared" si="29"/>
        <v>5056202.5109220408</v>
      </c>
      <c r="G172" s="136">
        <f t="shared" si="29"/>
        <v>1349858.4762969613</v>
      </c>
      <c r="H172" s="136">
        <f t="shared" si="29"/>
        <v>250515.71278434599</v>
      </c>
      <c r="I172" s="136">
        <f t="shared" si="29"/>
        <v>3895342.4123432604</v>
      </c>
      <c r="J172" s="136">
        <f t="shared" si="29"/>
        <v>689448.78246234148</v>
      </c>
      <c r="K172" s="136">
        <f t="shared" si="29"/>
        <v>1762122.0576333166</v>
      </c>
      <c r="L172" s="564">
        <f t="shared" ref="L172:L175" si="30">SUM(E172:K172)</f>
        <v>25084570.153973427</v>
      </c>
    </row>
    <row r="173" spans="1:12" outlineLevel="1" x14ac:dyDescent="0.15">
      <c r="A173" s="66"/>
      <c r="B173" s="137" t="s">
        <v>242</v>
      </c>
      <c r="C173" s="136">
        <f>C146*$C$112/$C$110*$E$155</f>
        <v>2450838.426962249</v>
      </c>
      <c r="D173" s="136">
        <f t="shared" ref="D173:K173" si="31">D146*$C$112/$C$110*$E$155</f>
        <v>3027663.8241014224</v>
      </c>
      <c r="E173" s="136">
        <f t="shared" si="31"/>
        <v>5478502.251063671</v>
      </c>
      <c r="F173" s="136">
        <f t="shared" si="31"/>
        <v>2292875.8336038049</v>
      </c>
      <c r="G173" s="136">
        <f t="shared" si="31"/>
        <v>612130.91690865601</v>
      </c>
      <c r="H173" s="136">
        <f t="shared" si="31"/>
        <v>113603.32631861138</v>
      </c>
      <c r="I173" s="136">
        <f t="shared" si="31"/>
        <v>1766451.4942944939</v>
      </c>
      <c r="J173" s="136">
        <f t="shared" si="31"/>
        <v>312649.75016342726</v>
      </c>
      <c r="K173" s="136">
        <f t="shared" si="31"/>
        <v>799083.31857357838</v>
      </c>
      <c r="L173" s="564">
        <f t="shared" si="30"/>
        <v>11375296.890926244</v>
      </c>
    </row>
    <row r="174" spans="1:12" ht="14.5" customHeight="1" outlineLevel="1" x14ac:dyDescent="0.15">
      <c r="A174" s="66"/>
      <c r="B174" s="137" t="s">
        <v>243</v>
      </c>
      <c r="C174" s="136">
        <f t="shared" ref="C174:K174" si="32">C147*$E$156</f>
        <v>9779213.9077991787</v>
      </c>
      <c r="D174" s="136">
        <f t="shared" si="32"/>
        <v>9498074.7661658544</v>
      </c>
      <c r="E174" s="136">
        <f t="shared" si="32"/>
        <v>19277288.673965033</v>
      </c>
      <c r="F174" s="136">
        <f t="shared" si="32"/>
        <v>11891602.435980754</v>
      </c>
      <c r="G174" s="136">
        <f t="shared" si="32"/>
        <v>1512633.8286971273</v>
      </c>
      <c r="H174" s="136">
        <f t="shared" si="32"/>
        <v>250322.03202060587</v>
      </c>
      <c r="I174" s="136">
        <f t="shared" si="32"/>
        <v>7310166.2663409691</v>
      </c>
      <c r="J174" s="136">
        <f t="shared" si="32"/>
        <v>686435.72748214763</v>
      </c>
      <c r="K174" s="136">
        <f t="shared" si="32"/>
        <v>2193109.5654658023</v>
      </c>
      <c r="L174" s="564">
        <f t="shared" si="30"/>
        <v>43121558.529952437</v>
      </c>
    </row>
    <row r="175" spans="1:12" outlineLevel="1" x14ac:dyDescent="0.15">
      <c r="A175" s="66"/>
      <c r="B175" s="137" t="s">
        <v>244</v>
      </c>
      <c r="C175" s="136">
        <f t="shared" ref="C175:K175" si="33">C148*$E$162</f>
        <v>0</v>
      </c>
      <c r="D175" s="136">
        <f t="shared" si="33"/>
        <v>0</v>
      </c>
      <c r="E175" s="136">
        <f t="shared" si="33"/>
        <v>0</v>
      </c>
      <c r="F175" s="136">
        <f t="shared" si="33"/>
        <v>0</v>
      </c>
      <c r="G175" s="136">
        <f t="shared" si="33"/>
        <v>0</v>
      </c>
      <c r="H175" s="136">
        <f t="shared" si="33"/>
        <v>0</v>
      </c>
      <c r="I175" s="136">
        <f t="shared" si="33"/>
        <v>0</v>
      </c>
      <c r="J175" s="136">
        <f t="shared" si="33"/>
        <v>0</v>
      </c>
      <c r="K175" s="136">
        <f t="shared" si="33"/>
        <v>0</v>
      </c>
      <c r="L175" s="564">
        <f t="shared" si="30"/>
        <v>0</v>
      </c>
    </row>
    <row r="176" spans="1:12" outlineLevel="1" x14ac:dyDescent="0.15">
      <c r="A176" s="66"/>
      <c r="B176" s="516" t="s">
        <v>245</v>
      </c>
      <c r="C176" s="517">
        <f>SUM(C172:C175)</f>
        <v>17634590.699489988</v>
      </c>
      <c r="D176" s="517">
        <f t="shared" ref="D176:L176" si="34">SUM(D172:D175)</f>
        <v>19202280.427069873</v>
      </c>
      <c r="E176" s="517">
        <f t="shared" si="34"/>
        <v>36836871.126559868</v>
      </c>
      <c r="F176" s="517">
        <f t="shared" si="34"/>
        <v>19240680.7805066</v>
      </c>
      <c r="G176" s="517">
        <f t="shared" si="34"/>
        <v>3474623.2219027448</v>
      </c>
      <c r="H176" s="517">
        <f t="shared" si="34"/>
        <v>614441.07112356322</v>
      </c>
      <c r="I176" s="517">
        <f t="shared" si="34"/>
        <v>12971960.172978723</v>
      </c>
      <c r="J176" s="517">
        <f t="shared" si="34"/>
        <v>1688534.2601079163</v>
      </c>
      <c r="K176" s="517">
        <f t="shared" si="34"/>
        <v>4754314.9416726977</v>
      </c>
      <c r="L176" s="517">
        <f t="shared" si="34"/>
        <v>79581425.574852109</v>
      </c>
    </row>
    <row r="177" spans="1:24" ht="16" outlineLevel="1" x14ac:dyDescent="0.2">
      <c r="A177" s="98"/>
      <c r="B177" s="250"/>
      <c r="C177" s="514"/>
      <c r="D177" s="66"/>
      <c r="E177" s="101"/>
      <c r="F177" s="66"/>
      <c r="G177" s="66"/>
      <c r="H177" s="66"/>
    </row>
    <row r="178" spans="1:24" ht="16" outlineLevel="1" x14ac:dyDescent="0.2">
      <c r="A178" s="98" t="s">
        <v>246</v>
      </c>
      <c r="B178" s="250"/>
      <c r="C178" s="514"/>
      <c r="D178" s="66"/>
      <c r="E178" s="101"/>
      <c r="F178" s="66"/>
      <c r="G178" s="66"/>
      <c r="H178" s="66"/>
    </row>
    <row r="179" spans="1:24" ht="16" outlineLevel="1" x14ac:dyDescent="0.2">
      <c r="A179" s="98"/>
      <c r="B179" s="250"/>
      <c r="C179" s="514"/>
      <c r="D179" s="66"/>
      <c r="E179" s="101"/>
      <c r="F179" s="66"/>
      <c r="G179" s="66"/>
      <c r="H179" s="66"/>
    </row>
    <row r="180" spans="1:24" outlineLevel="1" x14ac:dyDescent="0.15">
      <c r="A180" s="66"/>
      <c r="B180" s="82" t="s">
        <v>247</v>
      </c>
      <c r="C180" s="82"/>
      <c r="D180" s="66"/>
      <c r="E180" s="66"/>
      <c r="F180" s="66"/>
      <c r="G180" s="66"/>
      <c r="H180" s="66"/>
    </row>
    <row r="181" spans="1:24" ht="15" outlineLevel="1" x14ac:dyDescent="0.15">
      <c r="A181" s="66"/>
      <c r="B181" s="130" t="s">
        <v>248</v>
      </c>
      <c r="C181" s="472"/>
      <c r="D181" s="66"/>
      <c r="E181" s="66"/>
      <c r="F181" s="66"/>
      <c r="G181" s="66"/>
      <c r="H181" s="66"/>
    </row>
    <row r="182" spans="1:24" outlineLevel="1" x14ac:dyDescent="0.15">
      <c r="A182" s="66"/>
      <c r="B182" s="538" t="s">
        <v>249</v>
      </c>
      <c r="C182" s="592">
        <v>1278638</v>
      </c>
      <c r="D182" s="66"/>
      <c r="E182" s="66"/>
      <c r="F182" s="66"/>
      <c r="G182" s="66"/>
      <c r="H182" s="66"/>
    </row>
    <row r="183" spans="1:24" outlineLevel="1" x14ac:dyDescent="0.15">
      <c r="A183" s="66"/>
      <c r="B183" s="101" t="s">
        <v>250</v>
      </c>
      <c r="C183" s="243"/>
      <c r="D183" s="66"/>
      <c r="E183" s="66"/>
      <c r="F183" s="66"/>
      <c r="G183" s="66"/>
      <c r="H183" s="66"/>
    </row>
    <row r="184" spans="1:24" outlineLevel="1" x14ac:dyDescent="0.15">
      <c r="A184" s="66"/>
      <c r="B184" s="101"/>
      <c r="C184" s="69"/>
      <c r="D184" s="66"/>
      <c r="E184" s="66"/>
      <c r="F184" s="66"/>
      <c r="G184" s="66"/>
      <c r="H184" s="66"/>
    </row>
    <row r="185" spans="1:24" outlineLevel="1" x14ac:dyDescent="0.15">
      <c r="A185" s="66"/>
      <c r="B185" s="82" t="s">
        <v>251</v>
      </c>
      <c r="C185" s="126"/>
      <c r="D185" s="126"/>
      <c r="E185" s="126"/>
      <c r="F185" s="126"/>
      <c r="G185" s="126"/>
      <c r="H185" s="126"/>
      <c r="I185" s="126"/>
      <c r="J185" s="126"/>
      <c r="N185" s="82"/>
    </row>
    <row r="186" spans="1:24" ht="15" outlineLevel="1" x14ac:dyDescent="0.15">
      <c r="A186" s="66"/>
      <c r="B186" s="83" t="s">
        <v>191</v>
      </c>
      <c r="C186" s="83" t="s">
        <v>177</v>
      </c>
      <c r="D186" s="84" t="s">
        <v>100</v>
      </c>
      <c r="E186" s="84" t="s">
        <v>178</v>
      </c>
      <c r="F186" s="84" t="s">
        <v>179</v>
      </c>
      <c r="G186" s="84" t="s">
        <v>180</v>
      </c>
      <c r="H186" s="282" t="s">
        <v>181</v>
      </c>
      <c r="I186" s="84" t="s">
        <v>182</v>
      </c>
      <c r="J186" s="84" t="s">
        <v>183</v>
      </c>
      <c r="K186" s="84" t="s">
        <v>184</v>
      </c>
      <c r="N186" s="297"/>
      <c r="O186" s="297"/>
      <c r="P186" s="119"/>
      <c r="Q186" s="119"/>
      <c r="R186" s="119"/>
      <c r="S186" s="119"/>
      <c r="T186" s="119"/>
      <c r="U186" s="119"/>
      <c r="V186" s="119"/>
      <c r="W186" s="119"/>
    </row>
    <row r="187" spans="1:24" outlineLevel="1" x14ac:dyDescent="0.15">
      <c r="A187" s="66"/>
      <c r="B187" s="72" t="s">
        <v>252</v>
      </c>
      <c r="C187" s="140">
        <f>'[1]Socioeconomic Data'!C7</f>
        <v>2746388</v>
      </c>
      <c r="D187" s="140">
        <f>'[1]Socioeconomic Data'!D7</f>
        <v>2529153</v>
      </c>
      <c r="E187" s="140">
        <f>'[1]Socioeconomic Data'!E7</f>
        <v>5275541</v>
      </c>
      <c r="F187" s="140">
        <f>'[1]Socioeconomic Data'!F7</f>
        <v>932877</v>
      </c>
      <c r="G187" s="140">
        <f>'[1]Socioeconomic Data'!H7</f>
        <v>516522</v>
      </c>
      <c r="H187" s="296"/>
      <c r="I187" s="140">
        <f>'[1]Socioeconomic Data'!I7</f>
        <v>714342</v>
      </c>
      <c r="J187" s="140">
        <f>'[1]Socioeconomic Data'!J7</f>
        <v>310229</v>
      </c>
      <c r="K187" s="140">
        <f>'[1]Socioeconomic Data'!K7</f>
        <v>696355</v>
      </c>
      <c r="N187" s="246"/>
      <c r="O187" s="147"/>
      <c r="P187" s="147"/>
      <c r="Q187" s="147"/>
      <c r="R187" s="147"/>
      <c r="S187" s="147"/>
      <c r="T187" s="147"/>
      <c r="U187" s="147"/>
      <c r="V187" s="147"/>
      <c r="W187" s="147"/>
      <c r="X187" s="119"/>
    </row>
    <row r="188" spans="1:24" outlineLevel="1" x14ac:dyDescent="0.15">
      <c r="A188" s="66"/>
      <c r="B188" s="72" t="s">
        <v>253</v>
      </c>
      <c r="C188" s="505">
        <f>C187/SUM($C$187:$K$187)</f>
        <v>0.20015352652975019</v>
      </c>
      <c r="D188" s="505">
        <f>D187/SUM($C$187:$K$187)</f>
        <v>0.18432169528970316</v>
      </c>
      <c r="E188" s="505">
        <f>E187/SUM($C$187:$K$187)</f>
        <v>0.38447522181945337</v>
      </c>
      <c r="F188" s="505">
        <f>F187/SUM($C$187:$K$187)</f>
        <v>6.7986978303318304E-2</v>
      </c>
      <c r="G188" s="505">
        <f>G187/SUM($C$187:$K$187)</f>
        <v>3.7643515712346406E-2</v>
      </c>
      <c r="H188" s="296"/>
      <c r="I188" s="505">
        <f>I187/SUM($C$187:$K$187)</f>
        <v>5.2060404592619403E-2</v>
      </c>
      <c r="J188" s="505">
        <f>J187/SUM($C$187:$K$187)</f>
        <v>2.2609124559893893E-2</v>
      </c>
      <c r="K188" s="505">
        <f>K187/SUM($C$187:$K$187)</f>
        <v>5.0749533192915273E-2</v>
      </c>
      <c r="N188" s="246"/>
      <c r="O188" s="147"/>
      <c r="P188" s="147"/>
      <c r="Q188" s="147"/>
      <c r="R188" s="147"/>
      <c r="S188" s="147"/>
      <c r="T188" s="147"/>
      <c r="U188" s="147"/>
      <c r="V188" s="147"/>
      <c r="W188" s="147"/>
      <c r="X188" s="119"/>
    </row>
    <row r="189" spans="1:24" outlineLevel="1" x14ac:dyDescent="0.15">
      <c r="A189" s="66"/>
      <c r="B189" s="538" t="s">
        <v>254</v>
      </c>
      <c r="C189" s="144">
        <f>$C$182*C188</f>
        <v>255923.90485494671</v>
      </c>
      <c r="D189" s="144">
        <f>$C$182*D188</f>
        <v>235680.72382183548</v>
      </c>
      <c r="E189" s="144">
        <f>$C$182*E188</f>
        <v>491604.62867678225</v>
      </c>
      <c r="F189" s="144">
        <f>$C$182*F188</f>
        <v>86930.73396379831</v>
      </c>
      <c r="G189" s="144">
        <f>$C$182*G188</f>
        <v>48132.429643403186</v>
      </c>
      <c r="H189" s="296"/>
      <c r="I189" s="144">
        <f>$C$182*I188</f>
        <v>66566.411607497692</v>
      </c>
      <c r="J189" s="144">
        <f>$C$182*J188</f>
        <v>28908.885809013609</v>
      </c>
      <c r="K189" s="144">
        <f>$C$182*K188</f>
        <v>64890.281622722796</v>
      </c>
      <c r="L189" s="147"/>
      <c r="N189" s="248"/>
      <c r="O189" s="147"/>
      <c r="P189" s="147"/>
      <c r="Q189" s="147"/>
      <c r="R189" s="147"/>
      <c r="S189" s="147"/>
      <c r="T189" s="147"/>
      <c r="U189" s="147"/>
      <c r="V189" s="147"/>
      <c r="W189" s="147"/>
    </row>
    <row r="190" spans="1:24" outlineLevel="1" x14ac:dyDescent="0.15">
      <c r="A190" s="66"/>
      <c r="B190" s="538" t="s">
        <v>255</v>
      </c>
      <c r="C190" s="144">
        <f>C189*'Constants &amp; Conversions'!$D$64</f>
        <v>363411.94489402429</v>
      </c>
      <c r="D190" s="144">
        <f>D189*'Constants &amp; Conversions'!$D$64</f>
        <v>334666.62782700633</v>
      </c>
      <c r="E190" s="144">
        <f>E189*'Constants &amp; Conversions'!$D$64</f>
        <v>698078.5727210308</v>
      </c>
      <c r="F190" s="144">
        <f>F189*'Constants &amp; Conversions'!$D$64</f>
        <v>123441.6422285936</v>
      </c>
      <c r="G190" s="144">
        <f>G189*'Constants &amp; Conversions'!$D$64</f>
        <v>68348.050093632526</v>
      </c>
      <c r="H190" s="296"/>
      <c r="I190" s="144">
        <f>I189*'Constants &amp; Conversions'!$D$64</f>
        <v>94524.304482646723</v>
      </c>
      <c r="J190" s="144">
        <f>J189*'Constants &amp; Conversions'!$D$64</f>
        <v>41050.617848799324</v>
      </c>
      <c r="K190" s="144">
        <f>K189*'Constants &amp; Conversions'!$D$64</f>
        <v>92144.199904266367</v>
      </c>
      <c r="L190" s="147"/>
      <c r="N190" s="248"/>
      <c r="O190" s="147"/>
      <c r="P190" s="147"/>
      <c r="Q190" s="147"/>
      <c r="R190" s="147"/>
      <c r="S190" s="147"/>
      <c r="T190" s="147"/>
      <c r="U190" s="147"/>
      <c r="V190" s="147"/>
      <c r="W190" s="147"/>
    </row>
    <row r="191" spans="1:24" outlineLevel="1" x14ac:dyDescent="0.15">
      <c r="A191" s="66"/>
      <c r="B191" s="538" t="s">
        <v>256</v>
      </c>
      <c r="C191" s="144">
        <f>C190*'Constants &amp; Conversions'!$D$65</f>
        <v>38342140.657988928</v>
      </c>
      <c r="D191" s="144">
        <f>D190*'Constants &amp; Conversions'!$D$65</f>
        <v>35309337.235516131</v>
      </c>
      <c r="E191" s="144">
        <f>E190*'Constants &amp; Conversions'!$D$65</f>
        <v>73651477.893505082</v>
      </c>
      <c r="F191" s="144">
        <f>F190*'Constants &amp; Conversions'!$D$65</f>
        <v>13023833.904969996</v>
      </c>
      <c r="G191" s="144">
        <f>G190*'Constants &amp; Conversions'!$D$65</f>
        <v>7211129.3731787931</v>
      </c>
      <c r="H191" s="296"/>
      <c r="I191" s="144">
        <f>I190*'Constants &amp; Conversions'!$D$65</f>
        <v>9972881.2687461246</v>
      </c>
      <c r="J191" s="144">
        <f>J190*'Constants &amp; Conversions'!$D$65</f>
        <v>4331086.4867554214</v>
      </c>
      <c r="K191" s="144">
        <f>K190*'Constants &amp; Conversions'!$D$65</f>
        <v>9721765.9550995268</v>
      </c>
      <c r="L191" s="147"/>
      <c r="N191" s="248"/>
      <c r="O191" s="147"/>
      <c r="P191" s="147"/>
      <c r="Q191" s="147"/>
      <c r="R191" s="147"/>
      <c r="S191" s="147"/>
      <c r="T191" s="147"/>
      <c r="U191" s="147"/>
      <c r="V191" s="147"/>
      <c r="W191" s="147"/>
    </row>
    <row r="192" spans="1:24" outlineLevel="1" x14ac:dyDescent="0.15">
      <c r="A192" s="66"/>
      <c r="B192" s="101" t="s">
        <v>257</v>
      </c>
      <c r="C192" s="524"/>
      <c r="D192" s="524"/>
      <c r="E192" s="525"/>
      <c r="F192" s="525"/>
      <c r="G192" s="525"/>
      <c r="H192" s="525"/>
      <c r="I192" s="525"/>
      <c r="J192" s="525"/>
    </row>
    <row r="193" spans="1:14" outlineLevel="1" x14ac:dyDescent="0.15">
      <c r="A193" s="66"/>
      <c r="B193" s="126"/>
      <c r="C193" s="126"/>
      <c r="D193" s="126"/>
      <c r="E193" s="126"/>
      <c r="F193" s="126"/>
      <c r="G193" s="126"/>
      <c r="H193" s="126"/>
      <c r="I193" s="126"/>
      <c r="J193" s="126"/>
    </row>
    <row r="194" spans="1:14" s="108" customFormat="1" ht="16" x14ac:dyDescent="0.2">
      <c r="A194" s="89">
        <v>2015</v>
      </c>
      <c r="B194" s="90"/>
      <c r="C194" s="91"/>
      <c r="D194" s="90"/>
      <c r="E194" s="90"/>
      <c r="F194" s="90"/>
      <c r="G194" s="90"/>
      <c r="H194" s="90"/>
      <c r="I194" s="90"/>
      <c r="J194" s="90"/>
      <c r="K194" s="90"/>
      <c r="L194" s="90"/>
      <c r="M194" s="90"/>
      <c r="N194" s="106"/>
    </row>
    <row r="195" spans="1:14" outlineLevel="1" x14ac:dyDescent="0.15">
      <c r="A195" s="66"/>
      <c r="B195" s="66"/>
      <c r="C195" s="69"/>
      <c r="D195" s="66"/>
      <c r="E195" s="66"/>
      <c r="F195" s="66"/>
      <c r="G195" s="66"/>
      <c r="H195" s="66"/>
    </row>
    <row r="196" spans="1:14" outlineLevel="1" x14ac:dyDescent="0.15">
      <c r="A196" s="66"/>
      <c r="B196" s="82" t="s">
        <v>258</v>
      </c>
      <c r="C196" s="69"/>
      <c r="D196" s="66"/>
      <c r="E196" s="66"/>
      <c r="F196" s="66"/>
      <c r="G196" s="66"/>
      <c r="H196" s="66"/>
    </row>
    <row r="197" spans="1:14" ht="15" outlineLevel="1" x14ac:dyDescent="0.15">
      <c r="A197" s="66"/>
      <c r="B197" s="83"/>
      <c r="C197" s="83" t="s">
        <v>177</v>
      </c>
      <c r="D197" s="84" t="s">
        <v>100</v>
      </c>
      <c r="E197" s="84" t="s">
        <v>178</v>
      </c>
      <c r="F197" s="84" t="s">
        <v>179</v>
      </c>
      <c r="G197" s="84" t="s">
        <v>180</v>
      </c>
      <c r="H197" s="84" t="s">
        <v>181</v>
      </c>
      <c r="I197" s="84" t="s">
        <v>182</v>
      </c>
      <c r="J197" s="84" t="s">
        <v>183</v>
      </c>
      <c r="K197" s="84" t="s">
        <v>184</v>
      </c>
      <c r="L197" s="84" t="s">
        <v>88</v>
      </c>
    </row>
    <row r="198" spans="1:14" ht="15" outlineLevel="1" x14ac:dyDescent="0.15">
      <c r="A198" s="66"/>
      <c r="B198" s="85" t="s">
        <v>101</v>
      </c>
      <c r="C198" s="86">
        <v>157734398.43394718</v>
      </c>
      <c r="D198" s="87">
        <v>242657258.20039389</v>
      </c>
      <c r="E198" s="533">
        <f t="shared" ref="E198:E206" si="35">SUM(C198:D198)</f>
        <v>400391656.63434106</v>
      </c>
      <c r="F198" s="87">
        <v>119201866.90726824</v>
      </c>
      <c r="G198" s="87">
        <v>60000689.747495554</v>
      </c>
      <c r="H198" s="87">
        <v>13733761.707245104</v>
      </c>
      <c r="I198" s="87">
        <v>91643884.262423977</v>
      </c>
      <c r="J198" s="87">
        <v>37223469.605212733</v>
      </c>
      <c r="K198" s="87">
        <v>81337126.027794912</v>
      </c>
      <c r="L198" s="564">
        <f>SUM(E198:K198)</f>
        <v>803532454.89178157</v>
      </c>
      <c r="N198" s="233">
        <f>L198/$L$207</f>
        <v>1.4314333102894318E-2</v>
      </c>
    </row>
    <row r="199" spans="1:14" ht="15" outlineLevel="1" x14ac:dyDescent="0.15">
      <c r="A199" s="66"/>
      <c r="B199" s="85" t="s">
        <v>103</v>
      </c>
      <c r="C199" s="86">
        <v>6683758532.0408621</v>
      </c>
      <c r="D199" s="87">
        <v>10282237330.354391</v>
      </c>
      <c r="E199" s="533">
        <f t="shared" si="35"/>
        <v>16965995862.395252</v>
      </c>
      <c r="F199" s="87">
        <v>5051000307.3951311</v>
      </c>
      <c r="G199" s="87">
        <v>2542439227.0155029</v>
      </c>
      <c r="H199" s="87">
        <v>581947551.70195055</v>
      </c>
      <c r="I199" s="87">
        <v>3883272129.7938232</v>
      </c>
      <c r="J199" s="87">
        <v>1577288689.3164816</v>
      </c>
      <c r="K199" s="87">
        <v>3446538709.7387676</v>
      </c>
      <c r="L199" s="564">
        <f t="shared" ref="L199:L206" si="36">SUM(E199:K199)</f>
        <v>34048482477.356911</v>
      </c>
      <c r="N199" s="233">
        <f t="shared" ref="N199:N206" si="37">L199/$L$207</f>
        <v>0.60654839373549241</v>
      </c>
    </row>
    <row r="200" spans="1:14" ht="15" outlineLevel="1" x14ac:dyDescent="0.15">
      <c r="A200" s="66"/>
      <c r="B200" s="85" t="s">
        <v>105</v>
      </c>
      <c r="C200" s="86">
        <v>3016906971.6468906</v>
      </c>
      <c r="D200" s="87">
        <v>4641184048.9698334</v>
      </c>
      <c r="E200" s="533">
        <f t="shared" si="35"/>
        <v>7658091020.616724</v>
      </c>
      <c r="F200" s="87">
        <v>2279914507.4018655</v>
      </c>
      <c r="G200" s="87">
        <v>1147603192.4554737</v>
      </c>
      <c r="H200" s="87">
        <v>262678793.29362351</v>
      </c>
      <c r="I200" s="87">
        <v>1752826752.3452523</v>
      </c>
      <c r="J200" s="87">
        <v>711954691.40410125</v>
      </c>
      <c r="K200" s="87">
        <v>1555694540.9706192</v>
      </c>
      <c r="L200" s="564">
        <f t="shared" si="36"/>
        <v>15368763498.487658</v>
      </c>
      <c r="N200" s="233">
        <f t="shared" si="37"/>
        <v>0.27378309209250812</v>
      </c>
    </row>
    <row r="201" spans="1:14" ht="15" outlineLevel="1" x14ac:dyDescent="0.15">
      <c r="A201" s="66"/>
      <c r="B201" s="85" t="s">
        <v>107</v>
      </c>
      <c r="C201" s="86">
        <v>241649577.43538857</v>
      </c>
      <c r="D201" s="87">
        <v>615329836.6494652</v>
      </c>
      <c r="E201" s="533">
        <f t="shared" si="35"/>
        <v>856979414.08485377</v>
      </c>
      <c r="F201" s="87">
        <v>309157788.41028196</v>
      </c>
      <c r="G201" s="87">
        <v>129924964.98236853</v>
      </c>
      <c r="H201" s="87">
        <v>32855942.715347502</v>
      </c>
      <c r="I201" s="87">
        <v>204086257.41340557</v>
      </c>
      <c r="J201" s="87">
        <v>87797851.842389494</v>
      </c>
      <c r="K201" s="87">
        <v>196906293.56217754</v>
      </c>
      <c r="L201" s="564">
        <f t="shared" si="36"/>
        <v>1817708513.0108247</v>
      </c>
      <c r="N201" s="233">
        <f t="shared" si="37"/>
        <v>3.2381125343229462E-2</v>
      </c>
    </row>
    <row r="202" spans="1:14" ht="15" outlineLevel="1" x14ac:dyDescent="0.15">
      <c r="A202" s="66"/>
      <c r="B202" s="85" t="s">
        <v>108</v>
      </c>
      <c r="C202" s="86">
        <v>67785087.299999997</v>
      </c>
      <c r="D202" s="87">
        <v>20181820.749999996</v>
      </c>
      <c r="E202" s="533">
        <f t="shared" si="35"/>
        <v>87966908.049999997</v>
      </c>
      <c r="F202" s="87">
        <v>3033071.3000000003</v>
      </c>
      <c r="G202" s="87">
        <v>1510381.5999999999</v>
      </c>
      <c r="H202" s="87">
        <v>2730</v>
      </c>
      <c r="I202" s="87">
        <v>2136856.7500000005</v>
      </c>
      <c r="J202" s="87">
        <v>311737.65000000002</v>
      </c>
      <c r="K202" s="87">
        <v>1709886.85</v>
      </c>
      <c r="L202" s="564">
        <f t="shared" si="36"/>
        <v>96671572.199999988</v>
      </c>
      <c r="N202" s="233">
        <f>L202/$L$207</f>
        <v>1.7221321648267019E-3</v>
      </c>
    </row>
    <row r="203" spans="1:14" ht="15" outlineLevel="1" x14ac:dyDescent="0.15">
      <c r="A203" s="66"/>
      <c r="B203" s="85" t="s">
        <v>111</v>
      </c>
      <c r="C203" s="86">
        <v>222166970.08832556</v>
      </c>
      <c r="D203" s="87">
        <v>547304477.58487177</v>
      </c>
      <c r="E203" s="533">
        <f t="shared" si="35"/>
        <v>769471447.67319727</v>
      </c>
      <c r="F203" s="87">
        <v>273475002.34364104</v>
      </c>
      <c r="G203" s="87">
        <v>111659321.13222773</v>
      </c>
      <c r="H203" s="87">
        <v>26587611.682311755</v>
      </c>
      <c r="I203" s="87">
        <v>178454796.45095024</v>
      </c>
      <c r="J203" s="87">
        <v>74263049.156799987</v>
      </c>
      <c r="K203" s="87">
        <v>170930148.34194073</v>
      </c>
      <c r="L203" s="564">
        <f t="shared" si="36"/>
        <v>1604841376.7810686</v>
      </c>
      <c r="N203" s="233">
        <f t="shared" si="37"/>
        <v>2.8589055618973853E-2</v>
      </c>
    </row>
    <row r="204" spans="1:14" ht="15" outlineLevel="1" x14ac:dyDescent="0.15">
      <c r="A204" s="66"/>
      <c r="B204" s="85" t="s">
        <v>112</v>
      </c>
      <c r="C204" s="86">
        <v>0</v>
      </c>
      <c r="D204" s="87">
        <v>0</v>
      </c>
      <c r="E204" s="533">
        <f t="shared" si="35"/>
        <v>0</v>
      </c>
      <c r="F204" s="87">
        <v>0</v>
      </c>
      <c r="G204" s="87">
        <v>0</v>
      </c>
      <c r="H204" s="87">
        <v>0</v>
      </c>
      <c r="I204" s="87">
        <v>0</v>
      </c>
      <c r="J204" s="87">
        <v>0</v>
      </c>
      <c r="K204" s="87">
        <v>0</v>
      </c>
      <c r="L204" s="564">
        <f t="shared" si="36"/>
        <v>0</v>
      </c>
      <c r="N204" s="233">
        <f t="shared" si="37"/>
        <v>0</v>
      </c>
    </row>
    <row r="205" spans="1:14" ht="15" outlineLevel="1" x14ac:dyDescent="0.15">
      <c r="A205" s="66"/>
      <c r="B205" s="85" t="s">
        <v>114</v>
      </c>
      <c r="C205" s="86">
        <v>252807173.40100521</v>
      </c>
      <c r="D205" s="87">
        <v>1017961109.3115582</v>
      </c>
      <c r="E205" s="533">
        <f t="shared" si="35"/>
        <v>1270768282.7125635</v>
      </c>
      <c r="F205" s="87">
        <v>248306573.51009563</v>
      </c>
      <c r="G205" s="87">
        <v>143268389.64708459</v>
      </c>
      <c r="H205" s="87">
        <v>22258193.49455722</v>
      </c>
      <c r="I205" s="87">
        <v>238896627.94377631</v>
      </c>
      <c r="J205" s="87">
        <v>74426615.094299734</v>
      </c>
      <c r="K205" s="87">
        <v>255597274.41543686</v>
      </c>
      <c r="L205" s="564">
        <f t="shared" si="36"/>
        <v>2253521956.8178139</v>
      </c>
      <c r="N205" s="233">
        <f t="shared" si="37"/>
        <v>4.0144817733492572E-2</v>
      </c>
    </row>
    <row r="206" spans="1:14" ht="15" outlineLevel="1" x14ac:dyDescent="0.15">
      <c r="A206" s="66"/>
      <c r="B206" s="85" t="s">
        <v>115</v>
      </c>
      <c r="C206" s="86">
        <v>15850821.711646449</v>
      </c>
      <c r="D206" s="87">
        <v>63825404.303275175</v>
      </c>
      <c r="E206" s="533">
        <f t="shared" si="35"/>
        <v>79676226.01492162</v>
      </c>
      <c r="F206" s="87">
        <v>15568637.446435325</v>
      </c>
      <c r="G206" s="87">
        <v>8982821.4550244324</v>
      </c>
      <c r="H206" s="87">
        <v>1395572.1744727697</v>
      </c>
      <c r="I206" s="87">
        <v>14978640.859386614</v>
      </c>
      <c r="J206" s="87">
        <v>4666493.4012366459</v>
      </c>
      <c r="K206" s="87">
        <v>16025758.969724521</v>
      </c>
      <c r="L206" s="564">
        <f t="shared" si="36"/>
        <v>141294150.32120192</v>
      </c>
      <c r="N206" s="233">
        <f t="shared" si="37"/>
        <v>2.5170502085824246E-3</v>
      </c>
    </row>
    <row r="207" spans="1:14" ht="15" outlineLevel="1" x14ac:dyDescent="0.15">
      <c r="A207" s="66"/>
      <c r="B207" s="68" t="s">
        <v>88</v>
      </c>
      <c r="C207" s="534">
        <f t="shared" ref="C207:K207" si="38">SUM(C198:C206)</f>
        <v>10658659532.058065</v>
      </c>
      <c r="D207" s="534">
        <f t="shared" si="38"/>
        <v>17430681286.123791</v>
      </c>
      <c r="E207" s="534">
        <f t="shared" si="38"/>
        <v>28089340818.181854</v>
      </c>
      <c r="F207" s="534">
        <f t="shared" si="38"/>
        <v>8299657754.7147198</v>
      </c>
      <c r="G207" s="534">
        <f t="shared" si="38"/>
        <v>4145388988.0351777</v>
      </c>
      <c r="H207" s="534">
        <f t="shared" si="38"/>
        <v>941460156.76950848</v>
      </c>
      <c r="I207" s="534">
        <f t="shared" si="38"/>
        <v>6366295945.8190184</v>
      </c>
      <c r="J207" s="534">
        <f t="shared" si="38"/>
        <v>2567932597.4705215</v>
      </c>
      <c r="K207" s="552">
        <f t="shared" si="38"/>
        <v>5724739738.876462</v>
      </c>
      <c r="L207" s="553">
        <f>SUM(E207:K207)</f>
        <v>56134815999.867264</v>
      </c>
      <c r="N207" s="233"/>
    </row>
    <row r="208" spans="1:14" outlineLevel="1" x14ac:dyDescent="0.15">
      <c r="A208" s="66"/>
      <c r="B208" s="101" t="s">
        <v>259</v>
      </c>
      <c r="C208" s="139"/>
      <c r="D208" s="139"/>
      <c r="E208" s="139"/>
      <c r="F208" s="139"/>
      <c r="G208" s="139"/>
      <c r="H208" s="139"/>
      <c r="I208" s="139"/>
      <c r="J208" s="139"/>
      <c r="K208" s="139"/>
      <c r="N208" s="233"/>
    </row>
    <row r="209" spans="1:14" outlineLevel="1" x14ac:dyDescent="0.15">
      <c r="A209" s="66"/>
      <c r="B209" s="101" t="s">
        <v>260</v>
      </c>
      <c r="C209" s="139"/>
      <c r="D209" s="139"/>
      <c r="E209" s="139"/>
      <c r="F209" s="139"/>
      <c r="G209" s="139"/>
      <c r="H209" s="139"/>
      <c r="I209" s="139"/>
      <c r="J209" s="139"/>
      <c r="K209" s="139"/>
      <c r="N209" s="233"/>
    </row>
    <row r="210" spans="1:14" outlineLevel="1" x14ac:dyDescent="0.15">
      <c r="A210" s="66"/>
      <c r="B210" s="66"/>
      <c r="C210" s="69"/>
      <c r="D210" s="66"/>
      <c r="E210" s="66"/>
      <c r="F210" s="66"/>
      <c r="G210" s="66"/>
      <c r="H210" s="66"/>
    </row>
    <row r="211" spans="1:14" outlineLevel="1" x14ac:dyDescent="0.15">
      <c r="A211" s="66"/>
      <c r="B211" s="82" t="s">
        <v>261</v>
      </c>
      <c r="C211" s="69"/>
      <c r="D211" s="66"/>
      <c r="E211" s="66"/>
      <c r="F211" s="66"/>
      <c r="G211" s="66"/>
      <c r="H211" s="66"/>
    </row>
    <row r="212" spans="1:14" ht="15" outlineLevel="1" x14ac:dyDescent="0.15">
      <c r="A212" s="66"/>
      <c r="B212" s="83"/>
      <c r="C212" s="83" t="s">
        <v>177</v>
      </c>
      <c r="D212" s="84" t="s">
        <v>100</v>
      </c>
      <c r="E212" s="84" t="s">
        <v>178</v>
      </c>
      <c r="F212" s="84" t="s">
        <v>179</v>
      </c>
      <c r="G212" s="84" t="s">
        <v>180</v>
      </c>
      <c r="H212" s="84" t="s">
        <v>181</v>
      </c>
      <c r="I212" s="84" t="s">
        <v>182</v>
      </c>
      <c r="J212" s="84" t="s">
        <v>183</v>
      </c>
      <c r="K212" s="84" t="s">
        <v>184</v>
      </c>
      <c r="L212" s="84" t="s">
        <v>88</v>
      </c>
    </row>
    <row r="213" spans="1:14" ht="15" outlineLevel="1" x14ac:dyDescent="0.15">
      <c r="A213" s="66"/>
      <c r="B213" s="85" t="s">
        <v>101</v>
      </c>
      <c r="C213" s="86">
        <f>C198</f>
        <v>157734398.43394718</v>
      </c>
      <c r="D213" s="86">
        <f t="shared" ref="D213:K213" si="39">D198</f>
        <v>242657258.20039389</v>
      </c>
      <c r="E213" s="86">
        <f t="shared" si="39"/>
        <v>400391656.63434106</v>
      </c>
      <c r="F213" s="86">
        <f t="shared" si="39"/>
        <v>119201866.90726824</v>
      </c>
      <c r="G213" s="86">
        <f t="shared" si="39"/>
        <v>60000689.747495554</v>
      </c>
      <c r="H213" s="86">
        <f t="shared" si="39"/>
        <v>13733761.707245104</v>
      </c>
      <c r="I213" s="86">
        <f t="shared" si="39"/>
        <v>91643884.262423977</v>
      </c>
      <c r="J213" s="86">
        <f t="shared" si="39"/>
        <v>37223469.605212733</v>
      </c>
      <c r="K213" s="86">
        <f t="shared" si="39"/>
        <v>81337126.027794912</v>
      </c>
      <c r="L213" s="564">
        <f>SUM(E213:K213)</f>
        <v>803532454.89178157</v>
      </c>
    </row>
    <row r="214" spans="1:14" ht="15" outlineLevel="1" x14ac:dyDescent="0.15">
      <c r="A214" s="66"/>
      <c r="B214" s="85" t="s">
        <v>103</v>
      </c>
      <c r="C214" s="86">
        <f>C199-C257</f>
        <v>6678811570.083456</v>
      </c>
      <c r="D214" s="86">
        <f t="shared" ref="D214:J214" si="40">D199-D257</f>
        <v>10272393017.471508</v>
      </c>
      <c r="E214" s="86">
        <f t="shared" si="40"/>
        <v>16951204587.554964</v>
      </c>
      <c r="F214" s="86">
        <f t="shared" si="40"/>
        <v>5044294661.2390471</v>
      </c>
      <c r="G214" s="86">
        <f t="shared" si="40"/>
        <v>2540892900.354001</v>
      </c>
      <c r="H214" s="86">
        <f t="shared" si="40"/>
        <v>581676787.62706375</v>
      </c>
      <c r="I214" s="86">
        <f t="shared" si="40"/>
        <v>3877720297.412272</v>
      </c>
      <c r="J214" s="86">
        <f t="shared" si="40"/>
        <v>1576417592.3287444</v>
      </c>
      <c r="K214" s="86">
        <f>K199-K257</f>
        <v>3444387781.6327982</v>
      </c>
      <c r="L214" s="564">
        <f t="shared" ref="L214:L221" si="41">SUM(E214:K214)</f>
        <v>34016594608.148888</v>
      </c>
    </row>
    <row r="215" spans="1:14" ht="15" outlineLevel="1" x14ac:dyDescent="0.15">
      <c r="A215" s="66"/>
      <c r="B215" s="85" t="s">
        <v>105</v>
      </c>
      <c r="C215" s="86">
        <f>C200-C258</f>
        <v>3010602229.2661991</v>
      </c>
      <c r="D215" s="86">
        <f t="shared" ref="D215:K215" si="42">D200-D258</f>
        <v>4636267069.6218624</v>
      </c>
      <c r="E215" s="86">
        <f t="shared" si="42"/>
        <v>7646869298.8880615</v>
      </c>
      <c r="F215" s="86">
        <f t="shared" si="42"/>
        <v>2274217080.7875104</v>
      </c>
      <c r="G215" s="86">
        <f t="shared" si="42"/>
        <v>1146846291.4325111</v>
      </c>
      <c r="H215" s="86">
        <f t="shared" si="42"/>
        <v>262555931.9408879</v>
      </c>
      <c r="I215" s="86">
        <f t="shared" si="42"/>
        <v>1749143828.3218069</v>
      </c>
      <c r="J215" s="86">
        <f t="shared" si="42"/>
        <v>711580180.34706938</v>
      </c>
      <c r="K215" s="86">
        <f t="shared" si="42"/>
        <v>1554597976.8776252</v>
      </c>
      <c r="L215" s="564">
        <f t="shared" si="41"/>
        <v>15345810588.59547</v>
      </c>
    </row>
    <row r="216" spans="1:14" ht="15" outlineLevel="1" x14ac:dyDescent="0.15">
      <c r="A216" s="66"/>
      <c r="B216" s="85" t="s">
        <v>107</v>
      </c>
      <c r="C216" s="86">
        <f t="shared" ref="C216:K216" si="43">C201</f>
        <v>241649577.43538857</v>
      </c>
      <c r="D216" s="86">
        <f t="shared" si="43"/>
        <v>615329836.6494652</v>
      </c>
      <c r="E216" s="86">
        <f t="shared" si="43"/>
        <v>856979414.08485377</v>
      </c>
      <c r="F216" s="86">
        <f t="shared" si="43"/>
        <v>309157788.41028196</v>
      </c>
      <c r="G216" s="86">
        <f t="shared" si="43"/>
        <v>129924964.98236853</v>
      </c>
      <c r="H216" s="86">
        <f t="shared" si="43"/>
        <v>32855942.715347502</v>
      </c>
      <c r="I216" s="86">
        <f t="shared" si="43"/>
        <v>204086257.41340557</v>
      </c>
      <c r="J216" s="86">
        <f t="shared" si="43"/>
        <v>87797851.842389494</v>
      </c>
      <c r="K216" s="86">
        <f t="shared" si="43"/>
        <v>196906293.56217754</v>
      </c>
      <c r="L216" s="564">
        <f t="shared" si="41"/>
        <v>1817708513.0108247</v>
      </c>
    </row>
    <row r="217" spans="1:14" ht="15" outlineLevel="1" x14ac:dyDescent="0.15">
      <c r="A217" s="66"/>
      <c r="B217" s="85" t="s">
        <v>108</v>
      </c>
      <c r="C217" s="86">
        <f t="shared" ref="C217:K217" si="44">C202-C259</f>
        <v>67785087.299999997</v>
      </c>
      <c r="D217" s="86">
        <f t="shared" si="44"/>
        <v>20181820.749999996</v>
      </c>
      <c r="E217" s="86">
        <f t="shared" si="44"/>
        <v>87966908.049999997</v>
      </c>
      <c r="F217" s="86">
        <f t="shared" si="44"/>
        <v>3033071.3000000003</v>
      </c>
      <c r="G217" s="86">
        <f t="shared" si="44"/>
        <v>1510381.5999999999</v>
      </c>
      <c r="H217" s="86">
        <f t="shared" si="44"/>
        <v>2730</v>
      </c>
      <c r="I217" s="86">
        <f t="shared" si="44"/>
        <v>2136856.7500000005</v>
      </c>
      <c r="J217" s="86">
        <f t="shared" si="44"/>
        <v>311737.65000000002</v>
      </c>
      <c r="K217" s="86">
        <f t="shared" si="44"/>
        <v>1709886.85</v>
      </c>
      <c r="L217" s="564">
        <f t="shared" si="41"/>
        <v>96671572.199999988</v>
      </c>
    </row>
    <row r="218" spans="1:14" ht="15" outlineLevel="1" x14ac:dyDescent="0.15">
      <c r="A218" s="66"/>
      <c r="B218" s="85" t="s">
        <v>111</v>
      </c>
      <c r="C218" s="86">
        <f>C203</f>
        <v>222166970.08832556</v>
      </c>
      <c r="D218" s="86">
        <f t="shared" ref="C218:K221" si="45">D203</f>
        <v>547304477.58487177</v>
      </c>
      <c r="E218" s="86">
        <f t="shared" si="45"/>
        <v>769471447.67319727</v>
      </c>
      <c r="F218" s="86">
        <f t="shared" si="45"/>
        <v>273475002.34364104</v>
      </c>
      <c r="G218" s="86">
        <f t="shared" si="45"/>
        <v>111659321.13222773</v>
      </c>
      <c r="H218" s="86">
        <f t="shared" si="45"/>
        <v>26587611.682311755</v>
      </c>
      <c r="I218" s="86">
        <f t="shared" si="45"/>
        <v>178454796.45095024</v>
      </c>
      <c r="J218" s="86">
        <f>J203</f>
        <v>74263049.156799987</v>
      </c>
      <c r="K218" s="86">
        <f t="shared" si="45"/>
        <v>170930148.34194073</v>
      </c>
      <c r="L218" s="564">
        <f t="shared" si="41"/>
        <v>1604841376.7810686</v>
      </c>
    </row>
    <row r="219" spans="1:14" ht="15" outlineLevel="1" x14ac:dyDescent="0.15">
      <c r="A219" s="66"/>
      <c r="B219" s="85" t="s">
        <v>112</v>
      </c>
      <c r="C219" s="86">
        <f t="shared" si="45"/>
        <v>0</v>
      </c>
      <c r="D219" s="86">
        <f t="shared" si="45"/>
        <v>0</v>
      </c>
      <c r="E219" s="86">
        <f t="shared" si="45"/>
        <v>0</v>
      </c>
      <c r="F219" s="86">
        <f t="shared" si="45"/>
        <v>0</v>
      </c>
      <c r="G219" s="86">
        <f t="shared" si="45"/>
        <v>0</v>
      </c>
      <c r="H219" s="86">
        <f t="shared" si="45"/>
        <v>0</v>
      </c>
      <c r="I219" s="86">
        <f t="shared" si="45"/>
        <v>0</v>
      </c>
      <c r="J219" s="86">
        <f t="shared" si="45"/>
        <v>0</v>
      </c>
      <c r="K219" s="86">
        <f t="shared" si="45"/>
        <v>0</v>
      </c>
      <c r="L219" s="564">
        <f t="shared" si="41"/>
        <v>0</v>
      </c>
    </row>
    <row r="220" spans="1:14" ht="15" outlineLevel="1" x14ac:dyDescent="0.15">
      <c r="A220" s="66"/>
      <c r="B220" s="85" t="s">
        <v>114</v>
      </c>
      <c r="C220" s="86">
        <f t="shared" si="45"/>
        <v>252807173.40100521</v>
      </c>
      <c r="D220" s="86">
        <f t="shared" si="45"/>
        <v>1017961109.3115582</v>
      </c>
      <c r="E220" s="86">
        <f t="shared" si="45"/>
        <v>1270768282.7125635</v>
      </c>
      <c r="F220" s="86">
        <f t="shared" si="45"/>
        <v>248306573.51009563</v>
      </c>
      <c r="G220" s="86">
        <f t="shared" si="45"/>
        <v>143268389.64708459</v>
      </c>
      <c r="H220" s="86">
        <f t="shared" si="45"/>
        <v>22258193.49455722</v>
      </c>
      <c r="I220" s="86">
        <f t="shared" si="45"/>
        <v>238896627.94377631</v>
      </c>
      <c r="J220" s="86">
        <f t="shared" si="45"/>
        <v>74426615.094299734</v>
      </c>
      <c r="K220" s="86">
        <f t="shared" si="45"/>
        <v>255597274.41543686</v>
      </c>
      <c r="L220" s="564">
        <f t="shared" si="41"/>
        <v>2253521956.8178139</v>
      </c>
    </row>
    <row r="221" spans="1:14" ht="15" outlineLevel="1" x14ac:dyDescent="0.15">
      <c r="A221" s="66"/>
      <c r="B221" s="85" t="s">
        <v>115</v>
      </c>
      <c r="C221" s="86">
        <f t="shared" si="45"/>
        <v>15850821.711646449</v>
      </c>
      <c r="D221" s="86">
        <f t="shared" si="45"/>
        <v>63825404.303275175</v>
      </c>
      <c r="E221" s="86">
        <f t="shared" si="45"/>
        <v>79676226.01492162</v>
      </c>
      <c r="F221" s="86">
        <f t="shared" si="45"/>
        <v>15568637.446435325</v>
      </c>
      <c r="G221" s="86">
        <f t="shared" si="45"/>
        <v>8982821.4550244324</v>
      </c>
      <c r="H221" s="86">
        <f t="shared" si="45"/>
        <v>1395572.1744727697</v>
      </c>
      <c r="I221" s="86">
        <f t="shared" si="45"/>
        <v>14978640.859386614</v>
      </c>
      <c r="J221" s="86">
        <f t="shared" si="45"/>
        <v>4666493.4012366459</v>
      </c>
      <c r="K221" s="86">
        <f t="shared" si="45"/>
        <v>16025758.969724521</v>
      </c>
      <c r="L221" s="564">
        <f t="shared" si="41"/>
        <v>141294150.32120192</v>
      </c>
    </row>
    <row r="222" spans="1:14" ht="15" outlineLevel="1" x14ac:dyDescent="0.15">
      <c r="A222" s="66"/>
      <c r="B222" s="68" t="s">
        <v>88</v>
      </c>
      <c r="C222" s="534">
        <f t="shared" ref="C222:K222" si="46">SUM(C213:C221)</f>
        <v>10647407827.719969</v>
      </c>
      <c r="D222" s="534">
        <f t="shared" si="46"/>
        <v>17415919993.892937</v>
      </c>
      <c r="E222" s="534">
        <f t="shared" si="46"/>
        <v>28063327821.612904</v>
      </c>
      <c r="F222" s="534">
        <f t="shared" si="46"/>
        <v>8287254681.9442806</v>
      </c>
      <c r="G222" s="534">
        <f t="shared" si="46"/>
        <v>4143085760.3507133</v>
      </c>
      <c r="H222" s="534">
        <f t="shared" si="46"/>
        <v>941066531.34188616</v>
      </c>
      <c r="I222" s="534">
        <f t="shared" si="46"/>
        <v>6357061189.4140215</v>
      </c>
      <c r="J222" s="534">
        <f t="shared" si="46"/>
        <v>2566686989.4257522</v>
      </c>
      <c r="K222" s="534">
        <f t="shared" si="46"/>
        <v>5721492246.6774988</v>
      </c>
      <c r="L222" s="553">
        <f>SUM(E222:K222)</f>
        <v>56079975220.767059</v>
      </c>
    </row>
    <row r="223" spans="1:14" ht="13.25" customHeight="1" outlineLevel="1" x14ac:dyDescent="0.15">
      <c r="A223" s="66"/>
      <c r="B223" s="64"/>
      <c r="C223" s="132" t="b">
        <f>(C222+C260)=C207</f>
        <v>1</v>
      </c>
      <c r="D223" s="132" t="b">
        <f t="shared" ref="D223:K223" si="47">(D222+D260)=D207</f>
        <v>1</v>
      </c>
      <c r="E223" s="132" t="b">
        <f t="shared" si="47"/>
        <v>1</v>
      </c>
      <c r="F223" s="132" t="b">
        <f t="shared" si="47"/>
        <v>1</v>
      </c>
      <c r="G223" s="132" t="b">
        <f t="shared" si="47"/>
        <v>1</v>
      </c>
      <c r="H223" s="132" t="b">
        <f t="shared" si="47"/>
        <v>0</v>
      </c>
      <c r="I223" s="132" t="b">
        <f t="shared" si="47"/>
        <v>1</v>
      </c>
      <c r="J223" s="132" t="b">
        <f t="shared" si="47"/>
        <v>1</v>
      </c>
      <c r="K223" s="132" t="b">
        <f t="shared" si="47"/>
        <v>1</v>
      </c>
    </row>
    <row r="224" spans="1:14" ht="16" outlineLevel="1" x14ac:dyDescent="0.2">
      <c r="A224" s="98" t="s">
        <v>189</v>
      </c>
      <c r="B224" s="66"/>
      <c r="C224" s="66"/>
      <c r="D224" s="66"/>
      <c r="E224" s="66"/>
      <c r="F224" s="66"/>
      <c r="G224" s="66"/>
      <c r="H224" s="66"/>
    </row>
    <row r="225" spans="1:13" ht="16" outlineLevel="1" x14ac:dyDescent="0.2">
      <c r="A225" s="98"/>
      <c r="B225" s="66"/>
      <c r="C225" s="66"/>
      <c r="D225" s="66"/>
      <c r="E225" s="66"/>
      <c r="F225" s="66"/>
      <c r="G225" s="66"/>
      <c r="H225" s="66"/>
    </row>
    <row r="226" spans="1:13" outlineLevel="1" x14ac:dyDescent="0.15">
      <c r="A226" s="66"/>
      <c r="B226" s="66" t="s">
        <v>190</v>
      </c>
      <c r="C226" s="69"/>
      <c r="D226" s="66"/>
      <c r="E226" s="82"/>
      <c r="F226" s="82"/>
      <c r="G226" s="82"/>
      <c r="H226" s="82"/>
      <c r="I226" s="82"/>
      <c r="J226" s="82"/>
      <c r="K226" s="82"/>
      <c r="L226" s="82"/>
      <c r="M226" s="82"/>
    </row>
    <row r="227" spans="1:13" ht="15" outlineLevel="1" x14ac:dyDescent="0.15">
      <c r="A227" s="66"/>
      <c r="B227" s="130" t="s">
        <v>191</v>
      </c>
      <c r="C227" s="472">
        <v>2015</v>
      </c>
      <c r="D227" s="66"/>
      <c r="E227" s="130" t="s">
        <v>99</v>
      </c>
      <c r="F227" s="472" t="s">
        <v>262</v>
      </c>
      <c r="G227" s="66"/>
      <c r="H227" s="66"/>
    </row>
    <row r="228" spans="1:13" outlineLevel="1" x14ac:dyDescent="0.15">
      <c r="A228" s="66"/>
      <c r="B228" s="536" t="s">
        <v>193</v>
      </c>
      <c r="C228" s="537">
        <f>SUM(C229:C230)</f>
        <v>3134</v>
      </c>
      <c r="D228" s="66"/>
      <c r="E228" s="538" t="s">
        <v>263</v>
      </c>
      <c r="F228" s="593">
        <f>(C229-C111)/C111</f>
        <v>-0.74079964188106673</v>
      </c>
      <c r="G228" s="66"/>
      <c r="H228" s="66"/>
    </row>
    <row r="229" spans="1:13" outlineLevel="1" x14ac:dyDescent="0.15">
      <c r="A229" s="66"/>
      <c r="B229" s="538" t="s">
        <v>194</v>
      </c>
      <c r="C229" s="539">
        <v>2200.3000000000002</v>
      </c>
      <c r="D229" s="66"/>
      <c r="E229" s="538" t="s">
        <v>264</v>
      </c>
      <c r="F229" s="593">
        <f>(C230-C112)/C112</f>
        <v>-0.63524494101101647</v>
      </c>
      <c r="G229" s="66"/>
      <c r="H229" s="66"/>
    </row>
    <row r="230" spans="1:13" outlineLevel="1" x14ac:dyDescent="0.15">
      <c r="A230" s="66"/>
      <c r="B230" s="538" t="s">
        <v>196</v>
      </c>
      <c r="C230" s="540">
        <v>933.7</v>
      </c>
      <c r="D230" s="66"/>
      <c r="E230" s="538" t="s">
        <v>195</v>
      </c>
      <c r="F230" s="593">
        <f>(C232-C114)/C114</f>
        <v>-0.96824820829175362</v>
      </c>
      <c r="G230" s="66"/>
      <c r="H230" s="66"/>
    </row>
    <row r="231" spans="1:13" outlineLevel="1" x14ac:dyDescent="0.15">
      <c r="A231" s="66"/>
      <c r="B231" s="536" t="s">
        <v>195</v>
      </c>
      <c r="C231" s="537">
        <f>C232</f>
        <v>35</v>
      </c>
      <c r="D231" s="66"/>
      <c r="E231" s="66"/>
      <c r="F231" s="66"/>
      <c r="G231" s="66"/>
      <c r="H231" s="66"/>
    </row>
    <row r="232" spans="1:13" outlineLevel="1" x14ac:dyDescent="0.15">
      <c r="A232" s="66"/>
      <c r="B232" s="538" t="s">
        <v>194</v>
      </c>
      <c r="C232" s="540">
        <v>35</v>
      </c>
      <c r="D232" s="66"/>
      <c r="E232" s="66"/>
      <c r="F232" s="66"/>
      <c r="G232" s="66"/>
      <c r="H232" s="66"/>
    </row>
    <row r="233" spans="1:13" outlineLevel="1" x14ac:dyDescent="0.15">
      <c r="A233" s="66"/>
      <c r="B233" s="536" t="s">
        <v>198</v>
      </c>
      <c r="C233" s="541">
        <f>C234</f>
        <v>3.9</v>
      </c>
      <c r="D233" s="66"/>
      <c r="E233" s="66"/>
      <c r="F233" s="66"/>
      <c r="G233" s="66"/>
      <c r="H233" s="66"/>
    </row>
    <row r="234" spans="1:13" outlineLevel="1" x14ac:dyDescent="0.15">
      <c r="A234" s="66"/>
      <c r="B234" s="538" t="s">
        <v>199</v>
      </c>
      <c r="C234" s="540">
        <v>3.9</v>
      </c>
      <c r="D234" s="66"/>
      <c r="E234" s="66"/>
      <c r="F234" s="66"/>
      <c r="G234" s="66"/>
      <c r="H234" s="66"/>
    </row>
    <row r="235" spans="1:13" outlineLevel="1" x14ac:dyDescent="0.15">
      <c r="A235" s="66"/>
      <c r="B235" s="542" t="s">
        <v>170</v>
      </c>
      <c r="C235" s="543">
        <f>C228+C231+C233</f>
        <v>3172.9</v>
      </c>
      <c r="D235" s="66"/>
      <c r="E235" s="66"/>
      <c r="F235" s="66"/>
      <c r="G235" s="66"/>
      <c r="H235" s="66"/>
    </row>
    <row r="236" spans="1:13" outlineLevel="1" x14ac:dyDescent="0.15">
      <c r="A236" s="66"/>
      <c r="B236" s="101" t="s">
        <v>200</v>
      </c>
      <c r="C236" s="69"/>
      <c r="D236" s="66"/>
      <c r="E236" s="66"/>
      <c r="F236" s="66"/>
      <c r="G236" s="66"/>
      <c r="H236" s="66"/>
    </row>
    <row r="237" spans="1:13" outlineLevel="1" x14ac:dyDescent="0.15">
      <c r="A237" s="66"/>
      <c r="B237" s="66"/>
      <c r="C237" s="69"/>
      <c r="D237" s="66"/>
      <c r="E237" s="66"/>
      <c r="F237" s="66"/>
      <c r="G237" s="66"/>
      <c r="H237" s="66"/>
    </row>
    <row r="238" spans="1:13" ht="16" outlineLevel="1" x14ac:dyDescent="0.2">
      <c r="A238" s="98" t="s">
        <v>201</v>
      </c>
      <c r="B238" s="66"/>
      <c r="C238" s="69"/>
      <c r="D238" s="66"/>
      <c r="E238" s="66"/>
      <c r="F238" s="66"/>
      <c r="G238" s="66"/>
      <c r="H238" s="66"/>
    </row>
    <row r="239" spans="1:13" ht="16" outlineLevel="1" x14ac:dyDescent="0.2">
      <c r="A239" s="98"/>
      <c r="B239" s="66"/>
      <c r="C239" s="69"/>
      <c r="D239" s="66"/>
      <c r="E239" s="66"/>
      <c r="F239" s="66"/>
      <c r="G239" s="66"/>
      <c r="H239" s="66"/>
    </row>
    <row r="240" spans="1:13" ht="15" hidden="1" outlineLevel="1" x14ac:dyDescent="0.15">
      <c r="A240" s="66"/>
      <c r="B240" s="131">
        <v>2015</v>
      </c>
      <c r="C240" s="83" t="s">
        <v>177</v>
      </c>
      <c r="D240" s="84" t="s">
        <v>100</v>
      </c>
      <c r="E240" s="84" t="s">
        <v>178</v>
      </c>
      <c r="F240" s="84" t="s">
        <v>179</v>
      </c>
      <c r="G240" s="84" t="s">
        <v>180</v>
      </c>
      <c r="H240" s="84" t="s">
        <v>181</v>
      </c>
      <c r="I240" s="84" t="s">
        <v>182</v>
      </c>
      <c r="J240" s="84" t="s">
        <v>183</v>
      </c>
      <c r="K240" s="84" t="s">
        <v>184</v>
      </c>
      <c r="L240" s="84" t="s">
        <v>265</v>
      </c>
    </row>
    <row r="241" spans="1:21" hidden="1" outlineLevel="1" x14ac:dyDescent="0.15">
      <c r="A241" s="66"/>
      <c r="B241" s="72" t="s">
        <v>252</v>
      </c>
      <c r="C241" s="140">
        <f>'[1]Socioeconomic Data'!C6</f>
        <v>2727195.9823191222</v>
      </c>
      <c r="D241" s="140">
        <f>'[1]Socioeconomic Data'!D6</f>
        <v>2511020.0176808666</v>
      </c>
      <c r="E241" s="140">
        <f>'[1]Socioeconomic Data'!E6</f>
        <v>5238215.9999999888</v>
      </c>
      <c r="F241" s="140">
        <f>'[1]Socioeconomic Data'!F6</f>
        <v>933735.99999995017</v>
      </c>
      <c r="G241" s="140">
        <f>'[1]Socioeconomic Data'!G6</f>
        <v>123354.99999998651</v>
      </c>
      <c r="H241" s="140">
        <f>'[1]Socioeconomic Data'!H6</f>
        <v>530847.00000003248</v>
      </c>
      <c r="I241" s="140">
        <f>'[1]Socioeconomic Data'!I6</f>
        <v>703909.99999997485</v>
      </c>
      <c r="J241" s="140">
        <f>'[1]Socioeconomic Data'!J6</f>
        <v>307342.99999999424</v>
      </c>
      <c r="K241" s="140">
        <f>'[1]Socioeconomic Data'!K6</f>
        <v>687263.00000007811</v>
      </c>
      <c r="L241" s="140">
        <v>321039839</v>
      </c>
    </row>
    <row r="242" spans="1:21" hidden="1" outlineLevel="1" x14ac:dyDescent="0.15">
      <c r="A242" s="66"/>
      <c r="B242" s="72" t="s">
        <v>266</v>
      </c>
      <c r="C242" s="115">
        <f t="shared" ref="C242:K242" si="48">C241/$L$241</f>
        <v>8.4948833478549132E-3</v>
      </c>
      <c r="D242" s="115">
        <f t="shared" si="48"/>
        <v>7.8215215454330786E-3</v>
      </c>
      <c r="E242" s="115">
        <f t="shared" si="48"/>
        <v>1.6316404893287992E-2</v>
      </c>
      <c r="F242" s="115">
        <f t="shared" si="48"/>
        <v>2.9084739230757907E-3</v>
      </c>
      <c r="G242" s="115">
        <f t="shared" si="48"/>
        <v>3.842358019622185E-4</v>
      </c>
      <c r="H242" s="115">
        <f t="shared" si="48"/>
        <v>1.6535237547263798E-3</v>
      </c>
      <c r="I242" s="115">
        <f t="shared" si="48"/>
        <v>2.1925939228993161E-3</v>
      </c>
      <c r="J242" s="115">
        <f t="shared" si="48"/>
        <v>9.5733601461217479E-4</v>
      </c>
      <c r="K242" s="115">
        <f t="shared" si="48"/>
        <v>2.1407405452881444E-3</v>
      </c>
      <c r="L242" s="72"/>
    </row>
    <row r="243" spans="1:21" hidden="1" outlineLevel="1" x14ac:dyDescent="0.15">
      <c r="A243" s="66"/>
      <c r="B243" s="101" t="s">
        <v>267</v>
      </c>
      <c r="C243" s="69"/>
      <c r="D243" s="66"/>
      <c r="E243" s="66"/>
      <c r="F243" s="66"/>
      <c r="G243" s="66"/>
      <c r="H243" s="66"/>
    </row>
    <row r="244" spans="1:21" hidden="1" outlineLevel="1" x14ac:dyDescent="0.15">
      <c r="A244" s="66"/>
      <c r="B244" s="101" t="s">
        <v>268</v>
      </c>
      <c r="C244" s="69"/>
      <c r="D244" s="66"/>
      <c r="E244" s="66"/>
      <c r="F244" s="66"/>
      <c r="G244" s="66"/>
      <c r="H244" s="66"/>
    </row>
    <row r="245" spans="1:21" hidden="1" outlineLevel="1" x14ac:dyDescent="0.15">
      <c r="A245" s="66"/>
      <c r="B245" s="101" t="s">
        <v>269</v>
      </c>
      <c r="C245" s="69"/>
      <c r="D245" s="66"/>
      <c r="E245" s="66"/>
      <c r="F245" s="66"/>
      <c r="G245" s="66"/>
      <c r="H245" s="66"/>
    </row>
    <row r="246" spans="1:21" hidden="1" outlineLevel="1" x14ac:dyDescent="0.15">
      <c r="A246" s="66"/>
      <c r="B246" s="66"/>
      <c r="C246" s="69"/>
      <c r="D246" s="66"/>
      <c r="E246" s="66"/>
      <c r="F246" s="66"/>
      <c r="G246" s="66"/>
      <c r="H246" s="66"/>
    </row>
    <row r="247" spans="1:21" ht="15" outlineLevel="1" x14ac:dyDescent="0.15">
      <c r="A247" s="66"/>
      <c r="B247" s="131"/>
      <c r="C247" s="83" t="s">
        <v>177</v>
      </c>
      <c r="D247" s="84" t="s">
        <v>100</v>
      </c>
      <c r="E247" s="84" t="s">
        <v>178</v>
      </c>
      <c r="F247" s="84" t="s">
        <v>179</v>
      </c>
      <c r="G247" s="84" t="s">
        <v>180</v>
      </c>
      <c r="H247" s="84" t="s">
        <v>181</v>
      </c>
      <c r="I247" s="84" t="s">
        <v>182</v>
      </c>
      <c r="J247" s="84" t="s">
        <v>183</v>
      </c>
      <c r="K247" s="84" t="s">
        <v>184</v>
      </c>
    </row>
    <row r="248" spans="1:21" ht="15" outlineLevel="1" x14ac:dyDescent="0.15">
      <c r="A248" s="66"/>
      <c r="B248" s="72" t="s">
        <v>213</v>
      </c>
      <c r="C248" s="115">
        <f>C136*(1+$F$228)</f>
        <v>6.4453478987334088E-4</v>
      </c>
      <c r="D248" s="115">
        <f t="shared" ref="D248:K248" si="49">D136*(1+$F$228)</f>
        <v>9.2488559665039778E-4</v>
      </c>
      <c r="E248" s="115">
        <f t="shared" si="49"/>
        <v>7.1963902754174937E-4</v>
      </c>
      <c r="F248" s="115">
        <f t="shared" si="49"/>
        <v>1.2248072829765307E-3</v>
      </c>
      <c r="G248" s="115">
        <f t="shared" si="49"/>
        <v>5.3687514397331583E-4</v>
      </c>
      <c r="H248" s="115">
        <f t="shared" si="49"/>
        <v>4.0294946177020106E-4</v>
      </c>
      <c r="I248" s="115">
        <f t="shared" si="49"/>
        <v>1.3296480403701442E-3</v>
      </c>
      <c r="J248" s="115">
        <f t="shared" si="49"/>
        <v>4.7494660414711305E-4</v>
      </c>
      <c r="K248" s="115">
        <f t="shared" si="49"/>
        <v>5.6283844214932439E-4</v>
      </c>
      <c r="L248" s="294"/>
      <c r="N248" s="254"/>
      <c r="R248" s="252"/>
      <c r="T248" s="252"/>
      <c r="U248" s="255"/>
    </row>
    <row r="249" spans="1:21" ht="15" outlineLevel="1" x14ac:dyDescent="0.15">
      <c r="A249" s="66"/>
      <c r="B249" s="72" t="s">
        <v>214</v>
      </c>
      <c r="C249" s="115">
        <f t="shared" ref="C249:K249" si="50">C137*(1+$F$229)</f>
        <v>2.0898033780769555E-3</v>
      </c>
      <c r="D249" s="115">
        <f t="shared" si="50"/>
        <v>1.0594234781664995E-3</v>
      </c>
      <c r="E249" s="115">
        <f t="shared" si="50"/>
        <v>1.5655595584814694E-3</v>
      </c>
      <c r="F249" s="115">
        <f t="shared" si="50"/>
        <v>2.4989650251612946E-3</v>
      </c>
      <c r="G249" s="115">
        <f t="shared" si="50"/>
        <v>6.5954942260401282E-4</v>
      </c>
      <c r="H249" s="115">
        <f t="shared" si="50"/>
        <v>4.6772467314584449E-4</v>
      </c>
      <c r="I249" s="115">
        <f t="shared" si="50"/>
        <v>2.1011340787204275E-3</v>
      </c>
      <c r="J249" s="115">
        <f t="shared" si="50"/>
        <v>5.2603215001406026E-4</v>
      </c>
      <c r="K249" s="115">
        <f t="shared" si="50"/>
        <v>7.048710811247697E-4</v>
      </c>
      <c r="L249" s="294"/>
      <c r="N249" s="254"/>
      <c r="R249" s="252"/>
      <c r="T249" s="252"/>
      <c r="U249" s="255"/>
    </row>
    <row r="250" spans="1:21" ht="15" outlineLevel="1" x14ac:dyDescent="0.15">
      <c r="A250" s="66"/>
      <c r="B250" s="72" t="s">
        <v>215</v>
      </c>
      <c r="C250" s="115">
        <f t="shared" ref="C250:K250" si="51">C138*(1+$F$230)</f>
        <v>9.5611930522204662E-5</v>
      </c>
      <c r="D250" s="115">
        <f t="shared" si="51"/>
        <v>3.2524018261011466E-5</v>
      </c>
      <c r="E250" s="115">
        <f t="shared" si="51"/>
        <v>7.8711071163393265E-5</v>
      </c>
      <c r="F250" s="115">
        <f t="shared" si="51"/>
        <v>1.0278047152552779E-4</v>
      </c>
      <c r="G250" s="115">
        <f t="shared" si="51"/>
        <v>7.1330804499668377E-5</v>
      </c>
      <c r="H250" s="115">
        <f t="shared" si="51"/>
        <v>6.2322836557997466E-5</v>
      </c>
      <c r="I250" s="115">
        <f t="shared" si="51"/>
        <v>1.0003089944864293E-4</v>
      </c>
      <c r="J250" s="115">
        <f t="shared" si="51"/>
        <v>7.7328317772595593E-5</v>
      </c>
      <c r="K250" s="115">
        <f t="shared" si="51"/>
        <v>6.1245105756717078E-5</v>
      </c>
      <c r="L250" s="295"/>
      <c r="R250" s="251"/>
      <c r="T250" s="251"/>
      <c r="U250" s="255"/>
    </row>
    <row r="251" spans="1:21" ht="15" outlineLevel="1" x14ac:dyDescent="0.15">
      <c r="A251" s="66"/>
      <c r="B251" s="72" t="s">
        <v>217</v>
      </c>
      <c r="C251" s="115">
        <v>0</v>
      </c>
      <c r="D251" s="115">
        <v>0</v>
      </c>
      <c r="E251" s="115">
        <v>0</v>
      </c>
      <c r="F251" s="115">
        <v>0</v>
      </c>
      <c r="G251" s="115">
        <v>0</v>
      </c>
      <c r="H251" s="115">
        <v>0</v>
      </c>
      <c r="I251" s="115">
        <v>0</v>
      </c>
      <c r="J251" s="115">
        <v>0</v>
      </c>
      <c r="K251" s="115">
        <v>0</v>
      </c>
      <c r="L251" s="295"/>
      <c r="R251" s="251"/>
      <c r="T251" s="251"/>
      <c r="U251" s="255"/>
    </row>
    <row r="252" spans="1:21" ht="15" outlineLevel="1" x14ac:dyDescent="0.15">
      <c r="A252" s="66"/>
      <c r="B252" s="101" t="s">
        <v>219</v>
      </c>
      <c r="C252" s="521"/>
      <c r="D252" s="521"/>
      <c r="E252" s="521"/>
      <c r="F252" s="521"/>
      <c r="G252" s="521"/>
      <c r="H252" s="521"/>
      <c r="I252" s="521"/>
      <c r="J252" s="521"/>
      <c r="K252" s="521"/>
      <c r="L252" s="295"/>
      <c r="R252" s="251"/>
      <c r="T252" s="251"/>
      <c r="U252" s="255"/>
    </row>
    <row r="253" spans="1:21" ht="15" outlineLevel="1" x14ac:dyDescent="0.15">
      <c r="A253" s="66"/>
      <c r="B253" s="101"/>
      <c r="C253" s="521"/>
      <c r="D253" s="521"/>
      <c r="E253" s="521"/>
      <c r="F253" s="521"/>
      <c r="G253" s="521"/>
      <c r="H253" s="521"/>
      <c r="I253" s="521"/>
      <c r="J253" s="521"/>
      <c r="K253" s="521"/>
      <c r="L253" s="295"/>
      <c r="R253" s="251"/>
      <c r="T253" s="251"/>
      <c r="U253" s="255"/>
    </row>
    <row r="254" spans="1:21" ht="16" outlineLevel="1" x14ac:dyDescent="0.2">
      <c r="A254" s="98" t="s">
        <v>171</v>
      </c>
      <c r="B254" s="66"/>
      <c r="C254" s="69"/>
      <c r="D254" s="66"/>
      <c r="E254" s="66"/>
      <c r="F254" s="66"/>
      <c r="G254" s="66"/>
      <c r="H254" s="66"/>
    </row>
    <row r="255" spans="1:21" ht="16" outlineLevel="1" x14ac:dyDescent="0.2">
      <c r="A255" s="98"/>
      <c r="B255" s="66"/>
      <c r="C255" s="69"/>
      <c r="D255" s="66"/>
      <c r="E255" s="66"/>
      <c r="F255" s="66"/>
      <c r="G255" s="66"/>
      <c r="H255" s="66"/>
    </row>
    <row r="256" spans="1:21" ht="16" outlineLevel="1" x14ac:dyDescent="0.2">
      <c r="A256" s="98"/>
      <c r="B256" s="83" t="s">
        <v>191</v>
      </c>
      <c r="C256" s="83" t="s">
        <v>177</v>
      </c>
      <c r="D256" s="84" t="s">
        <v>100</v>
      </c>
      <c r="E256" s="84" t="s">
        <v>178</v>
      </c>
      <c r="F256" s="84" t="s">
        <v>179</v>
      </c>
      <c r="G256" s="84" t="s">
        <v>180</v>
      </c>
      <c r="H256" s="84" t="s">
        <v>181</v>
      </c>
      <c r="I256" s="84" t="s">
        <v>182</v>
      </c>
      <c r="J256" s="84" t="s">
        <v>183</v>
      </c>
      <c r="K256" s="84" t="s">
        <v>184</v>
      </c>
      <c r="L256" s="84" t="s">
        <v>88</v>
      </c>
    </row>
    <row r="257" spans="1:13" ht="16" outlineLevel="1" x14ac:dyDescent="0.2">
      <c r="A257" s="98"/>
      <c r="B257" s="85" t="s">
        <v>103</v>
      </c>
      <c r="C257" s="519">
        <f>(C248+C250)*C199</f>
        <v>4946961.9574057898</v>
      </c>
      <c r="D257" s="519">
        <f>(D248+D250)*D199</f>
        <v>9844312.8828823138</v>
      </c>
      <c r="E257" s="533">
        <f t="shared" ref="E257:E259" si="52">SUM(C257:D257)</f>
        <v>14791274.840288103</v>
      </c>
      <c r="F257" s="519">
        <f t="shared" ref="F257:K257" si="53">(F248+F250)*F199</f>
        <v>6705646.1560839098</v>
      </c>
      <c r="G257" s="519">
        <f t="shared" si="53"/>
        <v>1546326.6615018847</v>
      </c>
      <c r="H257" s="519">
        <f t="shared" si="53"/>
        <v>270764.07488683466</v>
      </c>
      <c r="I257" s="519">
        <f t="shared" si="53"/>
        <v>5551832.3815514771</v>
      </c>
      <c r="J257" s="519">
        <f t="shared" si="53"/>
        <v>871096.98773709941</v>
      </c>
      <c r="K257" s="519">
        <f t="shared" si="53"/>
        <v>2150928.1059692805</v>
      </c>
      <c r="L257" s="564">
        <f t="shared" ref="L257:L259" si="54">SUM(E257:K257)</f>
        <v>31887869.208018593</v>
      </c>
      <c r="M257" s="241"/>
    </row>
    <row r="258" spans="1:13" ht="16" outlineLevel="1" x14ac:dyDescent="0.2">
      <c r="A258" s="98"/>
      <c r="B258" s="85" t="s">
        <v>105</v>
      </c>
      <c r="C258" s="519">
        <f>C249*C200</f>
        <v>6304742.3806915898</v>
      </c>
      <c r="D258" s="519">
        <f>D249*D200</f>
        <v>4916979.3479704978</v>
      </c>
      <c r="E258" s="533">
        <f t="shared" si="52"/>
        <v>11221721.728662089</v>
      </c>
      <c r="F258" s="519">
        <f t="shared" ref="F258:K258" si="55">F249*F200</f>
        <v>5697426.6143551031</v>
      </c>
      <c r="G258" s="519">
        <f t="shared" si="55"/>
        <v>756901.02296252945</v>
      </c>
      <c r="H258" s="519">
        <f t="shared" si="55"/>
        <v>122861.3527356049</v>
      </c>
      <c r="I258" s="519">
        <f t="shared" si="55"/>
        <v>3682924.0234454605</v>
      </c>
      <c r="J258" s="519">
        <f t="shared" si="55"/>
        <v>374511.0570318962</v>
      </c>
      <c r="K258" s="519">
        <f t="shared" si="55"/>
        <v>1096564.0929938627</v>
      </c>
      <c r="L258" s="564">
        <f t="shared" si="54"/>
        <v>22952909.892186545</v>
      </c>
      <c r="M258" s="241"/>
    </row>
    <row r="259" spans="1:13" ht="16" outlineLevel="1" x14ac:dyDescent="0.2">
      <c r="A259" s="98"/>
      <c r="B259" s="85" t="s">
        <v>108</v>
      </c>
      <c r="C259" s="519">
        <f>C251*C202</f>
        <v>0</v>
      </c>
      <c r="D259" s="519">
        <f>D251*D202</f>
        <v>0</v>
      </c>
      <c r="E259" s="533">
        <f t="shared" si="52"/>
        <v>0</v>
      </c>
      <c r="F259" s="519">
        <f t="shared" ref="F259:K259" si="56">F251*F202</f>
        <v>0</v>
      </c>
      <c r="G259" s="519">
        <f t="shared" si="56"/>
        <v>0</v>
      </c>
      <c r="H259" s="519">
        <f t="shared" si="56"/>
        <v>0</v>
      </c>
      <c r="I259" s="519">
        <f t="shared" si="56"/>
        <v>0</v>
      </c>
      <c r="J259" s="519">
        <f t="shared" si="56"/>
        <v>0</v>
      </c>
      <c r="K259" s="519">
        <f t="shared" si="56"/>
        <v>0</v>
      </c>
      <c r="L259" s="564">
        <f t="shared" si="54"/>
        <v>0</v>
      </c>
      <c r="M259" s="241"/>
    </row>
    <row r="260" spans="1:13" ht="16" outlineLevel="1" x14ac:dyDescent="0.2">
      <c r="A260" s="98"/>
      <c r="B260" s="546" t="s">
        <v>170</v>
      </c>
      <c r="C260" s="545">
        <f t="shared" ref="C260" si="57">SUM(C257:C259)</f>
        <v>11251704.338097379</v>
      </c>
      <c r="D260" s="545">
        <f t="shared" ref="D260" si="58">SUM(D257:D259)</f>
        <v>14761292.230852813</v>
      </c>
      <c r="E260" s="545">
        <f t="shared" ref="E260" si="59">SUM(E257:E259)</f>
        <v>26012996.568950191</v>
      </c>
      <c r="F260" s="545">
        <f t="shared" ref="F260" si="60">SUM(F257:F259)</f>
        <v>12403072.770439014</v>
      </c>
      <c r="G260" s="545">
        <f t="shared" ref="G260" si="61">SUM(G257:G259)</f>
        <v>2303227.6844644141</v>
      </c>
      <c r="H260" s="545">
        <f t="shared" ref="H260" si="62">SUM(H257:H259)</f>
        <v>393625.42762243957</v>
      </c>
      <c r="I260" s="545">
        <f t="shared" ref="I260" si="63">SUM(I257:I259)</f>
        <v>9234756.4049969371</v>
      </c>
      <c r="J260" s="545">
        <f t="shared" ref="J260" si="64">SUM(J257:J259)</f>
        <v>1245608.0447689956</v>
      </c>
      <c r="K260" s="545">
        <f t="shared" ref="K260" si="65">SUM(K257:K259)</f>
        <v>3247492.1989631429</v>
      </c>
      <c r="L260" s="553">
        <f>SUM(E260:K260)</f>
        <v>54840779.100205138</v>
      </c>
    </row>
    <row r="261" spans="1:13" ht="16" outlineLevel="1" x14ac:dyDescent="0.2">
      <c r="A261" s="98"/>
      <c r="B261" s="518"/>
      <c r="C261" s="147"/>
      <c r="D261" s="147"/>
      <c r="E261" s="147"/>
      <c r="F261" s="147"/>
      <c r="G261" s="147"/>
      <c r="H261" s="147"/>
      <c r="I261" s="147"/>
      <c r="J261" s="147"/>
      <c r="K261" s="147"/>
    </row>
    <row r="262" spans="1:13" ht="16" outlineLevel="1" x14ac:dyDescent="0.2">
      <c r="A262" s="98" t="s">
        <v>220</v>
      </c>
      <c r="B262" s="126"/>
      <c r="C262" s="126"/>
      <c r="D262" s="126"/>
      <c r="E262" s="126"/>
      <c r="F262" s="66"/>
      <c r="G262" s="126"/>
      <c r="H262" s="126"/>
    </row>
    <row r="263" spans="1:13" outlineLevel="1" x14ac:dyDescent="0.15">
      <c r="A263" s="66"/>
      <c r="B263" s="66"/>
      <c r="C263" s="66"/>
      <c r="D263" s="66"/>
      <c r="E263" s="66"/>
      <c r="F263" s="66"/>
      <c r="G263" s="66"/>
      <c r="H263" s="66"/>
    </row>
    <row r="264" spans="1:13" ht="15" outlineLevel="1" x14ac:dyDescent="0.15">
      <c r="A264" s="66"/>
      <c r="B264" s="130"/>
      <c r="C264" s="130"/>
      <c r="D264" s="128" t="s">
        <v>221</v>
      </c>
      <c r="E264" s="128" t="s">
        <v>222</v>
      </c>
      <c r="F264" s="66"/>
      <c r="G264" s="66"/>
      <c r="H264" s="66"/>
    </row>
    <row r="265" spans="1:13" outlineLevel="1" x14ac:dyDescent="0.15">
      <c r="A265" s="66"/>
      <c r="B265" s="129"/>
      <c r="C265" s="129"/>
      <c r="D265" s="131">
        <v>2015</v>
      </c>
      <c r="E265" s="131">
        <v>2015</v>
      </c>
      <c r="F265" s="66"/>
      <c r="G265" s="66"/>
      <c r="H265" s="66"/>
    </row>
    <row r="266" spans="1:13" outlineLevel="1" x14ac:dyDescent="0.15">
      <c r="A266" s="66"/>
      <c r="B266" s="72" t="s">
        <v>223</v>
      </c>
      <c r="C266" s="72" t="s">
        <v>224</v>
      </c>
      <c r="D266" s="556">
        <f>1/(26.16*393.2%/112194)</f>
        <v>1090.7328249974335</v>
      </c>
      <c r="E266" s="127">
        <f>+D266*'Constants &amp; Conversions'!$D$55</f>
        <v>0.3196719763502478</v>
      </c>
      <c r="F266" s="66" t="s">
        <v>225</v>
      </c>
      <c r="G266" s="66"/>
      <c r="H266" s="66"/>
    </row>
    <row r="267" spans="1:13" outlineLevel="1" x14ac:dyDescent="0.15">
      <c r="A267" s="66"/>
      <c r="B267" s="72"/>
      <c r="C267" s="72" t="s">
        <v>226</v>
      </c>
      <c r="D267" s="556">
        <v>1232</v>
      </c>
      <c r="E267" s="127">
        <f>+D267*'Constants &amp; Conversions'!$D$55</f>
        <v>0.36107455999999999</v>
      </c>
      <c r="F267" s="66" t="s">
        <v>270</v>
      </c>
      <c r="G267" s="66"/>
      <c r="H267" s="66"/>
    </row>
    <row r="268" spans="1:13" outlineLevel="1" x14ac:dyDescent="0.15">
      <c r="A268" s="66"/>
      <c r="B268" s="192" t="s">
        <v>228</v>
      </c>
      <c r="C268" s="192" t="s">
        <v>224</v>
      </c>
      <c r="D268" s="194">
        <f>(D270*C280)+(D272*D280)</f>
        <v>1667.4115275508932</v>
      </c>
      <c r="E268" s="193">
        <f>+D268*'Constants &amp; Conversions'!$D$55</f>
        <v>0.48868497049461573</v>
      </c>
      <c r="F268" s="66"/>
      <c r="G268" s="66"/>
      <c r="H268" s="66"/>
    </row>
    <row r="269" spans="1:13" outlineLevel="1" x14ac:dyDescent="0.15">
      <c r="A269" s="66"/>
      <c r="B269" s="192"/>
      <c r="C269" s="192" t="s">
        <v>226</v>
      </c>
      <c r="D269" s="194">
        <f>(D271*C280)+(D273*D280)</f>
        <v>1532.2627500000006</v>
      </c>
      <c r="E269" s="193">
        <f>+D269*'Constants &amp; Conversions'!$D$55</f>
        <v>0.44907556677000016</v>
      </c>
      <c r="F269" s="66"/>
      <c r="G269" s="66"/>
      <c r="H269" s="66"/>
    </row>
    <row r="270" spans="1:13" outlineLevel="1" x14ac:dyDescent="0.15">
      <c r="A270" s="66"/>
      <c r="B270" s="72" t="s">
        <v>229</v>
      </c>
      <c r="C270" s="72" t="s">
        <v>224</v>
      </c>
      <c r="D270" s="556">
        <f>1/(20.06*352.8%/112194)</f>
        <v>1585.295135003154</v>
      </c>
      <c r="E270" s="127">
        <f>+D270*'Constants &amp; Conversions'!$D$55</f>
        <v>0.46461829816672434</v>
      </c>
      <c r="F270" s="66" t="s">
        <v>230</v>
      </c>
      <c r="G270" s="66"/>
      <c r="H270" s="66"/>
    </row>
    <row r="271" spans="1:13" outlineLevel="1" x14ac:dyDescent="0.15">
      <c r="A271" s="66"/>
      <c r="B271" s="72"/>
      <c r="C271" s="72" t="s">
        <v>226</v>
      </c>
      <c r="D271" s="556">
        <v>1485</v>
      </c>
      <c r="E271" s="127">
        <f>+D271*'Constants &amp; Conversions'!$D$55</f>
        <v>0.43522379999999999</v>
      </c>
      <c r="F271" s="66" t="s">
        <v>271</v>
      </c>
      <c r="G271" s="66"/>
      <c r="H271" s="66"/>
    </row>
    <row r="272" spans="1:13" outlineLevel="1" x14ac:dyDescent="0.15">
      <c r="A272" s="66"/>
      <c r="B272" s="72" t="s">
        <v>232</v>
      </c>
      <c r="C272" s="72" t="s">
        <v>224</v>
      </c>
      <c r="D272" s="556">
        <f>1/(16.43*333.8%/112194)</f>
        <v>2045.7178574463192</v>
      </c>
      <c r="E272" s="127">
        <f>+D272*'Constants &amp; Conversions'!$D$55</f>
        <v>0.59955898966036714</v>
      </c>
      <c r="F272" s="66" t="s">
        <v>233</v>
      </c>
      <c r="G272" s="66"/>
      <c r="H272" s="66"/>
    </row>
    <row r="273" spans="1:12" outlineLevel="1" x14ac:dyDescent="0.15">
      <c r="A273" s="66"/>
      <c r="B273" s="72"/>
      <c r="C273" s="72" t="s">
        <v>226</v>
      </c>
      <c r="D273" s="556">
        <v>1750</v>
      </c>
      <c r="E273" s="127">
        <f>+D273*'Constants &amp; Conversions'!$D$55</f>
        <v>0.51288999999999996</v>
      </c>
      <c r="F273" s="66" t="s">
        <v>272</v>
      </c>
      <c r="G273" s="66"/>
      <c r="H273" s="66"/>
    </row>
    <row r="274" spans="1:12" outlineLevel="1" x14ac:dyDescent="0.15">
      <c r="A274" s="66"/>
      <c r="B274" s="72" t="s">
        <v>235</v>
      </c>
      <c r="C274" s="72" t="s">
        <v>224</v>
      </c>
      <c r="D274" s="556">
        <v>9289</v>
      </c>
      <c r="E274" s="127">
        <f>+D274*'Constants &amp; Conversions'!$D$55</f>
        <v>2.7224201199999998</v>
      </c>
      <c r="F274" s="66" t="s">
        <v>273</v>
      </c>
      <c r="G274" s="66"/>
      <c r="H274" s="66"/>
    </row>
    <row r="275" spans="1:12" outlineLevel="1" x14ac:dyDescent="0.15">
      <c r="A275" s="66"/>
      <c r="B275" s="101" t="s">
        <v>274</v>
      </c>
      <c r="C275" s="66"/>
      <c r="D275" s="66"/>
      <c r="E275" s="66"/>
      <c r="F275" s="66"/>
      <c r="G275" s="66"/>
      <c r="H275" s="66"/>
    </row>
    <row r="276" spans="1:12" outlineLevel="1" x14ac:dyDescent="0.15">
      <c r="A276" s="66"/>
      <c r="B276" s="101" t="s">
        <v>275</v>
      </c>
      <c r="C276" s="66"/>
      <c r="D276" s="66"/>
      <c r="E276" s="66"/>
      <c r="F276" s="188"/>
      <c r="G276" s="188"/>
      <c r="H276" s="66"/>
    </row>
    <row r="277" spans="1:12" outlineLevel="1" x14ac:dyDescent="0.15">
      <c r="A277" s="66"/>
      <c r="B277" s="66"/>
      <c r="C277" s="66"/>
      <c r="D277" s="66"/>
      <c r="E277" s="66"/>
      <c r="F277" s="188"/>
      <c r="G277" s="188"/>
      <c r="H277" s="66"/>
    </row>
    <row r="278" spans="1:12" outlineLevel="1" x14ac:dyDescent="0.15">
      <c r="A278" s="66"/>
      <c r="B278" s="284" t="s">
        <v>238</v>
      </c>
      <c r="C278" s="66"/>
      <c r="D278" s="66"/>
      <c r="E278" s="66"/>
      <c r="F278" s="66"/>
      <c r="G278" s="66"/>
      <c r="H278" s="66"/>
    </row>
    <row r="279" spans="1:12" outlineLevel="1" x14ac:dyDescent="0.15">
      <c r="A279" s="66"/>
      <c r="B279" s="178"/>
      <c r="C279" s="195" t="s">
        <v>229</v>
      </c>
      <c r="D279" s="195" t="s">
        <v>232</v>
      </c>
      <c r="E279" s="66"/>
      <c r="F279" s="66"/>
      <c r="G279" s="66"/>
      <c r="H279" s="66"/>
    </row>
    <row r="280" spans="1:12" outlineLevel="1" x14ac:dyDescent="0.15">
      <c r="A280" s="66"/>
      <c r="B280" s="285">
        <v>2015</v>
      </c>
      <c r="C280" s="196">
        <v>0.82164999999999822</v>
      </c>
      <c r="D280" s="196">
        <v>0.17835000000000178</v>
      </c>
      <c r="E280" s="66"/>
      <c r="F280" s="66"/>
      <c r="G280" s="66"/>
      <c r="H280" s="66"/>
    </row>
    <row r="281" spans="1:12" outlineLevel="1" x14ac:dyDescent="0.15">
      <c r="A281" s="66"/>
      <c r="B281" s="101" t="s">
        <v>276</v>
      </c>
      <c r="C281" s="66"/>
      <c r="D281" s="66"/>
      <c r="E281" s="66"/>
      <c r="F281" s="66"/>
      <c r="G281" s="66"/>
      <c r="H281" s="66"/>
    </row>
    <row r="282" spans="1:12" outlineLevel="1" x14ac:dyDescent="0.15">
      <c r="A282" s="66"/>
      <c r="B282" s="101"/>
      <c r="C282" s="66"/>
      <c r="D282" s="66"/>
      <c r="E282" s="66"/>
      <c r="F282" s="66"/>
      <c r="G282" s="66"/>
      <c r="H282" s="66"/>
    </row>
    <row r="283" spans="1:12" ht="16" outlineLevel="1" x14ac:dyDescent="0.2">
      <c r="A283" s="98" t="s">
        <v>240</v>
      </c>
      <c r="B283" s="66"/>
      <c r="C283" s="69"/>
      <c r="D283" s="66"/>
      <c r="E283" s="66"/>
      <c r="F283" s="66"/>
      <c r="G283" s="66"/>
      <c r="H283" s="66"/>
    </row>
    <row r="284" spans="1:12" ht="11" customHeight="1" outlineLevel="1" x14ac:dyDescent="0.2">
      <c r="A284" s="98"/>
      <c r="B284" s="66"/>
      <c r="C284" s="69"/>
      <c r="D284" s="66"/>
      <c r="E284" s="66"/>
      <c r="F284" s="66"/>
      <c r="G284" s="66"/>
      <c r="H284" s="66"/>
    </row>
    <row r="285" spans="1:12" ht="15" outlineLevel="1" x14ac:dyDescent="0.15">
      <c r="A285" s="66"/>
      <c r="B285" s="134" t="s">
        <v>191</v>
      </c>
      <c r="C285" s="134" t="s">
        <v>177</v>
      </c>
      <c r="D285" s="135" t="s">
        <v>100</v>
      </c>
      <c r="E285" s="135" t="s">
        <v>178</v>
      </c>
      <c r="F285" s="135" t="s">
        <v>179</v>
      </c>
      <c r="G285" s="135" t="s">
        <v>180</v>
      </c>
      <c r="H285" s="135" t="s">
        <v>181</v>
      </c>
      <c r="I285" s="135" t="s">
        <v>182</v>
      </c>
      <c r="J285" s="135" t="s">
        <v>183</v>
      </c>
      <c r="K285" s="135" t="s">
        <v>184</v>
      </c>
      <c r="L285" s="135" t="s">
        <v>88</v>
      </c>
    </row>
    <row r="286" spans="1:12" outlineLevel="1" x14ac:dyDescent="0.15">
      <c r="A286" s="66"/>
      <c r="B286" s="137" t="s">
        <v>241</v>
      </c>
      <c r="C286" s="594">
        <f t="shared" ref="C286:K286" si="66">C257*$C$229/$C$228*$E$266</f>
        <v>1110263.450673017</v>
      </c>
      <c r="D286" s="594">
        <f t="shared" si="66"/>
        <v>2209392.5291847964</v>
      </c>
      <c r="E286" s="594">
        <f t="shared" si="66"/>
        <v>3319655.9798578136</v>
      </c>
      <c r="F286" s="594">
        <f t="shared" si="66"/>
        <v>1504970.9102978799</v>
      </c>
      <c r="G286" s="594">
        <f t="shared" si="66"/>
        <v>347047.33730499155</v>
      </c>
      <c r="H286" s="594">
        <f t="shared" si="66"/>
        <v>60768.499675261388</v>
      </c>
      <c r="I286" s="594">
        <f t="shared" si="66"/>
        <v>1246016.5714983514</v>
      </c>
      <c r="J286" s="594">
        <f t="shared" si="66"/>
        <v>195503.25145072251</v>
      </c>
      <c r="K286" s="594">
        <f t="shared" si="66"/>
        <v>482740.09010883089</v>
      </c>
      <c r="L286" s="564">
        <f t="shared" ref="L286:L289" si="67">SUM(E286:K286)</f>
        <v>7156702.6401938507</v>
      </c>
    </row>
    <row r="287" spans="1:12" outlineLevel="1" x14ac:dyDescent="0.15">
      <c r="A287" s="66"/>
      <c r="B287" s="137" t="s">
        <v>242</v>
      </c>
      <c r="C287" s="594">
        <f t="shared" ref="C287:K287" si="68">C257*$C$230/$C$228*$E$267</f>
        <v>532161.96109583217</v>
      </c>
      <c r="D287" s="594">
        <f t="shared" si="68"/>
        <v>1058987.0903601719</v>
      </c>
      <c r="E287" s="594">
        <f t="shared" si="68"/>
        <v>1591149.0514560039</v>
      </c>
      <c r="F287" s="594">
        <f t="shared" si="68"/>
        <v>721349.75760106207</v>
      </c>
      <c r="G287" s="594">
        <f t="shared" si="68"/>
        <v>166343.75517032371</v>
      </c>
      <c r="H287" s="594">
        <f t="shared" si="68"/>
        <v>29127.036416839223</v>
      </c>
      <c r="I287" s="594">
        <f t="shared" si="68"/>
        <v>597229.98342827731</v>
      </c>
      <c r="J287" s="594">
        <f t="shared" si="68"/>
        <v>93706.942824751852</v>
      </c>
      <c r="K287" s="594">
        <f t="shared" si="68"/>
        <v>231382.84242012081</v>
      </c>
      <c r="L287" s="564">
        <f t="shared" si="67"/>
        <v>3430289.3693173798</v>
      </c>
    </row>
    <row r="288" spans="1:12" outlineLevel="1" x14ac:dyDescent="0.15">
      <c r="A288" s="66"/>
      <c r="B288" s="137" t="s">
        <v>243</v>
      </c>
      <c r="C288" s="136">
        <f t="shared" ref="C288:K288" si="69">C258*$E$268</f>
        <v>3081032.8442844227</v>
      </c>
      <c r="D288" s="136">
        <f t="shared" si="69"/>
        <v>2402853.9075855976</v>
      </c>
      <c r="E288" s="136">
        <f t="shared" si="69"/>
        <v>5483886.7518700212</v>
      </c>
      <c r="F288" s="136">
        <f t="shared" si="69"/>
        <v>2784246.7569313622</v>
      </c>
      <c r="G288" s="136">
        <f t="shared" si="69"/>
        <v>369886.15407378814</v>
      </c>
      <c r="H288" s="136">
        <f t="shared" si="69"/>
        <v>60040.496536527658</v>
      </c>
      <c r="I288" s="136">
        <f t="shared" si="69"/>
        <v>1799789.6177313563</v>
      </c>
      <c r="J288" s="136">
        <f t="shared" si="69"/>
        <v>183017.92485553955</v>
      </c>
      <c r="K288" s="136">
        <f t="shared" si="69"/>
        <v>535874.39143016085</v>
      </c>
      <c r="L288" s="564">
        <f t="shared" si="67"/>
        <v>11216742.093428755</v>
      </c>
    </row>
    <row r="289" spans="1:24" outlineLevel="1" x14ac:dyDescent="0.15">
      <c r="A289" s="66"/>
      <c r="B289" s="137" t="s">
        <v>244</v>
      </c>
      <c r="C289" s="136">
        <f t="shared" ref="C289:K289" si="70">C259*$E$274</f>
        <v>0</v>
      </c>
      <c r="D289" s="136">
        <f t="shared" si="70"/>
        <v>0</v>
      </c>
      <c r="E289" s="136">
        <f t="shared" si="70"/>
        <v>0</v>
      </c>
      <c r="F289" s="136">
        <f t="shared" si="70"/>
        <v>0</v>
      </c>
      <c r="G289" s="136">
        <f t="shared" si="70"/>
        <v>0</v>
      </c>
      <c r="H289" s="136">
        <f t="shared" si="70"/>
        <v>0</v>
      </c>
      <c r="I289" s="136">
        <f t="shared" si="70"/>
        <v>0</v>
      </c>
      <c r="J289" s="136">
        <f t="shared" si="70"/>
        <v>0</v>
      </c>
      <c r="K289" s="136">
        <f t="shared" si="70"/>
        <v>0</v>
      </c>
      <c r="L289" s="595">
        <f t="shared" si="67"/>
        <v>0</v>
      </c>
    </row>
    <row r="290" spans="1:24" outlineLevel="1" x14ac:dyDescent="0.15">
      <c r="A290" s="66"/>
      <c r="B290" s="516" t="s">
        <v>245</v>
      </c>
      <c r="C290" s="517">
        <f t="shared" ref="C290:K290" si="71">SUM(C286:C289)</f>
        <v>4723458.2560532717</v>
      </c>
      <c r="D290" s="517">
        <f t="shared" si="71"/>
        <v>5671233.5271305656</v>
      </c>
      <c r="E290" s="517">
        <f t="shared" si="71"/>
        <v>10394691.783183839</v>
      </c>
      <c r="F290" s="517">
        <f t="shared" si="71"/>
        <v>5010567.4248303045</v>
      </c>
      <c r="G290" s="517">
        <f t="shared" si="71"/>
        <v>883277.24654910341</v>
      </c>
      <c r="H290" s="517">
        <f t="shared" si="71"/>
        <v>149936.03262862825</v>
      </c>
      <c r="I290" s="517">
        <f t="shared" si="71"/>
        <v>3643036.1726579852</v>
      </c>
      <c r="J290" s="517">
        <f t="shared" si="71"/>
        <v>472228.11913101387</v>
      </c>
      <c r="K290" s="517">
        <f t="shared" si="71"/>
        <v>1249997.3239591126</v>
      </c>
      <c r="L290" s="553">
        <f>SUM(E290:K290)</f>
        <v>21803734.102939986</v>
      </c>
    </row>
    <row r="291" spans="1:24" ht="16" outlineLevel="1" x14ac:dyDescent="0.2">
      <c r="A291" s="98"/>
      <c r="B291" s="250"/>
      <c r="C291" s="514"/>
      <c r="D291" s="66"/>
      <c r="E291" s="101"/>
      <c r="F291" s="66"/>
      <c r="G291" s="66"/>
      <c r="H291" s="66"/>
    </row>
    <row r="292" spans="1:24" ht="16" outlineLevel="1" x14ac:dyDescent="0.2">
      <c r="A292" s="98" t="s">
        <v>246</v>
      </c>
      <c r="B292" s="250"/>
      <c r="C292" s="514"/>
      <c r="D292" s="66"/>
      <c r="E292" s="101"/>
      <c r="F292" s="66"/>
      <c r="G292" s="66"/>
      <c r="H292" s="66"/>
    </row>
    <row r="293" spans="1:24" ht="16" outlineLevel="1" x14ac:dyDescent="0.2">
      <c r="A293" s="98"/>
      <c r="B293" s="250"/>
      <c r="C293" s="514"/>
      <c r="D293" s="66"/>
      <c r="E293" s="101"/>
      <c r="F293" s="66"/>
      <c r="G293" s="66"/>
      <c r="H293" s="66"/>
    </row>
    <row r="294" spans="1:24" outlineLevel="1" x14ac:dyDescent="0.15">
      <c r="A294" s="66"/>
      <c r="B294" s="82" t="s">
        <v>247</v>
      </c>
      <c r="C294" s="82"/>
      <c r="D294" s="66"/>
      <c r="E294" s="66"/>
      <c r="F294" s="66"/>
      <c r="G294" s="66"/>
      <c r="H294" s="66"/>
    </row>
    <row r="295" spans="1:24" ht="15" outlineLevel="1" x14ac:dyDescent="0.15">
      <c r="A295" s="66"/>
      <c r="B295" s="130" t="s">
        <v>248</v>
      </c>
      <c r="C295" s="472"/>
      <c r="D295" s="66"/>
      <c r="E295" s="66"/>
      <c r="F295" s="66"/>
      <c r="G295" s="66"/>
      <c r="H295" s="66"/>
    </row>
    <row r="296" spans="1:24" outlineLevel="1" x14ac:dyDescent="0.15">
      <c r="A296" s="66"/>
      <c r="B296" s="538" t="s">
        <v>249</v>
      </c>
      <c r="C296" s="592">
        <f>40000*3</f>
        <v>120000</v>
      </c>
      <c r="D296" s="559"/>
      <c r="E296" s="66"/>
      <c r="F296" s="66"/>
      <c r="G296" s="66"/>
      <c r="H296" s="66"/>
    </row>
    <row r="297" spans="1:24" outlineLevel="1" x14ac:dyDescent="0.15">
      <c r="A297" s="66"/>
      <c r="B297" s="101" t="s">
        <v>277</v>
      </c>
      <c r="C297" s="243"/>
      <c r="D297" s="66"/>
      <c r="E297" s="66"/>
      <c r="F297" s="66"/>
      <c r="G297" s="66"/>
      <c r="H297" s="66"/>
    </row>
    <row r="298" spans="1:24" outlineLevel="1" x14ac:dyDescent="0.15">
      <c r="A298" s="66"/>
      <c r="B298" s="101"/>
      <c r="C298" s="69"/>
      <c r="D298" s="66"/>
      <c r="E298" s="66"/>
      <c r="F298" s="66"/>
      <c r="G298" s="66"/>
      <c r="H298" s="66"/>
    </row>
    <row r="299" spans="1:24" outlineLevel="1" x14ac:dyDescent="0.15">
      <c r="A299" s="66"/>
      <c r="B299" s="82" t="s">
        <v>278</v>
      </c>
      <c r="C299" s="126"/>
      <c r="D299" s="126"/>
      <c r="E299" s="126"/>
      <c r="F299" s="126"/>
      <c r="G299" s="126"/>
      <c r="H299" s="126"/>
      <c r="I299" s="126"/>
      <c r="J299" s="126"/>
      <c r="N299" s="82"/>
    </row>
    <row r="300" spans="1:24" ht="15" outlineLevel="1" x14ac:dyDescent="0.15">
      <c r="A300" s="66"/>
      <c r="B300" s="83" t="s">
        <v>191</v>
      </c>
      <c r="C300" s="83" t="s">
        <v>177</v>
      </c>
      <c r="D300" s="84" t="s">
        <v>100</v>
      </c>
      <c r="E300" s="84" t="s">
        <v>178</v>
      </c>
      <c r="F300" s="84" t="s">
        <v>179</v>
      </c>
      <c r="G300" s="84" t="s">
        <v>180</v>
      </c>
      <c r="H300" s="282" t="s">
        <v>181</v>
      </c>
      <c r="I300" s="84" t="s">
        <v>182</v>
      </c>
      <c r="J300" s="84" t="s">
        <v>183</v>
      </c>
      <c r="K300" s="84" t="s">
        <v>184</v>
      </c>
      <c r="N300" s="297"/>
      <c r="O300" s="297"/>
      <c r="P300" s="119"/>
      <c r="Q300" s="119"/>
      <c r="R300" s="119"/>
      <c r="S300" s="119"/>
      <c r="T300" s="119"/>
      <c r="U300" s="119"/>
      <c r="V300" s="119"/>
      <c r="W300" s="119"/>
    </row>
    <row r="301" spans="1:24" outlineLevel="1" x14ac:dyDescent="0.15">
      <c r="A301" s="66"/>
      <c r="B301" s="72" t="s">
        <v>252</v>
      </c>
      <c r="C301" s="561">
        <f>'[1]Socioeconomic Data'!C6</f>
        <v>2727195.9823191222</v>
      </c>
      <c r="D301" s="561">
        <f>'[1]Socioeconomic Data'!D6</f>
        <v>2511020.0176808666</v>
      </c>
      <c r="E301" s="561">
        <f>'[1]Socioeconomic Data'!E6</f>
        <v>5238215.9999999888</v>
      </c>
      <c r="F301" s="561">
        <f>'[1]Socioeconomic Data'!F6</f>
        <v>933735.99999995017</v>
      </c>
      <c r="G301" s="561">
        <f>'[1]Socioeconomic Data'!H6</f>
        <v>530847.00000003248</v>
      </c>
      <c r="H301" s="560"/>
      <c r="I301" s="561">
        <f>'[1]Socioeconomic Data'!I6</f>
        <v>703909.99999997485</v>
      </c>
      <c r="J301" s="561">
        <f>'[1]Socioeconomic Data'!J6</f>
        <v>307342.99999999424</v>
      </c>
      <c r="K301" s="561">
        <f>'[1]Socioeconomic Data'!K6</f>
        <v>687263.00000007811</v>
      </c>
      <c r="N301" s="246"/>
      <c r="O301" s="147"/>
      <c r="P301" s="147"/>
      <c r="Q301" s="147"/>
      <c r="R301" s="147"/>
      <c r="S301" s="147"/>
      <c r="T301" s="147"/>
      <c r="U301" s="147"/>
      <c r="V301" s="147"/>
      <c r="W301" s="147"/>
      <c r="X301" s="119"/>
    </row>
    <row r="302" spans="1:24" outlineLevel="1" x14ac:dyDescent="0.15">
      <c r="A302" s="66"/>
      <c r="B302" s="72" t="s">
        <v>253</v>
      </c>
      <c r="C302" s="505">
        <f>C301/SUM($C$301:$K$301)</f>
        <v>0.19994792946466569</v>
      </c>
      <c r="D302" s="505">
        <f t="shared" ref="D302:K302" si="72">D301/SUM($C$301:$K$301)</f>
        <v>0.18409870674298592</v>
      </c>
      <c r="E302" s="505">
        <f t="shared" si="72"/>
        <v>0.38404663620765161</v>
      </c>
      <c r="F302" s="505">
        <f t="shared" si="72"/>
        <v>6.8458072348671656E-2</v>
      </c>
      <c r="G302" s="505">
        <f t="shared" si="72"/>
        <v>3.8919739982264216E-2</v>
      </c>
      <c r="H302" s="560"/>
      <c r="I302" s="505">
        <f t="shared" si="72"/>
        <v>5.1608079486015652E-2</v>
      </c>
      <c r="J302" s="505">
        <f t="shared" si="72"/>
        <v>2.2533252792929177E-2</v>
      </c>
      <c r="K302" s="505">
        <f t="shared" si="72"/>
        <v>5.0387582974816207E-2</v>
      </c>
      <c r="N302" s="246"/>
      <c r="O302" s="147"/>
      <c r="P302" s="147"/>
      <c r="Q302" s="147"/>
      <c r="R302" s="147"/>
      <c r="S302" s="147"/>
      <c r="T302" s="147"/>
      <c r="U302" s="147"/>
      <c r="V302" s="147"/>
      <c r="W302" s="147"/>
      <c r="X302" s="119"/>
    </row>
    <row r="303" spans="1:24" outlineLevel="1" x14ac:dyDescent="0.15">
      <c r="A303" s="66"/>
      <c r="B303" s="538" t="s">
        <v>254</v>
      </c>
      <c r="C303" s="144">
        <f>$C$296*C302</f>
        <v>23993.751535759882</v>
      </c>
      <c r="D303" s="144">
        <f>$C$296*D302</f>
        <v>22091.844809158312</v>
      </c>
      <c r="E303" s="144">
        <f>$C$296*E302</f>
        <v>46085.596344918195</v>
      </c>
      <c r="F303" s="144">
        <f>$C$296*F302</f>
        <v>8214.9686818405989</v>
      </c>
      <c r="G303" s="144">
        <f>$C$296*G302</f>
        <v>4670.3687978717062</v>
      </c>
      <c r="H303" s="560"/>
      <c r="I303" s="144">
        <f>$C$296*I302</f>
        <v>6192.9695383218786</v>
      </c>
      <c r="J303" s="144">
        <f>$C$296*J302</f>
        <v>2703.9903351515013</v>
      </c>
      <c r="K303" s="144">
        <f>$C$296*K302</f>
        <v>6046.509956977945</v>
      </c>
      <c r="L303" s="147"/>
      <c r="N303" s="248"/>
      <c r="O303" s="147"/>
      <c r="P303" s="147"/>
      <c r="Q303" s="147"/>
      <c r="R303" s="147"/>
      <c r="S303" s="147"/>
      <c r="T303" s="147"/>
      <c r="U303" s="147"/>
      <c r="V303" s="147"/>
      <c r="W303" s="147"/>
    </row>
    <row r="304" spans="1:24" outlineLevel="1" x14ac:dyDescent="0.15">
      <c r="A304" s="66"/>
      <c r="B304" s="538" t="s">
        <v>255</v>
      </c>
      <c r="C304" s="144">
        <f>C303*'Constants &amp; Conversions'!$D$64</f>
        <v>34071.127180779033</v>
      </c>
      <c r="D304" s="144">
        <f>D303*'Constants &amp; Conversions'!$D$64</f>
        <v>31370.419629004802</v>
      </c>
      <c r="E304" s="144">
        <f>E303*'Constants &amp; Conversions'!$D$64</f>
        <v>65441.546809783831</v>
      </c>
      <c r="F304" s="144">
        <f>F303*'Constants &amp; Conversions'!$D$64</f>
        <v>11665.255528213649</v>
      </c>
      <c r="G304" s="144">
        <f>G303*'Constants &amp; Conversions'!$D$64</f>
        <v>6631.9236929778226</v>
      </c>
      <c r="H304" s="560"/>
      <c r="I304" s="144">
        <f>I303*'Constants &amp; Conversions'!$D$64</f>
        <v>8794.0167444170675</v>
      </c>
      <c r="J304" s="144">
        <f>J303*'Constants &amp; Conversions'!$D$64</f>
        <v>3839.6662759151318</v>
      </c>
      <c r="K304" s="144">
        <f>K303*'Constants &amp; Conversions'!$D$64</f>
        <v>8586.0441389086809</v>
      </c>
      <c r="L304" s="147"/>
      <c r="N304" s="248"/>
      <c r="O304" s="147"/>
      <c r="P304" s="147"/>
      <c r="Q304" s="147"/>
      <c r="R304" s="147"/>
      <c r="S304" s="147"/>
      <c r="T304" s="147"/>
      <c r="U304" s="147"/>
      <c r="V304" s="147"/>
      <c r="W304" s="147"/>
    </row>
    <row r="305" spans="1:23" outlineLevel="1" x14ac:dyDescent="0.15">
      <c r="A305" s="66"/>
      <c r="B305" s="538" t="s">
        <v>256</v>
      </c>
      <c r="C305" s="144">
        <f>C304*'Constants &amp; Conversions'!$D$65</f>
        <v>3594708.3443352724</v>
      </c>
      <c r="D305" s="144">
        <f>D304*'Constants &amp; Conversions'!$D$65</f>
        <v>3309767.4933777805</v>
      </c>
      <c r="E305" s="144">
        <f>E304*'Constants &amp; Conversions'!$D$65</f>
        <v>6904475.8377130525</v>
      </c>
      <c r="F305" s="144">
        <f>F304*'Constants &amp; Conversions'!$D$65</f>
        <v>1230754.4497597092</v>
      </c>
      <c r="G305" s="144">
        <f>G304*'Constants &amp; Conversions'!$D$65</f>
        <v>699707.74115131819</v>
      </c>
      <c r="H305" s="560"/>
      <c r="I305" s="144">
        <f>I304*'Constants &amp; Conversions'!$D$65</f>
        <v>927821.53063646716</v>
      </c>
      <c r="J305" s="144">
        <f>J304*'Constants &amp; Conversions'!$D$65</f>
        <v>405107.83010670188</v>
      </c>
      <c r="K305" s="144">
        <f>K304*'Constants &amp; Conversions'!$D$65</f>
        <v>905879.17291969934</v>
      </c>
      <c r="L305" s="147"/>
      <c r="N305" s="248"/>
      <c r="O305" s="147"/>
      <c r="P305" s="147"/>
      <c r="Q305" s="147"/>
      <c r="R305" s="147"/>
      <c r="S305" s="147"/>
      <c r="T305" s="147"/>
      <c r="U305" s="147"/>
      <c r="V305" s="147"/>
      <c r="W305" s="147"/>
    </row>
    <row r="306" spans="1:23" outlineLevel="1" x14ac:dyDescent="0.15">
      <c r="A306" s="66"/>
      <c r="B306" s="101" t="s">
        <v>257</v>
      </c>
      <c r="C306" s="524"/>
      <c r="D306" s="524"/>
      <c r="E306" s="525"/>
      <c r="F306" s="525"/>
      <c r="G306" s="525"/>
      <c r="H306" s="525"/>
      <c r="I306" s="525"/>
      <c r="J306" s="525"/>
    </row>
    <row r="307" spans="1:23" outlineLevel="1" x14ac:dyDescent="0.15">
      <c r="A307" s="66"/>
      <c r="B307" s="126"/>
      <c r="C307" s="126"/>
      <c r="D307" s="126"/>
      <c r="E307" s="126"/>
      <c r="F307" s="126"/>
      <c r="G307" s="126"/>
      <c r="H307" s="126"/>
      <c r="I307" s="126"/>
      <c r="J307" s="126"/>
    </row>
    <row r="308" spans="1:23" outlineLevel="1" x14ac:dyDescent="0.15">
      <c r="A308" s="66"/>
      <c r="B308" s="66"/>
      <c r="C308" s="66"/>
      <c r="D308" s="66"/>
      <c r="E308" s="66"/>
      <c r="F308" s="66"/>
      <c r="G308" s="66"/>
      <c r="H308" s="66"/>
    </row>
    <row r="309" spans="1:23" s="108" customFormat="1" ht="16" x14ac:dyDescent="0.2">
      <c r="A309" s="89">
        <v>2010</v>
      </c>
      <c r="B309" s="90"/>
      <c r="C309" s="91"/>
      <c r="D309" s="90"/>
      <c r="E309" s="90"/>
      <c r="F309" s="90"/>
      <c r="G309" s="90"/>
      <c r="H309" s="90"/>
      <c r="I309" s="90"/>
      <c r="J309" s="90"/>
      <c r="K309" s="90"/>
      <c r="L309" s="90"/>
      <c r="M309" s="90"/>
      <c r="N309" s="106"/>
    </row>
    <row r="310" spans="1:23" outlineLevel="1" x14ac:dyDescent="0.15">
      <c r="A310" s="66"/>
      <c r="B310" s="66"/>
      <c r="C310" s="69"/>
      <c r="D310" s="66"/>
      <c r="E310" s="66"/>
      <c r="F310" s="66"/>
      <c r="G310" s="66"/>
      <c r="H310" s="66"/>
    </row>
    <row r="311" spans="1:23" outlineLevel="1" x14ac:dyDescent="0.15">
      <c r="A311" s="66"/>
      <c r="B311" s="82" t="s">
        <v>279</v>
      </c>
      <c r="C311" s="69"/>
      <c r="D311" s="66"/>
      <c r="E311" s="66"/>
      <c r="F311" s="66"/>
      <c r="G311" s="66"/>
      <c r="H311" s="66"/>
    </row>
    <row r="312" spans="1:23" ht="15" outlineLevel="1" x14ac:dyDescent="0.15">
      <c r="A312" s="66"/>
      <c r="B312" s="83"/>
      <c r="C312" s="83" t="s">
        <v>177</v>
      </c>
      <c r="D312" s="84" t="s">
        <v>100</v>
      </c>
      <c r="E312" s="84" t="s">
        <v>178</v>
      </c>
      <c r="F312" s="84" t="s">
        <v>179</v>
      </c>
      <c r="G312" s="84" t="s">
        <v>180</v>
      </c>
      <c r="H312" s="84" t="s">
        <v>181</v>
      </c>
      <c r="I312" s="84" t="s">
        <v>182</v>
      </c>
      <c r="J312" s="84" t="s">
        <v>183</v>
      </c>
      <c r="K312" s="84" t="s">
        <v>184</v>
      </c>
      <c r="L312" s="84" t="s">
        <v>88</v>
      </c>
    </row>
    <row r="313" spans="1:23" ht="15" outlineLevel="1" x14ac:dyDescent="0.15">
      <c r="A313" s="66"/>
      <c r="B313" s="85" t="s">
        <v>101</v>
      </c>
      <c r="C313" s="86">
        <v>153248176.18071774</v>
      </c>
      <c r="D313" s="87">
        <v>241927942.11706796</v>
      </c>
      <c r="E313" s="533">
        <f t="shared" ref="E313:E321" si="73">SUM(C313:D313)</f>
        <v>395176118.2977857</v>
      </c>
      <c r="F313" s="87">
        <v>122566431.98073138</v>
      </c>
      <c r="G313" s="87">
        <v>56469708.254413299</v>
      </c>
      <c r="H313" s="87">
        <v>12983080.092808444</v>
      </c>
      <c r="I313" s="87">
        <v>87995689.965387791</v>
      </c>
      <c r="J313" s="87">
        <v>33678452.806494005</v>
      </c>
      <c r="K313" s="87">
        <v>79005720.146005511</v>
      </c>
      <c r="L313" s="564">
        <f t="shared" ref="L313:L321" si="74">SUM(E313:K313)</f>
        <v>787875201.54362619</v>
      </c>
      <c r="N313" s="233">
        <f>L313/$L$322</f>
        <v>1.4356111507013066E-2</v>
      </c>
    </row>
    <row r="314" spans="1:23" ht="15" outlineLevel="1" x14ac:dyDescent="0.15">
      <c r="A314" s="66"/>
      <c r="B314" s="85" t="s">
        <v>103</v>
      </c>
      <c r="C314" s="86">
        <v>6493661593.3936434</v>
      </c>
      <c r="D314" s="87">
        <v>10251333655.297581</v>
      </c>
      <c r="E314" s="533">
        <f t="shared" si="73"/>
        <v>16744995248.691223</v>
      </c>
      <c r="F314" s="87">
        <v>5193568705.5355215</v>
      </c>
      <c r="G314" s="87">
        <v>2392819182.7183824</v>
      </c>
      <c r="H314" s="87">
        <v>550138544.31261849</v>
      </c>
      <c r="I314" s="87">
        <v>3728685368.7483592</v>
      </c>
      <c r="J314" s="87">
        <v>1427073919.9959738</v>
      </c>
      <c r="K314" s="87">
        <v>3347748882.6067653</v>
      </c>
      <c r="L314" s="564">
        <f t="shared" si="74"/>
        <v>33385029852.608849</v>
      </c>
      <c r="N314" s="233">
        <f t="shared" ref="N314:N321" si="75">L314/$L$322</f>
        <v>0.60831869094241831</v>
      </c>
    </row>
    <row r="315" spans="1:23" ht="15" outlineLevel="1" x14ac:dyDescent="0.15">
      <c r="A315" s="66"/>
      <c r="B315" s="85" t="s">
        <v>105</v>
      </c>
      <c r="C315" s="86">
        <v>2931101241.7204976</v>
      </c>
      <c r="D315" s="87">
        <v>4627234784.9021006</v>
      </c>
      <c r="E315" s="533">
        <f t="shared" si="73"/>
        <v>7558336026.6225986</v>
      </c>
      <c r="F315" s="87">
        <v>2344266861.2794585</v>
      </c>
      <c r="G315" s="87">
        <v>1080067874.9280362</v>
      </c>
      <c r="H315" s="87">
        <v>248320881.39510065</v>
      </c>
      <c r="I315" s="87">
        <v>1683049564.1229897</v>
      </c>
      <c r="J315" s="87">
        <v>644150927.60340762</v>
      </c>
      <c r="K315" s="87">
        <v>1511102906.3725748</v>
      </c>
      <c r="L315" s="564">
        <f t="shared" si="74"/>
        <v>15069295042.324165</v>
      </c>
      <c r="N315" s="233">
        <f t="shared" si="75"/>
        <v>0.27458216673888541</v>
      </c>
    </row>
    <row r="316" spans="1:23" ht="15" outlineLevel="1" x14ac:dyDescent="0.15">
      <c r="A316" s="66"/>
      <c r="B316" s="85" t="s">
        <v>107</v>
      </c>
      <c r="C316" s="86">
        <v>232203759.4437086</v>
      </c>
      <c r="D316" s="87">
        <v>591226434.38504803</v>
      </c>
      <c r="E316" s="533">
        <f t="shared" si="73"/>
        <v>823430193.82875657</v>
      </c>
      <c r="F316" s="87">
        <v>303846217.22512746</v>
      </c>
      <c r="G316" s="87">
        <v>116781119.71638353</v>
      </c>
      <c r="H316" s="87">
        <v>29382139.821191497</v>
      </c>
      <c r="I316" s="87">
        <v>192930839.38347793</v>
      </c>
      <c r="J316" s="87">
        <v>76827633.817609474</v>
      </c>
      <c r="K316" s="87">
        <v>185417910.31631702</v>
      </c>
      <c r="L316" s="564">
        <f t="shared" si="74"/>
        <v>1728616054.1088636</v>
      </c>
      <c r="N316" s="233">
        <f t="shared" si="75"/>
        <v>3.1497634113853569E-2</v>
      </c>
    </row>
    <row r="317" spans="1:23" ht="15" outlineLevel="1" x14ac:dyDescent="0.15">
      <c r="A317" s="66"/>
      <c r="B317" s="85" t="s">
        <v>108</v>
      </c>
      <c r="C317" s="86">
        <v>66079262.199999981</v>
      </c>
      <c r="D317" s="87">
        <v>19886823.599999987</v>
      </c>
      <c r="E317" s="533">
        <f t="shared" si="73"/>
        <v>85966085.799999967</v>
      </c>
      <c r="F317" s="87">
        <v>2938266.8000000007</v>
      </c>
      <c r="G317" s="87">
        <v>1761475.7999999993</v>
      </c>
      <c r="H317" s="87">
        <v>8074.4999999999991</v>
      </c>
      <c r="I317" s="87">
        <v>1970775.449999999</v>
      </c>
      <c r="J317" s="87">
        <v>242810.74999999994</v>
      </c>
      <c r="K317" s="87">
        <v>1291013.1499999999</v>
      </c>
      <c r="L317" s="564">
        <f t="shared" si="74"/>
        <v>94178502.24999997</v>
      </c>
      <c r="N317" s="233">
        <f t="shared" si="75"/>
        <v>1.716054874192681E-3</v>
      </c>
    </row>
    <row r="318" spans="1:23" ht="15" outlineLevel="1" x14ac:dyDescent="0.15">
      <c r="A318" s="66"/>
      <c r="B318" s="85" t="s">
        <v>111</v>
      </c>
      <c r="C318" s="86">
        <v>213737999.01703894</v>
      </c>
      <c r="D318" s="87">
        <v>526987957.92295998</v>
      </c>
      <c r="E318" s="533">
        <f t="shared" si="73"/>
        <v>740725956.93999887</v>
      </c>
      <c r="F318" s="87">
        <v>268007313.35765091</v>
      </c>
      <c r="G318" s="87">
        <v>100348094.75253502</v>
      </c>
      <c r="H318" s="87">
        <v>23908533.738624498</v>
      </c>
      <c r="I318" s="87">
        <v>168213618.97947603</v>
      </c>
      <c r="J318" s="87">
        <v>65040235.13036526</v>
      </c>
      <c r="K318" s="87">
        <v>161133644.89457729</v>
      </c>
      <c r="L318" s="564">
        <f t="shared" si="74"/>
        <v>1527377397.7932279</v>
      </c>
      <c r="N318" s="233">
        <f t="shared" si="75"/>
        <v>2.7830803905302102E-2</v>
      </c>
    </row>
    <row r="319" spans="1:23" ht="15" outlineLevel="1" x14ac:dyDescent="0.15">
      <c r="A319" s="66"/>
      <c r="B319" s="85" t="s">
        <v>112</v>
      </c>
      <c r="C319" s="86">
        <v>0</v>
      </c>
      <c r="D319" s="87">
        <v>0</v>
      </c>
      <c r="E319" s="533">
        <f t="shared" si="73"/>
        <v>0</v>
      </c>
      <c r="F319" s="87">
        <v>0</v>
      </c>
      <c r="G319" s="87">
        <v>0</v>
      </c>
      <c r="H319" s="87">
        <v>0</v>
      </c>
      <c r="I319" s="87">
        <v>0</v>
      </c>
      <c r="J319" s="87">
        <v>0</v>
      </c>
      <c r="K319" s="87">
        <v>0</v>
      </c>
      <c r="L319" s="564">
        <f t="shared" si="74"/>
        <v>0</v>
      </c>
      <c r="N319" s="233">
        <f t="shared" si="75"/>
        <v>0</v>
      </c>
    </row>
    <row r="320" spans="1:23" ht="15" outlineLevel="1" x14ac:dyDescent="0.15">
      <c r="A320" s="66"/>
      <c r="B320" s="85" t="s">
        <v>114</v>
      </c>
      <c r="C320" s="86">
        <v>244863592.2282753</v>
      </c>
      <c r="D320" s="87">
        <v>976932094.56398857</v>
      </c>
      <c r="E320" s="533">
        <f t="shared" si="73"/>
        <v>1221795686.792264</v>
      </c>
      <c r="F320" s="87">
        <v>237727757.94396281</v>
      </c>
      <c r="G320" s="87">
        <v>134331133.98209727</v>
      </c>
      <c r="H320" s="87">
        <v>20605079.624154147</v>
      </c>
      <c r="I320" s="87">
        <v>229025676.3158069</v>
      </c>
      <c r="J320" s="87">
        <v>69098675.118132234</v>
      </c>
      <c r="K320" s="87">
        <v>240847478.78217506</v>
      </c>
      <c r="L320" s="564">
        <f t="shared" si="74"/>
        <v>2153431488.5585923</v>
      </c>
      <c r="N320" s="233">
        <f t="shared" si="75"/>
        <v>3.9238324181153285E-2</v>
      </c>
    </row>
    <row r="321" spans="1:14" ht="15" outlineLevel="1" x14ac:dyDescent="0.15">
      <c r="A321" s="66"/>
      <c r="B321" s="85" t="s">
        <v>115</v>
      </c>
      <c r="C321" s="86">
        <v>15352765.081262745</v>
      </c>
      <c r="D321" s="87">
        <v>61252915.59965498</v>
      </c>
      <c r="E321" s="533">
        <f t="shared" si="73"/>
        <v>76605680.680917725</v>
      </c>
      <c r="F321" s="87">
        <v>14905353.579908401</v>
      </c>
      <c r="G321" s="87">
        <v>8422462.1731601916</v>
      </c>
      <c r="H321" s="87">
        <v>1291923.1645325131</v>
      </c>
      <c r="I321" s="87">
        <v>14359739.535209997</v>
      </c>
      <c r="J321" s="87">
        <v>4332435.5281294379</v>
      </c>
      <c r="K321" s="87">
        <v>15100957.755736802</v>
      </c>
      <c r="L321" s="564">
        <f t="shared" si="74"/>
        <v>135018552.41759509</v>
      </c>
      <c r="N321" s="233">
        <f t="shared" si="75"/>
        <v>2.4602137371817685E-3</v>
      </c>
    </row>
    <row r="322" spans="1:14" ht="15" outlineLevel="1" x14ac:dyDescent="0.15">
      <c r="A322" s="66"/>
      <c r="B322" s="68" t="s">
        <v>88</v>
      </c>
      <c r="C322" s="534">
        <f t="shared" ref="C322:K322" si="76">SUM(C313:C321)</f>
        <v>10350248389.265144</v>
      </c>
      <c r="D322" s="534">
        <f t="shared" si="76"/>
        <v>17296782608.388401</v>
      </c>
      <c r="E322" s="534">
        <f t="shared" si="76"/>
        <v>27647030997.653542</v>
      </c>
      <c r="F322" s="534">
        <f t="shared" si="76"/>
        <v>8487826907.7023611</v>
      </c>
      <c r="G322" s="534">
        <f t="shared" si="76"/>
        <v>3891001052.3250074</v>
      </c>
      <c r="H322" s="534">
        <f t="shared" si="76"/>
        <v>886638256.64903021</v>
      </c>
      <c r="I322" s="534">
        <f t="shared" si="76"/>
        <v>6106231272.5007076</v>
      </c>
      <c r="J322" s="534">
        <f t="shared" si="76"/>
        <v>2320445090.7501121</v>
      </c>
      <c r="K322" s="534">
        <f t="shared" si="76"/>
        <v>5541648514.0241499</v>
      </c>
      <c r="L322" s="553">
        <f>SUM(E322:K322)</f>
        <v>54880822091.604912</v>
      </c>
    </row>
    <row r="323" spans="1:14" outlineLevel="1" x14ac:dyDescent="0.15">
      <c r="A323" s="66"/>
      <c r="B323" s="101" t="s">
        <v>260</v>
      </c>
      <c r="C323" s="139"/>
      <c r="D323" s="139"/>
      <c r="E323" s="139"/>
      <c r="F323" s="139"/>
      <c r="G323" s="139"/>
      <c r="H323" s="139"/>
      <c r="I323" s="139"/>
      <c r="J323" s="139"/>
      <c r="K323" s="139"/>
    </row>
    <row r="324" spans="1:14" outlineLevel="1" x14ac:dyDescent="0.15">
      <c r="A324" s="66"/>
      <c r="B324" s="66"/>
      <c r="C324" s="69"/>
      <c r="D324" s="66"/>
      <c r="E324" s="66"/>
      <c r="F324" s="66"/>
      <c r="G324" s="66"/>
      <c r="H324" s="66"/>
    </row>
    <row r="325" spans="1:14" outlineLevel="1" x14ac:dyDescent="0.15">
      <c r="A325" s="66"/>
      <c r="B325" s="82" t="s">
        <v>280</v>
      </c>
      <c r="C325" s="69"/>
      <c r="D325" s="66"/>
      <c r="E325" s="66"/>
      <c r="F325" s="66"/>
      <c r="G325" s="66"/>
      <c r="H325" s="66"/>
    </row>
    <row r="326" spans="1:14" ht="15" outlineLevel="1" x14ac:dyDescent="0.15">
      <c r="A326" s="66"/>
      <c r="B326" s="83"/>
      <c r="C326" s="83" t="s">
        <v>177</v>
      </c>
      <c r="D326" s="84" t="s">
        <v>100</v>
      </c>
      <c r="E326" s="84" t="s">
        <v>178</v>
      </c>
      <c r="F326" s="84" t="s">
        <v>179</v>
      </c>
      <c r="G326" s="84" t="s">
        <v>180</v>
      </c>
      <c r="H326" s="84" t="s">
        <v>181</v>
      </c>
      <c r="I326" s="84" t="s">
        <v>182</v>
      </c>
      <c r="J326" s="84" t="s">
        <v>183</v>
      </c>
      <c r="K326" s="84" t="s">
        <v>184</v>
      </c>
    </row>
    <row r="327" spans="1:14" ht="15" outlineLevel="1" x14ac:dyDescent="0.15">
      <c r="A327" s="66"/>
      <c r="B327" s="85" t="s">
        <v>101</v>
      </c>
      <c r="C327" s="86">
        <f t="shared" ref="C327:K327" si="77">C313</f>
        <v>153248176.18071774</v>
      </c>
      <c r="D327" s="86">
        <f t="shared" si="77"/>
        <v>241927942.11706796</v>
      </c>
      <c r="E327" s="86">
        <f t="shared" si="77"/>
        <v>395176118.2977857</v>
      </c>
      <c r="F327" s="86">
        <f t="shared" si="77"/>
        <v>122566431.98073138</v>
      </c>
      <c r="G327" s="86">
        <f t="shared" si="77"/>
        <v>56469708.254413299</v>
      </c>
      <c r="H327" s="86">
        <f t="shared" si="77"/>
        <v>12983080.092808444</v>
      </c>
      <c r="I327" s="86">
        <f t="shared" si="77"/>
        <v>87995689.965387791</v>
      </c>
      <c r="J327" s="86">
        <f t="shared" si="77"/>
        <v>33678452.806494005</v>
      </c>
      <c r="K327" s="86">
        <f t="shared" si="77"/>
        <v>79005720.146005511</v>
      </c>
    </row>
    <row r="328" spans="1:14" ht="15" outlineLevel="1" x14ac:dyDescent="0.15">
      <c r="A328" s="66"/>
      <c r="B328" s="85" t="s">
        <v>103</v>
      </c>
      <c r="C328" s="86">
        <f t="shared" ref="C328:K328" si="78">C314-C364</f>
        <v>6493582842.0442066</v>
      </c>
      <c r="D328" s="86">
        <f t="shared" si="78"/>
        <v>10251287091.108097</v>
      </c>
      <c r="E328" s="86">
        <f t="shared" si="78"/>
        <v>16744869933.152304</v>
      </c>
      <c r="F328" s="86">
        <f t="shared" si="78"/>
        <v>5193499366.3755283</v>
      </c>
      <c r="G328" s="86">
        <f t="shared" si="78"/>
        <v>2392797454.2452607</v>
      </c>
      <c r="H328" s="86">
        <f t="shared" si="78"/>
        <v>550134201.0350095</v>
      </c>
      <c r="I328" s="86">
        <f t="shared" si="78"/>
        <v>3728636615.797545</v>
      </c>
      <c r="J328" s="86">
        <f t="shared" si="78"/>
        <v>1427059961.8599072</v>
      </c>
      <c r="K328" s="86">
        <f t="shared" si="78"/>
        <v>3347722579.5456204</v>
      </c>
    </row>
    <row r="329" spans="1:14" ht="15" outlineLevel="1" x14ac:dyDescent="0.15">
      <c r="A329" s="66"/>
      <c r="B329" s="85" t="s">
        <v>105</v>
      </c>
      <c r="C329" s="86">
        <f>C315-C365</f>
        <v>2931035732.3282437</v>
      </c>
      <c r="D329" s="86">
        <f t="shared" ref="D329:K329" si="79">D315-D365</f>
        <v>4627182357.4860649</v>
      </c>
      <c r="E329" s="86">
        <f t="shared" si="79"/>
        <v>7558218089.8143091</v>
      </c>
      <c r="F329" s="86">
        <f t="shared" si="79"/>
        <v>2344204209.3355603</v>
      </c>
      <c r="G329" s="86">
        <f t="shared" si="79"/>
        <v>1080060256.4938986</v>
      </c>
      <c r="H329" s="86">
        <f t="shared" si="79"/>
        <v>248319639.25424844</v>
      </c>
      <c r="I329" s="86">
        <f t="shared" si="79"/>
        <v>1683011744.4302192</v>
      </c>
      <c r="J329" s="86">
        <f t="shared" si="79"/>
        <v>644147303.77814054</v>
      </c>
      <c r="K329" s="86">
        <f t="shared" si="79"/>
        <v>1511091515.1311061</v>
      </c>
    </row>
    <row r="330" spans="1:14" ht="15" outlineLevel="1" x14ac:dyDescent="0.15">
      <c r="A330" s="66"/>
      <c r="B330" s="85" t="s">
        <v>107</v>
      </c>
      <c r="C330" s="86">
        <f t="shared" ref="C330:K330" si="80">C316</f>
        <v>232203759.4437086</v>
      </c>
      <c r="D330" s="86">
        <f t="shared" si="80"/>
        <v>591226434.38504803</v>
      </c>
      <c r="E330" s="86">
        <f t="shared" si="80"/>
        <v>823430193.82875657</v>
      </c>
      <c r="F330" s="86">
        <f t="shared" si="80"/>
        <v>303846217.22512746</v>
      </c>
      <c r="G330" s="86">
        <f t="shared" si="80"/>
        <v>116781119.71638353</v>
      </c>
      <c r="H330" s="86">
        <f t="shared" si="80"/>
        <v>29382139.821191497</v>
      </c>
      <c r="I330" s="86">
        <f t="shared" si="80"/>
        <v>192930839.38347793</v>
      </c>
      <c r="J330" s="86">
        <f t="shared" si="80"/>
        <v>76827633.817609474</v>
      </c>
      <c r="K330" s="86">
        <f t="shared" si="80"/>
        <v>185417910.31631702</v>
      </c>
    </row>
    <row r="331" spans="1:14" ht="15" outlineLevel="1" x14ac:dyDescent="0.15">
      <c r="A331" s="66"/>
      <c r="B331" s="85" t="s">
        <v>108</v>
      </c>
      <c r="C331" s="86">
        <f t="shared" ref="C331:K331" si="81">C317-C366</f>
        <v>66079262.199999981</v>
      </c>
      <c r="D331" s="86">
        <f t="shared" si="81"/>
        <v>19886823.599999987</v>
      </c>
      <c r="E331" s="86">
        <f t="shared" si="81"/>
        <v>85966085.799999967</v>
      </c>
      <c r="F331" s="86">
        <f t="shared" si="81"/>
        <v>2938266.8000000007</v>
      </c>
      <c r="G331" s="86">
        <f t="shared" si="81"/>
        <v>1761475.7999999993</v>
      </c>
      <c r="H331" s="86">
        <f t="shared" si="81"/>
        <v>8074.4999999999991</v>
      </c>
      <c r="I331" s="86">
        <f t="shared" si="81"/>
        <v>1970775.449999999</v>
      </c>
      <c r="J331" s="86">
        <f t="shared" si="81"/>
        <v>242810.74999999994</v>
      </c>
      <c r="K331" s="86">
        <f t="shared" si="81"/>
        <v>1291013.1499999999</v>
      </c>
    </row>
    <row r="332" spans="1:14" ht="15" outlineLevel="1" x14ac:dyDescent="0.15">
      <c r="A332" s="66"/>
      <c r="B332" s="85" t="s">
        <v>111</v>
      </c>
      <c r="C332" s="86">
        <f t="shared" ref="C332:K332" si="82">C318</f>
        <v>213737999.01703894</v>
      </c>
      <c r="D332" s="86">
        <f t="shared" si="82"/>
        <v>526987957.92295998</v>
      </c>
      <c r="E332" s="86">
        <f t="shared" si="82"/>
        <v>740725956.93999887</v>
      </c>
      <c r="F332" s="86">
        <f t="shared" si="82"/>
        <v>268007313.35765091</v>
      </c>
      <c r="G332" s="86">
        <f t="shared" si="82"/>
        <v>100348094.75253502</v>
      </c>
      <c r="H332" s="86">
        <f t="shared" si="82"/>
        <v>23908533.738624498</v>
      </c>
      <c r="I332" s="86">
        <f t="shared" si="82"/>
        <v>168213618.97947603</v>
      </c>
      <c r="J332" s="86">
        <f t="shared" si="82"/>
        <v>65040235.13036526</v>
      </c>
      <c r="K332" s="86">
        <f t="shared" si="82"/>
        <v>161133644.89457729</v>
      </c>
    </row>
    <row r="333" spans="1:14" ht="15" outlineLevel="1" x14ac:dyDescent="0.15">
      <c r="A333" s="66"/>
      <c r="B333" s="85" t="s">
        <v>112</v>
      </c>
      <c r="C333" s="86">
        <f t="shared" ref="C333:K333" si="83">C319</f>
        <v>0</v>
      </c>
      <c r="D333" s="86">
        <f t="shared" si="83"/>
        <v>0</v>
      </c>
      <c r="E333" s="86">
        <f t="shared" si="83"/>
        <v>0</v>
      </c>
      <c r="F333" s="86">
        <f t="shared" si="83"/>
        <v>0</v>
      </c>
      <c r="G333" s="86">
        <f t="shared" si="83"/>
        <v>0</v>
      </c>
      <c r="H333" s="86">
        <f t="shared" si="83"/>
        <v>0</v>
      </c>
      <c r="I333" s="86">
        <f t="shared" si="83"/>
        <v>0</v>
      </c>
      <c r="J333" s="86">
        <f t="shared" si="83"/>
        <v>0</v>
      </c>
      <c r="K333" s="86">
        <f t="shared" si="83"/>
        <v>0</v>
      </c>
    </row>
    <row r="334" spans="1:14" ht="15" outlineLevel="1" x14ac:dyDescent="0.15">
      <c r="A334" s="66"/>
      <c r="B334" s="85" t="s">
        <v>114</v>
      </c>
      <c r="C334" s="86">
        <f t="shared" ref="C334:K334" si="84">C320</f>
        <v>244863592.2282753</v>
      </c>
      <c r="D334" s="86">
        <f t="shared" si="84"/>
        <v>976932094.56398857</v>
      </c>
      <c r="E334" s="86">
        <f t="shared" si="84"/>
        <v>1221795686.792264</v>
      </c>
      <c r="F334" s="86">
        <f t="shared" si="84"/>
        <v>237727757.94396281</v>
      </c>
      <c r="G334" s="86">
        <f t="shared" si="84"/>
        <v>134331133.98209727</v>
      </c>
      <c r="H334" s="86">
        <f t="shared" si="84"/>
        <v>20605079.624154147</v>
      </c>
      <c r="I334" s="86">
        <f t="shared" si="84"/>
        <v>229025676.3158069</v>
      </c>
      <c r="J334" s="86">
        <f t="shared" si="84"/>
        <v>69098675.118132234</v>
      </c>
      <c r="K334" s="86">
        <f t="shared" si="84"/>
        <v>240847478.78217506</v>
      </c>
    </row>
    <row r="335" spans="1:14" ht="15" outlineLevel="1" x14ac:dyDescent="0.15">
      <c r="A335" s="66"/>
      <c r="B335" s="85" t="s">
        <v>115</v>
      </c>
      <c r="C335" s="86">
        <f t="shared" ref="C335:K335" si="85">C321</f>
        <v>15352765.081262745</v>
      </c>
      <c r="D335" s="86">
        <f t="shared" si="85"/>
        <v>61252915.59965498</v>
      </c>
      <c r="E335" s="86">
        <f t="shared" si="85"/>
        <v>76605680.680917725</v>
      </c>
      <c r="F335" s="86">
        <f t="shared" si="85"/>
        <v>14905353.579908401</v>
      </c>
      <c r="G335" s="86">
        <f t="shared" si="85"/>
        <v>8422462.1731601916</v>
      </c>
      <c r="H335" s="86">
        <f t="shared" si="85"/>
        <v>1291923.1645325131</v>
      </c>
      <c r="I335" s="86">
        <f t="shared" si="85"/>
        <v>14359739.535209997</v>
      </c>
      <c r="J335" s="86">
        <f t="shared" si="85"/>
        <v>4332435.5281294379</v>
      </c>
      <c r="K335" s="86">
        <f t="shared" si="85"/>
        <v>15100957.755736802</v>
      </c>
    </row>
    <row r="336" spans="1:14" ht="13.25" customHeight="1" outlineLevel="1" x14ac:dyDescent="0.15">
      <c r="A336" s="66"/>
      <c r="B336" s="68" t="s">
        <v>88</v>
      </c>
      <c r="C336" s="534">
        <f t="shared" ref="C336:K336" si="86">SUM(C327:C335)</f>
        <v>10350104128.523453</v>
      </c>
      <c r="D336" s="534">
        <f t="shared" si="86"/>
        <v>17296683616.782883</v>
      </c>
      <c r="E336" s="534">
        <f t="shared" si="86"/>
        <v>27646787745.306332</v>
      </c>
      <c r="F336" s="534">
        <f t="shared" si="86"/>
        <v>8487694916.5984697</v>
      </c>
      <c r="G336" s="534">
        <f t="shared" si="86"/>
        <v>3890971705.417748</v>
      </c>
      <c r="H336" s="534">
        <f t="shared" si="86"/>
        <v>886632671.23056912</v>
      </c>
      <c r="I336" s="534">
        <f t="shared" si="86"/>
        <v>6106144699.8571224</v>
      </c>
      <c r="J336" s="534">
        <f t="shared" si="86"/>
        <v>2320427508.7887783</v>
      </c>
      <c r="K336" s="534">
        <f t="shared" si="86"/>
        <v>5541610819.7215366</v>
      </c>
    </row>
    <row r="337" spans="1:11" ht="13.25" customHeight="1" outlineLevel="1" x14ac:dyDescent="0.15">
      <c r="A337" s="66"/>
      <c r="B337" s="64"/>
      <c r="C337" s="132" t="b">
        <f t="shared" ref="C337:K337" si="87">(C336+C367)=C322</f>
        <v>1</v>
      </c>
      <c r="D337" s="132" t="b">
        <f t="shared" si="87"/>
        <v>1</v>
      </c>
      <c r="E337" s="132" t="b">
        <f t="shared" si="87"/>
        <v>1</v>
      </c>
      <c r="F337" s="132" t="b">
        <f t="shared" si="87"/>
        <v>1</v>
      </c>
      <c r="G337" s="132" t="b">
        <f t="shared" si="87"/>
        <v>1</v>
      </c>
      <c r="H337" s="132" t="b">
        <f t="shared" si="87"/>
        <v>1</v>
      </c>
      <c r="I337" s="132" t="b">
        <f t="shared" si="87"/>
        <v>1</v>
      </c>
      <c r="J337" s="132" t="b">
        <f t="shared" si="87"/>
        <v>1</v>
      </c>
      <c r="K337" s="132" t="b">
        <f t="shared" si="87"/>
        <v>1</v>
      </c>
    </row>
    <row r="338" spans="1:11" ht="16" outlineLevel="1" x14ac:dyDescent="0.2">
      <c r="A338" s="98" t="s">
        <v>189</v>
      </c>
      <c r="B338" s="66"/>
      <c r="C338" s="66"/>
      <c r="D338" s="66"/>
      <c r="E338" s="66"/>
      <c r="F338" s="66"/>
      <c r="G338" s="66"/>
      <c r="H338" s="66"/>
    </row>
    <row r="339" spans="1:11" ht="13.25" customHeight="1" outlineLevel="1" x14ac:dyDescent="0.2">
      <c r="A339" s="98"/>
      <c r="B339" s="66"/>
      <c r="C339" s="66"/>
      <c r="D339" s="66"/>
      <c r="E339" s="66"/>
      <c r="F339" s="66"/>
      <c r="G339" s="66"/>
      <c r="H339" s="66"/>
    </row>
    <row r="340" spans="1:11" outlineLevel="1" x14ac:dyDescent="0.15">
      <c r="A340" s="66"/>
      <c r="B340" s="66" t="s">
        <v>190</v>
      </c>
      <c r="C340" s="69"/>
      <c r="D340" s="66"/>
      <c r="E340" s="66"/>
      <c r="F340" s="66"/>
      <c r="G340" s="66"/>
      <c r="H340" s="66"/>
    </row>
    <row r="341" spans="1:11" ht="15" outlineLevel="1" x14ac:dyDescent="0.15">
      <c r="A341" s="66"/>
      <c r="B341" s="130" t="s">
        <v>191</v>
      </c>
      <c r="C341" s="472">
        <v>2010</v>
      </c>
      <c r="D341" s="66"/>
      <c r="E341" s="547" t="s">
        <v>99</v>
      </c>
      <c r="F341" s="548" t="s">
        <v>281</v>
      </c>
      <c r="G341" s="66"/>
      <c r="H341" s="66"/>
    </row>
    <row r="342" spans="1:11" outlineLevel="1" x14ac:dyDescent="0.15">
      <c r="A342" s="66"/>
      <c r="B342" s="536" t="s">
        <v>193</v>
      </c>
      <c r="C342" s="537">
        <f>SUM(C343:C344)</f>
        <v>3.3</v>
      </c>
      <c r="D342" s="66"/>
      <c r="E342" s="538" t="s">
        <v>263</v>
      </c>
      <c r="F342" s="535">
        <f>(C343-C111)/C111</f>
        <v>-0.9998468570351523</v>
      </c>
      <c r="G342" s="66"/>
      <c r="H342" s="66"/>
    </row>
    <row r="343" spans="1:11" outlineLevel="1" x14ac:dyDescent="0.15">
      <c r="A343" s="66"/>
      <c r="B343" s="538" t="s">
        <v>194</v>
      </c>
      <c r="C343" s="539">
        <v>1.3</v>
      </c>
      <c r="D343" s="66"/>
      <c r="E343" s="538" t="s">
        <v>264</v>
      </c>
      <c r="F343" s="535">
        <f>(C344-C112)/C112</f>
        <v>-0.99921868896007504</v>
      </c>
      <c r="G343" s="66"/>
      <c r="H343" s="66"/>
    </row>
    <row r="344" spans="1:11" outlineLevel="1" x14ac:dyDescent="0.15">
      <c r="A344" s="66"/>
      <c r="B344" s="538" t="s">
        <v>196</v>
      </c>
      <c r="C344" s="540">
        <v>2</v>
      </c>
      <c r="D344" s="66"/>
      <c r="E344" s="538" t="s">
        <v>195</v>
      </c>
      <c r="F344" s="535">
        <f>(C346-C114)/C114</f>
        <v>-0.99609906559012973</v>
      </c>
      <c r="G344" s="66"/>
      <c r="H344" s="66"/>
    </row>
    <row r="345" spans="1:11" outlineLevel="1" x14ac:dyDescent="0.15">
      <c r="A345" s="66"/>
      <c r="B345" s="536" t="s">
        <v>195</v>
      </c>
      <c r="C345" s="537">
        <f>C346</f>
        <v>4.3</v>
      </c>
      <c r="D345" s="66"/>
      <c r="E345" s="66"/>
      <c r="F345" s="66"/>
      <c r="G345" s="66"/>
      <c r="H345" s="66"/>
    </row>
    <row r="346" spans="1:11" outlineLevel="1" x14ac:dyDescent="0.15">
      <c r="A346" s="66"/>
      <c r="B346" s="538" t="s">
        <v>194</v>
      </c>
      <c r="C346" s="540">
        <v>4.3</v>
      </c>
      <c r="D346" s="66"/>
      <c r="E346" s="66"/>
      <c r="F346" s="66"/>
      <c r="G346" s="66"/>
      <c r="H346" s="66"/>
    </row>
    <row r="347" spans="1:11" outlineLevel="1" x14ac:dyDescent="0.15">
      <c r="A347" s="66"/>
      <c r="B347" s="536" t="s">
        <v>198</v>
      </c>
      <c r="C347" s="541">
        <f>C348</f>
        <v>4.5</v>
      </c>
      <c r="D347" s="66"/>
      <c r="E347" s="66"/>
      <c r="F347" s="66"/>
      <c r="G347" s="66"/>
      <c r="H347" s="66"/>
    </row>
    <row r="348" spans="1:11" outlineLevel="1" x14ac:dyDescent="0.15">
      <c r="A348" s="66"/>
      <c r="B348" s="538" t="s">
        <v>199</v>
      </c>
      <c r="C348" s="540">
        <v>4.5</v>
      </c>
      <c r="D348" s="66"/>
      <c r="E348" s="66"/>
      <c r="F348" s="66"/>
      <c r="G348" s="66"/>
      <c r="H348" s="66"/>
    </row>
    <row r="349" spans="1:11" outlineLevel="1" x14ac:dyDescent="0.15">
      <c r="A349" s="66"/>
      <c r="B349" s="542" t="s">
        <v>170</v>
      </c>
      <c r="C349" s="543">
        <f>SUM(C347,C345,C342)</f>
        <v>12.100000000000001</v>
      </c>
      <c r="D349" s="66"/>
      <c r="E349" s="66"/>
      <c r="F349" s="66"/>
      <c r="G349" s="66"/>
      <c r="H349" s="66"/>
    </row>
    <row r="350" spans="1:11" outlineLevel="1" x14ac:dyDescent="0.15">
      <c r="A350" s="66"/>
      <c r="B350" s="101" t="s">
        <v>200</v>
      </c>
      <c r="C350" s="69"/>
      <c r="D350" s="66"/>
      <c r="E350" s="66"/>
      <c r="F350" s="66"/>
      <c r="G350" s="66"/>
      <c r="H350" s="66"/>
    </row>
    <row r="351" spans="1:11" outlineLevel="1" x14ac:dyDescent="0.15">
      <c r="A351" s="66"/>
      <c r="B351" s="66"/>
      <c r="C351" s="69"/>
      <c r="D351" s="66"/>
      <c r="E351" s="66"/>
      <c r="F351" s="66"/>
      <c r="G351" s="66"/>
      <c r="H351" s="66"/>
    </row>
    <row r="352" spans="1:11" ht="16" outlineLevel="1" x14ac:dyDescent="0.2">
      <c r="A352" s="98" t="s">
        <v>201</v>
      </c>
      <c r="B352" s="66"/>
      <c r="C352" s="69"/>
      <c r="D352" s="66"/>
      <c r="E352" s="66"/>
      <c r="F352" s="66"/>
      <c r="G352" s="66"/>
      <c r="H352" s="66"/>
    </row>
    <row r="353" spans="1:21" outlineLevel="1" x14ac:dyDescent="0.15">
      <c r="A353" s="66"/>
      <c r="B353" s="66"/>
      <c r="C353" s="69"/>
      <c r="D353" s="66"/>
      <c r="E353" s="66"/>
      <c r="F353" s="66"/>
      <c r="G353" s="66"/>
      <c r="H353" s="66"/>
    </row>
    <row r="354" spans="1:21" ht="15" outlineLevel="1" x14ac:dyDescent="0.15">
      <c r="A354" s="66"/>
      <c r="B354" s="131"/>
      <c r="C354" s="83" t="s">
        <v>177</v>
      </c>
      <c r="D354" s="84" t="s">
        <v>100</v>
      </c>
      <c r="E354" s="84" t="s">
        <v>178</v>
      </c>
      <c r="F354" s="84" t="s">
        <v>179</v>
      </c>
      <c r="G354" s="84" t="s">
        <v>180</v>
      </c>
      <c r="H354" s="84" t="s">
        <v>181</v>
      </c>
      <c r="I354" s="84" t="s">
        <v>182</v>
      </c>
      <c r="J354" s="84" t="s">
        <v>183</v>
      </c>
      <c r="K354" s="84" t="s">
        <v>184</v>
      </c>
    </row>
    <row r="355" spans="1:21" ht="15" outlineLevel="1" x14ac:dyDescent="0.15">
      <c r="A355" s="66"/>
      <c r="B355" s="72" t="s">
        <v>213</v>
      </c>
      <c r="C355" s="115">
        <f t="shared" ref="C355:K355" si="88">C136*(1+$F$342)</f>
        <v>3.8080953816969548E-7</v>
      </c>
      <c r="D355" s="115">
        <f t="shared" si="88"/>
        <v>5.4644879136695461E-7</v>
      </c>
      <c r="E355" s="115">
        <f t="shared" si="88"/>
        <v>4.2518326401111046E-7</v>
      </c>
      <c r="F355" s="115">
        <f t="shared" si="88"/>
        <v>7.2365107842949657E-7</v>
      </c>
      <c r="G355" s="115">
        <f t="shared" si="88"/>
        <v>3.1720114855467083E-7</v>
      </c>
      <c r="H355" s="115">
        <f t="shared" si="88"/>
        <v>2.3807403549557329E-7</v>
      </c>
      <c r="I355" s="115">
        <f t="shared" si="88"/>
        <v>7.8559398831069745E-7</v>
      </c>
      <c r="J355" s="115">
        <f t="shared" si="88"/>
        <v>2.8061200081390387E-7</v>
      </c>
      <c r="K355" s="115">
        <f t="shared" si="88"/>
        <v>3.3254100567814874E-7</v>
      </c>
      <c r="L355" s="294"/>
      <c r="N355" s="254"/>
      <c r="R355" s="252"/>
      <c r="T355" s="252"/>
      <c r="U355" s="255"/>
    </row>
    <row r="356" spans="1:21" ht="15" outlineLevel="1" x14ac:dyDescent="0.15">
      <c r="A356" s="66"/>
      <c r="B356" s="72" t="s">
        <v>214</v>
      </c>
      <c r="C356" s="115">
        <f>C137*(1+$F$344)</f>
        <v>2.2349754188466906E-5</v>
      </c>
      <c r="D356" s="115">
        <f t="shared" ref="D356:K356" si="89">D137*(1+$F$344)</f>
        <v>1.133018281380153E-5</v>
      </c>
      <c r="E356" s="115">
        <f t="shared" si="89"/>
        <v>1.6743140367427021E-5</v>
      </c>
      <c r="F356" s="115">
        <f t="shared" si="89"/>
        <v>2.6725602333615462E-5</v>
      </c>
      <c r="G356" s="115">
        <f t="shared" si="89"/>
        <v>7.0536623803859821E-6</v>
      </c>
      <c r="H356" s="115">
        <f t="shared" si="89"/>
        <v>5.0021602904623638E-6</v>
      </c>
      <c r="I356" s="115">
        <f t="shared" si="89"/>
        <v>2.2470932274798518E-5</v>
      </c>
      <c r="J356" s="115">
        <f t="shared" si="89"/>
        <v>5.6257394218893176E-6</v>
      </c>
      <c r="K356" s="115">
        <f t="shared" si="89"/>
        <v>7.5383624904435384E-6</v>
      </c>
      <c r="L356" s="294"/>
      <c r="N356" s="254"/>
      <c r="R356" s="252"/>
      <c r="T356" s="252"/>
      <c r="U356" s="255"/>
    </row>
    <row r="357" spans="1:21" ht="15" outlineLevel="1" x14ac:dyDescent="0.15">
      <c r="A357" s="66"/>
      <c r="B357" s="72" t="s">
        <v>215</v>
      </c>
      <c r="C357" s="115">
        <f t="shared" ref="C357:K357" si="90">C138*(1+$F$344)</f>
        <v>1.1746608607013721E-5</v>
      </c>
      <c r="D357" s="115">
        <f t="shared" si="90"/>
        <v>3.9958079577814106E-6</v>
      </c>
      <c r="E357" s="115">
        <f t="shared" si="90"/>
        <v>9.6702173143597485E-6</v>
      </c>
      <c r="F357" s="115">
        <f t="shared" si="90"/>
        <v>1.2627315073136277E-5</v>
      </c>
      <c r="G357" s="115">
        <f t="shared" si="90"/>
        <v>8.763498838530691E-6</v>
      </c>
      <c r="H357" s="115">
        <f t="shared" si="90"/>
        <v>7.6568056342682638E-6</v>
      </c>
      <c r="I357" s="115">
        <f t="shared" si="90"/>
        <v>1.2289510503690423E-5</v>
      </c>
      <c r="J357" s="115">
        <f t="shared" si="90"/>
        <v>9.5003361834903211E-6</v>
      </c>
      <c r="K357" s="115">
        <f t="shared" si="90"/>
        <v>7.5243987072538168E-6</v>
      </c>
      <c r="L357" s="295"/>
      <c r="R357" s="251"/>
      <c r="T357" s="251"/>
      <c r="U357" s="255"/>
    </row>
    <row r="358" spans="1:21" ht="15" outlineLevel="1" x14ac:dyDescent="0.15">
      <c r="A358" s="66"/>
      <c r="B358" s="72" t="s">
        <v>217</v>
      </c>
      <c r="C358" s="115">
        <v>0</v>
      </c>
      <c r="D358" s="115">
        <v>0</v>
      </c>
      <c r="E358" s="115">
        <v>0</v>
      </c>
      <c r="F358" s="115">
        <v>0</v>
      </c>
      <c r="G358" s="115">
        <v>0</v>
      </c>
      <c r="H358" s="115">
        <v>0</v>
      </c>
      <c r="I358" s="115">
        <v>0</v>
      </c>
      <c r="J358" s="115">
        <v>0</v>
      </c>
      <c r="K358" s="115">
        <v>0</v>
      </c>
      <c r="L358" s="295"/>
      <c r="R358" s="251"/>
      <c r="T358" s="251"/>
      <c r="U358" s="255"/>
    </row>
    <row r="359" spans="1:21" ht="15" outlineLevel="1" x14ac:dyDescent="0.15">
      <c r="A359" s="66"/>
      <c r="B359" s="101" t="s">
        <v>219</v>
      </c>
      <c r="C359" s="521"/>
      <c r="D359" s="521"/>
      <c r="E359" s="521"/>
      <c r="F359" s="521"/>
      <c r="G359" s="521"/>
      <c r="H359" s="521"/>
      <c r="I359" s="521"/>
      <c r="J359" s="521"/>
      <c r="K359" s="521"/>
      <c r="L359" s="295"/>
      <c r="R359" s="251"/>
      <c r="T359" s="251"/>
      <c r="U359" s="255"/>
    </row>
    <row r="360" spans="1:21" ht="15" outlineLevel="1" x14ac:dyDescent="0.15">
      <c r="A360" s="66"/>
      <c r="B360" s="101"/>
      <c r="C360" s="521"/>
      <c r="D360" s="521"/>
      <c r="E360" s="521"/>
      <c r="F360" s="521"/>
      <c r="G360" s="521"/>
      <c r="H360" s="521"/>
      <c r="I360" s="521"/>
      <c r="J360" s="521"/>
      <c r="K360" s="521"/>
      <c r="L360" s="295"/>
      <c r="R360" s="251"/>
      <c r="T360" s="251"/>
      <c r="U360" s="255"/>
    </row>
    <row r="361" spans="1:21" ht="16" outlineLevel="1" x14ac:dyDescent="0.2">
      <c r="A361" s="98" t="s">
        <v>171</v>
      </c>
      <c r="B361" s="66"/>
      <c r="C361" s="69"/>
      <c r="D361" s="66"/>
      <c r="E361" s="66"/>
      <c r="F361" s="66"/>
      <c r="G361" s="66"/>
      <c r="H361" s="66"/>
    </row>
    <row r="362" spans="1:21" ht="11" customHeight="1" outlineLevel="1" x14ac:dyDescent="0.2">
      <c r="A362" s="98"/>
      <c r="B362" s="66"/>
      <c r="C362" s="69"/>
      <c r="D362" s="66"/>
      <c r="E362" s="66"/>
      <c r="F362" s="66"/>
      <c r="G362" s="66"/>
      <c r="H362" s="66"/>
    </row>
    <row r="363" spans="1:21" ht="16" outlineLevel="1" x14ac:dyDescent="0.2">
      <c r="A363" s="98"/>
      <c r="B363" s="83" t="s">
        <v>191</v>
      </c>
      <c r="C363" s="83" t="s">
        <v>177</v>
      </c>
      <c r="D363" s="84" t="s">
        <v>100</v>
      </c>
      <c r="E363" s="84" t="s">
        <v>178</v>
      </c>
      <c r="F363" s="84" t="s">
        <v>179</v>
      </c>
      <c r="G363" s="84" t="s">
        <v>180</v>
      </c>
      <c r="H363" s="84" t="s">
        <v>181</v>
      </c>
      <c r="I363" s="84" t="s">
        <v>182</v>
      </c>
      <c r="J363" s="84" t="s">
        <v>183</v>
      </c>
      <c r="K363" s="84" t="s">
        <v>184</v>
      </c>
      <c r="L363" s="84" t="s">
        <v>88</v>
      </c>
    </row>
    <row r="364" spans="1:21" ht="16" outlineLevel="1" x14ac:dyDescent="0.2">
      <c r="A364" s="98"/>
      <c r="B364" s="85" t="s">
        <v>103</v>
      </c>
      <c r="C364" s="519">
        <f>(C355+C357)*C314</f>
        <v>78751.349436402728</v>
      </c>
      <c r="D364" s="519">
        <f>(D355+D357)*D314</f>
        <v>46564.189483547212</v>
      </c>
      <c r="E364" s="533">
        <f t="shared" ref="E364:E366" si="91">SUM(C364:D364)</f>
        <v>125315.53891994993</v>
      </c>
      <c r="F364" s="519">
        <f t="shared" ref="F364:K364" si="92">(F355+F357)*F314</f>
        <v>69339.159993436013</v>
      </c>
      <c r="G364" s="519">
        <f t="shared" si="92"/>
        <v>21728.473121608422</v>
      </c>
      <c r="H364" s="519">
        <f t="shared" si="92"/>
        <v>4343.2776090471634</v>
      </c>
      <c r="I364" s="519">
        <f t="shared" si="92"/>
        <v>48752.950814180527</v>
      </c>
      <c r="J364" s="519">
        <f t="shared" si="92"/>
        <v>13958.136066652532</v>
      </c>
      <c r="K364" s="519">
        <f t="shared" si="92"/>
        <v>26303.061144676707</v>
      </c>
      <c r="L364" s="564">
        <f t="shared" ref="L364:L365" si="93">SUM(E364:K364)</f>
        <v>309740.59766955132</v>
      </c>
      <c r="M364" s="241"/>
    </row>
    <row r="365" spans="1:21" ht="16" outlineLevel="1" x14ac:dyDescent="0.2">
      <c r="A365" s="98"/>
      <c r="B365" s="85" t="s">
        <v>105</v>
      </c>
      <c r="C365" s="519">
        <f>C356*C315</f>
        <v>65509.39225396324</v>
      </c>
      <c r="D365" s="519">
        <f>D356*D315</f>
        <v>52427.4160353224</v>
      </c>
      <c r="E365" s="533">
        <f t="shared" si="91"/>
        <v>117936.80828928563</v>
      </c>
      <c r="F365" s="519">
        <f t="shared" ref="F365:K365" si="94">F356*F315</f>
        <v>62651.943898427693</v>
      </c>
      <c r="G365" s="519">
        <f t="shared" si="94"/>
        <v>7618.4341376433213</v>
      </c>
      <c r="H365" s="519">
        <f t="shared" si="94"/>
        <v>1242.140852207187</v>
      </c>
      <c r="I365" s="519">
        <f t="shared" si="94"/>
        <v>37819.692770536865</v>
      </c>
      <c r="J365" s="519">
        <f t="shared" si="94"/>
        <v>3623.8252670650622</v>
      </c>
      <c r="K365" s="519">
        <f t="shared" si="94"/>
        <v>11391.241468599232</v>
      </c>
      <c r="L365" s="564">
        <f t="shared" si="93"/>
        <v>242284.08668376502</v>
      </c>
      <c r="M365" s="241"/>
    </row>
    <row r="366" spans="1:21" ht="16" outlineLevel="1" x14ac:dyDescent="0.2">
      <c r="A366" s="98"/>
      <c r="B366" s="85" t="s">
        <v>108</v>
      </c>
      <c r="C366" s="519">
        <f>C358*C317</f>
        <v>0</v>
      </c>
      <c r="D366" s="519">
        <f>D358*D317</f>
        <v>0</v>
      </c>
      <c r="E366" s="533">
        <f t="shared" si="91"/>
        <v>0</v>
      </c>
      <c r="F366" s="519">
        <f t="shared" ref="F366:K366" si="95">F358*F317</f>
        <v>0</v>
      </c>
      <c r="G366" s="519">
        <f t="shared" si="95"/>
        <v>0</v>
      </c>
      <c r="H366" s="519">
        <f t="shared" si="95"/>
        <v>0</v>
      </c>
      <c r="I366" s="519">
        <f t="shared" si="95"/>
        <v>0</v>
      </c>
      <c r="J366" s="519">
        <f t="shared" si="95"/>
        <v>0</v>
      </c>
      <c r="K366" s="519">
        <f t="shared" si="95"/>
        <v>0</v>
      </c>
      <c r="L366" s="564">
        <f>SUM(E366:K366)</f>
        <v>0</v>
      </c>
      <c r="M366" s="241"/>
    </row>
    <row r="367" spans="1:21" ht="16" outlineLevel="1" x14ac:dyDescent="0.2">
      <c r="A367" s="98"/>
      <c r="B367" s="143" t="s">
        <v>170</v>
      </c>
      <c r="C367" s="545">
        <f t="shared" ref="C367" si="96">SUM(C364:C366)</f>
        <v>144260.74169036598</v>
      </c>
      <c r="D367" s="545">
        <f t="shared" ref="D367" si="97">SUM(D364:D366)</f>
        <v>98991.605518869619</v>
      </c>
      <c r="E367" s="545">
        <f t="shared" ref="E367" si="98">SUM(E364:E366)</f>
        <v>243252.34720923557</v>
      </c>
      <c r="F367" s="545">
        <f t="shared" ref="F367" si="99">SUM(F364:F366)</f>
        <v>131991.10389186372</v>
      </c>
      <c r="G367" s="545">
        <f t="shared" ref="G367" si="100">SUM(G364:G366)</f>
        <v>29346.907259251744</v>
      </c>
      <c r="H367" s="545">
        <f t="shared" ref="H367" si="101">SUM(H364:H366)</f>
        <v>5585.4184612543504</v>
      </c>
      <c r="I367" s="545">
        <f t="shared" ref="I367" si="102">SUM(I364:I366)</f>
        <v>86572.643584717385</v>
      </c>
      <c r="J367" s="545">
        <f t="shared" ref="J367" si="103">SUM(J364:J366)</f>
        <v>17581.961333717594</v>
      </c>
      <c r="K367" s="545">
        <f t="shared" ref="K367" si="104">SUM(K364:K366)</f>
        <v>37694.302613275941</v>
      </c>
      <c r="L367" s="553">
        <f>SUM(E367:K367)</f>
        <v>552024.6843533162</v>
      </c>
    </row>
    <row r="368" spans="1:21" ht="16" outlineLevel="1" x14ac:dyDescent="0.2">
      <c r="A368" s="98"/>
      <c r="B368" s="518"/>
      <c r="C368" s="147"/>
      <c r="D368" s="147"/>
      <c r="E368" s="147"/>
      <c r="F368" s="147"/>
      <c r="G368" s="147"/>
      <c r="H368" s="147"/>
      <c r="I368" s="147"/>
      <c r="J368" s="147"/>
      <c r="K368" s="147"/>
    </row>
    <row r="369" spans="1:12" ht="16" outlineLevel="1" x14ac:dyDescent="0.2">
      <c r="A369" s="98" t="s">
        <v>220</v>
      </c>
      <c r="B369" s="126"/>
      <c r="C369" s="566"/>
      <c r="D369" s="566"/>
      <c r="E369" s="566"/>
      <c r="F369" s="566"/>
      <c r="G369" s="566"/>
      <c r="H369" s="566"/>
      <c r="I369" s="566"/>
      <c r="J369" s="566"/>
      <c r="K369" s="566"/>
      <c r="L369" s="566"/>
    </row>
    <row r="370" spans="1:12" outlineLevel="1" x14ac:dyDescent="0.15">
      <c r="A370" s="66"/>
      <c r="B370" s="66"/>
      <c r="C370" s="66"/>
      <c r="D370" s="66"/>
      <c r="E370" s="126"/>
      <c r="F370" s="66"/>
      <c r="G370" s="126"/>
      <c r="H370" s="66"/>
    </row>
    <row r="371" spans="1:12" ht="15" outlineLevel="1" x14ac:dyDescent="0.15">
      <c r="A371" s="66"/>
      <c r="B371" s="130"/>
      <c r="C371" s="130"/>
      <c r="D371" s="128" t="s">
        <v>221</v>
      </c>
      <c r="E371" s="128" t="s">
        <v>222</v>
      </c>
      <c r="F371" s="66"/>
      <c r="G371" s="126"/>
      <c r="H371" s="66"/>
    </row>
    <row r="372" spans="1:12" outlineLevel="1" x14ac:dyDescent="0.15">
      <c r="A372" s="66"/>
      <c r="B372" s="129"/>
      <c r="C372" s="129"/>
      <c r="D372" s="83">
        <v>2010</v>
      </c>
      <c r="E372" s="83">
        <v>2010</v>
      </c>
      <c r="F372" s="66"/>
      <c r="G372" s="126"/>
      <c r="H372" s="66"/>
    </row>
    <row r="373" spans="1:12" outlineLevel="1" x14ac:dyDescent="0.15">
      <c r="A373" s="66"/>
      <c r="B373" s="72" t="s">
        <v>223</v>
      </c>
      <c r="C373" s="72" t="s">
        <v>224</v>
      </c>
      <c r="D373" s="72">
        <v>1410</v>
      </c>
      <c r="E373" s="127">
        <f>+D373*'Constants &amp; Conversions'!$D$55</f>
        <v>0.41324279999999997</v>
      </c>
      <c r="F373" s="66"/>
      <c r="G373" s="66"/>
      <c r="H373" s="66"/>
    </row>
    <row r="374" spans="1:12" outlineLevel="1" x14ac:dyDescent="0.15">
      <c r="A374" s="66"/>
      <c r="B374" s="72"/>
      <c r="C374" s="72" t="s">
        <v>226</v>
      </c>
      <c r="D374" s="72">
        <v>1180</v>
      </c>
      <c r="E374" s="127">
        <f>+D374*'Constants &amp; Conversions'!$D$55</f>
        <v>0.34583439999999999</v>
      </c>
      <c r="F374" s="66"/>
      <c r="G374" s="66"/>
      <c r="H374" s="66"/>
    </row>
    <row r="375" spans="1:12" outlineLevel="1" x14ac:dyDescent="0.15">
      <c r="A375" s="66"/>
      <c r="B375" s="192" t="s">
        <v>228</v>
      </c>
      <c r="C375" s="192" t="s">
        <v>224</v>
      </c>
      <c r="D375" s="194">
        <f>(D377*C387)+(D379*D387)</f>
        <v>1974.8703999999998</v>
      </c>
      <c r="E375" s="193">
        <f>+D375*'Constants &amp; Conversions'!$D$55</f>
        <v>0.57879501683199985</v>
      </c>
      <c r="F375" s="66"/>
      <c r="G375" s="557"/>
      <c r="H375" s="66"/>
    </row>
    <row r="376" spans="1:12" outlineLevel="1" x14ac:dyDescent="0.15">
      <c r="A376" s="66"/>
      <c r="B376" s="192"/>
      <c r="C376" s="192" t="s">
        <v>226</v>
      </c>
      <c r="D376" s="194">
        <f>(D378*C387)+(D380*D387)</f>
        <v>1699.6415999999999</v>
      </c>
      <c r="E376" s="193">
        <f>+D376*'Constants &amp; Conversions'!$D$55</f>
        <v>0.49813096012799996</v>
      </c>
      <c r="F376" s="66"/>
      <c r="G376" s="557"/>
      <c r="H376" s="66"/>
    </row>
    <row r="377" spans="1:12" outlineLevel="1" x14ac:dyDescent="0.15">
      <c r="A377" s="66"/>
      <c r="B377" s="72" t="s">
        <v>229</v>
      </c>
      <c r="C377" s="72" t="s">
        <v>224</v>
      </c>
      <c r="D377" s="72">
        <v>1907</v>
      </c>
      <c r="E377" s="127">
        <f>+D377*'Constants &amp; Conversions'!$D$55</f>
        <v>0.55890355999999997</v>
      </c>
      <c r="F377" s="66"/>
      <c r="G377" s="66"/>
      <c r="H377" s="66"/>
    </row>
    <row r="378" spans="1:12" outlineLevel="1" x14ac:dyDescent="0.15">
      <c r="A378" s="66"/>
      <c r="B378" s="72"/>
      <c r="C378" s="72" t="s">
        <v>226</v>
      </c>
      <c r="D378" s="72">
        <v>1639</v>
      </c>
      <c r="E378" s="127">
        <f>+D378*'Constants &amp; Conversions'!$D$55</f>
        <v>0.48035811999999994</v>
      </c>
      <c r="F378" s="66"/>
      <c r="G378" s="66"/>
      <c r="H378" s="66"/>
    </row>
    <row r="379" spans="1:12" outlineLevel="1" x14ac:dyDescent="0.15">
      <c r="A379" s="66"/>
      <c r="B379" s="72" t="s">
        <v>232</v>
      </c>
      <c r="C379" s="72" t="s">
        <v>224</v>
      </c>
      <c r="D379" s="72">
        <v>2245</v>
      </c>
      <c r="E379" s="127">
        <f>+D379*'Constants &amp; Conversions'!$D$55</f>
        <v>0.6579645999999999</v>
      </c>
      <c r="F379" s="66"/>
      <c r="G379" s="66"/>
      <c r="H379" s="66"/>
    </row>
    <row r="380" spans="1:12" outlineLevel="1" x14ac:dyDescent="0.15">
      <c r="A380" s="66"/>
      <c r="B380" s="72"/>
      <c r="C380" s="72" t="s">
        <v>226</v>
      </c>
      <c r="D380" s="72">
        <v>1941</v>
      </c>
      <c r="E380" s="127">
        <f>+D380*'Constants &amp; Conversions'!$D$55</f>
        <v>0.56886828</v>
      </c>
      <c r="F380" s="66"/>
      <c r="G380" s="66"/>
      <c r="H380" s="66"/>
    </row>
    <row r="381" spans="1:12" outlineLevel="1" x14ac:dyDescent="0.15">
      <c r="A381" s="66"/>
      <c r="B381" s="72" t="s">
        <v>235</v>
      </c>
      <c r="C381" s="72" t="s">
        <v>224</v>
      </c>
      <c r="D381" s="72">
        <v>9866</v>
      </c>
      <c r="E381" s="127">
        <f>+D381*'Constants &amp; Conversions'!$D$55</f>
        <v>2.8915272799999996</v>
      </c>
      <c r="F381" s="66"/>
      <c r="G381" s="126"/>
      <c r="H381" s="66"/>
    </row>
    <row r="382" spans="1:12" outlineLevel="1" x14ac:dyDescent="0.15">
      <c r="A382" s="66"/>
      <c r="B382" s="101" t="s">
        <v>282</v>
      </c>
      <c r="C382" s="66"/>
      <c r="D382" s="66"/>
      <c r="E382" s="66"/>
      <c r="F382" s="66"/>
      <c r="G382" s="66"/>
      <c r="H382" s="66"/>
    </row>
    <row r="383" spans="1:12" outlineLevel="1" x14ac:dyDescent="0.15">
      <c r="A383" s="66"/>
      <c r="B383" s="101" t="s">
        <v>275</v>
      </c>
      <c r="C383" s="66"/>
      <c r="D383" s="66"/>
      <c r="E383" s="66"/>
      <c r="F383" s="188"/>
      <c r="G383" s="188"/>
      <c r="H383" s="66"/>
    </row>
    <row r="384" spans="1:12" outlineLevel="1" x14ac:dyDescent="0.15">
      <c r="A384" s="66"/>
      <c r="B384" s="66"/>
      <c r="C384" s="66"/>
      <c r="D384" s="66"/>
      <c r="E384" s="66"/>
      <c r="F384" s="66"/>
      <c r="G384" s="188"/>
      <c r="H384" s="66"/>
    </row>
    <row r="385" spans="1:12" outlineLevel="1" x14ac:dyDescent="0.15">
      <c r="A385" s="66"/>
      <c r="B385" s="284" t="s">
        <v>238</v>
      </c>
      <c r="C385" s="66"/>
      <c r="D385" s="66"/>
      <c r="E385" s="66"/>
      <c r="F385" s="66"/>
      <c r="G385" s="66"/>
      <c r="H385" s="66"/>
    </row>
    <row r="386" spans="1:12" outlineLevel="1" x14ac:dyDescent="0.15">
      <c r="A386" s="66"/>
      <c r="B386" s="178"/>
      <c r="C386" s="195" t="s">
        <v>229</v>
      </c>
      <c r="D386" s="195" t="s">
        <v>232</v>
      </c>
      <c r="E386" s="66"/>
      <c r="F386" s="66"/>
      <c r="G386" s="66"/>
      <c r="H386" s="66"/>
    </row>
    <row r="387" spans="1:12" outlineLevel="1" x14ac:dyDescent="0.15">
      <c r="A387" s="66"/>
      <c r="B387" s="285">
        <v>2010</v>
      </c>
      <c r="C387" s="196">
        <v>0.79920000000000002</v>
      </c>
      <c r="D387" s="196">
        <v>0.20079999999999998</v>
      </c>
      <c r="E387" s="66"/>
      <c r="F387" s="66"/>
      <c r="G387" s="66"/>
      <c r="H387" s="66"/>
    </row>
    <row r="388" spans="1:12" outlineLevel="1" x14ac:dyDescent="0.15">
      <c r="A388" s="66"/>
      <c r="B388" s="101" t="s">
        <v>276</v>
      </c>
      <c r="C388" s="66"/>
      <c r="D388" s="66"/>
      <c r="E388" s="66"/>
      <c r="F388" s="66"/>
      <c r="G388" s="66"/>
      <c r="H388" s="66"/>
    </row>
    <row r="389" spans="1:12" x14ac:dyDescent="0.15">
      <c r="A389" s="66"/>
      <c r="B389" s="66"/>
      <c r="C389" s="69"/>
      <c r="D389" s="66"/>
      <c r="E389" s="66"/>
      <c r="F389" s="66"/>
      <c r="G389" s="66"/>
      <c r="H389" s="66"/>
    </row>
    <row r="390" spans="1:12" ht="16" outlineLevel="1" x14ac:dyDescent="0.2">
      <c r="A390" s="98" t="s">
        <v>240</v>
      </c>
      <c r="B390" s="66"/>
      <c r="C390" s="69"/>
      <c r="D390" s="66"/>
      <c r="E390" s="66"/>
      <c r="F390" s="66"/>
      <c r="G390" s="66"/>
      <c r="H390" s="66"/>
    </row>
    <row r="391" spans="1:12" ht="11" customHeight="1" outlineLevel="1" x14ac:dyDescent="0.2">
      <c r="A391" s="98"/>
      <c r="B391" s="66"/>
      <c r="C391" s="69"/>
      <c r="D391" s="66"/>
      <c r="E391" s="66"/>
      <c r="F391" s="66"/>
      <c r="G391" s="66"/>
      <c r="H391" s="66"/>
    </row>
    <row r="392" spans="1:12" ht="15" outlineLevel="1" x14ac:dyDescent="0.15">
      <c r="A392" s="66"/>
      <c r="B392" s="134" t="s">
        <v>191</v>
      </c>
      <c r="C392" s="134" t="s">
        <v>177</v>
      </c>
      <c r="D392" s="135" t="s">
        <v>100</v>
      </c>
      <c r="E392" s="135" t="s">
        <v>178</v>
      </c>
      <c r="F392" s="135" t="s">
        <v>179</v>
      </c>
      <c r="G392" s="135" t="s">
        <v>180</v>
      </c>
      <c r="H392" s="135" t="s">
        <v>181</v>
      </c>
      <c r="I392" s="135" t="s">
        <v>182</v>
      </c>
      <c r="J392" s="135" t="s">
        <v>183</v>
      </c>
      <c r="K392" s="135" t="s">
        <v>184</v>
      </c>
      <c r="L392" s="84" t="s">
        <v>88</v>
      </c>
    </row>
    <row r="393" spans="1:12" outlineLevel="1" x14ac:dyDescent="0.15">
      <c r="A393" s="66"/>
      <c r="B393" s="137" t="s">
        <v>241</v>
      </c>
      <c r="C393" s="594">
        <f t="shared" ref="C393:K393" si="105">C364*$C$343/$C$342*$E$373</f>
        <v>12820.138360103252</v>
      </c>
      <c r="D393" s="594">
        <f t="shared" si="105"/>
        <v>7580.3063195409341</v>
      </c>
      <c r="E393" s="594">
        <f t="shared" si="105"/>
        <v>20400.444679644184</v>
      </c>
      <c r="F393" s="594">
        <f t="shared" si="105"/>
        <v>11287.903397859431</v>
      </c>
      <c r="G393" s="594">
        <f t="shared" si="105"/>
        <v>3537.2350285598991</v>
      </c>
      <c r="H393" s="594">
        <f t="shared" si="105"/>
        <v>707.05353346725508</v>
      </c>
      <c r="I393" s="594">
        <f t="shared" si="105"/>
        <v>7936.6205071298527</v>
      </c>
      <c r="J393" s="594">
        <f t="shared" si="105"/>
        <v>2272.2815152284315</v>
      </c>
      <c r="K393" s="594">
        <f t="shared" si="105"/>
        <v>4281.9441899383728</v>
      </c>
      <c r="L393" s="564">
        <f t="shared" ref="L393:L396" si="106">SUM(E393:K393)</f>
        <v>50423.48285182743</v>
      </c>
    </row>
    <row r="394" spans="1:12" outlineLevel="1" x14ac:dyDescent="0.15">
      <c r="A394" s="66"/>
      <c r="B394" s="137" t="s">
        <v>242</v>
      </c>
      <c r="C394" s="594">
        <f t="shared" ref="C394:K394" si="107">C364*$C$344/$C$342*$E$374</f>
        <v>16506.015564562837</v>
      </c>
      <c r="D394" s="594">
        <f t="shared" si="107"/>
        <v>9759.696079714462</v>
      </c>
      <c r="E394" s="594">
        <f t="shared" si="107"/>
        <v>26265.711644277293</v>
      </c>
      <c r="F394" s="594">
        <f t="shared" si="107"/>
        <v>14533.252601717544</v>
      </c>
      <c r="G394" s="594">
        <f t="shared" si="107"/>
        <v>4554.2142211682276</v>
      </c>
      <c r="H394" s="594">
        <f t="shared" si="107"/>
        <v>910.33624603530927</v>
      </c>
      <c r="I394" s="594">
        <f t="shared" si="107"/>
        <v>10218.4530260919</v>
      </c>
      <c r="J394" s="594">
        <f t="shared" si="107"/>
        <v>2925.5779465025084</v>
      </c>
      <c r="K394" s="594">
        <f t="shared" si="107"/>
        <v>5513.032344928838</v>
      </c>
      <c r="L394" s="564">
        <f t="shared" si="106"/>
        <v>64920.578030721626</v>
      </c>
    </row>
    <row r="395" spans="1:12" outlineLevel="1" x14ac:dyDescent="0.15">
      <c r="A395" s="66"/>
      <c r="B395" s="137" t="s">
        <v>243</v>
      </c>
      <c r="C395" s="136">
        <f t="shared" ref="C395:K395" si="108">C365*$E$375</f>
        <v>37916.509792286735</v>
      </c>
      <c r="D395" s="136">
        <f t="shared" si="108"/>
        <v>30344.727146622688</v>
      </c>
      <c r="E395" s="136">
        <f t="shared" si="108"/>
        <v>68261.236938909424</v>
      </c>
      <c r="F395" s="136">
        <f t="shared" si="108"/>
        <v>36262.632923247969</v>
      </c>
      <c r="G395" s="136">
        <f t="shared" si="108"/>
        <v>4409.511714930748</v>
      </c>
      <c r="H395" s="136">
        <f t="shared" si="108"/>
        <v>718.9449354609734</v>
      </c>
      <c r="I395" s="136">
        <f t="shared" si="108"/>
        <v>21889.849713703949</v>
      </c>
      <c r="J395" s="136">
        <f t="shared" si="108"/>
        <v>2097.452006447149</v>
      </c>
      <c r="K395" s="136">
        <f t="shared" si="108"/>
        <v>6593.1937975552673</v>
      </c>
      <c r="L395" s="564">
        <f t="shared" si="106"/>
        <v>140232.82203025545</v>
      </c>
    </row>
    <row r="396" spans="1:12" outlineLevel="1" x14ac:dyDescent="0.15">
      <c r="A396" s="66"/>
      <c r="B396" s="137" t="s">
        <v>244</v>
      </c>
      <c r="C396" s="136">
        <f t="shared" ref="C396:K396" si="109">C366*$E$381</f>
        <v>0</v>
      </c>
      <c r="D396" s="136">
        <f t="shared" si="109"/>
        <v>0</v>
      </c>
      <c r="E396" s="136">
        <f t="shared" si="109"/>
        <v>0</v>
      </c>
      <c r="F396" s="136">
        <f t="shared" si="109"/>
        <v>0</v>
      </c>
      <c r="G396" s="136">
        <f t="shared" si="109"/>
        <v>0</v>
      </c>
      <c r="H396" s="136">
        <f t="shared" si="109"/>
        <v>0</v>
      </c>
      <c r="I396" s="136">
        <f t="shared" si="109"/>
        <v>0</v>
      </c>
      <c r="J396" s="136">
        <f t="shared" si="109"/>
        <v>0</v>
      </c>
      <c r="K396" s="136">
        <f t="shared" si="109"/>
        <v>0</v>
      </c>
      <c r="L396" s="564">
        <f t="shared" si="106"/>
        <v>0</v>
      </c>
    </row>
    <row r="397" spans="1:12" outlineLevel="1" x14ac:dyDescent="0.15">
      <c r="A397" s="66"/>
      <c r="B397" s="516" t="s">
        <v>245</v>
      </c>
      <c r="C397" s="517">
        <f t="shared" ref="C397:K397" si="110">SUM(C393:C396)</f>
        <v>67242.663716952826</v>
      </c>
      <c r="D397" s="517">
        <f t="shared" si="110"/>
        <v>47684.729545878086</v>
      </c>
      <c r="E397" s="517">
        <f t="shared" si="110"/>
        <v>114927.3932628309</v>
      </c>
      <c r="F397" s="517">
        <f t="shared" si="110"/>
        <v>62083.788922824941</v>
      </c>
      <c r="G397" s="517">
        <f t="shared" si="110"/>
        <v>12500.960964658874</v>
      </c>
      <c r="H397" s="517">
        <f t="shared" si="110"/>
        <v>2336.3347149635379</v>
      </c>
      <c r="I397" s="517">
        <f t="shared" si="110"/>
        <v>40044.923246925697</v>
      </c>
      <c r="J397" s="517">
        <f t="shared" si="110"/>
        <v>7295.3114681780889</v>
      </c>
      <c r="K397" s="517">
        <f t="shared" si="110"/>
        <v>16388.17033242248</v>
      </c>
      <c r="L397" s="553">
        <f>SUM(E397:K397)</f>
        <v>255576.88291280452</v>
      </c>
    </row>
    <row r="398" spans="1:12" ht="16" outlineLevel="1" x14ac:dyDescent="0.2">
      <c r="A398" s="98"/>
      <c r="B398" s="250"/>
      <c r="C398" s="514"/>
      <c r="D398" s="66"/>
      <c r="E398" s="101"/>
      <c r="F398" s="66"/>
      <c r="G398" s="66"/>
      <c r="H398" s="66"/>
    </row>
    <row r="399" spans="1:12" ht="16" outlineLevel="1" x14ac:dyDescent="0.2">
      <c r="A399" s="98" t="s">
        <v>246</v>
      </c>
      <c r="B399" s="250"/>
      <c r="C399" s="514"/>
      <c r="D399" s="66"/>
      <c r="E399" s="101"/>
      <c r="F399" s="66"/>
      <c r="G399" s="66"/>
      <c r="H399" s="66"/>
    </row>
    <row r="400" spans="1:12" ht="16" outlineLevel="1" x14ac:dyDescent="0.2">
      <c r="A400" s="98"/>
      <c r="B400" s="250"/>
      <c r="C400" s="514"/>
      <c r="D400" s="66"/>
      <c r="E400" s="101"/>
      <c r="F400" s="66"/>
      <c r="G400" s="66"/>
      <c r="H400" s="66"/>
    </row>
    <row r="401" spans="1:10" outlineLevel="1" x14ac:dyDescent="0.15">
      <c r="A401" s="66"/>
      <c r="B401" s="82" t="s">
        <v>247</v>
      </c>
      <c r="C401" s="82"/>
      <c r="D401" s="66"/>
      <c r="E401" s="66"/>
      <c r="F401" s="66"/>
      <c r="G401" s="66"/>
      <c r="H401" s="66"/>
    </row>
    <row r="402" spans="1:10" ht="15" outlineLevel="1" x14ac:dyDescent="0.15">
      <c r="A402" s="66"/>
      <c r="B402" s="130" t="s">
        <v>248</v>
      </c>
      <c r="C402" s="472"/>
      <c r="D402" s="66"/>
      <c r="E402" s="66"/>
      <c r="F402" s="66"/>
      <c r="G402" s="66"/>
      <c r="H402" s="66"/>
    </row>
    <row r="403" spans="1:10" outlineLevel="1" x14ac:dyDescent="0.15">
      <c r="A403" s="66"/>
      <c r="B403" s="538" t="s">
        <v>249</v>
      </c>
      <c r="C403" s="596">
        <v>0</v>
      </c>
      <c r="D403" s="66"/>
      <c r="E403" s="66"/>
      <c r="F403" s="66"/>
      <c r="G403" s="66"/>
      <c r="H403" s="66"/>
    </row>
    <row r="404" spans="1:10" outlineLevel="1" x14ac:dyDescent="0.15">
      <c r="A404" s="66"/>
      <c r="B404" s="101" t="s">
        <v>283</v>
      </c>
      <c r="C404" s="243"/>
      <c r="D404" s="66"/>
      <c r="E404" s="66"/>
      <c r="F404" s="66"/>
      <c r="G404" s="66"/>
      <c r="H404" s="66"/>
    </row>
    <row r="405" spans="1:10" outlineLevel="1" x14ac:dyDescent="0.15">
      <c r="A405" s="66"/>
      <c r="B405" s="101" t="s">
        <v>284</v>
      </c>
      <c r="C405" s="243"/>
      <c r="D405" s="66"/>
      <c r="E405" s="66"/>
      <c r="F405" s="66"/>
      <c r="G405" s="66"/>
      <c r="H405" s="66"/>
    </row>
    <row r="406" spans="1:10" outlineLevel="1" x14ac:dyDescent="0.15">
      <c r="A406" s="66"/>
      <c r="B406" s="101"/>
      <c r="C406" s="69"/>
      <c r="D406" s="66"/>
      <c r="E406" s="66"/>
      <c r="F406" s="66"/>
      <c r="G406" s="66"/>
      <c r="H406" s="66"/>
    </row>
    <row r="407" spans="1:10" outlineLevel="1" x14ac:dyDescent="0.15">
      <c r="A407" s="66"/>
      <c r="B407" s="126"/>
      <c r="C407" s="126"/>
      <c r="D407" s="126"/>
      <c r="E407" s="126"/>
      <c r="F407" s="126"/>
      <c r="G407" s="126"/>
      <c r="H407" s="126"/>
      <c r="I407" s="126"/>
      <c r="J407" s="126"/>
    </row>
  </sheetData>
  <mergeCells count="5">
    <mergeCell ref="B4:B5"/>
    <mergeCell ref="C4:E4"/>
    <mergeCell ref="F4:H4"/>
    <mergeCell ref="I4:K4"/>
    <mergeCell ref="B89:L89"/>
  </mergeCells>
  <conditionalFormatting sqref="D296">
    <cfRule type="expression" dxfId="0" priority="1">
      <formula>MOD(ROW(),2)=0</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BB814-EEFE-458E-9A9C-4C4F4CA91E6B}">
  <sheetPr codeName="Sheet23">
    <tabColor theme="8" tint="0.59999389629810485"/>
    <outlinePr summaryBelow="0"/>
  </sheetPr>
  <dimension ref="A1:N242"/>
  <sheetViews>
    <sheetView showGridLines="0" zoomScale="90" zoomScaleNormal="90" workbookViewId="0">
      <selection activeCell="B4" sqref="B4:B5"/>
    </sheetView>
  </sheetViews>
  <sheetFormatPr baseColWidth="10" defaultColWidth="8.6640625" defaultRowHeight="14" outlineLevelRow="1" x14ac:dyDescent="0.15"/>
  <cols>
    <col min="1" max="1" width="6.6640625" customWidth="1"/>
    <col min="2" max="2" width="39.1640625" customWidth="1"/>
    <col min="3" max="3" width="18.1640625" style="64" customWidth="1"/>
    <col min="4" max="4" width="16.6640625" customWidth="1"/>
    <col min="5" max="5" width="15.6640625" customWidth="1"/>
    <col min="6" max="6" width="17.5" customWidth="1"/>
    <col min="7" max="8" width="15.6640625" customWidth="1"/>
    <col min="9" max="10" width="15.6640625" style="66" customWidth="1"/>
    <col min="11" max="12" width="14.1640625" style="66" customWidth="1"/>
    <col min="13" max="16384" width="8.6640625" style="66"/>
  </cols>
  <sheetData>
    <row r="1" spans="1:14" ht="18" x14ac:dyDescent="0.2">
      <c r="A1" s="76" t="s">
        <v>29</v>
      </c>
      <c r="B1" s="77"/>
      <c r="C1" s="78"/>
      <c r="D1" s="77"/>
      <c r="E1" s="77"/>
      <c r="F1" s="77"/>
      <c r="G1" s="77"/>
      <c r="H1" s="77"/>
      <c r="I1" s="77"/>
      <c r="J1" s="77"/>
      <c r="K1" s="77"/>
      <c r="L1" s="77"/>
      <c r="M1" s="77"/>
      <c r="N1" s="189"/>
    </row>
    <row r="2" spans="1:14" x14ac:dyDescent="0.15">
      <c r="A2" s="66"/>
      <c r="B2" s="66"/>
      <c r="C2" s="69"/>
      <c r="D2" s="66"/>
      <c r="E2" s="66"/>
      <c r="F2" s="66"/>
      <c r="G2" s="66"/>
      <c r="H2" s="66"/>
    </row>
    <row r="3" spans="1:14" x14ac:dyDescent="0.15">
      <c r="A3" s="66"/>
      <c r="B3" s="82" t="s">
        <v>285</v>
      </c>
      <c r="C3" s="69"/>
      <c r="D3" s="66"/>
      <c r="E3" s="66"/>
      <c r="F3" s="66"/>
      <c r="G3" s="66"/>
      <c r="H3" s="66"/>
    </row>
    <row r="4" spans="1:14" ht="14.25" customHeight="1" x14ac:dyDescent="0.15">
      <c r="A4" s="66"/>
      <c r="B4" s="711" t="s">
        <v>77</v>
      </c>
      <c r="C4" s="712">
        <v>2010</v>
      </c>
      <c r="D4" s="713"/>
      <c r="E4" s="714"/>
      <c r="F4" s="715">
        <v>2015</v>
      </c>
      <c r="G4" s="716"/>
      <c r="H4" s="717"/>
      <c r="I4" s="719">
        <v>2019</v>
      </c>
      <c r="J4" s="720"/>
      <c r="K4" s="720"/>
    </row>
    <row r="5" spans="1:14" s="69" customFormat="1" ht="30" x14ac:dyDescent="0.15">
      <c r="B5" s="711"/>
      <c r="C5" s="209" t="s">
        <v>286</v>
      </c>
      <c r="D5" s="209" t="s">
        <v>287</v>
      </c>
      <c r="E5" s="209" t="s">
        <v>288</v>
      </c>
      <c r="F5" s="209" t="s">
        <v>286</v>
      </c>
      <c r="G5" s="209" t="s">
        <v>287</v>
      </c>
      <c r="H5" s="209" t="s">
        <v>288</v>
      </c>
      <c r="I5" s="209" t="s">
        <v>286</v>
      </c>
      <c r="J5" s="209" t="s">
        <v>287</v>
      </c>
      <c r="K5" s="209" t="s">
        <v>288</v>
      </c>
    </row>
    <row r="6" spans="1:14" ht="15" x14ac:dyDescent="0.15">
      <c r="A6" s="66"/>
      <c r="B6" s="386" t="s">
        <v>59</v>
      </c>
      <c r="C6" s="508">
        <f>C7+C8</f>
        <v>486224444.30366641</v>
      </c>
      <c r="D6" s="508">
        <f t="shared" ref="D6" si="0">D7+D8</f>
        <v>35572796.817193717</v>
      </c>
      <c r="E6" s="508">
        <f t="shared" ref="E6" si="1">E7+E8</f>
        <v>933164.42298194207</v>
      </c>
      <c r="F6" s="508">
        <f t="shared" ref="F6" si="2">F7+F8</f>
        <v>482924291.00192738</v>
      </c>
      <c r="G6" s="508">
        <f t="shared" ref="G6" si="3">G7+G8</f>
        <v>34067802.052649818</v>
      </c>
      <c r="H6" s="508">
        <f t="shared" ref="H6" si="4">H7+H8</f>
        <v>896397.26488748274</v>
      </c>
      <c r="I6" s="508">
        <f t="shared" ref="I6" si="5">I7+I8</f>
        <v>496182468.76342106</v>
      </c>
      <c r="J6" s="508">
        <f t="shared" ref="J6" si="6">J7+J8</f>
        <v>31593444.166825458</v>
      </c>
      <c r="K6" s="508">
        <f t="shared" ref="K6" si="7">K7+K8</f>
        <v>885106.19492465933</v>
      </c>
      <c r="M6" s="233"/>
    </row>
    <row r="7" spans="1:14" ht="15" x14ac:dyDescent="0.15">
      <c r="A7" s="66"/>
      <c r="B7" s="387" t="s">
        <v>58</v>
      </c>
      <c r="C7" s="437">
        <f>C198</f>
        <v>423592315.460958</v>
      </c>
      <c r="D7" s="437">
        <f>C192</f>
        <v>26957435.981667392</v>
      </c>
      <c r="E7" s="437">
        <f>C239</f>
        <v>414476.26514410088</v>
      </c>
      <c r="F7" s="437">
        <f>C125</f>
        <v>426845344.79675186</v>
      </c>
      <c r="G7" s="397">
        <f>C119</f>
        <v>25101487.332182769</v>
      </c>
      <c r="H7" s="397">
        <f>C166</f>
        <v>398145.68717558234</v>
      </c>
      <c r="I7" s="397">
        <f>C46</f>
        <v>432611124.13316244</v>
      </c>
      <c r="J7" s="397">
        <f>C40</f>
        <v>23099097.65350483</v>
      </c>
      <c r="K7" s="397">
        <f>C87</f>
        <v>393130.62188546214</v>
      </c>
      <c r="M7" s="233"/>
    </row>
    <row r="8" spans="1:14" ht="15" x14ac:dyDescent="0.15">
      <c r="A8" s="66"/>
      <c r="B8" s="387" t="s">
        <v>131</v>
      </c>
      <c r="C8" s="437">
        <f>D198</f>
        <v>62632128.842708409</v>
      </c>
      <c r="D8" s="437">
        <f>D192</f>
        <v>8615360.8355263248</v>
      </c>
      <c r="E8" s="437">
        <f>D239</f>
        <v>518688.15783784125</v>
      </c>
      <c r="F8" s="437">
        <f>D125</f>
        <v>56078946.205175489</v>
      </c>
      <c r="G8" s="397">
        <f>D119</f>
        <v>8966314.7204670515</v>
      </c>
      <c r="H8" s="397">
        <f>D166</f>
        <v>498251.57771190041</v>
      </c>
      <c r="I8" s="397">
        <f>D46</f>
        <v>63571344.630258627</v>
      </c>
      <c r="J8" s="397">
        <f>D40</f>
        <v>8494346.5133206286</v>
      </c>
      <c r="K8" s="397">
        <f>D87</f>
        <v>491975.57303919725</v>
      </c>
      <c r="M8" s="233"/>
    </row>
    <row r="9" spans="1:14" ht="15" x14ac:dyDescent="0.15">
      <c r="A9" s="66"/>
      <c r="B9" s="386" t="s">
        <v>60</v>
      </c>
      <c r="C9" s="461">
        <f>E198</f>
        <v>14471703.685319329</v>
      </c>
      <c r="D9" s="172">
        <f>E192</f>
        <v>3370420.3754322906</v>
      </c>
      <c r="E9" s="462">
        <f>F239</f>
        <v>109681.89730723457</v>
      </c>
      <c r="F9" s="462">
        <f>E125</f>
        <v>10878673.727406267</v>
      </c>
      <c r="G9" s="397">
        <f>E119</f>
        <v>3636998.8777133077</v>
      </c>
      <c r="H9" s="397">
        <f>F166</f>
        <v>105360.37415538869</v>
      </c>
      <c r="I9" s="397">
        <f>E46</f>
        <v>8897691.7109608706</v>
      </c>
      <c r="J9" s="397">
        <f>E40</f>
        <v>3086240.3297615643</v>
      </c>
      <c r="K9" s="397">
        <f>F87</f>
        <v>104033.24900396707</v>
      </c>
      <c r="M9" s="233"/>
    </row>
    <row r="10" spans="1:14" ht="15" x14ac:dyDescent="0.15">
      <c r="A10" s="66"/>
      <c r="B10" s="386" t="s">
        <v>62</v>
      </c>
      <c r="C10" s="461">
        <f>F198</f>
        <v>2435567.7940183273</v>
      </c>
      <c r="D10" s="462">
        <f>F192</f>
        <v>567237.10609369841</v>
      </c>
      <c r="E10" s="462">
        <f>G239</f>
        <v>36265.47340582827</v>
      </c>
      <c r="F10" s="462">
        <f>F125</f>
        <v>1830865.8018601055</v>
      </c>
      <c r="G10" s="397">
        <f>F119</f>
        <v>612101.90078901348</v>
      </c>
      <c r="H10" s="397">
        <f>G166</f>
        <v>34836.595106094486</v>
      </c>
      <c r="I10" s="397">
        <f>F46</f>
        <v>2827180.2323766346</v>
      </c>
      <c r="J10" s="397">
        <f>F40</f>
        <v>980631.59930758947</v>
      </c>
      <c r="K10" s="397">
        <f>G87</f>
        <v>34397.791410437479</v>
      </c>
      <c r="M10" s="233"/>
    </row>
    <row r="11" spans="1:14" ht="15" x14ac:dyDescent="0.15">
      <c r="A11" s="66"/>
      <c r="B11" s="386" t="s">
        <v>61</v>
      </c>
      <c r="C11" s="511">
        <f>G198</f>
        <v>0</v>
      </c>
      <c r="D11" s="172">
        <f>G192</f>
        <v>0</v>
      </c>
      <c r="E11" s="462">
        <f>H239</f>
        <v>86651.976190297064</v>
      </c>
      <c r="F11" s="462">
        <f>G125</f>
        <v>0</v>
      </c>
      <c r="G11" s="172">
        <f>G119</f>
        <v>0</v>
      </c>
      <c r="H11" s="397">
        <f>H166</f>
        <v>83237.84377234093</v>
      </c>
      <c r="I11" s="397">
        <f>G46</f>
        <v>0</v>
      </c>
      <c r="J11" s="397">
        <f>G40</f>
        <v>0</v>
      </c>
      <c r="K11" s="397">
        <f>H87</f>
        <v>82189.375247946198</v>
      </c>
      <c r="M11" s="233"/>
    </row>
    <row r="12" spans="1:14" ht="15" x14ac:dyDescent="0.15">
      <c r="A12" s="66"/>
      <c r="B12" s="386" t="s">
        <v>63</v>
      </c>
      <c r="C12" s="461">
        <f>H198</f>
        <v>13573927.961848585</v>
      </c>
      <c r="D12" s="462">
        <f>H192</f>
        <v>3161330.8544781106</v>
      </c>
      <c r="E12" s="462">
        <f>I239</f>
        <v>287978.71201683715</v>
      </c>
      <c r="F12" s="462">
        <f>H125</f>
        <v>10203797.473138293</v>
      </c>
      <c r="G12" s="397">
        <f>H119</f>
        <v>3411371.7249121</v>
      </c>
      <c r="H12" s="172">
        <f>I166</f>
        <v>276632.20268600859</v>
      </c>
      <c r="I12" s="397">
        <f>H46</f>
        <v>10761184.718382748</v>
      </c>
      <c r="J12" s="397">
        <f>H40</f>
        <v>3732608.7880718587</v>
      </c>
      <c r="K12" s="397">
        <f>I87</f>
        <v>273147.72802633891</v>
      </c>
      <c r="M12" s="233"/>
    </row>
    <row r="13" spans="1:14" ht="15" x14ac:dyDescent="0.15">
      <c r="A13" s="66"/>
      <c r="B13" s="386" t="s">
        <v>64</v>
      </c>
      <c r="C13" s="461">
        <f>I198</f>
        <v>3488838.6602635593</v>
      </c>
      <c r="D13" s="462">
        <f>I192</f>
        <v>812541.02231770009</v>
      </c>
      <c r="E13" s="462">
        <f>J239</f>
        <v>0</v>
      </c>
      <c r="F13" s="462">
        <f>I125</f>
        <v>2622630.9146358795</v>
      </c>
      <c r="G13" s="397">
        <f>I119</f>
        <v>876807.77383339405</v>
      </c>
      <c r="H13" s="397">
        <f>J166</f>
        <v>0</v>
      </c>
      <c r="I13" s="397">
        <f>I46</f>
        <v>4578838.4092489043</v>
      </c>
      <c r="J13" s="397">
        <f>I40</f>
        <v>1588209.1919050307</v>
      </c>
      <c r="K13" s="397">
        <f>J87</f>
        <v>0</v>
      </c>
      <c r="M13" s="233"/>
    </row>
    <row r="14" spans="1:14" ht="15" x14ac:dyDescent="0.15">
      <c r="A14" s="66"/>
      <c r="B14" s="386" t="s">
        <v>65</v>
      </c>
      <c r="C14" s="461">
        <f>J198</f>
        <v>3987474.8196798223</v>
      </c>
      <c r="D14" s="462">
        <f>J192</f>
        <v>928672.02583795309</v>
      </c>
      <c r="E14" s="172">
        <f>K239</f>
        <v>306393.11333367485</v>
      </c>
      <c r="F14" s="462">
        <f>J125</f>
        <v>2997465.8480293327</v>
      </c>
      <c r="G14" s="172">
        <f>J119</f>
        <v>1002123.9903355291</v>
      </c>
      <c r="H14" s="65">
        <f>K166</f>
        <v>294321.06712236017</v>
      </c>
      <c r="I14" s="397">
        <f>J46</f>
        <v>4003466.6139492569</v>
      </c>
      <c r="J14" s="397">
        <f>J40</f>
        <v>1388636.5727420631</v>
      </c>
      <c r="K14" s="397">
        <f>K87</f>
        <v>290613.78253930365</v>
      </c>
      <c r="M14" s="233"/>
    </row>
    <row r="15" spans="1:14" ht="15" x14ac:dyDescent="0.15">
      <c r="A15" s="66"/>
      <c r="B15" s="438" t="s">
        <v>88</v>
      </c>
      <c r="C15" s="509">
        <f t="shared" ref="C15" si="8">SUM(C7:C14)</f>
        <v>524181957.22479594</v>
      </c>
      <c r="D15" s="509">
        <f t="shared" ref="D15" si="9">SUM(D7:D14)</f>
        <v>44412998.201353468</v>
      </c>
      <c r="E15" s="509">
        <f>SUM(E7:E14)</f>
        <v>1760135.5952358141</v>
      </c>
      <c r="F15" s="509">
        <f t="shared" ref="F15:K15" si="10">SUM(F7:F14)</f>
        <v>511457724.76699722</v>
      </c>
      <c r="G15" s="509">
        <f>SUM(G7:G14)</f>
        <v>43607206.320233166</v>
      </c>
      <c r="H15" s="509">
        <f t="shared" si="10"/>
        <v>1690785.3477296757</v>
      </c>
      <c r="I15" s="509">
        <f t="shared" si="10"/>
        <v>527250830.44833946</v>
      </c>
      <c r="J15" s="509">
        <f t="shared" si="10"/>
        <v>42369770.648613557</v>
      </c>
      <c r="K15" s="509">
        <f t="shared" si="10"/>
        <v>1669488.1211526524</v>
      </c>
      <c r="M15" s="233"/>
    </row>
    <row r="16" spans="1:14" x14ac:dyDescent="0.15">
      <c r="A16" s="66"/>
      <c r="B16" s="176"/>
      <c r="C16" s="177"/>
      <c r="D16" s="177"/>
      <c r="E16" s="176"/>
      <c r="F16" s="176"/>
      <c r="G16" s="176"/>
      <c r="H16" s="176"/>
      <c r="I16" s="176"/>
      <c r="J16" s="176"/>
      <c r="K16" s="176"/>
    </row>
    <row r="17" spans="1:14" s="108" customFormat="1" ht="16" x14ac:dyDescent="0.2">
      <c r="A17" s="89">
        <v>2019</v>
      </c>
      <c r="B17" s="90"/>
      <c r="C17" s="91"/>
      <c r="D17" s="90"/>
      <c r="E17" s="90"/>
      <c r="F17" s="90"/>
      <c r="G17" s="90"/>
      <c r="H17" s="90"/>
      <c r="I17" s="90"/>
      <c r="J17" s="90"/>
      <c r="K17" s="90"/>
      <c r="L17" s="90"/>
      <c r="M17" s="90"/>
      <c r="N17" s="106"/>
    </row>
    <row r="18" spans="1:14" outlineLevel="1" x14ac:dyDescent="0.15">
      <c r="A18" s="66"/>
      <c r="B18" s="66"/>
      <c r="C18" s="69"/>
      <c r="D18" s="66"/>
      <c r="E18" s="66"/>
      <c r="F18" s="66"/>
      <c r="G18" s="66"/>
      <c r="H18" s="66"/>
    </row>
    <row r="19" spans="1:14" s="108" customFormat="1" ht="16" outlineLevel="1" x14ac:dyDescent="0.2">
      <c r="A19" s="106" t="s">
        <v>289</v>
      </c>
    </row>
    <row r="20" spans="1:14" outlineLevel="1" x14ac:dyDescent="0.15">
      <c r="A20" s="66"/>
      <c r="B20" s="66"/>
      <c r="C20" s="66"/>
      <c r="D20" s="66"/>
      <c r="E20" s="66"/>
      <c r="F20" s="66"/>
      <c r="G20" s="66"/>
      <c r="H20" s="66"/>
    </row>
    <row r="21" spans="1:14" outlineLevel="1" x14ac:dyDescent="0.15">
      <c r="A21" s="66"/>
      <c r="B21" s="97" t="s">
        <v>290</v>
      </c>
      <c r="C21" s="66"/>
      <c r="D21" s="66"/>
      <c r="E21" s="66"/>
      <c r="F21" s="66"/>
      <c r="G21" s="66"/>
      <c r="H21" s="66"/>
    </row>
    <row r="22" spans="1:14" ht="15" outlineLevel="1" x14ac:dyDescent="0.15">
      <c r="A22" s="66"/>
      <c r="B22" s="83"/>
      <c r="C22" s="83" t="s">
        <v>177</v>
      </c>
      <c r="D22" s="83" t="s">
        <v>100</v>
      </c>
      <c r="E22" s="83" t="s">
        <v>179</v>
      </c>
      <c r="F22" s="83" t="s">
        <v>180</v>
      </c>
      <c r="G22" s="83" t="s">
        <v>181</v>
      </c>
      <c r="H22" s="83" t="s">
        <v>182</v>
      </c>
      <c r="I22" s="83" t="s">
        <v>183</v>
      </c>
      <c r="J22" s="83" t="s">
        <v>184</v>
      </c>
      <c r="K22" s="83" t="s">
        <v>291</v>
      </c>
      <c r="L22" s="83" t="s">
        <v>88</v>
      </c>
    </row>
    <row r="23" spans="1:14" outlineLevel="1" x14ac:dyDescent="0.15">
      <c r="A23" s="66"/>
      <c r="B23" s="72" t="s">
        <v>292</v>
      </c>
      <c r="C23" s="95">
        <v>0.90306222864811181</v>
      </c>
      <c r="D23" s="95">
        <v>9.6937771351888191E-2</v>
      </c>
      <c r="E23" s="95">
        <v>0</v>
      </c>
      <c r="F23" s="95">
        <v>0</v>
      </c>
      <c r="G23" s="95">
        <v>0</v>
      </c>
      <c r="H23" s="95">
        <v>0</v>
      </c>
      <c r="I23" s="95">
        <v>0</v>
      </c>
      <c r="J23" s="95">
        <v>0</v>
      </c>
      <c r="K23" s="95">
        <v>0</v>
      </c>
      <c r="L23" s="96">
        <f>SUM(C23:K23)</f>
        <v>1</v>
      </c>
    </row>
    <row r="24" spans="1:14" outlineLevel="1" x14ac:dyDescent="0.15">
      <c r="A24" s="66"/>
      <c r="B24" s="72" t="s">
        <v>293</v>
      </c>
      <c r="C24" s="95">
        <v>0.31055426127295066</v>
      </c>
      <c r="D24" s="95">
        <v>0.26252097328997931</v>
      </c>
      <c r="E24" s="95">
        <v>0.11759639380451538</v>
      </c>
      <c r="F24" s="95">
        <v>3.7365443843524748E-2</v>
      </c>
      <c r="G24" s="95">
        <v>0</v>
      </c>
      <c r="H24" s="95">
        <v>0.14222525988253312</v>
      </c>
      <c r="I24" s="95">
        <v>6.0516244238712408E-2</v>
      </c>
      <c r="J24" s="95">
        <v>5.2911839588378494E-2</v>
      </c>
      <c r="K24" s="95">
        <v>1.6309584079405869E-2</v>
      </c>
      <c r="L24" s="96">
        <f t="shared" ref="L24:L25" si="11">SUM(C24:K24)</f>
        <v>1</v>
      </c>
    </row>
    <row r="25" spans="1:14" outlineLevel="1" x14ac:dyDescent="0.15">
      <c r="A25" s="66"/>
      <c r="B25" s="72" t="s">
        <v>294</v>
      </c>
      <c r="C25" s="95">
        <v>0.21726228018254917</v>
      </c>
      <c r="D25" s="95">
        <v>1.3329473624062161E-2</v>
      </c>
      <c r="E25" s="95">
        <v>0</v>
      </c>
      <c r="F25" s="95">
        <v>0</v>
      </c>
      <c r="G25" s="95">
        <v>0</v>
      </c>
      <c r="H25" s="95">
        <v>0</v>
      </c>
      <c r="I25" s="95">
        <v>0</v>
      </c>
      <c r="J25" s="95">
        <v>0</v>
      </c>
      <c r="K25" s="95">
        <v>0.76940824619338866</v>
      </c>
      <c r="L25" s="96">
        <f t="shared" si="11"/>
        <v>1</v>
      </c>
    </row>
    <row r="26" spans="1:14" outlineLevel="1" x14ac:dyDescent="0.15">
      <c r="A26" s="66"/>
      <c r="B26" s="101" t="s">
        <v>295</v>
      </c>
      <c r="C26" s="66"/>
      <c r="D26" s="66"/>
      <c r="E26" s="66"/>
      <c r="F26" s="66"/>
      <c r="G26" s="66"/>
      <c r="H26" s="66"/>
    </row>
    <row r="27" spans="1:14" outlineLevel="1" x14ac:dyDescent="0.15">
      <c r="A27" s="66"/>
      <c r="B27" s="101"/>
      <c r="C27" s="66"/>
      <c r="D27" s="66"/>
      <c r="E27" s="66"/>
      <c r="F27" s="66"/>
      <c r="G27" s="66"/>
      <c r="H27" s="66"/>
    </row>
    <row r="28" spans="1:14" s="108" customFormat="1" ht="16" outlineLevel="1" x14ac:dyDescent="0.2">
      <c r="A28" s="106" t="s">
        <v>296</v>
      </c>
    </row>
    <row r="29" spans="1:14" s="108" customFormat="1" ht="16" outlineLevel="1" x14ac:dyDescent="0.2">
      <c r="A29" s="106"/>
    </row>
    <row r="30" spans="1:14" ht="30" outlineLevel="1" x14ac:dyDescent="0.15">
      <c r="A30" s="66"/>
      <c r="B30" s="83"/>
      <c r="C30" s="358" t="s">
        <v>297</v>
      </c>
      <c r="D30" s="358" t="s">
        <v>298</v>
      </c>
      <c r="E30" s="66"/>
      <c r="F30" s="66"/>
      <c r="G30" s="66"/>
      <c r="H30" s="66"/>
    </row>
    <row r="31" spans="1:14" outlineLevel="1" x14ac:dyDescent="0.15">
      <c r="A31" s="66"/>
      <c r="B31" s="72" t="s">
        <v>299</v>
      </c>
      <c r="C31" s="290">
        <v>16553460</v>
      </c>
      <c r="D31" s="290">
        <v>448035159</v>
      </c>
      <c r="E31" s="66"/>
      <c r="F31" s="66"/>
      <c r="G31" s="66"/>
      <c r="H31" s="66"/>
    </row>
    <row r="32" spans="1:14" outlineLevel="1" x14ac:dyDescent="0.15">
      <c r="A32" s="66"/>
      <c r="B32" s="72" t="s">
        <v>300</v>
      </c>
      <c r="C32" s="290">
        <v>26244345</v>
      </c>
      <c r="D32" s="290">
        <v>75662964</v>
      </c>
      <c r="E32" s="66"/>
      <c r="F32" s="66"/>
      <c r="G32" s="66"/>
      <c r="H32" s="66"/>
    </row>
    <row r="33" spans="1:12" outlineLevel="1" x14ac:dyDescent="0.15">
      <c r="A33" s="66"/>
      <c r="B33" s="72" t="s">
        <v>294</v>
      </c>
      <c r="C33" s="290">
        <v>0</v>
      </c>
      <c r="D33" s="290">
        <v>20758500</v>
      </c>
      <c r="E33" s="66"/>
      <c r="F33" s="66"/>
      <c r="G33" s="66"/>
      <c r="H33" s="66"/>
    </row>
    <row r="34" spans="1:12" outlineLevel="1" x14ac:dyDescent="0.15">
      <c r="A34" s="66"/>
      <c r="B34" s="101" t="s">
        <v>301</v>
      </c>
      <c r="C34" s="100"/>
      <c r="D34" s="100"/>
      <c r="E34" s="100"/>
      <c r="F34" s="100"/>
      <c r="G34" s="100"/>
      <c r="H34" s="100"/>
      <c r="I34" s="100"/>
      <c r="J34" s="100"/>
      <c r="K34" s="100"/>
      <c r="L34" s="100"/>
    </row>
    <row r="35" spans="1:12" outlineLevel="1" x14ac:dyDescent="0.15">
      <c r="A35" s="66"/>
      <c r="B35" s="101"/>
      <c r="C35" s="100"/>
      <c r="D35" s="100"/>
      <c r="E35" s="100"/>
      <c r="F35" s="100"/>
      <c r="G35" s="100"/>
      <c r="H35" s="100"/>
      <c r="I35" s="100"/>
      <c r="J35" s="100"/>
      <c r="K35" s="100"/>
      <c r="L35" s="100"/>
    </row>
    <row r="36" spans="1:12" ht="15" outlineLevel="1" x14ac:dyDescent="0.15">
      <c r="A36" s="66"/>
      <c r="B36" s="83" t="s">
        <v>302</v>
      </c>
      <c r="C36" s="83" t="s">
        <v>177</v>
      </c>
      <c r="D36" s="83" t="s">
        <v>100</v>
      </c>
      <c r="E36" s="83" t="s">
        <v>179</v>
      </c>
      <c r="F36" s="83" t="s">
        <v>180</v>
      </c>
      <c r="G36" s="83" t="s">
        <v>181</v>
      </c>
      <c r="H36" s="83" t="s">
        <v>182</v>
      </c>
      <c r="I36" s="83" t="s">
        <v>183</v>
      </c>
      <c r="J36" s="83" t="s">
        <v>184</v>
      </c>
      <c r="K36" s="83" t="s">
        <v>291</v>
      </c>
      <c r="L36" s="100"/>
    </row>
    <row r="37" spans="1:12" outlineLevel="1" x14ac:dyDescent="0.15">
      <c r="A37" s="66"/>
      <c r="B37" s="72" t="s">
        <v>292</v>
      </c>
      <c r="C37" s="104">
        <f>C23*$C$31</f>
        <v>14948804.479437374</v>
      </c>
      <c r="D37" s="104">
        <f t="shared" ref="D37:K37" si="12">D23*$C$31</f>
        <v>1604655.5205626271</v>
      </c>
      <c r="E37" s="104">
        <f t="shared" si="12"/>
        <v>0</v>
      </c>
      <c r="F37" s="104">
        <f t="shared" si="12"/>
        <v>0</v>
      </c>
      <c r="G37" s="104">
        <f t="shared" si="12"/>
        <v>0</v>
      </c>
      <c r="H37" s="104">
        <f t="shared" si="12"/>
        <v>0</v>
      </c>
      <c r="I37" s="104">
        <f t="shared" si="12"/>
        <v>0</v>
      </c>
      <c r="J37" s="104">
        <f t="shared" si="12"/>
        <v>0</v>
      </c>
      <c r="K37" s="104">
        <f t="shared" si="12"/>
        <v>0</v>
      </c>
      <c r="L37" s="100"/>
    </row>
    <row r="38" spans="1:12" outlineLevel="1" x14ac:dyDescent="0.15">
      <c r="A38" s="66"/>
      <c r="B38" s="72" t="s">
        <v>293</v>
      </c>
      <c r="C38" s="104">
        <f>C24*$C$32</f>
        <v>8150293.1740674563</v>
      </c>
      <c r="D38" s="104">
        <f t="shared" ref="D38:K38" si="13">D24*$C$32</f>
        <v>6889690.9927580021</v>
      </c>
      <c r="E38" s="104">
        <f t="shared" si="13"/>
        <v>3086240.3297615643</v>
      </c>
      <c r="F38" s="104">
        <f t="shared" si="13"/>
        <v>980631.59930758947</v>
      </c>
      <c r="G38" s="104">
        <f t="shared" si="13"/>
        <v>0</v>
      </c>
      <c r="H38" s="104">
        <f t="shared" si="13"/>
        <v>3732608.7880718587</v>
      </c>
      <c r="I38" s="104">
        <f t="shared" si="13"/>
        <v>1588209.1919050307</v>
      </c>
      <c r="J38" s="104">
        <f t="shared" si="13"/>
        <v>1388636.5727420631</v>
      </c>
      <c r="K38" s="104">
        <f t="shared" si="13"/>
        <v>428034.35138643504</v>
      </c>
      <c r="L38" s="100"/>
    </row>
    <row r="39" spans="1:12" outlineLevel="1" x14ac:dyDescent="0.15">
      <c r="A39" s="66"/>
      <c r="B39" s="123" t="s">
        <v>294</v>
      </c>
      <c r="C39" s="506">
        <f>C25*$C$33</f>
        <v>0</v>
      </c>
      <c r="D39" s="506">
        <f t="shared" ref="D39:K39" si="14">D25*$C$33</f>
        <v>0</v>
      </c>
      <c r="E39" s="506">
        <f t="shared" si="14"/>
        <v>0</v>
      </c>
      <c r="F39" s="506">
        <f t="shared" si="14"/>
        <v>0</v>
      </c>
      <c r="G39" s="506">
        <f t="shared" si="14"/>
        <v>0</v>
      </c>
      <c r="H39" s="506">
        <f t="shared" si="14"/>
        <v>0</v>
      </c>
      <c r="I39" s="506">
        <f t="shared" si="14"/>
        <v>0</v>
      </c>
      <c r="J39" s="506">
        <f t="shared" si="14"/>
        <v>0</v>
      </c>
      <c r="K39" s="506">
        <f t="shared" si="14"/>
        <v>0</v>
      </c>
      <c r="L39" s="100"/>
    </row>
    <row r="40" spans="1:12" outlineLevel="1" x14ac:dyDescent="0.15">
      <c r="A40" s="66"/>
      <c r="B40" s="398" t="s">
        <v>88</v>
      </c>
      <c r="C40" s="507">
        <f>SUM(C37:C39)</f>
        <v>23099097.65350483</v>
      </c>
      <c r="D40" s="507">
        <f t="shared" ref="D40:K40" si="15">SUM(D37:D39)</f>
        <v>8494346.5133206286</v>
      </c>
      <c r="E40" s="507">
        <f t="shared" si="15"/>
        <v>3086240.3297615643</v>
      </c>
      <c r="F40" s="507">
        <f t="shared" si="15"/>
        <v>980631.59930758947</v>
      </c>
      <c r="G40" s="507">
        <f t="shared" si="15"/>
        <v>0</v>
      </c>
      <c r="H40" s="507">
        <f t="shared" si="15"/>
        <v>3732608.7880718587</v>
      </c>
      <c r="I40" s="507">
        <f t="shared" si="15"/>
        <v>1588209.1919050307</v>
      </c>
      <c r="J40" s="507">
        <f t="shared" si="15"/>
        <v>1388636.5727420631</v>
      </c>
      <c r="K40" s="507">
        <f t="shared" si="15"/>
        <v>428034.35138643504</v>
      </c>
      <c r="L40" s="100"/>
    </row>
    <row r="41" spans="1:12" outlineLevel="1" x14ac:dyDescent="0.15">
      <c r="A41" s="66"/>
      <c r="B41" s="101"/>
      <c r="C41" s="101"/>
      <c r="D41" s="101"/>
      <c r="E41" s="101"/>
      <c r="F41" s="101"/>
      <c r="G41" s="101"/>
      <c r="H41" s="101"/>
      <c r="I41" s="101"/>
      <c r="J41" s="101"/>
      <c r="K41" s="101"/>
      <c r="L41" s="100"/>
    </row>
    <row r="42" spans="1:12" ht="15" outlineLevel="1" x14ac:dyDescent="0.15">
      <c r="A42" s="66"/>
      <c r="B42" s="83" t="s">
        <v>303</v>
      </c>
      <c r="C42" s="83" t="s">
        <v>177</v>
      </c>
      <c r="D42" s="83" t="s">
        <v>100</v>
      </c>
      <c r="E42" s="83" t="s">
        <v>179</v>
      </c>
      <c r="F42" s="83" t="s">
        <v>180</v>
      </c>
      <c r="G42" s="83" t="s">
        <v>181</v>
      </c>
      <c r="H42" s="83" t="s">
        <v>182</v>
      </c>
      <c r="I42" s="83" t="s">
        <v>183</v>
      </c>
      <c r="J42" s="83" t="s">
        <v>184</v>
      </c>
      <c r="K42" s="83" t="s">
        <v>291</v>
      </c>
      <c r="L42" s="100"/>
    </row>
    <row r="43" spans="1:12" outlineLevel="1" x14ac:dyDescent="0.15">
      <c r="A43" s="66"/>
      <c r="B43" s="72" t="s">
        <v>292</v>
      </c>
      <c r="C43" s="104">
        <f>C23*$D$31</f>
        <v>404603629.19925112</v>
      </c>
      <c r="D43" s="104">
        <f t="shared" ref="D43:K43" si="16">D23*$D$31</f>
        <v>43431529.80074887</v>
      </c>
      <c r="E43" s="104">
        <f t="shared" si="16"/>
        <v>0</v>
      </c>
      <c r="F43" s="104">
        <f t="shared" si="16"/>
        <v>0</v>
      </c>
      <c r="G43" s="104">
        <f t="shared" si="16"/>
        <v>0</v>
      </c>
      <c r="H43" s="104">
        <f t="shared" si="16"/>
        <v>0</v>
      </c>
      <c r="I43" s="104">
        <f t="shared" si="16"/>
        <v>0</v>
      </c>
      <c r="J43" s="104">
        <f t="shared" si="16"/>
        <v>0</v>
      </c>
      <c r="K43" s="104">
        <f t="shared" si="16"/>
        <v>0</v>
      </c>
      <c r="L43" s="100"/>
    </row>
    <row r="44" spans="1:12" outlineLevel="1" x14ac:dyDescent="0.15">
      <c r="A44" s="66"/>
      <c r="B44" s="72" t="s">
        <v>293</v>
      </c>
      <c r="C44" s="104">
        <f>C24*$D$32</f>
        <v>23497455.890741859</v>
      </c>
      <c r="D44" s="104">
        <f t="shared" ref="D44:K44" si="17">D24*$D$32</f>
        <v>19863114.951284666</v>
      </c>
      <c r="E44" s="104">
        <f t="shared" si="17"/>
        <v>8897691.7109608706</v>
      </c>
      <c r="F44" s="104">
        <f t="shared" si="17"/>
        <v>2827180.2323766346</v>
      </c>
      <c r="G44" s="104">
        <f t="shared" si="17"/>
        <v>0</v>
      </c>
      <c r="H44" s="104">
        <f t="shared" si="17"/>
        <v>10761184.718382748</v>
      </c>
      <c r="I44" s="104">
        <f t="shared" si="17"/>
        <v>4578838.4092489043</v>
      </c>
      <c r="J44" s="104">
        <f t="shared" si="17"/>
        <v>4003466.6139492569</v>
      </c>
      <c r="K44" s="104">
        <f t="shared" si="17"/>
        <v>1234031.4730550593</v>
      </c>
      <c r="L44" s="100"/>
    </row>
    <row r="45" spans="1:12" outlineLevel="1" x14ac:dyDescent="0.15">
      <c r="A45" s="66"/>
      <c r="B45" s="123" t="s">
        <v>294</v>
      </c>
      <c r="C45" s="506">
        <f>C25*$D$33</f>
        <v>4510039.0431694472</v>
      </c>
      <c r="D45" s="506">
        <f t="shared" ref="D45:K45" si="18">D25*$D$33</f>
        <v>276699.87822509435</v>
      </c>
      <c r="E45" s="506">
        <f t="shared" si="18"/>
        <v>0</v>
      </c>
      <c r="F45" s="506">
        <f t="shared" si="18"/>
        <v>0</v>
      </c>
      <c r="G45" s="506">
        <f t="shared" si="18"/>
        <v>0</v>
      </c>
      <c r="H45" s="506">
        <f t="shared" si="18"/>
        <v>0</v>
      </c>
      <c r="I45" s="506">
        <f t="shared" si="18"/>
        <v>0</v>
      </c>
      <c r="J45" s="506">
        <f t="shared" si="18"/>
        <v>0</v>
      </c>
      <c r="K45" s="506">
        <f t="shared" si="18"/>
        <v>15971761.078605458</v>
      </c>
      <c r="L45" s="100"/>
    </row>
    <row r="46" spans="1:12" outlineLevel="1" x14ac:dyDescent="0.15">
      <c r="A46" s="66"/>
      <c r="B46" s="398" t="s">
        <v>88</v>
      </c>
      <c r="C46" s="507">
        <f>SUM(C43:C45)</f>
        <v>432611124.13316244</v>
      </c>
      <c r="D46" s="507">
        <f t="shared" ref="D46" si="19">SUM(D43:D45)</f>
        <v>63571344.630258627</v>
      </c>
      <c r="E46" s="507">
        <f t="shared" ref="E46" si="20">SUM(E43:E45)</f>
        <v>8897691.7109608706</v>
      </c>
      <c r="F46" s="507">
        <f t="shared" ref="F46" si="21">SUM(F43:F45)</f>
        <v>2827180.2323766346</v>
      </c>
      <c r="G46" s="507">
        <f t="shared" ref="G46" si="22">SUM(G43:G45)</f>
        <v>0</v>
      </c>
      <c r="H46" s="507">
        <f t="shared" ref="H46" si="23">SUM(H43:H45)</f>
        <v>10761184.718382748</v>
      </c>
      <c r="I46" s="507">
        <f t="shared" ref="I46" si="24">SUM(I43:I45)</f>
        <v>4578838.4092489043</v>
      </c>
      <c r="J46" s="507">
        <f t="shared" ref="J46" si="25">SUM(J43:J45)</f>
        <v>4003466.6139492569</v>
      </c>
      <c r="K46" s="507">
        <f t="shared" ref="K46" si="26">SUM(K43:K45)</f>
        <v>17205792.551660519</v>
      </c>
      <c r="L46" s="100"/>
    </row>
    <row r="47" spans="1:12" outlineLevel="1" x14ac:dyDescent="0.15">
      <c r="A47" s="66"/>
      <c r="B47" s="66"/>
      <c r="C47" s="66"/>
      <c r="D47" s="66"/>
      <c r="E47" s="66"/>
      <c r="F47" s="66"/>
      <c r="G47" s="66"/>
      <c r="H47" s="66"/>
    </row>
    <row r="48" spans="1:12" ht="16" outlineLevel="1" x14ac:dyDescent="0.2">
      <c r="A48" s="106" t="s">
        <v>304</v>
      </c>
      <c r="B48" s="66"/>
      <c r="C48" s="66"/>
      <c r="D48" s="66"/>
      <c r="E48" s="66"/>
      <c r="F48" s="66"/>
      <c r="G48" s="66"/>
      <c r="H48" s="66"/>
    </row>
    <row r="49" spans="1:11" ht="16" outlineLevel="1" x14ac:dyDescent="0.2">
      <c r="A49" s="106"/>
      <c r="B49" s="66"/>
      <c r="C49" s="66"/>
      <c r="D49" s="66"/>
      <c r="E49" s="66"/>
      <c r="F49" s="66"/>
      <c r="G49" s="66"/>
      <c r="H49" s="66"/>
    </row>
    <row r="50" spans="1:11" outlineLevel="1" x14ac:dyDescent="0.15">
      <c r="A50" s="82"/>
      <c r="B50" s="83"/>
      <c r="C50" s="83"/>
      <c r="D50" s="724" t="s">
        <v>305</v>
      </c>
      <c r="E50" s="724"/>
      <c r="F50" s="724"/>
      <c r="G50" s="724"/>
      <c r="H50" s="724"/>
      <c r="I50" s="724"/>
      <c r="J50" s="724"/>
      <c r="K50" s="83"/>
    </row>
    <row r="51" spans="1:11" ht="15" outlineLevel="1" x14ac:dyDescent="0.15">
      <c r="A51" s="82"/>
      <c r="B51" s="83" t="s">
        <v>306</v>
      </c>
      <c r="C51" s="83" t="s">
        <v>307</v>
      </c>
      <c r="D51" s="83" t="s">
        <v>308</v>
      </c>
      <c r="E51" s="83" t="s">
        <v>179</v>
      </c>
      <c r="F51" s="83" t="s">
        <v>180</v>
      </c>
      <c r="G51" s="83" t="s">
        <v>181</v>
      </c>
      <c r="H51" s="83" t="s">
        <v>182</v>
      </c>
      <c r="I51" s="83" t="s">
        <v>183</v>
      </c>
      <c r="J51" s="83" t="s">
        <v>184</v>
      </c>
      <c r="K51" s="83" t="s">
        <v>309</v>
      </c>
    </row>
    <row r="52" spans="1:11" outlineLevel="1" x14ac:dyDescent="0.15">
      <c r="A52" s="82"/>
      <c r="B52" s="72" t="s">
        <v>310</v>
      </c>
      <c r="C52" s="72" t="s">
        <v>311</v>
      </c>
      <c r="D52" s="99">
        <v>14.5</v>
      </c>
      <c r="E52" s="99">
        <v>0</v>
      </c>
      <c r="F52" s="99">
        <v>0</v>
      </c>
      <c r="G52" s="99">
        <v>0</v>
      </c>
      <c r="H52" s="99">
        <v>0</v>
      </c>
      <c r="I52" s="99">
        <v>0</v>
      </c>
      <c r="J52" s="99">
        <v>0</v>
      </c>
      <c r="K52" s="293">
        <f>K131</f>
        <v>14</v>
      </c>
    </row>
    <row r="53" spans="1:11" outlineLevel="1" x14ac:dyDescent="0.15">
      <c r="A53" s="82"/>
      <c r="B53" s="72" t="s">
        <v>312</v>
      </c>
      <c r="C53" s="72" t="s">
        <v>313</v>
      </c>
      <c r="D53" s="99">
        <v>19.940000000000001</v>
      </c>
      <c r="E53" s="99">
        <v>18.239999999999998</v>
      </c>
      <c r="F53" s="99">
        <v>6.03</v>
      </c>
      <c r="G53" s="99">
        <v>14.41</v>
      </c>
      <c r="H53" s="99">
        <v>0</v>
      </c>
      <c r="I53" s="99">
        <v>0</v>
      </c>
      <c r="J53" s="99">
        <v>0</v>
      </c>
      <c r="K53" s="293">
        <f t="shared" ref="K53:K69" si="27">K132</f>
        <v>14</v>
      </c>
    </row>
    <row r="54" spans="1:11" outlineLevel="1" x14ac:dyDescent="0.15">
      <c r="A54" s="82"/>
      <c r="B54" s="72" t="s">
        <v>314</v>
      </c>
      <c r="C54" s="72" t="s">
        <v>311</v>
      </c>
      <c r="D54" s="99">
        <v>14.535</v>
      </c>
      <c r="E54" s="99">
        <v>0</v>
      </c>
      <c r="F54" s="99">
        <v>0</v>
      </c>
      <c r="G54" s="99">
        <v>0</v>
      </c>
      <c r="H54" s="99">
        <v>0</v>
      </c>
      <c r="I54" s="99">
        <v>0</v>
      </c>
      <c r="J54" s="99">
        <v>0</v>
      </c>
      <c r="K54" s="293">
        <f t="shared" si="27"/>
        <v>14</v>
      </c>
    </row>
    <row r="55" spans="1:11" outlineLevel="1" x14ac:dyDescent="0.15">
      <c r="A55" s="82"/>
      <c r="B55" s="72" t="s">
        <v>315</v>
      </c>
      <c r="C55" s="72" t="s">
        <v>316</v>
      </c>
      <c r="D55" s="99">
        <v>25.779</v>
      </c>
      <c r="E55" s="99">
        <v>0</v>
      </c>
      <c r="F55" s="99">
        <v>0</v>
      </c>
      <c r="G55" s="99">
        <v>0</v>
      </c>
      <c r="H55" s="99">
        <v>0</v>
      </c>
      <c r="I55" s="99">
        <v>0</v>
      </c>
      <c r="J55" s="99">
        <v>0</v>
      </c>
      <c r="K55" s="293">
        <f t="shared" si="27"/>
        <v>6</v>
      </c>
    </row>
    <row r="56" spans="1:11" outlineLevel="1" x14ac:dyDescent="0.15">
      <c r="A56" s="82"/>
      <c r="B56" s="293" t="s">
        <v>317</v>
      </c>
      <c r="C56" s="72" t="s">
        <v>313</v>
      </c>
      <c r="D56" s="99">
        <v>19.940000000000001</v>
      </c>
      <c r="E56" s="99">
        <v>18.239999999999998</v>
      </c>
      <c r="F56" s="99">
        <v>6.03</v>
      </c>
      <c r="G56" s="99">
        <v>14.41</v>
      </c>
      <c r="H56" s="99">
        <v>0</v>
      </c>
      <c r="I56" s="99">
        <v>0</v>
      </c>
      <c r="J56" s="99">
        <v>0</v>
      </c>
      <c r="K56" s="293">
        <f t="shared" si="27"/>
        <v>14</v>
      </c>
    </row>
    <row r="57" spans="1:11" outlineLevel="1" x14ac:dyDescent="0.15">
      <c r="A57" s="82"/>
      <c r="B57" s="72" t="s">
        <v>318</v>
      </c>
      <c r="C57" s="72" t="s">
        <v>319</v>
      </c>
      <c r="D57" s="99">
        <v>34.433</v>
      </c>
      <c r="E57" s="99">
        <v>0</v>
      </c>
      <c r="F57" s="99">
        <v>0</v>
      </c>
      <c r="G57" s="99">
        <v>0</v>
      </c>
      <c r="H57" s="99">
        <v>0</v>
      </c>
      <c r="I57" s="99">
        <v>0</v>
      </c>
      <c r="J57" s="99">
        <v>12.949</v>
      </c>
      <c r="K57" s="293">
        <f t="shared" si="27"/>
        <v>14</v>
      </c>
    </row>
    <row r="58" spans="1:11" outlineLevel="1" x14ac:dyDescent="0.15">
      <c r="A58" s="82"/>
      <c r="B58" s="72" t="s">
        <v>320</v>
      </c>
      <c r="C58" s="72" t="s">
        <v>321</v>
      </c>
      <c r="D58" s="99">
        <v>23.88</v>
      </c>
      <c r="E58" s="99">
        <v>0</v>
      </c>
      <c r="F58" s="99">
        <v>0</v>
      </c>
      <c r="G58" s="99">
        <v>0</v>
      </c>
      <c r="H58" s="99">
        <v>24.38</v>
      </c>
      <c r="I58" s="99">
        <v>0</v>
      </c>
      <c r="J58" s="99">
        <v>0</v>
      </c>
      <c r="K58" s="293">
        <f t="shared" si="27"/>
        <v>14</v>
      </c>
    </row>
    <row r="59" spans="1:11" outlineLevel="1" x14ac:dyDescent="0.15">
      <c r="A59" s="82"/>
      <c r="B59" s="72" t="s">
        <v>322</v>
      </c>
      <c r="C59" s="72" t="s">
        <v>321</v>
      </c>
      <c r="D59" s="99">
        <v>23.88</v>
      </c>
      <c r="E59" s="99">
        <v>0</v>
      </c>
      <c r="F59" s="99">
        <v>0</v>
      </c>
      <c r="G59" s="99">
        <v>0</v>
      </c>
      <c r="H59" s="99">
        <v>24.38</v>
      </c>
      <c r="I59" s="99">
        <v>0</v>
      </c>
      <c r="J59" s="99">
        <v>0</v>
      </c>
      <c r="K59" s="293">
        <f t="shared" si="27"/>
        <v>96</v>
      </c>
    </row>
    <row r="60" spans="1:11" outlineLevel="1" x14ac:dyDescent="0.15">
      <c r="A60" s="82"/>
      <c r="B60" s="72" t="s">
        <v>323</v>
      </c>
      <c r="C60" s="72" t="s">
        <v>316</v>
      </c>
      <c r="D60" s="99">
        <v>22.943999999999999</v>
      </c>
      <c r="E60" s="99">
        <v>0</v>
      </c>
      <c r="F60" s="99">
        <v>0</v>
      </c>
      <c r="G60" s="99">
        <v>0</v>
      </c>
      <c r="H60" s="99">
        <v>0</v>
      </c>
      <c r="I60" s="99">
        <v>0</v>
      </c>
      <c r="J60" s="99">
        <v>0</v>
      </c>
      <c r="K60" s="293">
        <f t="shared" si="27"/>
        <v>8</v>
      </c>
    </row>
    <row r="61" spans="1:11" outlineLevel="1" x14ac:dyDescent="0.15">
      <c r="A61" s="82"/>
      <c r="B61" s="72" t="s">
        <v>324</v>
      </c>
      <c r="C61" s="72" t="s">
        <v>319</v>
      </c>
      <c r="D61" s="99">
        <v>29.771999999999998</v>
      </c>
      <c r="E61" s="99">
        <v>0</v>
      </c>
      <c r="F61" s="99">
        <v>0</v>
      </c>
      <c r="G61" s="99">
        <v>0</v>
      </c>
      <c r="H61" s="99">
        <v>0</v>
      </c>
      <c r="I61" s="99">
        <v>0</v>
      </c>
      <c r="J61" s="99">
        <v>12.743</v>
      </c>
      <c r="K61" s="293">
        <f t="shared" si="27"/>
        <v>14</v>
      </c>
    </row>
    <row r="62" spans="1:11" outlineLevel="1" x14ac:dyDescent="0.15">
      <c r="A62" s="82"/>
      <c r="B62" s="72" t="s">
        <v>325</v>
      </c>
      <c r="C62" s="72" t="s">
        <v>313</v>
      </c>
      <c r="D62" s="99">
        <v>19.940000000000001</v>
      </c>
      <c r="E62" s="99">
        <v>18.239999999999998</v>
      </c>
      <c r="F62" s="99">
        <v>6.03</v>
      </c>
      <c r="G62" s="99">
        <v>14.41</v>
      </c>
      <c r="H62" s="99">
        <v>0</v>
      </c>
      <c r="I62" s="99">
        <v>0</v>
      </c>
      <c r="J62" s="99">
        <v>0</v>
      </c>
      <c r="K62" s="293">
        <f t="shared" si="27"/>
        <v>14</v>
      </c>
    </row>
    <row r="63" spans="1:11" outlineLevel="1" x14ac:dyDescent="0.15">
      <c r="A63" s="82"/>
      <c r="B63" s="72" t="s">
        <v>326</v>
      </c>
      <c r="C63" s="72" t="s">
        <v>311</v>
      </c>
      <c r="D63" s="99">
        <v>14.535</v>
      </c>
      <c r="E63" s="99">
        <v>0</v>
      </c>
      <c r="F63" s="99">
        <v>0</v>
      </c>
      <c r="G63" s="99">
        <v>0</v>
      </c>
      <c r="H63" s="99">
        <v>0</v>
      </c>
      <c r="I63" s="99">
        <v>0</v>
      </c>
      <c r="J63" s="99">
        <v>0</v>
      </c>
      <c r="K63" s="293">
        <f t="shared" si="27"/>
        <v>14</v>
      </c>
    </row>
    <row r="64" spans="1:11" outlineLevel="1" x14ac:dyDescent="0.15">
      <c r="A64" s="82"/>
      <c r="B64" s="293" t="s">
        <v>327</v>
      </c>
      <c r="C64" s="293" t="s">
        <v>328</v>
      </c>
      <c r="D64" s="99">
        <v>26.527999999999999</v>
      </c>
      <c r="E64" s="99">
        <v>0</v>
      </c>
      <c r="F64" s="99">
        <v>0</v>
      </c>
      <c r="G64" s="99">
        <v>0</v>
      </c>
      <c r="H64" s="99">
        <v>0</v>
      </c>
      <c r="I64" s="99">
        <v>0</v>
      </c>
      <c r="J64" s="99">
        <v>33.033000000000001</v>
      </c>
      <c r="K64" s="293">
        <f t="shared" si="27"/>
        <v>56</v>
      </c>
    </row>
    <row r="65" spans="1:11" outlineLevel="1" x14ac:dyDescent="0.15">
      <c r="A65" s="82"/>
      <c r="B65" s="72" t="s">
        <v>329</v>
      </c>
      <c r="C65" s="72" t="s">
        <v>311</v>
      </c>
      <c r="D65" s="99">
        <v>14.494</v>
      </c>
      <c r="E65" s="99">
        <v>0</v>
      </c>
      <c r="F65" s="99">
        <v>0</v>
      </c>
      <c r="G65" s="99">
        <v>0</v>
      </c>
      <c r="H65" s="99">
        <v>0</v>
      </c>
      <c r="I65" s="99">
        <v>0</v>
      </c>
      <c r="J65" s="99">
        <v>0</v>
      </c>
      <c r="K65" s="293">
        <f t="shared" si="27"/>
        <v>14</v>
      </c>
    </row>
    <row r="66" spans="1:11" outlineLevel="1" x14ac:dyDescent="0.15">
      <c r="A66" s="82"/>
      <c r="B66" s="293" t="s">
        <v>330</v>
      </c>
      <c r="C66" s="293" t="s">
        <v>319</v>
      </c>
      <c r="D66" s="99">
        <v>34.433</v>
      </c>
      <c r="E66" s="99">
        <v>0</v>
      </c>
      <c r="F66" s="99">
        <v>0</v>
      </c>
      <c r="G66" s="99">
        <v>0</v>
      </c>
      <c r="H66" s="99">
        <v>0</v>
      </c>
      <c r="I66" s="99">
        <v>0</v>
      </c>
      <c r="J66" s="99">
        <v>12.949</v>
      </c>
      <c r="K66" s="293">
        <f t="shared" si="27"/>
        <v>14</v>
      </c>
    </row>
    <row r="67" spans="1:11" outlineLevel="1" x14ac:dyDescent="0.15">
      <c r="A67" s="66"/>
      <c r="B67" s="72" t="s">
        <v>331</v>
      </c>
      <c r="C67" s="72" t="s">
        <v>313</v>
      </c>
      <c r="D67" s="99">
        <v>16.289000000000001</v>
      </c>
      <c r="E67" s="99">
        <v>18.238</v>
      </c>
      <c r="F67" s="99">
        <v>6.0330000000000004</v>
      </c>
      <c r="G67" s="99">
        <v>14.409000000000001</v>
      </c>
      <c r="H67" s="99">
        <v>0</v>
      </c>
      <c r="I67" s="99">
        <v>0</v>
      </c>
      <c r="J67" s="99">
        <v>0</v>
      </c>
      <c r="K67" s="293">
        <f t="shared" si="27"/>
        <v>14</v>
      </c>
    </row>
    <row r="68" spans="1:11" outlineLevel="1" x14ac:dyDescent="0.15">
      <c r="A68" s="66"/>
      <c r="B68" s="72" t="s">
        <v>332</v>
      </c>
      <c r="C68" s="72" t="s">
        <v>328</v>
      </c>
      <c r="D68" s="99">
        <v>26.527999999999999</v>
      </c>
      <c r="E68" s="99">
        <v>0</v>
      </c>
      <c r="F68" s="99">
        <v>0</v>
      </c>
      <c r="G68" s="99">
        <v>0</v>
      </c>
      <c r="H68" s="99">
        <v>0</v>
      </c>
      <c r="I68" s="99">
        <v>0</v>
      </c>
      <c r="J68" s="99">
        <v>33.033000000000001</v>
      </c>
      <c r="K68" s="293">
        <f t="shared" si="27"/>
        <v>14</v>
      </c>
    </row>
    <row r="69" spans="1:11" outlineLevel="1" x14ac:dyDescent="0.15">
      <c r="A69" s="66"/>
      <c r="B69" s="72" t="s">
        <v>333</v>
      </c>
      <c r="C69" s="72" t="s">
        <v>311</v>
      </c>
      <c r="D69" s="99">
        <v>14.494</v>
      </c>
      <c r="E69" s="99">
        <v>0</v>
      </c>
      <c r="F69" s="99">
        <v>0</v>
      </c>
      <c r="G69" s="99">
        <v>0</v>
      </c>
      <c r="H69" s="99">
        <v>0</v>
      </c>
      <c r="I69" s="99">
        <v>0</v>
      </c>
      <c r="J69" s="99">
        <v>0</v>
      </c>
      <c r="K69" s="293">
        <f t="shared" si="27"/>
        <v>42</v>
      </c>
    </row>
    <row r="70" spans="1:11" s="138" customFormat="1" outlineLevel="1" x14ac:dyDescent="0.15">
      <c r="B70" s="101" t="s">
        <v>334</v>
      </c>
    </row>
    <row r="71" spans="1:11" s="138" customFormat="1" outlineLevel="1" x14ac:dyDescent="0.15">
      <c r="B71" s="220" t="s">
        <v>335</v>
      </c>
      <c r="C71" s="646"/>
      <c r="D71" s="646"/>
      <c r="E71" s="646"/>
    </row>
    <row r="72" spans="1:11" outlineLevel="1" x14ac:dyDescent="0.15">
      <c r="A72" s="66"/>
      <c r="B72" s="102"/>
      <c r="C72" s="66"/>
      <c r="D72" s="66"/>
      <c r="E72" s="66"/>
      <c r="F72" s="66"/>
      <c r="G72" s="66"/>
      <c r="H72" s="66"/>
    </row>
    <row r="73" spans="1:11" outlineLevel="1" x14ac:dyDescent="0.15">
      <c r="A73" s="66"/>
      <c r="B73" s="103" t="s">
        <v>336</v>
      </c>
      <c r="C73" s="66"/>
      <c r="D73" s="66"/>
      <c r="E73" s="66"/>
      <c r="F73" s="66"/>
      <c r="G73" s="66"/>
      <c r="H73" s="66"/>
    </row>
    <row r="74" spans="1:11" outlineLevel="1" x14ac:dyDescent="0.15">
      <c r="A74" s="66"/>
      <c r="B74" s="102"/>
      <c r="C74" s="83">
        <v>2019</v>
      </c>
      <c r="D74" s="66"/>
      <c r="E74" s="66"/>
      <c r="F74" s="66"/>
      <c r="G74" s="66"/>
      <c r="H74" s="66"/>
    </row>
    <row r="75" spans="1:11" outlineLevel="1" x14ac:dyDescent="0.15">
      <c r="A75" s="66"/>
      <c r="B75" s="72" t="s">
        <v>337</v>
      </c>
      <c r="C75" s="87">
        <f>38.205*1000000</f>
        <v>38205000</v>
      </c>
      <c r="D75" s="66"/>
      <c r="E75" s="66"/>
      <c r="F75" s="66"/>
      <c r="G75" s="66"/>
      <c r="H75" s="66"/>
    </row>
    <row r="76" spans="1:11" outlineLevel="1" x14ac:dyDescent="0.15">
      <c r="A76" s="66"/>
      <c r="B76" s="72" t="s">
        <v>338</v>
      </c>
      <c r="C76" s="87">
        <f>62.809765*1000000</f>
        <v>62809765</v>
      </c>
      <c r="D76" s="66"/>
      <c r="E76" s="66"/>
      <c r="F76" s="66"/>
      <c r="G76" s="66"/>
      <c r="H76" s="66"/>
    </row>
    <row r="77" spans="1:11" outlineLevel="1" x14ac:dyDescent="0.15">
      <c r="A77" s="66"/>
      <c r="B77" s="72" t="s">
        <v>339</v>
      </c>
      <c r="C77" s="87">
        <f>484.3004380584*1000000</f>
        <v>484300438.05839998</v>
      </c>
      <c r="D77" s="66"/>
      <c r="E77" s="66"/>
      <c r="F77" s="66"/>
      <c r="G77" s="66"/>
      <c r="H77" s="66"/>
    </row>
    <row r="78" spans="1:11" outlineLevel="1" x14ac:dyDescent="0.15">
      <c r="A78" s="66"/>
      <c r="B78" s="72" t="s">
        <v>340</v>
      </c>
      <c r="C78" s="87">
        <f>(C76*'Constants &amp; Conversions'!$D$54)+(C77*'Constants &amp; Conversions'!$D$52)</f>
        <v>10852149614.675516</v>
      </c>
      <c r="D78" s="66"/>
      <c r="E78" s="66"/>
      <c r="F78" s="66"/>
      <c r="G78" s="66"/>
      <c r="H78" s="66"/>
    </row>
    <row r="79" spans="1:11" outlineLevel="1" x14ac:dyDescent="0.15">
      <c r="A79" s="66"/>
      <c r="B79" s="72" t="s">
        <v>341</v>
      </c>
      <c r="C79" s="87">
        <f>C78/'Constants &amp; Conversions'!$D$54</f>
        <v>74832123.0089885</v>
      </c>
      <c r="D79" s="66"/>
      <c r="E79" s="66"/>
      <c r="F79" s="66"/>
      <c r="G79" s="66"/>
      <c r="H79" s="66"/>
    </row>
    <row r="80" spans="1:11" outlineLevel="1" x14ac:dyDescent="0.15">
      <c r="A80" s="66"/>
      <c r="B80" s="72" t="s">
        <v>342</v>
      </c>
      <c r="C80" s="116">
        <f>C79/C75</f>
        <v>1.9586997254021332</v>
      </c>
      <c r="D80" s="66"/>
      <c r="E80" s="66"/>
      <c r="F80" s="66"/>
      <c r="G80" s="66"/>
      <c r="H80" s="66"/>
    </row>
    <row r="81" spans="1:14" s="138" customFormat="1" outlineLevel="1" x14ac:dyDescent="0.15">
      <c r="B81" s="101" t="s">
        <v>343</v>
      </c>
      <c r="C81" s="145"/>
    </row>
    <row r="82" spans="1:14" s="138" customFormat="1" outlineLevel="1" x14ac:dyDescent="0.15">
      <c r="B82" s="105" t="s">
        <v>344</v>
      </c>
      <c r="C82" s="145"/>
    </row>
    <row r="83" spans="1:14" outlineLevel="1" x14ac:dyDescent="0.15">
      <c r="A83" s="66"/>
      <c r="B83" s="66"/>
      <c r="C83" s="88"/>
      <c r="D83" s="66"/>
      <c r="E83" s="66"/>
      <c r="F83" s="66"/>
      <c r="G83" s="66"/>
      <c r="H83" s="66"/>
    </row>
    <row r="84" spans="1:14" outlineLevel="1" x14ac:dyDescent="0.15">
      <c r="A84" s="66"/>
      <c r="B84" s="103" t="s">
        <v>345</v>
      </c>
      <c r="C84" s="66"/>
      <c r="D84" s="66"/>
      <c r="E84" s="66"/>
      <c r="F84" s="66"/>
      <c r="G84" s="66"/>
      <c r="H84" s="66"/>
    </row>
    <row r="85" spans="1:14" ht="15" outlineLevel="1" x14ac:dyDescent="0.15">
      <c r="A85" s="66"/>
      <c r="B85" s="66"/>
      <c r="C85" s="83" t="s">
        <v>177</v>
      </c>
      <c r="D85" s="83" t="s">
        <v>100</v>
      </c>
      <c r="E85" s="83" t="s">
        <v>308</v>
      </c>
      <c r="F85" s="83" t="s">
        <v>179</v>
      </c>
      <c r="G85" s="83" t="s">
        <v>180</v>
      </c>
      <c r="H85" s="83" t="s">
        <v>181</v>
      </c>
      <c r="I85" s="83" t="s">
        <v>182</v>
      </c>
      <c r="J85" s="83" t="s">
        <v>183</v>
      </c>
      <c r="K85" s="83" t="s">
        <v>184</v>
      </c>
    </row>
    <row r="86" spans="1:14" outlineLevel="1" x14ac:dyDescent="0.15">
      <c r="A86" s="66"/>
      <c r="B86" s="72" t="s">
        <v>337</v>
      </c>
      <c r="C86" s="104">
        <f>C165*(1+(E86-E165)/E165)</f>
        <v>200710</v>
      </c>
      <c r="D86" s="104">
        <f>E86-C86</f>
        <v>251174.576</v>
      </c>
      <c r="E86" s="104">
        <f t="shared" ref="E86:K86" si="28">SUMPRODUCT(D52:D69,$K$52:$K$69)*52</f>
        <v>451884.576</v>
      </c>
      <c r="F86" s="104">
        <f>SUMPRODUCT(E52:E69,$K$52:$K$69)*52</f>
        <v>53113.423999999999</v>
      </c>
      <c r="G86" s="104">
        <f t="shared" si="28"/>
        <v>17561.543999999998</v>
      </c>
      <c r="H86" s="104">
        <f t="shared" si="28"/>
        <v>41961.192000000003</v>
      </c>
      <c r="I86" s="104">
        <f t="shared" si="28"/>
        <v>139453.6</v>
      </c>
      <c r="J86" s="104">
        <f t="shared" si="28"/>
        <v>0</v>
      </c>
      <c r="K86" s="104">
        <f t="shared" si="28"/>
        <v>148370.76800000001</v>
      </c>
      <c r="L86" s="177">
        <f>SUM(E86:K86)</f>
        <v>852345.10400000005</v>
      </c>
    </row>
    <row r="87" spans="1:14" outlineLevel="1" x14ac:dyDescent="0.15">
      <c r="A87" s="66"/>
      <c r="B87" s="72" t="s">
        <v>346</v>
      </c>
      <c r="C87" s="117">
        <f t="shared" ref="C87:K87" si="29">C86*$C$80</f>
        <v>393130.62188546214</v>
      </c>
      <c r="D87" s="117">
        <f t="shared" si="29"/>
        <v>491975.57303919725</v>
      </c>
      <c r="E87" s="117">
        <f t="shared" si="29"/>
        <v>885106.19492465944</v>
      </c>
      <c r="F87" s="117">
        <f t="shared" si="29"/>
        <v>104033.24900396707</v>
      </c>
      <c r="G87" s="117">
        <f t="shared" si="29"/>
        <v>34397.791410437479</v>
      </c>
      <c r="H87" s="117">
        <f t="shared" si="29"/>
        <v>82189.375247946198</v>
      </c>
      <c r="I87" s="117">
        <f t="shared" si="29"/>
        <v>273147.72802633891</v>
      </c>
      <c r="J87" s="117">
        <f t="shared" si="29"/>
        <v>0</v>
      </c>
      <c r="K87" s="117">
        <f t="shared" si="29"/>
        <v>290613.78253930365</v>
      </c>
    </row>
    <row r="88" spans="1:14" outlineLevel="1" x14ac:dyDescent="0.15">
      <c r="A88" s="66"/>
      <c r="B88" s="101"/>
      <c r="C88" s="66"/>
      <c r="D88" s="66"/>
      <c r="E88" s="66"/>
      <c r="F88" s="66"/>
      <c r="G88" s="66"/>
      <c r="H88" s="66"/>
    </row>
    <row r="89" spans="1:14" s="108" customFormat="1" ht="16" x14ac:dyDescent="0.2">
      <c r="A89" s="89">
        <v>2015</v>
      </c>
      <c r="B89" s="90"/>
      <c r="C89" s="91"/>
      <c r="D89" s="90"/>
      <c r="E89" s="90"/>
      <c r="F89" s="90"/>
      <c r="G89" s="90"/>
      <c r="H89" s="90"/>
      <c r="I89" s="90"/>
      <c r="J89" s="90"/>
      <c r="K89" s="90"/>
      <c r="L89" s="90"/>
      <c r="M89" s="90"/>
      <c r="N89" s="106"/>
    </row>
    <row r="90" spans="1:14" outlineLevel="1" x14ac:dyDescent="0.15">
      <c r="A90" s="66"/>
      <c r="B90" s="66"/>
      <c r="C90" s="69"/>
      <c r="D90" s="66"/>
      <c r="E90" s="66"/>
      <c r="F90" s="66"/>
      <c r="G90" s="66"/>
      <c r="H90" s="66"/>
    </row>
    <row r="91" spans="1:14" s="108" customFormat="1" ht="16" outlineLevel="1" x14ac:dyDescent="0.2">
      <c r="A91" s="106" t="s">
        <v>289</v>
      </c>
    </row>
    <row r="92" spans="1:14" s="108" customFormat="1" ht="12.5" customHeight="1" outlineLevel="1" x14ac:dyDescent="0.2">
      <c r="A92" s="106"/>
    </row>
    <row r="93" spans="1:14" outlineLevel="1" x14ac:dyDescent="0.15">
      <c r="A93" s="66"/>
      <c r="B93" s="97" t="s">
        <v>347</v>
      </c>
      <c r="C93" s="66"/>
      <c r="D93" s="66"/>
      <c r="E93" s="66"/>
      <c r="F93" s="66"/>
      <c r="G93" s="66"/>
      <c r="H93" s="66"/>
    </row>
    <row r="94" spans="1:14" ht="15" outlineLevel="1" x14ac:dyDescent="0.15">
      <c r="A94" s="66"/>
      <c r="B94" s="83"/>
      <c r="C94" s="83" t="s">
        <v>177</v>
      </c>
      <c r="D94" s="83" t="s">
        <v>100</v>
      </c>
      <c r="E94" s="83" t="s">
        <v>179</v>
      </c>
      <c r="F94" s="83" t="s">
        <v>180</v>
      </c>
      <c r="G94" s="83" t="s">
        <v>181</v>
      </c>
      <c r="H94" s="83" t="s">
        <v>182</v>
      </c>
      <c r="I94" s="83" t="s">
        <v>183</v>
      </c>
      <c r="J94" s="83" t="s">
        <v>184</v>
      </c>
      <c r="K94" s="83" t="s">
        <v>291</v>
      </c>
      <c r="L94" s="83" t="s">
        <v>88</v>
      </c>
    </row>
    <row r="95" spans="1:14" outlineLevel="1" x14ac:dyDescent="0.15">
      <c r="A95" s="66"/>
      <c r="B95" s="72" t="s">
        <v>292</v>
      </c>
      <c r="C95" s="93">
        <v>32468.15</v>
      </c>
      <c r="D95" s="93">
        <v>2690.4</v>
      </c>
      <c r="E95" s="93">
        <v>0</v>
      </c>
      <c r="F95" s="93">
        <v>0</v>
      </c>
      <c r="G95" s="93">
        <v>0</v>
      </c>
      <c r="H95" s="93">
        <v>0</v>
      </c>
      <c r="I95" s="93">
        <v>0</v>
      </c>
      <c r="J95" s="93">
        <v>0</v>
      </c>
      <c r="K95" s="93">
        <v>0</v>
      </c>
      <c r="L95" s="94">
        <f>SUM(C95:K95)</f>
        <v>35158.550000000003</v>
      </c>
    </row>
    <row r="96" spans="1:14" outlineLevel="1" x14ac:dyDescent="0.15">
      <c r="A96" s="66"/>
      <c r="B96" s="72" t="s">
        <v>293</v>
      </c>
      <c r="C96" s="93">
        <v>8567.1</v>
      </c>
      <c r="D96" s="93">
        <v>6650.17</v>
      </c>
      <c r="E96" s="93">
        <v>3137.34</v>
      </c>
      <c r="F96" s="93">
        <v>528.01</v>
      </c>
      <c r="G96" s="93">
        <v>0</v>
      </c>
      <c r="H96" s="93">
        <v>2942.71</v>
      </c>
      <c r="I96" s="93">
        <v>756.35</v>
      </c>
      <c r="J96" s="93">
        <v>864.45</v>
      </c>
      <c r="K96" s="93">
        <v>128.88</v>
      </c>
      <c r="L96" s="94">
        <f>SUM(C96:K96)</f>
        <v>23575.01</v>
      </c>
    </row>
    <row r="97" spans="1:12" outlineLevel="1" x14ac:dyDescent="0.15">
      <c r="A97" s="66"/>
      <c r="B97" s="72" t="s">
        <v>294</v>
      </c>
      <c r="C97" s="93">
        <v>748.02</v>
      </c>
      <c r="D97" s="93">
        <v>74.88</v>
      </c>
      <c r="E97" s="93">
        <v>0</v>
      </c>
      <c r="F97" s="93">
        <v>0</v>
      </c>
      <c r="G97" s="93">
        <v>0</v>
      </c>
      <c r="H97" s="93">
        <v>0</v>
      </c>
      <c r="I97" s="93">
        <v>0</v>
      </c>
      <c r="J97" s="93">
        <v>0</v>
      </c>
      <c r="K97" s="93">
        <v>1606.58</v>
      </c>
      <c r="L97" s="94">
        <f>SUM(C97:K97)</f>
        <v>2429.48</v>
      </c>
    </row>
    <row r="98" spans="1:12" outlineLevel="1" x14ac:dyDescent="0.15">
      <c r="A98" s="66"/>
      <c r="B98" s="73" t="s">
        <v>88</v>
      </c>
      <c r="C98" s="94">
        <v>41783.269999999997</v>
      </c>
      <c r="D98" s="94">
        <v>9415.4499999999989</v>
      </c>
      <c r="E98" s="94">
        <v>3137.34</v>
      </c>
      <c r="F98" s="94">
        <v>528.01</v>
      </c>
      <c r="G98" s="94">
        <v>0</v>
      </c>
      <c r="H98" s="94">
        <v>2942.71</v>
      </c>
      <c r="I98" s="94">
        <v>756.35</v>
      </c>
      <c r="J98" s="94">
        <v>864.45</v>
      </c>
      <c r="K98" s="94">
        <v>1735.46</v>
      </c>
      <c r="L98" s="94">
        <f>SUM(C98:K98)</f>
        <v>61163.039999999994</v>
      </c>
    </row>
    <row r="99" spans="1:12" outlineLevel="1" x14ac:dyDescent="0.15">
      <c r="A99" s="66"/>
      <c r="B99" s="66"/>
      <c r="C99" s="66"/>
      <c r="D99" s="66"/>
      <c r="E99" s="66"/>
      <c r="F99" s="66"/>
      <c r="G99" s="66"/>
      <c r="H99" s="66"/>
    </row>
    <row r="100" spans="1:12" outlineLevel="1" x14ac:dyDescent="0.15">
      <c r="A100" s="66"/>
      <c r="B100" s="97" t="s">
        <v>290</v>
      </c>
      <c r="C100" s="66"/>
      <c r="D100" s="66"/>
      <c r="E100" s="66"/>
      <c r="F100" s="66"/>
      <c r="G100" s="66"/>
      <c r="H100" s="66"/>
    </row>
    <row r="101" spans="1:12" ht="15" outlineLevel="1" x14ac:dyDescent="0.15">
      <c r="A101" s="66"/>
      <c r="B101" s="83"/>
      <c r="C101" s="83" t="s">
        <v>177</v>
      </c>
      <c r="D101" s="83" t="s">
        <v>100</v>
      </c>
      <c r="E101" s="83" t="s">
        <v>179</v>
      </c>
      <c r="F101" s="83" t="s">
        <v>180</v>
      </c>
      <c r="G101" s="83" t="s">
        <v>181</v>
      </c>
      <c r="H101" s="83" t="s">
        <v>182</v>
      </c>
      <c r="I101" s="83" t="s">
        <v>183</v>
      </c>
      <c r="J101" s="83" t="s">
        <v>184</v>
      </c>
      <c r="K101" s="83" t="s">
        <v>291</v>
      </c>
      <c r="L101" s="83" t="s">
        <v>88</v>
      </c>
    </row>
    <row r="102" spans="1:12" outlineLevel="1" x14ac:dyDescent="0.15">
      <c r="A102" s="66"/>
      <c r="B102" s="72" t="s">
        <v>292</v>
      </c>
      <c r="C102" s="505">
        <f>C95/$L$95</f>
        <v>0.92347807290118611</v>
      </c>
      <c r="D102" s="505">
        <f t="shared" ref="D102:K102" si="30">D95/$L$95</f>
        <v>7.6521927098813794E-2</v>
      </c>
      <c r="E102" s="505">
        <f t="shared" si="30"/>
        <v>0</v>
      </c>
      <c r="F102" s="505">
        <f t="shared" si="30"/>
        <v>0</v>
      </c>
      <c r="G102" s="505">
        <f t="shared" si="30"/>
        <v>0</v>
      </c>
      <c r="H102" s="505">
        <f t="shared" si="30"/>
        <v>0</v>
      </c>
      <c r="I102" s="505">
        <f t="shared" si="30"/>
        <v>0</v>
      </c>
      <c r="J102" s="505">
        <f t="shared" si="30"/>
        <v>0</v>
      </c>
      <c r="K102" s="505">
        <f t="shared" si="30"/>
        <v>0</v>
      </c>
      <c r="L102" s="96">
        <f>SUM(C102:K102)</f>
        <v>0.99999999999999989</v>
      </c>
    </row>
    <row r="103" spans="1:12" outlineLevel="1" x14ac:dyDescent="0.15">
      <c r="A103" s="66"/>
      <c r="B103" s="72" t="s">
        <v>293</v>
      </c>
      <c r="C103" s="95">
        <f>C96/$L$96</f>
        <v>0.36339751287486205</v>
      </c>
      <c r="D103" s="95">
        <f t="shared" ref="D103:K103" si="31">D96/$L$96</f>
        <v>0.28208556433274051</v>
      </c>
      <c r="E103" s="95">
        <f t="shared" si="31"/>
        <v>0.13307905277664783</v>
      </c>
      <c r="F103" s="95">
        <f t="shared" si="31"/>
        <v>2.2397021252589078E-2</v>
      </c>
      <c r="G103" s="95">
        <f t="shared" si="31"/>
        <v>0</v>
      </c>
      <c r="H103" s="95">
        <f t="shared" si="31"/>
        <v>0.12482327685120813</v>
      </c>
      <c r="I103" s="95">
        <f t="shared" si="31"/>
        <v>3.2082701131409916E-2</v>
      </c>
      <c r="J103" s="95">
        <f t="shared" si="31"/>
        <v>3.6668065040057249E-2</v>
      </c>
      <c r="K103" s="95">
        <f t="shared" si="31"/>
        <v>5.46680574048537E-3</v>
      </c>
      <c r="L103" s="96">
        <f>SUM(C103:K103)</f>
        <v>1</v>
      </c>
    </row>
    <row r="104" spans="1:12" outlineLevel="1" x14ac:dyDescent="0.15">
      <c r="A104" s="66"/>
      <c r="B104" s="72" t="s">
        <v>294</v>
      </c>
      <c r="C104" s="95">
        <f>C97/$L$97</f>
        <v>0.30789304707180137</v>
      </c>
      <c r="D104" s="95">
        <f t="shared" ref="D104:K104" si="32">D97/$L$97</f>
        <v>3.0821410342954044E-2</v>
      </c>
      <c r="E104" s="95">
        <f t="shared" si="32"/>
        <v>0</v>
      </c>
      <c r="F104" s="95">
        <f t="shared" si="32"/>
        <v>0</v>
      </c>
      <c r="G104" s="95">
        <f t="shared" si="32"/>
        <v>0</v>
      </c>
      <c r="H104" s="95">
        <f t="shared" si="32"/>
        <v>0</v>
      </c>
      <c r="I104" s="95">
        <f t="shared" si="32"/>
        <v>0</v>
      </c>
      <c r="J104" s="95">
        <f t="shared" si="32"/>
        <v>0</v>
      </c>
      <c r="K104" s="95">
        <f t="shared" si="32"/>
        <v>0.66128554258524452</v>
      </c>
      <c r="L104" s="96">
        <f>SUM(C104:K104)</f>
        <v>1</v>
      </c>
    </row>
    <row r="105" spans="1:12" outlineLevel="1" x14ac:dyDescent="0.15">
      <c r="A105" s="66"/>
      <c r="B105" s="101" t="s">
        <v>260</v>
      </c>
      <c r="C105" s="226"/>
      <c r="D105" s="226"/>
      <c r="E105" s="226"/>
      <c r="F105" s="226"/>
      <c r="G105" s="226"/>
      <c r="H105" s="226"/>
      <c r="I105" s="226"/>
      <c r="J105" s="226"/>
      <c r="K105" s="226"/>
    </row>
    <row r="106" spans="1:12" outlineLevel="1" x14ac:dyDescent="0.15">
      <c r="A106" s="66"/>
      <c r="B106" s="66"/>
      <c r="C106" s="226"/>
      <c r="D106" s="226"/>
      <c r="E106" s="226"/>
      <c r="F106" s="226"/>
      <c r="G106" s="226"/>
      <c r="H106" s="226"/>
      <c r="I106" s="226"/>
      <c r="J106" s="226"/>
      <c r="K106" s="226"/>
    </row>
    <row r="107" spans="1:12" s="108" customFormat="1" ht="16" outlineLevel="1" x14ac:dyDescent="0.2">
      <c r="A107" s="106" t="s">
        <v>296</v>
      </c>
      <c r="C107" s="226"/>
      <c r="D107" s="226"/>
      <c r="E107" s="226"/>
      <c r="F107" s="226"/>
      <c r="G107" s="226"/>
      <c r="H107" s="226"/>
      <c r="I107" s="226"/>
      <c r="J107" s="226"/>
      <c r="K107" s="226"/>
    </row>
    <row r="108" spans="1:12" s="108" customFormat="1" ht="12.5" customHeight="1" outlineLevel="1" x14ac:dyDescent="0.2">
      <c r="A108" s="106"/>
    </row>
    <row r="109" spans="1:12" ht="30" outlineLevel="1" x14ac:dyDescent="0.15">
      <c r="A109" s="66"/>
      <c r="B109" s="83"/>
      <c r="C109" s="358" t="s">
        <v>348</v>
      </c>
      <c r="D109" s="358" t="s">
        <v>349</v>
      </c>
      <c r="E109" s="66"/>
      <c r="F109" s="66"/>
      <c r="G109" s="66"/>
      <c r="H109" s="66"/>
    </row>
    <row r="110" spans="1:12" outlineLevel="1" x14ac:dyDescent="0.15">
      <c r="A110" s="66"/>
      <c r="B110" s="72" t="s">
        <v>299</v>
      </c>
      <c r="C110" s="99">
        <v>16427000</v>
      </c>
      <c r="D110" s="99">
        <v>423040494</v>
      </c>
      <c r="E110" s="66"/>
      <c r="F110" s="66"/>
      <c r="G110" s="66"/>
      <c r="H110" s="66"/>
    </row>
    <row r="111" spans="1:12" outlineLevel="1" x14ac:dyDescent="0.15">
      <c r="A111" s="66"/>
      <c r="B111" s="72" t="s">
        <v>300</v>
      </c>
      <c r="C111" s="99">
        <v>27329612</v>
      </c>
      <c r="D111" s="99">
        <v>81745951</v>
      </c>
      <c r="E111" s="66"/>
      <c r="F111" s="66"/>
      <c r="G111" s="66"/>
      <c r="H111" s="66"/>
    </row>
    <row r="112" spans="1:12" outlineLevel="1" x14ac:dyDescent="0.15">
      <c r="A112" s="66"/>
      <c r="B112" s="72" t="s">
        <v>294</v>
      </c>
      <c r="C112" s="99">
        <v>0</v>
      </c>
      <c r="D112" s="99">
        <v>21015250</v>
      </c>
      <c r="E112" s="66"/>
      <c r="F112" s="66"/>
      <c r="G112" s="66"/>
      <c r="H112" s="66"/>
    </row>
    <row r="113" spans="1:12" outlineLevel="1" x14ac:dyDescent="0.15">
      <c r="A113" s="66"/>
      <c r="B113" s="101" t="s">
        <v>350</v>
      </c>
      <c r="C113" s="100"/>
      <c r="D113" s="100"/>
      <c r="E113" s="100"/>
      <c r="F113" s="100"/>
      <c r="G113" s="100"/>
      <c r="H113" s="100"/>
      <c r="I113" s="100"/>
      <c r="J113" s="100"/>
      <c r="K113" s="100"/>
      <c r="L113" s="100"/>
    </row>
    <row r="114" spans="1:12" outlineLevel="1" x14ac:dyDescent="0.15">
      <c r="A114" s="66"/>
      <c r="B114" s="101"/>
      <c r="C114" s="100"/>
      <c r="D114" s="100"/>
      <c r="E114" s="100"/>
      <c r="F114" s="100"/>
      <c r="G114" s="100"/>
      <c r="H114" s="100"/>
      <c r="I114" s="100"/>
      <c r="J114" s="100"/>
      <c r="K114" s="100"/>
      <c r="L114" s="100"/>
    </row>
    <row r="115" spans="1:12" ht="15" outlineLevel="1" x14ac:dyDescent="0.15">
      <c r="A115" s="66"/>
      <c r="B115" s="83" t="s">
        <v>302</v>
      </c>
      <c r="C115" s="83" t="s">
        <v>177</v>
      </c>
      <c r="D115" s="83" t="s">
        <v>100</v>
      </c>
      <c r="E115" s="83" t="s">
        <v>179</v>
      </c>
      <c r="F115" s="83" t="s">
        <v>180</v>
      </c>
      <c r="G115" s="83" t="s">
        <v>181</v>
      </c>
      <c r="H115" s="83" t="s">
        <v>182</v>
      </c>
      <c r="I115" s="83" t="s">
        <v>183</v>
      </c>
      <c r="J115" s="83" t="s">
        <v>184</v>
      </c>
      <c r="K115" s="83" t="s">
        <v>291</v>
      </c>
      <c r="L115" s="100"/>
    </row>
    <row r="116" spans="1:12" outlineLevel="1" x14ac:dyDescent="0.15">
      <c r="A116" s="66"/>
      <c r="B116" s="72" t="s">
        <v>292</v>
      </c>
      <c r="C116" s="104">
        <f>C102*$C$110</f>
        <v>15169974.303547785</v>
      </c>
      <c r="D116" s="104">
        <f t="shared" ref="D116:K116" si="33">D102*$C$110</f>
        <v>1257025.6964522141</v>
      </c>
      <c r="E116" s="104">
        <f t="shared" si="33"/>
        <v>0</v>
      </c>
      <c r="F116" s="104">
        <f t="shared" si="33"/>
        <v>0</v>
      </c>
      <c r="G116" s="104">
        <f t="shared" si="33"/>
        <v>0</v>
      </c>
      <c r="H116" s="104">
        <f t="shared" si="33"/>
        <v>0</v>
      </c>
      <c r="I116" s="104">
        <f t="shared" si="33"/>
        <v>0</v>
      </c>
      <c r="J116" s="104">
        <f t="shared" si="33"/>
        <v>0</v>
      </c>
      <c r="K116" s="104">
        <f t="shared" si="33"/>
        <v>0</v>
      </c>
      <c r="L116" s="100"/>
    </row>
    <row r="117" spans="1:12" outlineLevel="1" x14ac:dyDescent="0.15">
      <c r="A117" s="66"/>
      <c r="B117" s="72" t="s">
        <v>293</v>
      </c>
      <c r="C117" s="104">
        <f>C103*$C$111</f>
        <v>9931513.028634984</v>
      </c>
      <c r="D117" s="104">
        <f t="shared" ref="D117:K117" si="34">D103*$C$111</f>
        <v>7709289.0240148371</v>
      </c>
      <c r="E117" s="104">
        <f t="shared" si="34"/>
        <v>3636998.8777133077</v>
      </c>
      <c r="F117" s="104">
        <f t="shared" si="34"/>
        <v>612101.90078901348</v>
      </c>
      <c r="G117" s="104">
        <f t="shared" si="34"/>
        <v>0</v>
      </c>
      <c r="H117" s="104">
        <f t="shared" si="34"/>
        <v>3411371.7249121</v>
      </c>
      <c r="I117" s="104">
        <f t="shared" si="34"/>
        <v>876807.77383339405</v>
      </c>
      <c r="J117" s="104">
        <f t="shared" si="34"/>
        <v>1002123.9903355291</v>
      </c>
      <c r="K117" s="104">
        <f t="shared" si="34"/>
        <v>149405.67976683786</v>
      </c>
      <c r="L117" s="100"/>
    </row>
    <row r="118" spans="1:12" outlineLevel="1" x14ac:dyDescent="0.15">
      <c r="A118" s="66"/>
      <c r="B118" s="72" t="s">
        <v>294</v>
      </c>
      <c r="C118" s="104">
        <f>C104*$C$112</f>
        <v>0</v>
      </c>
      <c r="D118" s="104">
        <f t="shared" ref="D118:K118" si="35">D104*$C$112</f>
        <v>0</v>
      </c>
      <c r="E118" s="104">
        <f t="shared" si="35"/>
        <v>0</v>
      </c>
      <c r="F118" s="104">
        <f t="shared" si="35"/>
        <v>0</v>
      </c>
      <c r="G118" s="104">
        <f t="shared" si="35"/>
        <v>0</v>
      </c>
      <c r="H118" s="104">
        <f t="shared" si="35"/>
        <v>0</v>
      </c>
      <c r="I118" s="104">
        <f t="shared" si="35"/>
        <v>0</v>
      </c>
      <c r="J118" s="104">
        <f t="shared" si="35"/>
        <v>0</v>
      </c>
      <c r="K118" s="104">
        <f t="shared" si="35"/>
        <v>0</v>
      </c>
      <c r="L118" s="100"/>
    </row>
    <row r="119" spans="1:12" outlineLevel="1" x14ac:dyDescent="0.15">
      <c r="A119" s="66"/>
      <c r="B119" s="398" t="s">
        <v>88</v>
      </c>
      <c r="C119" s="507">
        <f>SUM(C116:C118)</f>
        <v>25101487.332182769</v>
      </c>
      <c r="D119" s="507">
        <f t="shared" ref="D119" si="36">SUM(D116:D118)</f>
        <v>8966314.7204670515</v>
      </c>
      <c r="E119" s="507">
        <f t="shared" ref="E119" si="37">SUM(E116:E118)</f>
        <v>3636998.8777133077</v>
      </c>
      <c r="F119" s="507">
        <f t="shared" ref="F119" si="38">SUM(F116:F118)</f>
        <v>612101.90078901348</v>
      </c>
      <c r="G119" s="507">
        <f t="shared" ref="G119" si="39">SUM(G116:G118)</f>
        <v>0</v>
      </c>
      <c r="H119" s="507">
        <f t="shared" ref="H119" si="40">SUM(H116:H118)</f>
        <v>3411371.7249121</v>
      </c>
      <c r="I119" s="507">
        <f t="shared" ref="I119" si="41">SUM(I116:I118)</f>
        <v>876807.77383339405</v>
      </c>
      <c r="J119" s="507">
        <f t="shared" ref="J119" si="42">SUM(J116:J118)</f>
        <v>1002123.9903355291</v>
      </c>
      <c r="K119" s="507">
        <f t="shared" ref="K119" si="43">SUM(K116:K118)</f>
        <v>149405.67976683786</v>
      </c>
      <c r="L119" s="100"/>
    </row>
    <row r="120" spans="1:12" outlineLevel="1" x14ac:dyDescent="0.15">
      <c r="A120" s="66"/>
      <c r="B120" s="101"/>
      <c r="C120" s="101"/>
      <c r="D120" s="101"/>
      <c r="E120" s="101"/>
      <c r="F120" s="101"/>
      <c r="G120" s="101"/>
      <c r="H120" s="101"/>
      <c r="I120" s="101"/>
      <c r="J120" s="101"/>
      <c r="K120" s="101"/>
      <c r="L120" s="100"/>
    </row>
    <row r="121" spans="1:12" ht="15" outlineLevel="1" x14ac:dyDescent="0.15">
      <c r="A121" s="66"/>
      <c r="B121" s="83" t="s">
        <v>303</v>
      </c>
      <c r="C121" s="83" t="s">
        <v>177</v>
      </c>
      <c r="D121" s="83" t="s">
        <v>100</v>
      </c>
      <c r="E121" s="83" t="s">
        <v>179</v>
      </c>
      <c r="F121" s="83" t="s">
        <v>180</v>
      </c>
      <c r="G121" s="83" t="s">
        <v>181</v>
      </c>
      <c r="H121" s="83" t="s">
        <v>182</v>
      </c>
      <c r="I121" s="83" t="s">
        <v>183</v>
      </c>
      <c r="J121" s="83" t="s">
        <v>184</v>
      </c>
      <c r="K121" s="83" t="s">
        <v>291</v>
      </c>
      <c r="L121" s="100"/>
    </row>
    <row r="122" spans="1:12" outlineLevel="1" x14ac:dyDescent="0.15">
      <c r="A122" s="66"/>
      <c r="B122" s="72" t="s">
        <v>292</v>
      </c>
      <c r="C122" s="104">
        <f>C102*$D$110</f>
        <v>390668620.1582858</v>
      </c>
      <c r="D122" s="104">
        <f t="shared" ref="D122:K122" si="44">D102*$D$110</f>
        <v>32371873.841714174</v>
      </c>
      <c r="E122" s="104">
        <f t="shared" si="44"/>
        <v>0</v>
      </c>
      <c r="F122" s="104">
        <f t="shared" si="44"/>
        <v>0</v>
      </c>
      <c r="G122" s="104">
        <f t="shared" si="44"/>
        <v>0</v>
      </c>
      <c r="H122" s="104">
        <f t="shared" si="44"/>
        <v>0</v>
      </c>
      <c r="I122" s="104">
        <f t="shared" si="44"/>
        <v>0</v>
      </c>
      <c r="J122" s="104">
        <f t="shared" si="44"/>
        <v>0</v>
      </c>
      <c r="K122" s="104">
        <f t="shared" si="44"/>
        <v>0</v>
      </c>
      <c r="L122" s="100"/>
    </row>
    <row r="123" spans="1:12" outlineLevel="1" x14ac:dyDescent="0.15">
      <c r="A123" s="66"/>
      <c r="B123" s="72" t="s">
        <v>293</v>
      </c>
      <c r="C123" s="104">
        <f>C103*$D$111</f>
        <v>29706275.280990344</v>
      </c>
      <c r="D123" s="104">
        <f t="shared" ref="D123:K123" si="45">D103*$D$111</f>
        <v>23059352.719751555</v>
      </c>
      <c r="E123" s="104">
        <f t="shared" si="45"/>
        <v>10878673.727406267</v>
      </c>
      <c r="F123" s="104">
        <f t="shared" si="45"/>
        <v>1830865.8018601055</v>
      </c>
      <c r="G123" s="104">
        <f t="shared" si="45"/>
        <v>0</v>
      </c>
      <c r="H123" s="104">
        <f t="shared" si="45"/>
        <v>10203797.473138293</v>
      </c>
      <c r="I123" s="104">
        <f t="shared" si="45"/>
        <v>2622630.9146358795</v>
      </c>
      <c r="J123" s="104">
        <f t="shared" si="45"/>
        <v>2997465.8480293327</v>
      </c>
      <c r="K123" s="104">
        <f t="shared" si="45"/>
        <v>446889.23418823577</v>
      </c>
      <c r="L123" s="100"/>
    </row>
    <row r="124" spans="1:12" outlineLevel="1" x14ac:dyDescent="0.15">
      <c r="A124" s="66"/>
      <c r="B124" s="72" t="s">
        <v>294</v>
      </c>
      <c r="C124" s="104">
        <f>C104*$D$112</f>
        <v>6470449.3574756738</v>
      </c>
      <c r="D124" s="104">
        <f t="shared" ref="D124:K124" si="46">D104*$D$112</f>
        <v>647719.64370976493</v>
      </c>
      <c r="E124" s="104">
        <f t="shared" si="46"/>
        <v>0</v>
      </c>
      <c r="F124" s="104">
        <f t="shared" si="46"/>
        <v>0</v>
      </c>
      <c r="G124" s="104">
        <f t="shared" si="46"/>
        <v>0</v>
      </c>
      <c r="H124" s="104">
        <f t="shared" si="46"/>
        <v>0</v>
      </c>
      <c r="I124" s="104">
        <f t="shared" si="46"/>
        <v>0</v>
      </c>
      <c r="J124" s="104">
        <f t="shared" si="46"/>
        <v>0</v>
      </c>
      <c r="K124" s="104">
        <f t="shared" si="46"/>
        <v>13897080.99881456</v>
      </c>
      <c r="L124" s="100"/>
    </row>
    <row r="125" spans="1:12" outlineLevel="1" x14ac:dyDescent="0.15">
      <c r="A125" s="66"/>
      <c r="B125" s="398" t="s">
        <v>88</v>
      </c>
      <c r="C125" s="507">
        <f>SUM(C122:C124)</f>
        <v>426845344.79675186</v>
      </c>
      <c r="D125" s="507">
        <f t="shared" ref="D125" si="47">SUM(D122:D124)</f>
        <v>56078946.205175489</v>
      </c>
      <c r="E125" s="507">
        <f t="shared" ref="E125" si="48">SUM(E122:E124)</f>
        <v>10878673.727406267</v>
      </c>
      <c r="F125" s="507">
        <f t="shared" ref="F125" si="49">SUM(F122:F124)</f>
        <v>1830865.8018601055</v>
      </c>
      <c r="G125" s="507">
        <f t="shared" ref="G125" si="50">SUM(G122:G124)</f>
        <v>0</v>
      </c>
      <c r="H125" s="507">
        <f t="shared" ref="H125" si="51">SUM(H122:H124)</f>
        <v>10203797.473138293</v>
      </c>
      <c r="I125" s="507">
        <f t="shared" ref="I125" si="52">SUM(I122:I124)</f>
        <v>2622630.9146358795</v>
      </c>
      <c r="J125" s="507">
        <f t="shared" ref="J125" si="53">SUM(J122:J124)</f>
        <v>2997465.8480293327</v>
      </c>
      <c r="K125" s="507">
        <f t="shared" ref="K125" si="54">SUM(K122:K124)</f>
        <v>14343970.233002797</v>
      </c>
      <c r="L125" s="100"/>
    </row>
    <row r="126" spans="1:12" outlineLevel="1" x14ac:dyDescent="0.15">
      <c r="A126" s="66"/>
      <c r="B126" s="66"/>
      <c r="C126" s="66"/>
      <c r="D126" s="66"/>
      <c r="E126" s="66"/>
      <c r="F126" s="66"/>
      <c r="G126" s="66"/>
      <c r="H126" s="66"/>
    </row>
    <row r="127" spans="1:12" ht="16" outlineLevel="1" x14ac:dyDescent="0.2">
      <c r="A127" s="106" t="s">
        <v>304</v>
      </c>
      <c r="B127" s="66"/>
      <c r="C127" s="66"/>
      <c r="D127" s="66"/>
      <c r="E127" s="66"/>
      <c r="F127" s="66"/>
      <c r="G127" s="66"/>
      <c r="H127" s="66"/>
    </row>
    <row r="128" spans="1:12" outlineLevel="1" x14ac:dyDescent="0.15">
      <c r="A128" s="82"/>
      <c r="B128" s="66"/>
      <c r="C128" s="66"/>
      <c r="D128" s="66"/>
      <c r="E128" s="66"/>
      <c r="F128" s="66"/>
      <c r="G128" s="66"/>
      <c r="H128" s="66"/>
    </row>
    <row r="129" spans="1:11" outlineLevel="1" x14ac:dyDescent="0.15">
      <c r="A129" s="82"/>
      <c r="B129" s="83"/>
      <c r="C129" s="83"/>
      <c r="D129" s="724" t="s">
        <v>305</v>
      </c>
      <c r="E129" s="724"/>
      <c r="F129" s="724"/>
      <c r="G129" s="724"/>
      <c r="H129" s="724"/>
      <c r="I129" s="724"/>
      <c r="J129" s="724"/>
      <c r="K129" s="83"/>
    </row>
    <row r="130" spans="1:11" ht="15" outlineLevel="1" x14ac:dyDescent="0.15">
      <c r="A130" s="82"/>
      <c r="B130" s="83" t="s">
        <v>306</v>
      </c>
      <c r="C130" s="83" t="s">
        <v>307</v>
      </c>
      <c r="D130" s="83" t="s">
        <v>308</v>
      </c>
      <c r="E130" s="83" t="s">
        <v>179</v>
      </c>
      <c r="F130" s="83" t="s">
        <v>180</v>
      </c>
      <c r="G130" s="83" t="s">
        <v>181</v>
      </c>
      <c r="H130" s="83" t="s">
        <v>182</v>
      </c>
      <c r="I130" s="83" t="s">
        <v>183</v>
      </c>
      <c r="J130" s="83" t="s">
        <v>184</v>
      </c>
      <c r="K130" s="83" t="s">
        <v>351</v>
      </c>
    </row>
    <row r="131" spans="1:11" outlineLevel="1" x14ac:dyDescent="0.15">
      <c r="A131" s="82"/>
      <c r="B131" s="72" t="s">
        <v>310</v>
      </c>
      <c r="C131" s="72" t="s">
        <v>311</v>
      </c>
      <c r="D131" s="99">
        <v>14.5</v>
      </c>
      <c r="E131" s="99">
        <v>0</v>
      </c>
      <c r="F131" s="99">
        <v>0</v>
      </c>
      <c r="G131" s="99">
        <v>0</v>
      </c>
      <c r="H131" s="99">
        <v>0</v>
      </c>
      <c r="I131" s="99">
        <v>0</v>
      </c>
      <c r="J131" s="99">
        <v>0</v>
      </c>
      <c r="K131" s="72">
        <v>14</v>
      </c>
    </row>
    <row r="132" spans="1:11" outlineLevel="1" x14ac:dyDescent="0.15">
      <c r="A132" s="82"/>
      <c r="B132" s="72" t="s">
        <v>312</v>
      </c>
      <c r="C132" s="72" t="s">
        <v>313</v>
      </c>
      <c r="D132" s="99">
        <v>19.940000000000001</v>
      </c>
      <c r="E132" s="99">
        <v>18.239999999999998</v>
      </c>
      <c r="F132" s="99">
        <v>6.03</v>
      </c>
      <c r="G132" s="99">
        <v>14.41</v>
      </c>
      <c r="H132" s="99">
        <v>0</v>
      </c>
      <c r="I132" s="99">
        <v>0</v>
      </c>
      <c r="J132" s="99">
        <v>0</v>
      </c>
      <c r="K132" s="72">
        <v>14</v>
      </c>
    </row>
    <row r="133" spans="1:11" outlineLevel="1" x14ac:dyDescent="0.15">
      <c r="A133" s="82"/>
      <c r="B133" s="72" t="s">
        <v>314</v>
      </c>
      <c r="C133" s="72" t="s">
        <v>311</v>
      </c>
      <c r="D133" s="99">
        <v>14.535</v>
      </c>
      <c r="E133" s="99">
        <v>0</v>
      </c>
      <c r="F133" s="99">
        <v>0</v>
      </c>
      <c r="G133" s="99">
        <v>0</v>
      </c>
      <c r="H133" s="99">
        <v>0</v>
      </c>
      <c r="I133" s="99">
        <v>0</v>
      </c>
      <c r="J133" s="99">
        <v>0</v>
      </c>
      <c r="K133" s="72">
        <v>14</v>
      </c>
    </row>
    <row r="134" spans="1:11" outlineLevel="1" x14ac:dyDescent="0.15">
      <c r="A134" s="82"/>
      <c r="B134" s="72" t="s">
        <v>315</v>
      </c>
      <c r="C134" s="72" t="s">
        <v>316</v>
      </c>
      <c r="D134" s="99">
        <v>25.779</v>
      </c>
      <c r="E134" s="99">
        <v>0</v>
      </c>
      <c r="F134" s="99">
        <v>0</v>
      </c>
      <c r="G134" s="99">
        <v>0</v>
      </c>
      <c r="H134" s="99">
        <v>0</v>
      </c>
      <c r="I134" s="99">
        <v>0</v>
      </c>
      <c r="J134" s="99">
        <v>0</v>
      </c>
      <c r="K134" s="72">
        <v>6</v>
      </c>
    </row>
    <row r="135" spans="1:11" outlineLevel="1" x14ac:dyDescent="0.15">
      <c r="A135" s="82"/>
      <c r="B135" s="72" t="s">
        <v>317</v>
      </c>
      <c r="C135" s="72" t="s">
        <v>313</v>
      </c>
      <c r="D135" s="99">
        <v>19.940000000000001</v>
      </c>
      <c r="E135" s="99">
        <v>18.239999999999998</v>
      </c>
      <c r="F135" s="99">
        <v>6.03</v>
      </c>
      <c r="G135" s="99">
        <v>14.41</v>
      </c>
      <c r="H135" s="99">
        <v>0</v>
      </c>
      <c r="I135" s="99">
        <v>0</v>
      </c>
      <c r="J135" s="99">
        <v>0</v>
      </c>
      <c r="K135" s="80">
        <v>14</v>
      </c>
    </row>
    <row r="136" spans="1:11" outlineLevel="1" x14ac:dyDescent="0.15">
      <c r="A136" s="82"/>
      <c r="B136" s="72" t="s">
        <v>318</v>
      </c>
      <c r="C136" s="72" t="s">
        <v>319</v>
      </c>
      <c r="D136" s="99">
        <v>34.433</v>
      </c>
      <c r="E136" s="99">
        <v>0</v>
      </c>
      <c r="F136" s="99">
        <v>0</v>
      </c>
      <c r="G136" s="99">
        <v>0</v>
      </c>
      <c r="H136" s="99">
        <v>0</v>
      </c>
      <c r="I136" s="99">
        <v>0</v>
      </c>
      <c r="J136" s="99">
        <v>12.949</v>
      </c>
      <c r="K136" s="72">
        <v>14</v>
      </c>
    </row>
    <row r="137" spans="1:11" outlineLevel="1" x14ac:dyDescent="0.15">
      <c r="A137" s="82"/>
      <c r="B137" s="72" t="s">
        <v>320</v>
      </c>
      <c r="C137" s="72" t="s">
        <v>321</v>
      </c>
      <c r="D137" s="99">
        <v>23.88</v>
      </c>
      <c r="E137" s="99">
        <v>0</v>
      </c>
      <c r="F137" s="99">
        <v>0</v>
      </c>
      <c r="G137" s="99">
        <v>0</v>
      </c>
      <c r="H137" s="99">
        <v>24.38</v>
      </c>
      <c r="I137" s="99">
        <v>0</v>
      </c>
      <c r="J137" s="99">
        <v>0</v>
      </c>
      <c r="K137" s="72">
        <v>14</v>
      </c>
    </row>
    <row r="138" spans="1:11" outlineLevel="1" x14ac:dyDescent="0.15">
      <c r="A138" s="82"/>
      <c r="B138" s="72" t="s">
        <v>322</v>
      </c>
      <c r="C138" s="72" t="s">
        <v>321</v>
      </c>
      <c r="D138" s="99">
        <v>23.88</v>
      </c>
      <c r="E138" s="99">
        <v>0</v>
      </c>
      <c r="F138" s="99">
        <v>0</v>
      </c>
      <c r="G138" s="99">
        <v>0</v>
      </c>
      <c r="H138" s="99">
        <v>24.38</v>
      </c>
      <c r="I138" s="99">
        <v>0</v>
      </c>
      <c r="J138" s="99">
        <v>0</v>
      </c>
      <c r="K138" s="72">
        <f>(9*7)+(5*5)+8</f>
        <v>96</v>
      </c>
    </row>
    <row r="139" spans="1:11" outlineLevel="1" x14ac:dyDescent="0.15">
      <c r="A139" s="82"/>
      <c r="B139" s="72" t="s">
        <v>323</v>
      </c>
      <c r="C139" s="72" t="s">
        <v>316</v>
      </c>
      <c r="D139" s="99">
        <v>22.943999999999999</v>
      </c>
      <c r="E139" s="99">
        <v>0</v>
      </c>
      <c r="F139" s="99">
        <v>0</v>
      </c>
      <c r="G139" s="99">
        <v>0</v>
      </c>
      <c r="H139" s="99">
        <v>0</v>
      </c>
      <c r="I139" s="99">
        <v>0</v>
      </c>
      <c r="J139" s="99">
        <v>0</v>
      </c>
      <c r="K139" s="72">
        <f>4*2</f>
        <v>8</v>
      </c>
    </row>
    <row r="140" spans="1:11" outlineLevel="1" x14ac:dyDescent="0.15">
      <c r="A140" s="82"/>
      <c r="B140" s="72" t="s">
        <v>324</v>
      </c>
      <c r="C140" s="72" t="s">
        <v>319</v>
      </c>
      <c r="D140" s="99">
        <v>29.771999999999998</v>
      </c>
      <c r="E140" s="99">
        <v>0</v>
      </c>
      <c r="F140" s="99">
        <v>0</v>
      </c>
      <c r="G140" s="99">
        <v>0</v>
      </c>
      <c r="H140" s="99">
        <v>0</v>
      </c>
      <c r="I140" s="99">
        <v>0</v>
      </c>
      <c r="J140" s="99">
        <v>12.743</v>
      </c>
      <c r="K140" s="72">
        <v>14</v>
      </c>
    </row>
    <row r="141" spans="1:11" outlineLevel="1" x14ac:dyDescent="0.15">
      <c r="A141" s="82"/>
      <c r="B141" s="72" t="s">
        <v>325</v>
      </c>
      <c r="C141" s="72" t="s">
        <v>313</v>
      </c>
      <c r="D141" s="99">
        <v>19.940000000000001</v>
      </c>
      <c r="E141" s="99">
        <v>18.239999999999998</v>
      </c>
      <c r="F141" s="99">
        <v>6.03</v>
      </c>
      <c r="G141" s="99">
        <v>14.41</v>
      </c>
      <c r="H141" s="99">
        <v>0</v>
      </c>
      <c r="I141" s="99">
        <v>0</v>
      </c>
      <c r="J141" s="99">
        <v>0</v>
      </c>
      <c r="K141" s="72">
        <v>14</v>
      </c>
    </row>
    <row r="142" spans="1:11" outlineLevel="1" x14ac:dyDescent="0.15">
      <c r="A142" s="82"/>
      <c r="B142" s="72" t="s">
        <v>326</v>
      </c>
      <c r="C142" s="72" t="s">
        <v>311</v>
      </c>
      <c r="D142" s="99">
        <v>14.535</v>
      </c>
      <c r="E142" s="99">
        <v>0</v>
      </c>
      <c r="F142" s="99">
        <v>0</v>
      </c>
      <c r="G142" s="99">
        <v>0</v>
      </c>
      <c r="H142" s="99">
        <v>0</v>
      </c>
      <c r="I142" s="99">
        <v>0</v>
      </c>
      <c r="J142" s="99">
        <v>0</v>
      </c>
      <c r="K142" s="72">
        <v>14</v>
      </c>
    </row>
    <row r="143" spans="1:11" outlineLevel="1" x14ac:dyDescent="0.15">
      <c r="A143" s="82"/>
      <c r="B143" s="72" t="s">
        <v>327</v>
      </c>
      <c r="C143" s="72" t="s">
        <v>328</v>
      </c>
      <c r="D143" s="99">
        <v>26.527999999999999</v>
      </c>
      <c r="E143" s="99">
        <v>0</v>
      </c>
      <c r="F143" s="99">
        <v>0</v>
      </c>
      <c r="G143" s="99">
        <v>0</v>
      </c>
      <c r="H143" s="99">
        <v>0</v>
      </c>
      <c r="I143" s="99">
        <v>0</v>
      </c>
      <c r="J143" s="99">
        <v>33.033000000000001</v>
      </c>
      <c r="K143" s="72">
        <f>8*7</f>
        <v>56</v>
      </c>
    </row>
    <row r="144" spans="1:11" outlineLevel="1" x14ac:dyDescent="0.15">
      <c r="A144" s="82"/>
      <c r="B144" s="72" t="s">
        <v>329</v>
      </c>
      <c r="C144" s="72" t="s">
        <v>311</v>
      </c>
      <c r="D144" s="99">
        <v>14.494</v>
      </c>
      <c r="E144" s="99">
        <v>0</v>
      </c>
      <c r="F144" s="99">
        <v>0</v>
      </c>
      <c r="G144" s="99">
        <v>0</v>
      </c>
      <c r="H144" s="99">
        <v>0</v>
      </c>
      <c r="I144" s="99">
        <v>0</v>
      </c>
      <c r="J144" s="99">
        <v>0</v>
      </c>
      <c r="K144" s="72">
        <v>14</v>
      </c>
    </row>
    <row r="145" spans="1:11" outlineLevel="1" x14ac:dyDescent="0.15">
      <c r="A145" s="82"/>
      <c r="B145" s="72" t="s">
        <v>330</v>
      </c>
      <c r="C145" s="72" t="s">
        <v>319</v>
      </c>
      <c r="D145" s="99">
        <v>34.433</v>
      </c>
      <c r="E145" s="99">
        <v>0</v>
      </c>
      <c r="F145" s="99">
        <v>0</v>
      </c>
      <c r="G145" s="99">
        <v>0</v>
      </c>
      <c r="H145" s="99">
        <v>0</v>
      </c>
      <c r="I145" s="99">
        <v>0</v>
      </c>
      <c r="J145" s="99">
        <v>12.949</v>
      </c>
      <c r="K145" s="72">
        <v>14</v>
      </c>
    </row>
    <row r="146" spans="1:11" outlineLevel="1" x14ac:dyDescent="0.15">
      <c r="A146" s="66"/>
      <c r="B146" s="72" t="s">
        <v>331</v>
      </c>
      <c r="C146" s="72" t="s">
        <v>313</v>
      </c>
      <c r="D146" s="99">
        <v>16.289000000000001</v>
      </c>
      <c r="E146" s="99">
        <v>18.238</v>
      </c>
      <c r="F146" s="99">
        <v>6.0330000000000004</v>
      </c>
      <c r="G146" s="99">
        <v>14.409000000000001</v>
      </c>
      <c r="H146" s="99">
        <v>0</v>
      </c>
      <c r="I146" s="99">
        <v>0</v>
      </c>
      <c r="J146" s="99">
        <v>0</v>
      </c>
      <c r="K146" s="72">
        <v>14</v>
      </c>
    </row>
    <row r="147" spans="1:11" outlineLevel="1" x14ac:dyDescent="0.15">
      <c r="A147" s="66"/>
      <c r="B147" s="72" t="s">
        <v>332</v>
      </c>
      <c r="C147" s="72" t="s">
        <v>328</v>
      </c>
      <c r="D147" s="99">
        <v>26.527999999999999</v>
      </c>
      <c r="E147" s="99">
        <v>0</v>
      </c>
      <c r="F147" s="99">
        <v>0</v>
      </c>
      <c r="G147" s="99">
        <v>0</v>
      </c>
      <c r="H147" s="99">
        <v>0</v>
      </c>
      <c r="I147" s="99">
        <v>0</v>
      </c>
      <c r="J147" s="99">
        <v>33.033000000000001</v>
      </c>
      <c r="K147" s="72">
        <v>14</v>
      </c>
    </row>
    <row r="148" spans="1:11" outlineLevel="1" x14ac:dyDescent="0.15">
      <c r="A148" s="66"/>
      <c r="B148" s="72" t="s">
        <v>333</v>
      </c>
      <c r="C148" s="72" t="s">
        <v>311</v>
      </c>
      <c r="D148" s="99">
        <v>14.494</v>
      </c>
      <c r="E148" s="99">
        <v>0</v>
      </c>
      <c r="F148" s="99">
        <v>0</v>
      </c>
      <c r="G148" s="99">
        <v>0</v>
      </c>
      <c r="H148" s="99">
        <v>0</v>
      </c>
      <c r="I148" s="99">
        <v>0</v>
      </c>
      <c r="J148" s="99">
        <v>0</v>
      </c>
      <c r="K148" s="72">
        <f>6*7</f>
        <v>42</v>
      </c>
    </row>
    <row r="149" spans="1:11" s="138" customFormat="1" outlineLevel="1" x14ac:dyDescent="0.15">
      <c r="B149" s="101" t="s">
        <v>334</v>
      </c>
    </row>
    <row r="150" spans="1:11" s="138" customFormat="1" outlineLevel="1" x14ac:dyDescent="0.15">
      <c r="B150" s="101" t="s">
        <v>352</v>
      </c>
    </row>
    <row r="151" spans="1:11" outlineLevel="1" x14ac:dyDescent="0.15">
      <c r="A151" s="66"/>
      <c r="B151" s="102"/>
      <c r="C151" s="66"/>
      <c r="D151" s="66"/>
      <c r="E151" s="66"/>
      <c r="F151" s="66"/>
      <c r="G151" s="66"/>
      <c r="H151" s="66"/>
    </row>
    <row r="152" spans="1:11" outlineLevel="1" x14ac:dyDescent="0.15">
      <c r="A152" s="66"/>
      <c r="B152" s="103" t="s">
        <v>336</v>
      </c>
      <c r="C152" s="66"/>
      <c r="D152" s="66"/>
      <c r="E152" s="66"/>
      <c r="F152" s="66"/>
      <c r="G152" s="66"/>
      <c r="H152" s="66"/>
    </row>
    <row r="153" spans="1:11" outlineLevel="1" x14ac:dyDescent="0.15">
      <c r="A153" s="66"/>
      <c r="B153" s="102"/>
      <c r="C153" s="83">
        <v>2015</v>
      </c>
      <c r="D153" s="66"/>
      <c r="E153" s="66"/>
      <c r="F153" s="66"/>
      <c r="G153" s="66"/>
      <c r="H153" s="66"/>
    </row>
    <row r="154" spans="1:11" outlineLevel="1" x14ac:dyDescent="0.15">
      <c r="A154" s="66"/>
      <c r="B154" s="72" t="s">
        <v>337</v>
      </c>
      <c r="C154" s="87">
        <f>37.798127*1000000</f>
        <v>37798127</v>
      </c>
      <c r="D154" s="66"/>
      <c r="E154" s="66"/>
      <c r="F154" s="66"/>
      <c r="G154" s="66"/>
      <c r="H154" s="66"/>
    </row>
    <row r="155" spans="1:11" outlineLevel="1" x14ac:dyDescent="0.15">
      <c r="A155" s="66"/>
      <c r="B155" s="72" t="s">
        <v>338</v>
      </c>
      <c r="C155" s="87">
        <f>62.467827*1000000</f>
        <v>62467827</v>
      </c>
      <c r="D155" s="66"/>
      <c r="E155" s="66"/>
      <c r="F155" s="66"/>
      <c r="G155" s="66"/>
      <c r="H155" s="66"/>
    </row>
    <row r="156" spans="1:11" outlineLevel="1" x14ac:dyDescent="0.15">
      <c r="A156" s="66"/>
      <c r="B156" s="72" t="s">
        <v>339</v>
      </c>
      <c r="C156" s="87">
        <f>504.016846952*1000000</f>
        <v>504016846.95199996</v>
      </c>
      <c r="D156" s="66"/>
      <c r="E156" s="66"/>
      <c r="F156" s="66"/>
      <c r="G156" s="66"/>
      <c r="H156" s="66"/>
    </row>
    <row r="157" spans="1:11" outlineLevel="1" x14ac:dyDescent="0.15">
      <c r="A157" s="66"/>
      <c r="B157" s="72" t="s">
        <v>340</v>
      </c>
      <c r="C157" s="87">
        <f>(C155*'Constants &amp; Conversions'!$D$54)+(C156*'Constants &amp; Conversions'!$D$52)</f>
        <v>10873540860.158445</v>
      </c>
      <c r="D157" s="66"/>
      <c r="E157" s="66"/>
      <c r="F157" s="66"/>
      <c r="G157" s="66"/>
      <c r="H157" s="66"/>
    </row>
    <row r="158" spans="1:11" outlineLevel="1" x14ac:dyDescent="0.15">
      <c r="A158" s="66"/>
      <c r="B158" s="72" t="s">
        <v>341</v>
      </c>
      <c r="C158" s="87">
        <f>C157/'Constants &amp; Conversions'!$D$54</f>
        <v>74979628.560435116</v>
      </c>
      <c r="D158" s="66"/>
      <c r="E158" s="66"/>
      <c r="F158" s="66"/>
      <c r="G158" s="66"/>
      <c r="H158" s="66"/>
    </row>
    <row r="159" spans="1:11" outlineLevel="1" x14ac:dyDescent="0.15">
      <c r="A159" s="66"/>
      <c r="B159" s="72" t="s">
        <v>342</v>
      </c>
      <c r="C159" s="116">
        <f>C158/C154</f>
        <v>1.9836863493377626</v>
      </c>
      <c r="D159" s="66"/>
      <c r="E159" s="66"/>
      <c r="F159" s="66"/>
      <c r="G159" s="66"/>
      <c r="H159" s="66"/>
    </row>
    <row r="160" spans="1:11" s="138" customFormat="1" outlineLevel="1" x14ac:dyDescent="0.15">
      <c r="B160" s="101" t="s">
        <v>343</v>
      </c>
      <c r="C160" s="145"/>
    </row>
    <row r="161" spans="1:14" s="138" customFormat="1" outlineLevel="1" x14ac:dyDescent="0.15">
      <c r="B161" s="105" t="s">
        <v>344</v>
      </c>
      <c r="C161" s="145"/>
    </row>
    <row r="162" spans="1:14" outlineLevel="1" x14ac:dyDescent="0.15">
      <c r="A162" s="66"/>
      <c r="B162" s="66"/>
      <c r="C162" s="88"/>
      <c r="D162" s="66"/>
      <c r="E162" s="66"/>
      <c r="F162" s="66"/>
      <c r="G162" s="66"/>
      <c r="H162" s="66"/>
    </row>
    <row r="163" spans="1:14" outlineLevel="1" x14ac:dyDescent="0.15">
      <c r="A163" s="66"/>
      <c r="B163" s="103" t="s">
        <v>345</v>
      </c>
      <c r="C163" s="66"/>
      <c r="D163" s="66"/>
      <c r="E163" s="66"/>
      <c r="F163" s="66"/>
      <c r="G163" s="66"/>
      <c r="H163" s="66"/>
    </row>
    <row r="164" spans="1:14" ht="15" outlineLevel="1" x14ac:dyDescent="0.15">
      <c r="A164" s="66"/>
      <c r="B164" s="66"/>
      <c r="C164" s="83" t="s">
        <v>177</v>
      </c>
      <c r="D164" s="83" t="s">
        <v>100</v>
      </c>
      <c r="E164" s="83" t="s">
        <v>308</v>
      </c>
      <c r="F164" s="83" t="s">
        <v>179</v>
      </c>
      <c r="G164" s="83" t="s">
        <v>180</v>
      </c>
      <c r="H164" s="83" t="s">
        <v>181</v>
      </c>
      <c r="I164" s="83" t="s">
        <v>182</v>
      </c>
      <c r="J164" s="83" t="s">
        <v>183</v>
      </c>
      <c r="K164" s="83" t="s">
        <v>184</v>
      </c>
    </row>
    <row r="165" spans="1:14" outlineLevel="1" x14ac:dyDescent="0.15">
      <c r="A165" s="66"/>
      <c r="B165" s="72" t="s">
        <v>337</v>
      </c>
      <c r="C165" s="104">
        <v>200710</v>
      </c>
      <c r="D165" s="104">
        <f>E165-C165</f>
        <v>251174.576</v>
      </c>
      <c r="E165" s="104">
        <f t="shared" ref="E165:K165" si="55">SUMPRODUCT(D131:D148,$K$131:$K$148)*52</f>
        <v>451884.576</v>
      </c>
      <c r="F165" s="104">
        <f t="shared" si="55"/>
        <v>53113.423999999999</v>
      </c>
      <c r="G165" s="104">
        <f t="shared" si="55"/>
        <v>17561.543999999998</v>
      </c>
      <c r="H165" s="104">
        <f t="shared" si="55"/>
        <v>41961.192000000003</v>
      </c>
      <c r="I165" s="104">
        <f t="shared" si="55"/>
        <v>139453.6</v>
      </c>
      <c r="J165" s="104">
        <f t="shared" si="55"/>
        <v>0</v>
      </c>
      <c r="K165" s="104">
        <f t="shared" si="55"/>
        <v>148370.76800000001</v>
      </c>
      <c r="L165" s="177">
        <f>SUM(E165:K165)</f>
        <v>852345.10400000005</v>
      </c>
    </row>
    <row r="166" spans="1:14" outlineLevel="1" x14ac:dyDescent="0.15">
      <c r="A166" s="66"/>
      <c r="B166" s="72" t="s">
        <v>346</v>
      </c>
      <c r="C166" s="117">
        <f>C165*$C$159</f>
        <v>398145.68717558234</v>
      </c>
      <c r="D166" s="117">
        <f t="shared" ref="D166:K166" si="56">D165*$C$159</f>
        <v>498251.57771190041</v>
      </c>
      <c r="E166" s="117">
        <f t="shared" si="56"/>
        <v>896397.26488748274</v>
      </c>
      <c r="F166" s="117">
        <f t="shared" si="56"/>
        <v>105360.37415538869</v>
      </c>
      <c r="G166" s="117">
        <f t="shared" si="56"/>
        <v>34836.595106094486</v>
      </c>
      <c r="H166" s="117">
        <f t="shared" si="56"/>
        <v>83237.84377234093</v>
      </c>
      <c r="I166" s="117">
        <f t="shared" si="56"/>
        <v>276632.20268600859</v>
      </c>
      <c r="J166" s="117">
        <f t="shared" si="56"/>
        <v>0</v>
      </c>
      <c r="K166" s="117">
        <f t="shared" si="56"/>
        <v>294321.06712236017</v>
      </c>
    </row>
    <row r="167" spans="1:14" outlineLevel="1" x14ac:dyDescent="0.15">
      <c r="A167" s="66"/>
      <c r="B167" s="101" t="s">
        <v>353</v>
      </c>
      <c r="C167" s="172"/>
      <c r="D167" s="172"/>
      <c r="E167" s="172"/>
      <c r="F167" s="172"/>
      <c r="G167" s="172"/>
      <c r="H167" s="172"/>
      <c r="I167" s="172"/>
      <c r="J167" s="172"/>
      <c r="K167" s="172"/>
    </row>
    <row r="168" spans="1:14" x14ac:dyDescent="0.15">
      <c r="A168" s="66"/>
      <c r="B168" s="66"/>
      <c r="C168" s="69"/>
      <c r="D168" s="66"/>
      <c r="E168" s="66"/>
      <c r="F168" s="66"/>
      <c r="G168" s="66"/>
      <c r="H168" s="66"/>
    </row>
    <row r="169" spans="1:14" s="108" customFormat="1" ht="16" x14ac:dyDescent="0.2">
      <c r="A169" s="89">
        <v>2010</v>
      </c>
      <c r="B169" s="90"/>
      <c r="C169" s="91"/>
      <c r="D169" s="90"/>
      <c r="E169" s="90"/>
      <c r="F169" s="90"/>
      <c r="G169" s="90"/>
      <c r="H169" s="90"/>
      <c r="I169" s="90"/>
      <c r="J169" s="90"/>
      <c r="K169" s="90"/>
      <c r="L169" s="90"/>
      <c r="M169" s="90"/>
      <c r="N169" s="106"/>
    </row>
    <row r="170" spans="1:14" outlineLevel="1" x14ac:dyDescent="0.15">
      <c r="A170" s="66"/>
      <c r="B170" s="66"/>
      <c r="C170" s="69"/>
      <c r="D170" s="66"/>
      <c r="E170" s="66"/>
      <c r="F170" s="66"/>
      <c r="G170" s="66"/>
      <c r="H170" s="66"/>
    </row>
    <row r="171" spans="1:14" ht="16" outlineLevel="1" x14ac:dyDescent="0.2">
      <c r="A171" s="106" t="s">
        <v>354</v>
      </c>
      <c r="B171" s="66"/>
      <c r="C171" s="66"/>
      <c r="D171" s="66"/>
      <c r="E171" s="66"/>
      <c r="F171" s="66"/>
      <c r="G171" s="66"/>
      <c r="H171" s="66"/>
    </row>
    <row r="172" spans="1:14" outlineLevel="1" x14ac:dyDescent="0.15">
      <c r="A172" s="82"/>
      <c r="B172" s="66"/>
      <c r="C172" s="66"/>
      <c r="D172" s="66"/>
      <c r="E172" s="66"/>
      <c r="F172" s="66"/>
      <c r="G172" s="66"/>
      <c r="H172" s="66"/>
    </row>
    <row r="173" spans="1:14" outlineLevel="1" x14ac:dyDescent="0.15">
      <c r="A173" s="66"/>
      <c r="B173" s="97" t="s">
        <v>290</v>
      </c>
      <c r="C173" s="66"/>
      <c r="D173" s="66"/>
      <c r="E173" s="66"/>
      <c r="F173" s="66"/>
      <c r="G173" s="66"/>
      <c r="H173" s="66"/>
    </row>
    <row r="174" spans="1:14" ht="15" outlineLevel="1" x14ac:dyDescent="0.15">
      <c r="A174" s="66"/>
      <c r="B174" s="83"/>
      <c r="C174" s="83" t="s">
        <v>177</v>
      </c>
      <c r="D174" s="83" t="s">
        <v>100</v>
      </c>
      <c r="E174" s="83" t="s">
        <v>179</v>
      </c>
      <c r="F174" s="83" t="s">
        <v>180</v>
      </c>
      <c r="G174" s="83" t="s">
        <v>181</v>
      </c>
      <c r="H174" s="83" t="s">
        <v>182</v>
      </c>
      <c r="I174" s="83" t="s">
        <v>183</v>
      </c>
      <c r="J174" s="83" t="s">
        <v>184</v>
      </c>
      <c r="K174" s="83" t="s">
        <v>291</v>
      </c>
      <c r="L174" s="83" t="s">
        <v>88</v>
      </c>
    </row>
    <row r="175" spans="1:14" outlineLevel="1" x14ac:dyDescent="0.15">
      <c r="A175" s="66"/>
      <c r="B175" s="72" t="s">
        <v>292</v>
      </c>
      <c r="C175" s="95">
        <f t="shared" ref="C175:K175" si="57">C102</f>
        <v>0.92347807290118611</v>
      </c>
      <c r="D175" s="95">
        <f t="shared" si="57"/>
        <v>7.6521927098813794E-2</v>
      </c>
      <c r="E175" s="95">
        <f t="shared" si="57"/>
        <v>0</v>
      </c>
      <c r="F175" s="95">
        <f t="shared" si="57"/>
        <v>0</v>
      </c>
      <c r="G175" s="95">
        <f t="shared" si="57"/>
        <v>0</v>
      </c>
      <c r="H175" s="95">
        <f t="shared" si="57"/>
        <v>0</v>
      </c>
      <c r="I175" s="95">
        <f t="shared" si="57"/>
        <v>0</v>
      </c>
      <c r="J175" s="95">
        <f t="shared" si="57"/>
        <v>0</v>
      </c>
      <c r="K175" s="95">
        <f t="shared" si="57"/>
        <v>0</v>
      </c>
      <c r="L175" s="96">
        <f>SUM(C175:K175)</f>
        <v>0.99999999999999989</v>
      </c>
    </row>
    <row r="176" spans="1:14" outlineLevel="1" x14ac:dyDescent="0.15">
      <c r="A176" s="66"/>
      <c r="B176" s="72" t="s">
        <v>293</v>
      </c>
      <c r="C176" s="95">
        <f t="shared" ref="C176:K176" si="58">C103</f>
        <v>0.36339751287486205</v>
      </c>
      <c r="D176" s="95">
        <f t="shared" si="58"/>
        <v>0.28208556433274051</v>
      </c>
      <c r="E176" s="95">
        <f t="shared" si="58"/>
        <v>0.13307905277664783</v>
      </c>
      <c r="F176" s="95">
        <f t="shared" si="58"/>
        <v>2.2397021252589078E-2</v>
      </c>
      <c r="G176" s="95">
        <f t="shared" si="58"/>
        <v>0</v>
      </c>
      <c r="H176" s="95">
        <f t="shared" si="58"/>
        <v>0.12482327685120813</v>
      </c>
      <c r="I176" s="95">
        <f t="shared" si="58"/>
        <v>3.2082701131409916E-2</v>
      </c>
      <c r="J176" s="95">
        <f t="shared" si="58"/>
        <v>3.6668065040057249E-2</v>
      </c>
      <c r="K176" s="95">
        <f t="shared" si="58"/>
        <v>5.46680574048537E-3</v>
      </c>
      <c r="L176" s="96">
        <f>SUM(C176:K176)</f>
        <v>1</v>
      </c>
    </row>
    <row r="177" spans="1:12" outlineLevel="1" x14ac:dyDescent="0.15">
      <c r="A177" s="66"/>
      <c r="B177" s="72" t="s">
        <v>294</v>
      </c>
      <c r="C177" s="95">
        <f t="shared" ref="C177:K177" si="59">C104</f>
        <v>0.30789304707180137</v>
      </c>
      <c r="D177" s="95">
        <f t="shared" si="59"/>
        <v>3.0821410342954044E-2</v>
      </c>
      <c r="E177" s="95">
        <f t="shared" si="59"/>
        <v>0</v>
      </c>
      <c r="F177" s="95">
        <f t="shared" si="59"/>
        <v>0</v>
      </c>
      <c r="G177" s="95">
        <f t="shared" si="59"/>
        <v>0</v>
      </c>
      <c r="H177" s="95">
        <f t="shared" si="59"/>
        <v>0</v>
      </c>
      <c r="I177" s="95">
        <f t="shared" si="59"/>
        <v>0</v>
      </c>
      <c r="J177" s="95">
        <f t="shared" si="59"/>
        <v>0</v>
      </c>
      <c r="K177" s="95">
        <f t="shared" si="59"/>
        <v>0.66128554258524452</v>
      </c>
      <c r="L177" s="96">
        <f>SUM(C177:K177)</f>
        <v>1</v>
      </c>
    </row>
    <row r="178" spans="1:12" outlineLevel="1" x14ac:dyDescent="0.15">
      <c r="A178" s="66"/>
      <c r="B178" s="101" t="s">
        <v>355</v>
      </c>
      <c r="C178" s="66"/>
      <c r="D178" s="66"/>
      <c r="E178" s="66"/>
      <c r="F178" s="66"/>
      <c r="G178" s="66"/>
      <c r="H178" s="66"/>
    </row>
    <row r="179" spans="1:12" outlineLevel="1" x14ac:dyDescent="0.15">
      <c r="A179" s="66"/>
      <c r="B179" s="66"/>
      <c r="C179" s="66"/>
      <c r="D179" s="66"/>
      <c r="E179" s="66"/>
      <c r="F179" s="66"/>
      <c r="G179" s="66"/>
      <c r="H179" s="66"/>
    </row>
    <row r="180" spans="1:12" ht="16" outlineLevel="1" x14ac:dyDescent="0.2">
      <c r="A180" s="106" t="s">
        <v>296</v>
      </c>
      <c r="B180" s="66"/>
      <c r="C180" s="66"/>
      <c r="D180" s="66"/>
      <c r="E180" s="66"/>
      <c r="F180" s="66"/>
      <c r="G180" s="66"/>
      <c r="H180" s="66"/>
    </row>
    <row r="181" spans="1:12" outlineLevel="1" x14ac:dyDescent="0.15">
      <c r="A181" s="82"/>
      <c r="B181" s="66"/>
      <c r="C181" s="66"/>
      <c r="D181" s="66"/>
      <c r="E181" s="66"/>
      <c r="F181" s="66"/>
      <c r="G181" s="66"/>
      <c r="H181" s="66"/>
    </row>
    <row r="182" spans="1:12" ht="30" outlineLevel="1" x14ac:dyDescent="0.15">
      <c r="A182" s="66"/>
      <c r="B182" s="83"/>
      <c r="C182" s="83" t="s">
        <v>356</v>
      </c>
      <c r="D182" s="83" t="s">
        <v>357</v>
      </c>
      <c r="E182" s="66"/>
      <c r="F182" s="66"/>
      <c r="G182" s="66"/>
      <c r="H182" s="66"/>
    </row>
    <row r="183" spans="1:12" outlineLevel="1" x14ac:dyDescent="0.15">
      <c r="A183" s="66"/>
      <c r="B183" s="72" t="s">
        <v>299</v>
      </c>
      <c r="C183" s="104">
        <v>19225000</v>
      </c>
      <c r="D183" s="99">
        <v>407659190</v>
      </c>
      <c r="E183" s="66"/>
      <c r="F183" s="66"/>
      <c r="G183" s="66"/>
      <c r="H183" s="66"/>
    </row>
    <row r="184" spans="1:12" outlineLevel="1" x14ac:dyDescent="0.15">
      <c r="A184" s="66"/>
      <c r="B184" s="72" t="s">
        <v>300</v>
      </c>
      <c r="C184" s="99">
        <v>25326453</v>
      </c>
      <c r="D184" s="99">
        <v>108745166</v>
      </c>
      <c r="E184" s="66"/>
      <c r="F184" s="66"/>
      <c r="G184" s="66"/>
      <c r="H184" s="66"/>
    </row>
    <row r="185" spans="1:12" outlineLevel="1" x14ac:dyDescent="0.15">
      <c r="A185" s="66"/>
      <c r="B185" s="72" t="s">
        <v>294</v>
      </c>
      <c r="C185" s="99"/>
      <c r="D185" s="99">
        <v>24717250</v>
      </c>
      <c r="E185" s="66"/>
      <c r="F185" s="66"/>
      <c r="G185" s="66"/>
      <c r="H185" s="66"/>
    </row>
    <row r="186" spans="1:12" outlineLevel="1" x14ac:dyDescent="0.15">
      <c r="A186" s="66"/>
      <c r="B186" s="101" t="s">
        <v>358</v>
      </c>
      <c r="C186" s="100"/>
      <c r="D186" s="100"/>
      <c r="E186" s="100"/>
      <c r="F186" s="100"/>
      <c r="G186" s="100"/>
      <c r="H186" s="100"/>
      <c r="I186" s="100"/>
      <c r="J186" s="100"/>
      <c r="K186" s="100"/>
      <c r="L186" s="100"/>
    </row>
    <row r="187" spans="1:12" outlineLevel="1" x14ac:dyDescent="0.15">
      <c r="A187" s="66"/>
      <c r="B187" s="101"/>
      <c r="C187" s="100"/>
      <c r="D187" s="100"/>
      <c r="E187" s="100"/>
      <c r="F187" s="100"/>
      <c r="G187" s="100"/>
      <c r="H187" s="100"/>
      <c r="I187" s="100"/>
      <c r="J187" s="100"/>
      <c r="K187" s="100"/>
      <c r="L187" s="100"/>
    </row>
    <row r="188" spans="1:12" ht="15" outlineLevel="1" x14ac:dyDescent="0.15">
      <c r="A188" s="66"/>
      <c r="B188" s="83" t="s">
        <v>302</v>
      </c>
      <c r="C188" s="83" t="s">
        <v>177</v>
      </c>
      <c r="D188" s="83" t="s">
        <v>100</v>
      </c>
      <c r="E188" s="83" t="s">
        <v>179</v>
      </c>
      <c r="F188" s="83" t="s">
        <v>180</v>
      </c>
      <c r="G188" s="83" t="s">
        <v>181</v>
      </c>
      <c r="H188" s="83" t="s">
        <v>182</v>
      </c>
      <c r="I188" s="83" t="s">
        <v>183</v>
      </c>
      <c r="J188" s="83" t="s">
        <v>184</v>
      </c>
      <c r="K188" s="83" t="s">
        <v>291</v>
      </c>
      <c r="L188" s="100"/>
    </row>
    <row r="189" spans="1:12" outlineLevel="1" x14ac:dyDescent="0.15">
      <c r="A189" s="66"/>
      <c r="B189" s="72" t="s">
        <v>292</v>
      </c>
      <c r="C189" s="104">
        <f t="shared" ref="C189:K189" si="60">C175*$C$183</f>
        <v>17753865.951525304</v>
      </c>
      <c r="D189" s="104">
        <f t="shared" si="60"/>
        <v>1471134.0484746953</v>
      </c>
      <c r="E189" s="104">
        <f t="shared" si="60"/>
        <v>0</v>
      </c>
      <c r="F189" s="104">
        <f t="shared" si="60"/>
        <v>0</v>
      </c>
      <c r="G189" s="104">
        <f t="shared" si="60"/>
        <v>0</v>
      </c>
      <c r="H189" s="104">
        <f t="shared" si="60"/>
        <v>0</v>
      </c>
      <c r="I189" s="104">
        <f t="shared" si="60"/>
        <v>0</v>
      </c>
      <c r="J189" s="104">
        <f t="shared" si="60"/>
        <v>0</v>
      </c>
      <c r="K189" s="104">
        <f t="shared" si="60"/>
        <v>0</v>
      </c>
      <c r="L189" s="100"/>
    </row>
    <row r="190" spans="1:12" outlineLevel="1" x14ac:dyDescent="0.15">
      <c r="A190" s="66"/>
      <c r="B190" s="72" t="s">
        <v>293</v>
      </c>
      <c r="C190" s="104">
        <f t="shared" ref="C190:K190" si="61">C176*$C$184</f>
        <v>9203570.0301420894</v>
      </c>
      <c r="D190" s="104">
        <f t="shared" si="61"/>
        <v>7144226.7870516293</v>
      </c>
      <c r="E190" s="104">
        <f t="shared" si="61"/>
        <v>3370420.3754322906</v>
      </c>
      <c r="F190" s="104">
        <f t="shared" si="61"/>
        <v>567237.10609369841</v>
      </c>
      <c r="G190" s="104">
        <f t="shared" si="61"/>
        <v>0</v>
      </c>
      <c r="H190" s="104">
        <f t="shared" si="61"/>
        <v>3161330.8544781106</v>
      </c>
      <c r="I190" s="104">
        <f t="shared" si="61"/>
        <v>812541.02231770009</v>
      </c>
      <c r="J190" s="104">
        <f t="shared" si="61"/>
        <v>928672.02583795309</v>
      </c>
      <c r="K190" s="104">
        <f t="shared" si="61"/>
        <v>138454.79864653293</v>
      </c>
      <c r="L190" s="100"/>
    </row>
    <row r="191" spans="1:12" outlineLevel="1" x14ac:dyDescent="0.15">
      <c r="A191" s="66"/>
      <c r="B191" s="72" t="s">
        <v>294</v>
      </c>
      <c r="C191" s="104">
        <f t="shared" ref="C191:K191" si="62">C177*$C$185</f>
        <v>0</v>
      </c>
      <c r="D191" s="104">
        <f t="shared" si="62"/>
        <v>0</v>
      </c>
      <c r="E191" s="104">
        <f t="shared" si="62"/>
        <v>0</v>
      </c>
      <c r="F191" s="104">
        <f t="shared" si="62"/>
        <v>0</v>
      </c>
      <c r="G191" s="104">
        <f t="shared" si="62"/>
        <v>0</v>
      </c>
      <c r="H191" s="104">
        <f t="shared" si="62"/>
        <v>0</v>
      </c>
      <c r="I191" s="104">
        <f t="shared" si="62"/>
        <v>0</v>
      </c>
      <c r="J191" s="104">
        <f t="shared" si="62"/>
        <v>0</v>
      </c>
      <c r="K191" s="104">
        <f t="shared" si="62"/>
        <v>0</v>
      </c>
      <c r="L191" s="100"/>
    </row>
    <row r="192" spans="1:12" outlineLevel="1" x14ac:dyDescent="0.15">
      <c r="A192" s="66"/>
      <c r="B192" s="398" t="s">
        <v>88</v>
      </c>
      <c r="C192" s="507">
        <f>SUM(C189:C191)</f>
        <v>26957435.981667392</v>
      </c>
      <c r="D192" s="507">
        <f t="shared" ref="D192" si="63">SUM(D189:D191)</f>
        <v>8615360.8355263248</v>
      </c>
      <c r="E192" s="507">
        <f t="shared" ref="E192" si="64">SUM(E189:E191)</f>
        <v>3370420.3754322906</v>
      </c>
      <c r="F192" s="507">
        <f t="shared" ref="F192" si="65">SUM(F189:F191)</f>
        <v>567237.10609369841</v>
      </c>
      <c r="G192" s="507">
        <f t="shared" ref="G192" si="66">SUM(G189:G191)</f>
        <v>0</v>
      </c>
      <c r="H192" s="507">
        <f t="shared" ref="H192" si="67">SUM(H189:H191)</f>
        <v>3161330.8544781106</v>
      </c>
      <c r="I192" s="507">
        <f t="shared" ref="I192" si="68">SUM(I189:I191)</f>
        <v>812541.02231770009</v>
      </c>
      <c r="J192" s="507">
        <f t="shared" ref="J192" si="69">SUM(J189:J191)</f>
        <v>928672.02583795309</v>
      </c>
      <c r="K192" s="507">
        <f t="shared" ref="K192" si="70">SUM(K189:K191)</f>
        <v>138454.79864653293</v>
      </c>
      <c r="L192" s="100"/>
    </row>
    <row r="193" spans="1:12" outlineLevel="1" x14ac:dyDescent="0.15">
      <c r="A193" s="66"/>
      <c r="B193" s="101"/>
      <c r="C193" s="101"/>
      <c r="D193" s="101"/>
      <c r="E193" s="101"/>
      <c r="F193" s="101"/>
      <c r="G193" s="101"/>
      <c r="H193" s="101"/>
      <c r="I193" s="101"/>
      <c r="J193" s="101"/>
      <c r="K193" s="101"/>
      <c r="L193" s="100"/>
    </row>
    <row r="194" spans="1:12" ht="15" outlineLevel="1" x14ac:dyDescent="0.15">
      <c r="A194" s="66"/>
      <c r="B194" s="83" t="s">
        <v>303</v>
      </c>
      <c r="C194" s="83" t="s">
        <v>177</v>
      </c>
      <c r="D194" s="83" t="s">
        <v>100</v>
      </c>
      <c r="E194" s="83" t="s">
        <v>179</v>
      </c>
      <c r="F194" s="83" t="s">
        <v>180</v>
      </c>
      <c r="G194" s="83" t="s">
        <v>181</v>
      </c>
      <c r="H194" s="83" t="s">
        <v>182</v>
      </c>
      <c r="I194" s="83" t="s">
        <v>183</v>
      </c>
      <c r="J194" s="83" t="s">
        <v>184</v>
      </c>
      <c r="K194" s="83" t="s">
        <v>291</v>
      </c>
      <c r="L194" s="100"/>
    </row>
    <row r="195" spans="1:12" outlineLevel="1" x14ac:dyDescent="0.15">
      <c r="A195" s="66"/>
      <c r="B195" s="72" t="s">
        <v>292</v>
      </c>
      <c r="C195" s="104">
        <f t="shared" ref="C195:K195" si="71">C175*$D$183</f>
        <v>376464323.18165851</v>
      </c>
      <c r="D195" s="104">
        <f t="shared" si="71"/>
        <v>31194866.818341482</v>
      </c>
      <c r="E195" s="104">
        <f t="shared" si="71"/>
        <v>0</v>
      </c>
      <c r="F195" s="104">
        <f t="shared" si="71"/>
        <v>0</v>
      </c>
      <c r="G195" s="104">
        <f t="shared" si="71"/>
        <v>0</v>
      </c>
      <c r="H195" s="104">
        <f t="shared" si="71"/>
        <v>0</v>
      </c>
      <c r="I195" s="104">
        <f t="shared" si="71"/>
        <v>0</v>
      </c>
      <c r="J195" s="104">
        <f t="shared" si="71"/>
        <v>0</v>
      </c>
      <c r="K195" s="104">
        <f t="shared" si="71"/>
        <v>0</v>
      </c>
      <c r="L195" s="100"/>
    </row>
    <row r="196" spans="1:12" outlineLevel="1" x14ac:dyDescent="0.15">
      <c r="A196" s="66"/>
      <c r="B196" s="72" t="s">
        <v>293</v>
      </c>
      <c r="C196" s="104">
        <f t="shared" ref="C196:K196" si="72">C176*$D$184</f>
        <v>39517722.86156401</v>
      </c>
      <c r="D196" s="104">
        <f t="shared" si="72"/>
        <v>30675441.519567546</v>
      </c>
      <c r="E196" s="104">
        <f t="shared" si="72"/>
        <v>14471703.685319329</v>
      </c>
      <c r="F196" s="104">
        <f t="shared" si="72"/>
        <v>2435567.7940183273</v>
      </c>
      <c r="G196" s="104">
        <f t="shared" si="72"/>
        <v>0</v>
      </c>
      <c r="H196" s="104">
        <f t="shared" si="72"/>
        <v>13573927.961848585</v>
      </c>
      <c r="I196" s="104">
        <f t="shared" si="72"/>
        <v>3488838.6602635593</v>
      </c>
      <c r="J196" s="104">
        <f t="shared" si="72"/>
        <v>3987474.8196798223</v>
      </c>
      <c r="K196" s="104">
        <f t="shared" si="72"/>
        <v>594488.69773883442</v>
      </c>
      <c r="L196" s="100"/>
    </row>
    <row r="197" spans="1:12" outlineLevel="1" x14ac:dyDescent="0.15">
      <c r="A197" s="66"/>
      <c r="B197" s="72" t="s">
        <v>294</v>
      </c>
      <c r="C197" s="104">
        <f t="shared" ref="C197:K197" si="73">C177*$D$185</f>
        <v>7610269.4177354826</v>
      </c>
      <c r="D197" s="104">
        <f t="shared" si="73"/>
        <v>761820.5047993809</v>
      </c>
      <c r="E197" s="104">
        <f t="shared" si="73"/>
        <v>0</v>
      </c>
      <c r="F197" s="104">
        <f t="shared" si="73"/>
        <v>0</v>
      </c>
      <c r="G197" s="104">
        <f t="shared" si="73"/>
        <v>0</v>
      </c>
      <c r="H197" s="104">
        <f t="shared" si="73"/>
        <v>0</v>
      </c>
      <c r="I197" s="104">
        <f t="shared" si="73"/>
        <v>0</v>
      </c>
      <c r="J197" s="104">
        <f t="shared" si="73"/>
        <v>0</v>
      </c>
      <c r="K197" s="104">
        <f t="shared" si="73"/>
        <v>16345160.077465136</v>
      </c>
      <c r="L197" s="100"/>
    </row>
    <row r="198" spans="1:12" outlineLevel="1" x14ac:dyDescent="0.15">
      <c r="A198" s="66"/>
      <c r="B198" s="398" t="s">
        <v>88</v>
      </c>
      <c r="C198" s="507">
        <f>SUM(C195:C197)</f>
        <v>423592315.460958</v>
      </c>
      <c r="D198" s="507">
        <f t="shared" ref="D198" si="74">SUM(D195:D197)</f>
        <v>62632128.842708409</v>
      </c>
      <c r="E198" s="507">
        <f t="shared" ref="E198" si="75">SUM(E195:E197)</f>
        <v>14471703.685319329</v>
      </c>
      <c r="F198" s="507">
        <f t="shared" ref="F198" si="76">SUM(F195:F197)</f>
        <v>2435567.7940183273</v>
      </c>
      <c r="G198" s="507">
        <f t="shared" ref="G198" si="77">SUM(G195:G197)</f>
        <v>0</v>
      </c>
      <c r="H198" s="507">
        <f t="shared" ref="H198" si="78">SUM(H195:H197)</f>
        <v>13573927.961848585</v>
      </c>
      <c r="I198" s="507">
        <f t="shared" ref="I198" si="79">SUM(I195:I197)</f>
        <v>3488838.6602635593</v>
      </c>
      <c r="J198" s="507">
        <f t="shared" ref="J198" si="80">SUM(J195:J197)</f>
        <v>3987474.8196798223</v>
      </c>
      <c r="K198" s="507">
        <f t="shared" ref="K198" si="81">SUM(K195:K197)</f>
        <v>16939648.775203969</v>
      </c>
      <c r="L198" s="100"/>
    </row>
    <row r="199" spans="1:12" outlineLevel="1" x14ac:dyDescent="0.15">
      <c r="A199" s="66"/>
      <c r="B199" s="101"/>
      <c r="C199" s="100"/>
      <c r="D199" s="100"/>
      <c r="E199" s="100"/>
      <c r="F199" s="100"/>
      <c r="G199" s="100"/>
      <c r="H199" s="100"/>
      <c r="I199" s="100"/>
      <c r="J199" s="100"/>
      <c r="K199" s="100"/>
      <c r="L199" s="100"/>
    </row>
    <row r="200" spans="1:12" ht="16" outlineLevel="1" x14ac:dyDescent="0.2">
      <c r="A200" s="106" t="s">
        <v>304</v>
      </c>
      <c r="B200" s="66"/>
      <c r="C200" s="66"/>
      <c r="D200" s="66"/>
      <c r="E200" s="66"/>
      <c r="F200" s="66"/>
      <c r="G200" s="66"/>
      <c r="H200" s="66"/>
    </row>
    <row r="201" spans="1:12" outlineLevel="1" x14ac:dyDescent="0.15">
      <c r="A201" s="82"/>
      <c r="B201" s="66"/>
      <c r="C201" s="66"/>
      <c r="D201" s="66"/>
      <c r="E201" s="66"/>
      <c r="F201" s="66"/>
      <c r="G201" s="66"/>
      <c r="H201" s="66"/>
    </row>
    <row r="202" spans="1:12" outlineLevel="1" x14ac:dyDescent="0.15">
      <c r="A202" s="82"/>
      <c r="B202" s="83"/>
      <c r="C202" s="83"/>
      <c r="D202" s="721" t="s">
        <v>305</v>
      </c>
      <c r="E202" s="722"/>
      <c r="F202" s="722"/>
      <c r="G202" s="722"/>
      <c r="H202" s="722"/>
      <c r="I202" s="722"/>
      <c r="J202" s="723"/>
      <c r="K202" s="83"/>
    </row>
    <row r="203" spans="1:12" ht="15" outlineLevel="1" x14ac:dyDescent="0.15">
      <c r="A203" s="82"/>
      <c r="B203" s="83" t="s">
        <v>306</v>
      </c>
      <c r="C203" s="83" t="s">
        <v>307</v>
      </c>
      <c r="D203" s="83" t="s">
        <v>308</v>
      </c>
      <c r="E203" s="83" t="s">
        <v>179</v>
      </c>
      <c r="F203" s="83" t="s">
        <v>180</v>
      </c>
      <c r="G203" s="83" t="s">
        <v>181</v>
      </c>
      <c r="H203" s="83" t="s">
        <v>182</v>
      </c>
      <c r="I203" s="83" t="s">
        <v>183</v>
      </c>
      <c r="J203" s="83" t="s">
        <v>184</v>
      </c>
      <c r="K203" s="83" t="s">
        <v>309</v>
      </c>
    </row>
    <row r="204" spans="1:12" outlineLevel="1" x14ac:dyDescent="0.15">
      <c r="A204" s="82"/>
      <c r="B204" s="72" t="s">
        <v>310</v>
      </c>
      <c r="C204" s="72" t="s">
        <v>311</v>
      </c>
      <c r="D204" s="99">
        <v>14.5</v>
      </c>
      <c r="E204" s="99">
        <v>0</v>
      </c>
      <c r="F204" s="99">
        <v>0</v>
      </c>
      <c r="G204" s="99">
        <v>0</v>
      </c>
      <c r="H204" s="99">
        <v>0</v>
      </c>
      <c r="I204" s="99">
        <v>0</v>
      </c>
      <c r="J204" s="99">
        <v>0</v>
      </c>
      <c r="K204" s="72">
        <v>14</v>
      </c>
    </row>
    <row r="205" spans="1:12" outlineLevel="1" x14ac:dyDescent="0.15">
      <c r="A205" s="82"/>
      <c r="B205" s="72" t="s">
        <v>312</v>
      </c>
      <c r="C205" s="72" t="s">
        <v>313</v>
      </c>
      <c r="D205" s="99">
        <v>19.940000000000001</v>
      </c>
      <c r="E205" s="99">
        <v>18.239999999999998</v>
      </c>
      <c r="F205" s="99">
        <v>6.03</v>
      </c>
      <c r="G205" s="99">
        <v>14.41</v>
      </c>
      <c r="H205" s="99">
        <v>0</v>
      </c>
      <c r="I205" s="99">
        <v>0</v>
      </c>
      <c r="J205" s="99">
        <v>0</v>
      </c>
      <c r="K205" s="72">
        <v>14</v>
      </c>
    </row>
    <row r="206" spans="1:12" outlineLevel="1" x14ac:dyDescent="0.15">
      <c r="A206" s="82"/>
      <c r="B206" s="72" t="s">
        <v>314</v>
      </c>
      <c r="C206" s="72" t="s">
        <v>311</v>
      </c>
      <c r="D206" s="99">
        <v>14.535</v>
      </c>
      <c r="E206" s="99">
        <v>0</v>
      </c>
      <c r="F206" s="99">
        <v>0</v>
      </c>
      <c r="G206" s="99">
        <v>0</v>
      </c>
      <c r="H206" s="99">
        <v>0</v>
      </c>
      <c r="I206" s="99">
        <v>0</v>
      </c>
      <c r="J206" s="99">
        <v>0</v>
      </c>
      <c r="K206" s="72">
        <v>14</v>
      </c>
    </row>
    <row r="207" spans="1:12" outlineLevel="1" x14ac:dyDescent="0.15">
      <c r="A207" s="82"/>
      <c r="B207" s="72" t="s">
        <v>315</v>
      </c>
      <c r="C207" s="72" t="s">
        <v>316</v>
      </c>
      <c r="D207" s="99">
        <v>25.779</v>
      </c>
      <c r="E207" s="99">
        <v>0</v>
      </c>
      <c r="F207" s="99">
        <v>0</v>
      </c>
      <c r="G207" s="99">
        <v>0</v>
      </c>
      <c r="H207" s="99">
        <v>0</v>
      </c>
      <c r="I207" s="99">
        <v>0</v>
      </c>
      <c r="J207" s="99">
        <v>0</v>
      </c>
      <c r="K207" s="72">
        <v>6</v>
      </c>
    </row>
    <row r="208" spans="1:12" outlineLevel="1" x14ac:dyDescent="0.15">
      <c r="A208" s="82"/>
      <c r="B208" s="72" t="s">
        <v>317</v>
      </c>
      <c r="C208" s="72" t="s">
        <v>313</v>
      </c>
      <c r="D208" s="99">
        <v>19.940000000000001</v>
      </c>
      <c r="E208" s="99">
        <v>18.239999999999998</v>
      </c>
      <c r="F208" s="99">
        <v>6.03</v>
      </c>
      <c r="G208" s="99">
        <v>14.41</v>
      </c>
      <c r="H208" s="99">
        <v>0</v>
      </c>
      <c r="I208" s="99">
        <v>0</v>
      </c>
      <c r="J208" s="99">
        <v>0</v>
      </c>
      <c r="K208" s="80">
        <v>14</v>
      </c>
    </row>
    <row r="209" spans="1:11" outlineLevel="1" x14ac:dyDescent="0.15">
      <c r="A209" s="82"/>
      <c r="B209" s="72" t="s">
        <v>318</v>
      </c>
      <c r="C209" s="72" t="s">
        <v>319</v>
      </c>
      <c r="D209" s="99">
        <v>34.433</v>
      </c>
      <c r="E209" s="99">
        <v>0</v>
      </c>
      <c r="F209" s="99">
        <v>0</v>
      </c>
      <c r="G209" s="99">
        <v>0</v>
      </c>
      <c r="H209" s="99">
        <v>0</v>
      </c>
      <c r="I209" s="99">
        <v>0</v>
      </c>
      <c r="J209" s="99">
        <v>12.949</v>
      </c>
      <c r="K209" s="72">
        <v>14</v>
      </c>
    </row>
    <row r="210" spans="1:11" outlineLevel="1" x14ac:dyDescent="0.15">
      <c r="A210" s="82"/>
      <c r="B210" s="72" t="s">
        <v>320</v>
      </c>
      <c r="C210" s="72" t="s">
        <v>321</v>
      </c>
      <c r="D210" s="99">
        <v>23.88</v>
      </c>
      <c r="E210" s="99">
        <v>0</v>
      </c>
      <c r="F210" s="99">
        <v>0</v>
      </c>
      <c r="G210" s="99">
        <v>0</v>
      </c>
      <c r="H210" s="99">
        <v>24.38</v>
      </c>
      <c r="I210" s="99">
        <v>0</v>
      </c>
      <c r="J210" s="99">
        <v>0</v>
      </c>
      <c r="K210" s="72">
        <v>14</v>
      </c>
    </row>
    <row r="211" spans="1:11" outlineLevel="1" x14ac:dyDescent="0.15">
      <c r="A211" s="82"/>
      <c r="B211" s="72" t="s">
        <v>322</v>
      </c>
      <c r="C211" s="72" t="s">
        <v>321</v>
      </c>
      <c r="D211" s="99">
        <v>23.88</v>
      </c>
      <c r="E211" s="99">
        <v>0</v>
      </c>
      <c r="F211" s="99">
        <v>0</v>
      </c>
      <c r="G211" s="99">
        <v>0</v>
      </c>
      <c r="H211" s="99">
        <v>24.38</v>
      </c>
      <c r="I211" s="99">
        <v>0</v>
      </c>
      <c r="J211" s="99">
        <v>0</v>
      </c>
      <c r="K211" s="72">
        <f>(9*7)+(5*5)+8</f>
        <v>96</v>
      </c>
    </row>
    <row r="212" spans="1:11" outlineLevel="1" x14ac:dyDescent="0.15">
      <c r="A212" s="82"/>
      <c r="B212" s="72" t="s">
        <v>323</v>
      </c>
      <c r="C212" s="72" t="s">
        <v>316</v>
      </c>
      <c r="D212" s="99">
        <v>22.943999999999999</v>
      </c>
      <c r="E212" s="99">
        <v>0</v>
      </c>
      <c r="F212" s="99">
        <v>0</v>
      </c>
      <c r="G212" s="99">
        <v>0</v>
      </c>
      <c r="H212" s="99">
        <v>0</v>
      </c>
      <c r="I212" s="99">
        <v>0</v>
      </c>
      <c r="J212" s="99">
        <v>0</v>
      </c>
      <c r="K212" s="72">
        <f>4*2</f>
        <v>8</v>
      </c>
    </row>
    <row r="213" spans="1:11" outlineLevel="1" x14ac:dyDescent="0.15">
      <c r="A213" s="82"/>
      <c r="B213" s="72" t="s">
        <v>324</v>
      </c>
      <c r="C213" s="72" t="s">
        <v>319</v>
      </c>
      <c r="D213" s="99">
        <v>29.771999999999998</v>
      </c>
      <c r="E213" s="99">
        <v>0</v>
      </c>
      <c r="F213" s="99">
        <v>0</v>
      </c>
      <c r="G213" s="99">
        <v>0</v>
      </c>
      <c r="H213" s="99">
        <v>0</v>
      </c>
      <c r="I213" s="99">
        <v>0</v>
      </c>
      <c r="J213" s="99">
        <v>12.743</v>
      </c>
      <c r="K213" s="72">
        <v>14</v>
      </c>
    </row>
    <row r="214" spans="1:11" outlineLevel="1" x14ac:dyDescent="0.15">
      <c r="A214" s="82"/>
      <c r="B214" s="72" t="s">
        <v>325</v>
      </c>
      <c r="C214" s="72" t="s">
        <v>313</v>
      </c>
      <c r="D214" s="99">
        <v>19.940000000000001</v>
      </c>
      <c r="E214" s="99">
        <v>18.239999999999998</v>
      </c>
      <c r="F214" s="99">
        <v>6.03</v>
      </c>
      <c r="G214" s="99">
        <v>14.41</v>
      </c>
      <c r="H214" s="99">
        <v>0</v>
      </c>
      <c r="I214" s="99">
        <v>0</v>
      </c>
      <c r="J214" s="99">
        <v>0</v>
      </c>
      <c r="K214" s="72">
        <v>14</v>
      </c>
    </row>
    <row r="215" spans="1:11" outlineLevel="1" x14ac:dyDescent="0.15">
      <c r="A215" s="82"/>
      <c r="B215" s="72" t="s">
        <v>326</v>
      </c>
      <c r="C215" s="72" t="s">
        <v>311</v>
      </c>
      <c r="D215" s="99">
        <v>14.535</v>
      </c>
      <c r="E215" s="99">
        <v>0</v>
      </c>
      <c r="F215" s="99">
        <v>0</v>
      </c>
      <c r="G215" s="99">
        <v>0</v>
      </c>
      <c r="H215" s="99">
        <v>0</v>
      </c>
      <c r="I215" s="99">
        <v>0</v>
      </c>
      <c r="J215" s="99">
        <v>0</v>
      </c>
      <c r="K215" s="72">
        <v>14</v>
      </c>
    </row>
    <row r="216" spans="1:11" outlineLevel="1" x14ac:dyDescent="0.15">
      <c r="A216" s="82"/>
      <c r="B216" s="72" t="s">
        <v>327</v>
      </c>
      <c r="C216" s="72" t="s">
        <v>328</v>
      </c>
      <c r="D216" s="99">
        <v>26.527999999999999</v>
      </c>
      <c r="E216" s="99">
        <v>0</v>
      </c>
      <c r="F216" s="99">
        <v>0</v>
      </c>
      <c r="G216" s="99">
        <v>0</v>
      </c>
      <c r="H216" s="99">
        <v>0</v>
      </c>
      <c r="I216" s="99">
        <v>0</v>
      </c>
      <c r="J216" s="99">
        <v>33.033000000000001</v>
      </c>
      <c r="K216" s="72">
        <f>8*7</f>
        <v>56</v>
      </c>
    </row>
    <row r="217" spans="1:11" outlineLevel="1" x14ac:dyDescent="0.15">
      <c r="A217" s="82"/>
      <c r="B217" s="72" t="s">
        <v>329</v>
      </c>
      <c r="C217" s="72" t="s">
        <v>311</v>
      </c>
      <c r="D217" s="99">
        <v>14.494</v>
      </c>
      <c r="E217" s="99">
        <v>0</v>
      </c>
      <c r="F217" s="99">
        <v>0</v>
      </c>
      <c r="G217" s="99">
        <v>0</v>
      </c>
      <c r="H217" s="99">
        <v>0</v>
      </c>
      <c r="I217" s="99">
        <v>0</v>
      </c>
      <c r="J217" s="99">
        <v>0</v>
      </c>
      <c r="K217" s="72">
        <v>14</v>
      </c>
    </row>
    <row r="218" spans="1:11" outlineLevel="1" x14ac:dyDescent="0.15">
      <c r="A218" s="82"/>
      <c r="B218" s="72" t="s">
        <v>330</v>
      </c>
      <c r="C218" s="72" t="s">
        <v>319</v>
      </c>
      <c r="D218" s="99">
        <v>34.433</v>
      </c>
      <c r="E218" s="99">
        <v>0</v>
      </c>
      <c r="F218" s="99">
        <v>0</v>
      </c>
      <c r="G218" s="99">
        <v>0</v>
      </c>
      <c r="H218" s="99">
        <v>0</v>
      </c>
      <c r="I218" s="99">
        <v>0</v>
      </c>
      <c r="J218" s="99">
        <v>12.949</v>
      </c>
      <c r="K218" s="72">
        <v>14</v>
      </c>
    </row>
    <row r="219" spans="1:11" outlineLevel="1" x14ac:dyDescent="0.15">
      <c r="A219" s="66"/>
      <c r="B219" s="72" t="s">
        <v>331</v>
      </c>
      <c r="C219" s="72" t="s">
        <v>313</v>
      </c>
      <c r="D219" s="99">
        <v>16.289000000000001</v>
      </c>
      <c r="E219" s="99">
        <v>18.238</v>
      </c>
      <c r="F219" s="99">
        <v>6.0330000000000004</v>
      </c>
      <c r="G219" s="99">
        <v>14.409000000000001</v>
      </c>
      <c r="H219" s="99">
        <v>0</v>
      </c>
      <c r="I219" s="99">
        <v>0</v>
      </c>
      <c r="J219" s="99">
        <v>0</v>
      </c>
      <c r="K219" s="72">
        <v>14</v>
      </c>
    </row>
    <row r="220" spans="1:11" outlineLevel="1" x14ac:dyDescent="0.15">
      <c r="A220" s="66"/>
      <c r="B220" s="72" t="s">
        <v>332</v>
      </c>
      <c r="C220" s="72" t="s">
        <v>328</v>
      </c>
      <c r="D220" s="99">
        <v>26.527999999999999</v>
      </c>
      <c r="E220" s="99">
        <v>0</v>
      </c>
      <c r="F220" s="99">
        <v>0</v>
      </c>
      <c r="G220" s="99">
        <v>0</v>
      </c>
      <c r="H220" s="99">
        <v>0</v>
      </c>
      <c r="I220" s="99">
        <v>0</v>
      </c>
      <c r="J220" s="99">
        <v>33.033000000000001</v>
      </c>
      <c r="K220" s="72">
        <v>14</v>
      </c>
    </row>
    <row r="221" spans="1:11" outlineLevel="1" x14ac:dyDescent="0.15">
      <c r="A221" s="66"/>
      <c r="B221" s="72" t="s">
        <v>333</v>
      </c>
      <c r="C221" s="72" t="s">
        <v>311</v>
      </c>
      <c r="D221" s="99">
        <v>14.494</v>
      </c>
      <c r="E221" s="99">
        <v>0</v>
      </c>
      <c r="F221" s="99">
        <v>0</v>
      </c>
      <c r="G221" s="99">
        <v>0</v>
      </c>
      <c r="H221" s="99">
        <v>0</v>
      </c>
      <c r="I221" s="99">
        <v>0</v>
      </c>
      <c r="J221" s="99">
        <v>0</v>
      </c>
      <c r="K221" s="72">
        <f>6*7</f>
        <v>42</v>
      </c>
    </row>
    <row r="222" spans="1:11" s="138" customFormat="1" outlineLevel="1" x14ac:dyDescent="0.15">
      <c r="B222" s="101" t="s">
        <v>334</v>
      </c>
    </row>
    <row r="223" spans="1:11" s="138" customFormat="1" outlineLevel="1" x14ac:dyDescent="0.15">
      <c r="B223" s="101" t="s">
        <v>359</v>
      </c>
    </row>
    <row r="224" spans="1:11" outlineLevel="1" x14ac:dyDescent="0.15">
      <c r="A224" s="66"/>
      <c r="B224" s="102"/>
      <c r="C224" s="66"/>
      <c r="D224" s="66"/>
      <c r="E224" s="66"/>
      <c r="F224" s="66"/>
      <c r="G224" s="66"/>
      <c r="H224" s="66"/>
    </row>
    <row r="225" spans="1:11" outlineLevel="1" x14ac:dyDescent="0.15">
      <c r="A225" s="66"/>
      <c r="B225" s="103" t="s">
        <v>336</v>
      </c>
      <c r="C225" s="66"/>
      <c r="D225" s="66"/>
      <c r="E225" s="66"/>
      <c r="F225" s="66"/>
      <c r="G225" s="66"/>
      <c r="H225" s="66"/>
    </row>
    <row r="226" spans="1:11" outlineLevel="1" x14ac:dyDescent="0.15">
      <c r="A226" s="66"/>
      <c r="B226" s="102"/>
      <c r="C226" s="83">
        <v>2010</v>
      </c>
      <c r="D226" s="66"/>
      <c r="E226" s="66"/>
      <c r="F226" s="66"/>
      <c r="G226" s="66"/>
      <c r="H226" s="66"/>
    </row>
    <row r="227" spans="1:11" outlineLevel="1" x14ac:dyDescent="0.15">
      <c r="A227" s="66"/>
      <c r="B227" s="72" t="s">
        <v>337</v>
      </c>
      <c r="C227" s="87">
        <f>37.453*1000000</f>
        <v>37453000</v>
      </c>
      <c r="D227" s="66"/>
      <c r="E227" s="66"/>
      <c r="F227" s="66"/>
      <c r="G227" s="66"/>
      <c r="H227" s="66"/>
    </row>
    <row r="228" spans="1:11" outlineLevel="1" x14ac:dyDescent="0.15">
      <c r="A228" s="66"/>
      <c r="B228" s="72" t="s">
        <v>338</v>
      </c>
      <c r="C228" s="87">
        <f>63.474021*1000000</f>
        <v>63474021</v>
      </c>
      <c r="D228" s="66"/>
      <c r="E228" s="66"/>
      <c r="F228" s="66"/>
      <c r="G228" s="66"/>
      <c r="H228" s="66"/>
    </row>
    <row r="229" spans="1:11" outlineLevel="1" x14ac:dyDescent="0.15">
      <c r="A229" s="66"/>
      <c r="B229" s="72" t="s">
        <v>339</v>
      </c>
      <c r="C229" s="87">
        <f>558.661565*1000000</f>
        <v>558661565</v>
      </c>
      <c r="D229" s="66"/>
      <c r="E229" s="66"/>
      <c r="F229" s="66"/>
      <c r="G229" s="66"/>
      <c r="H229" s="66"/>
    </row>
    <row r="230" spans="1:11" outlineLevel="1" x14ac:dyDescent="0.15">
      <c r="A230" s="66"/>
      <c r="B230" s="72" t="s">
        <v>340</v>
      </c>
      <c r="C230" s="87">
        <f>(C228*'Constants &amp; Conversions'!$D$54)+(C229*'Constants &amp; Conversions'!$D$52)</f>
        <v>11216180033.608635</v>
      </c>
      <c r="D230" s="66"/>
      <c r="E230" s="66"/>
      <c r="F230" s="66"/>
      <c r="G230" s="66"/>
      <c r="H230" s="66"/>
    </row>
    <row r="231" spans="1:11" outlineLevel="1" x14ac:dyDescent="0.15">
      <c r="A231" s="66"/>
      <c r="B231" s="72" t="s">
        <v>341</v>
      </c>
      <c r="C231" s="87">
        <f>C230/'Constants &amp; Conversions'!$D$54</f>
        <v>77342332.511793181</v>
      </c>
      <c r="D231" s="66"/>
      <c r="E231" s="66"/>
      <c r="F231" s="66"/>
      <c r="G231" s="66"/>
      <c r="H231" s="66"/>
    </row>
    <row r="232" spans="1:11" outlineLevel="1" x14ac:dyDescent="0.15">
      <c r="A232" s="66"/>
      <c r="B232" s="72" t="s">
        <v>342</v>
      </c>
      <c r="C232" s="116">
        <f>C231/C227</f>
        <v>2.0650503968118223</v>
      </c>
      <c r="D232" s="66"/>
      <c r="E232" s="66"/>
      <c r="F232" s="66"/>
      <c r="G232" s="66"/>
      <c r="H232" s="66"/>
    </row>
    <row r="233" spans="1:11" s="138" customFormat="1" outlineLevel="1" x14ac:dyDescent="0.15">
      <c r="B233" s="101" t="s">
        <v>343</v>
      </c>
      <c r="C233" s="145"/>
    </row>
    <row r="234" spans="1:11" s="138" customFormat="1" outlineLevel="1" x14ac:dyDescent="0.15">
      <c r="B234" s="146" t="s">
        <v>360</v>
      </c>
      <c r="C234" s="145"/>
    </row>
    <row r="235" spans="1:11" outlineLevel="1" x14ac:dyDescent="0.15">
      <c r="A235" s="66"/>
      <c r="B235" s="66"/>
      <c r="C235" s="88"/>
      <c r="D235" s="105"/>
      <c r="E235" s="66"/>
      <c r="F235" s="66"/>
      <c r="G235" s="66"/>
      <c r="H235" s="66"/>
    </row>
    <row r="236" spans="1:11" outlineLevel="1" x14ac:dyDescent="0.15">
      <c r="A236" s="66"/>
      <c r="B236" s="103" t="s">
        <v>345</v>
      </c>
      <c r="C236" s="66"/>
      <c r="D236" s="66"/>
      <c r="E236" s="66"/>
      <c r="F236" s="66"/>
      <c r="G236" s="66"/>
      <c r="H236" s="66"/>
    </row>
    <row r="237" spans="1:11" ht="15" outlineLevel="1" x14ac:dyDescent="0.15">
      <c r="A237" s="66"/>
      <c r="B237" s="66"/>
      <c r="C237" s="83" t="s">
        <v>177</v>
      </c>
      <c r="D237" s="83" t="s">
        <v>100</v>
      </c>
      <c r="E237" s="83" t="s">
        <v>308</v>
      </c>
      <c r="F237" s="83" t="s">
        <v>179</v>
      </c>
      <c r="G237" s="83" t="s">
        <v>180</v>
      </c>
      <c r="H237" s="83" t="s">
        <v>181</v>
      </c>
      <c r="I237" s="83" t="s">
        <v>182</v>
      </c>
      <c r="J237" s="83" t="s">
        <v>183</v>
      </c>
      <c r="K237" s="83" t="s">
        <v>184</v>
      </c>
    </row>
    <row r="238" spans="1:11" outlineLevel="1" x14ac:dyDescent="0.15">
      <c r="A238" s="66"/>
      <c r="B238" s="72" t="s">
        <v>337</v>
      </c>
      <c r="C238" s="104">
        <v>200710</v>
      </c>
      <c r="D238" s="104">
        <f>E238-C238</f>
        <v>251174.576</v>
      </c>
      <c r="E238" s="104">
        <f t="shared" ref="E238:K238" si="82">SUMPRODUCT(D204:D221,$K$204:$K$221)*52</f>
        <v>451884.576</v>
      </c>
      <c r="F238" s="104">
        <f t="shared" si="82"/>
        <v>53113.423999999999</v>
      </c>
      <c r="G238" s="104">
        <f t="shared" si="82"/>
        <v>17561.543999999998</v>
      </c>
      <c r="H238" s="104">
        <f t="shared" si="82"/>
        <v>41961.192000000003</v>
      </c>
      <c r="I238" s="104">
        <f t="shared" si="82"/>
        <v>139453.6</v>
      </c>
      <c r="J238" s="104">
        <f t="shared" si="82"/>
        <v>0</v>
      </c>
      <c r="K238" s="104">
        <f t="shared" si="82"/>
        <v>148370.76800000001</v>
      </c>
    </row>
    <row r="239" spans="1:11" outlineLevel="1" x14ac:dyDescent="0.15">
      <c r="A239" s="66"/>
      <c r="B239" s="72" t="s">
        <v>346</v>
      </c>
      <c r="C239" s="117">
        <f t="shared" ref="C239:K239" si="83">C238*$C$232</f>
        <v>414476.26514410088</v>
      </c>
      <c r="D239" s="117">
        <f t="shared" si="83"/>
        <v>518688.15783784125</v>
      </c>
      <c r="E239" s="117">
        <f t="shared" si="83"/>
        <v>933164.42298194207</v>
      </c>
      <c r="F239" s="117">
        <f t="shared" si="83"/>
        <v>109681.89730723457</v>
      </c>
      <c r="G239" s="117">
        <f t="shared" si="83"/>
        <v>36265.47340582827</v>
      </c>
      <c r="H239" s="117">
        <f t="shared" si="83"/>
        <v>86651.976190297064</v>
      </c>
      <c r="I239" s="117">
        <f t="shared" si="83"/>
        <v>287978.71201683715</v>
      </c>
      <c r="J239" s="117">
        <f t="shared" si="83"/>
        <v>0</v>
      </c>
      <c r="K239" s="117">
        <f t="shared" si="83"/>
        <v>306393.11333367485</v>
      </c>
    </row>
    <row r="240" spans="1:11" outlineLevel="1" x14ac:dyDescent="0.15">
      <c r="A240" s="66"/>
      <c r="B240" s="101" t="s">
        <v>353</v>
      </c>
      <c r="C240" s="66"/>
      <c r="D240" s="66"/>
      <c r="E240" s="66"/>
      <c r="F240" s="66"/>
      <c r="G240" s="66"/>
      <c r="H240" s="66"/>
    </row>
    <row r="241" spans="3:5" s="66" customFormat="1" outlineLevel="1" x14ac:dyDescent="0.15"/>
    <row r="242" spans="3:5" s="66" customFormat="1" x14ac:dyDescent="0.15">
      <c r="C242" s="69"/>
      <c r="E242" s="111"/>
    </row>
  </sheetData>
  <mergeCells count="7">
    <mergeCell ref="B4:B5"/>
    <mergeCell ref="C4:E4"/>
    <mergeCell ref="I4:K4"/>
    <mergeCell ref="F4:H4"/>
    <mergeCell ref="D202:J202"/>
    <mergeCell ref="D129:J129"/>
    <mergeCell ref="D50:J50"/>
  </mergeCells>
  <hyperlinks>
    <hyperlink ref="B161" r:id="rId1" xr:uid="{4AAA8174-B7ED-4DFF-B247-E3EF0F6FA5EA}"/>
    <hyperlink ref="B82" r:id="rId2" xr:uid="{7B6C1BAB-477D-4BFD-B3AB-C05296F54127}"/>
    <hyperlink ref="B234" r:id="rId3" xr:uid="{0F3A9C1C-E1DF-435B-97BA-A5AA8E277824}"/>
  </hyperlinks>
  <pageMargins left="0.7" right="0.7" top="0.75" bottom="0.75" header="0.3" footer="0.3"/>
  <pageSetup orientation="portrait" r:id="rId4"/>
  <drawing r:id="rId5"/>
  <legacy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105E-5B9C-4168-A284-85542BDCDDA0}">
  <sheetPr codeName="Sheet22">
    <tabColor theme="8" tint="0.59999389629810485"/>
    <outlinePr summaryBelow="0"/>
  </sheetPr>
  <dimension ref="A1:R224"/>
  <sheetViews>
    <sheetView zoomScale="80" zoomScaleNormal="80" workbookViewId="0">
      <selection activeCell="D51" sqref="D51"/>
    </sheetView>
  </sheetViews>
  <sheetFormatPr baseColWidth="10" defaultColWidth="9" defaultRowHeight="14" x14ac:dyDescent="0.15"/>
  <cols>
    <col min="1" max="1" width="4.6640625" customWidth="1"/>
    <col min="2" max="2" width="14" customWidth="1"/>
    <col min="3" max="3" width="13.6640625" style="64" customWidth="1"/>
    <col min="4" max="4" width="14.6640625" customWidth="1"/>
    <col min="5" max="5" width="16" customWidth="1"/>
    <col min="6" max="8" width="15.6640625" customWidth="1"/>
    <col min="9" max="10" width="15.6640625" style="66" customWidth="1"/>
    <col min="11" max="12" width="14.1640625" style="66" customWidth="1"/>
    <col min="13" max="18" width="10.1640625" style="66" customWidth="1"/>
    <col min="19" max="16384" width="9" style="66"/>
  </cols>
  <sheetData>
    <row r="1" spans="1:18" ht="18" x14ac:dyDescent="0.2">
      <c r="A1" s="76" t="s">
        <v>361</v>
      </c>
      <c r="B1" s="77"/>
      <c r="C1" s="78"/>
      <c r="D1" s="77"/>
      <c r="E1" s="77"/>
      <c r="F1" s="77"/>
      <c r="G1" s="77"/>
      <c r="H1" s="77"/>
      <c r="I1" s="77"/>
      <c r="J1" s="77"/>
      <c r="K1" s="77"/>
      <c r="L1" s="77"/>
      <c r="M1" s="77"/>
      <c r="N1" s="77"/>
      <c r="O1" s="77"/>
      <c r="P1" s="77"/>
      <c r="Q1" s="77"/>
      <c r="R1" s="77"/>
    </row>
    <row r="2" spans="1:18" x14ac:dyDescent="0.15">
      <c r="A2" s="66"/>
      <c r="B2" s="66"/>
      <c r="C2" s="66"/>
      <c r="D2" s="66"/>
      <c r="E2" s="66"/>
      <c r="F2" s="66"/>
      <c r="G2" s="66"/>
      <c r="H2" s="66"/>
    </row>
    <row r="3" spans="1:18" s="108" customFormat="1" ht="16" x14ac:dyDescent="0.2">
      <c r="A3" s="89"/>
      <c r="B3" s="434">
        <v>2019</v>
      </c>
      <c r="C3" s="91"/>
      <c r="D3" s="90"/>
      <c r="E3" s="90"/>
      <c r="F3" s="90"/>
      <c r="G3" s="90"/>
      <c r="H3" s="90"/>
      <c r="I3" s="90"/>
      <c r="J3" s="90"/>
      <c r="K3" s="90"/>
      <c r="L3" s="90"/>
      <c r="M3" s="90"/>
      <c r="N3" s="90"/>
      <c r="O3" s="90"/>
      <c r="P3" s="90"/>
      <c r="Q3" s="90"/>
      <c r="R3" s="90"/>
    </row>
    <row r="4" spans="1:18" x14ac:dyDescent="0.15">
      <c r="A4" s="66"/>
      <c r="B4" s="66"/>
      <c r="C4" s="66"/>
      <c r="D4" s="66"/>
      <c r="E4" s="66"/>
      <c r="F4" s="66"/>
      <c r="G4" s="66"/>
      <c r="H4" s="66"/>
    </row>
    <row r="5" spans="1:18" ht="15" x14ac:dyDescent="0.15">
      <c r="A5" s="66"/>
      <c r="B5" s="209" t="s">
        <v>362</v>
      </c>
      <c r="C5" s="209" t="s">
        <v>77</v>
      </c>
      <c r="D5" s="209" t="s">
        <v>363</v>
      </c>
      <c r="E5" s="209" t="s">
        <v>364</v>
      </c>
      <c r="F5" s="66"/>
      <c r="G5" s="205"/>
      <c r="H5" s="66"/>
      <c r="K5" s="205"/>
      <c r="L5" s="205"/>
      <c r="M5" s="205"/>
      <c r="N5" s="205"/>
      <c r="O5" s="205"/>
      <c r="P5" s="205"/>
      <c r="Q5" s="205"/>
      <c r="R5" s="205"/>
    </row>
    <row r="6" spans="1:18" ht="15.5" customHeight="1" x14ac:dyDescent="0.15">
      <c r="A6" s="66"/>
      <c r="B6" s="221" t="s">
        <v>365</v>
      </c>
      <c r="C6" s="221" t="s">
        <v>366</v>
      </c>
      <c r="D6" s="221">
        <f>SUMIF('Freight Data_2019'!$G:$G,B6,'Freight Data_2019'!$AD:$AD)/10^6</f>
        <v>8080.2665571664402</v>
      </c>
      <c r="E6" s="221">
        <f>D6*10^6/$C$18</f>
        <v>9348747.7010035161</v>
      </c>
      <c r="F6" s="177"/>
      <c r="G6" s="205"/>
      <c r="H6" s="66"/>
    </row>
    <row r="7" spans="1:18" x14ac:dyDescent="0.15">
      <c r="A7" s="66"/>
      <c r="B7" s="221" t="s">
        <v>367</v>
      </c>
      <c r="C7" s="221" t="s">
        <v>368</v>
      </c>
      <c r="D7" s="221">
        <f>SUMIF('Freight Data_2019'!$G:$G,B7,'Freight Data_2019'!$AD:$AD)/10^6</f>
        <v>2412.1831154447655</v>
      </c>
      <c r="E7" s="221">
        <f>D7*10^6/$C$18</f>
        <v>2790859.8305972</v>
      </c>
      <c r="F7" s="111"/>
      <c r="G7" s="205"/>
      <c r="H7" s="66"/>
    </row>
    <row r="8" spans="1:18" x14ac:dyDescent="0.15">
      <c r="A8" s="66"/>
      <c r="B8" s="221" t="s">
        <v>369</v>
      </c>
      <c r="C8" s="221" t="s">
        <v>370</v>
      </c>
      <c r="D8" s="221">
        <f>SUMIF('Freight Data_2019'!$G:$G,B8,'Freight Data_2019'!$AD:$AD)/10^6</f>
        <v>1905.0427641159813</v>
      </c>
      <c r="E8" s="221">
        <f t="shared" ref="E8:E12" si="0">D8*10^6/$C$18</f>
        <v>2204106.0199365662</v>
      </c>
      <c r="F8" s="111"/>
      <c r="G8" s="205"/>
      <c r="H8" s="66"/>
    </row>
    <row r="9" spans="1:18" x14ac:dyDescent="0.15">
      <c r="A9" s="66"/>
      <c r="B9" s="221" t="s">
        <v>371</v>
      </c>
      <c r="C9" s="221" t="s">
        <v>372</v>
      </c>
      <c r="D9" s="221">
        <f>SUMIF('Freight Data_2019'!$G:$G,B9,'Freight Data_2019'!$AD:$AD)/10^6</f>
        <v>416.33174110678999</v>
      </c>
      <c r="E9" s="221">
        <f t="shared" si="0"/>
        <v>481689.60516220774</v>
      </c>
      <c r="F9" s="111"/>
      <c r="G9" s="205"/>
      <c r="H9" s="66"/>
    </row>
    <row r="10" spans="1:18" x14ac:dyDescent="0.15">
      <c r="A10" s="66"/>
      <c r="B10" s="221" t="s">
        <v>373</v>
      </c>
      <c r="C10" s="221" t="s">
        <v>374</v>
      </c>
      <c r="D10" s="221">
        <f>SUMIF('Freight Data_2019'!$G:$G,B10,'Freight Data_2019'!$AD:$AD)/10^6</f>
        <v>2058.3822126815521</v>
      </c>
      <c r="E10" s="221">
        <f t="shared" si="0"/>
        <v>2381517.471292601</v>
      </c>
      <c r="F10" s="111"/>
      <c r="G10" s="205"/>
      <c r="H10" s="66"/>
    </row>
    <row r="11" spans="1:18" x14ac:dyDescent="0.15">
      <c r="A11" s="66"/>
      <c r="B11" s="221" t="s">
        <v>375</v>
      </c>
      <c r="C11" s="221" t="s">
        <v>376</v>
      </c>
      <c r="D11" s="221">
        <f>SUMIF('Freight Data_2019'!$G:$G,B11,'Freight Data_2019'!$AD:$AD)/10^6</f>
        <v>66.865792208690991</v>
      </c>
      <c r="E11" s="221">
        <f t="shared" si="0"/>
        <v>77362.722722601698</v>
      </c>
      <c r="F11" s="66"/>
      <c r="G11" s="205"/>
      <c r="H11" s="205"/>
      <c r="I11" s="205"/>
      <c r="J11" s="205"/>
      <c r="K11" s="205"/>
      <c r="L11" s="205"/>
      <c r="M11" s="205"/>
      <c r="N11" s="205"/>
      <c r="O11" s="205"/>
      <c r="P11" s="205"/>
      <c r="Q11" s="205"/>
      <c r="R11" s="205"/>
    </row>
    <row r="12" spans="1:18" x14ac:dyDescent="0.15">
      <c r="A12" s="66"/>
      <c r="B12" s="484" t="s">
        <v>377</v>
      </c>
      <c r="C12" s="632" t="s">
        <v>378</v>
      </c>
      <c r="D12" s="484">
        <f>SUMIF('Freight Data_2019'!$G:$G,B12,'Freight Data_2019'!$AD:$AD)/10^6</f>
        <v>2380.9150807319579</v>
      </c>
      <c r="E12" s="633">
        <f t="shared" si="0"/>
        <v>2754683.1815265077</v>
      </c>
      <c r="F12" s="111"/>
      <c r="G12" s="205"/>
      <c r="H12" s="205"/>
      <c r="I12" s="205"/>
      <c r="J12" s="205"/>
      <c r="K12" s="205"/>
      <c r="L12" s="205"/>
      <c r="M12" s="205"/>
      <c r="N12" s="205"/>
      <c r="O12" s="205"/>
      <c r="P12" s="205"/>
      <c r="Q12" s="205"/>
      <c r="R12" s="205"/>
    </row>
    <row r="13" spans="1:18" x14ac:dyDescent="0.15">
      <c r="A13" s="66"/>
      <c r="B13" s="483"/>
      <c r="C13" s="638" t="s">
        <v>130</v>
      </c>
      <c r="D13" s="481">
        <f>SUM(D6:D12)</f>
        <v>17319.987263456176</v>
      </c>
      <c r="E13" s="481">
        <f>SUM(E6:E12)</f>
        <v>20038966.532241199</v>
      </c>
      <c r="F13" s="111"/>
      <c r="G13" s="205"/>
      <c r="H13" s="205"/>
      <c r="I13" s="205"/>
      <c r="J13" s="205"/>
      <c r="K13" s="205"/>
      <c r="L13" s="205"/>
      <c r="M13" s="205"/>
      <c r="N13" s="205"/>
      <c r="O13" s="205"/>
      <c r="P13" s="205"/>
      <c r="Q13" s="205"/>
      <c r="R13" s="205"/>
    </row>
    <row r="14" spans="1:18" x14ac:dyDescent="0.15">
      <c r="A14" s="66"/>
      <c r="B14" s="101"/>
      <c r="C14" s="66"/>
      <c r="D14" s="172">
        <f>D13-'Freight Data_2019'!AD1672/1000000</f>
        <v>0</v>
      </c>
      <c r="E14" s="66"/>
      <c r="F14" s="66"/>
      <c r="G14" s="205"/>
      <c r="H14" s="205"/>
      <c r="I14" s="205"/>
      <c r="J14" s="205"/>
      <c r="K14" s="205"/>
      <c r="L14" s="205"/>
      <c r="M14" s="205"/>
      <c r="N14" s="205"/>
      <c r="O14" s="205"/>
      <c r="P14" s="205"/>
      <c r="Q14" s="205"/>
      <c r="R14" s="205"/>
    </row>
    <row r="15" spans="1:18" ht="30" x14ac:dyDescent="0.15">
      <c r="A15" s="66"/>
      <c r="B15" s="209"/>
      <c r="C15" s="209" t="s">
        <v>379</v>
      </c>
      <c r="D15" s="209" t="s">
        <v>380</v>
      </c>
      <c r="E15" s="205"/>
      <c r="F15" s="205"/>
      <c r="G15" s="205"/>
      <c r="H15" s="205"/>
      <c r="I15" s="205"/>
      <c r="J15" s="205"/>
      <c r="K15" s="205"/>
      <c r="L15" s="205"/>
      <c r="M15" s="205"/>
      <c r="N15" s="205"/>
      <c r="O15" s="205"/>
      <c r="P15" s="205"/>
      <c r="Q15" s="205"/>
      <c r="R15" s="205"/>
    </row>
    <row r="16" spans="1:18" x14ac:dyDescent="0.15">
      <c r="A16" s="66"/>
      <c r="B16" s="210" t="s">
        <v>381</v>
      </c>
      <c r="C16" s="222">
        <v>849</v>
      </c>
      <c r="D16" s="221">
        <v>665033</v>
      </c>
      <c r="E16" s="214"/>
      <c r="F16" s="214"/>
      <c r="G16" s="214"/>
      <c r="H16" s="214"/>
      <c r="I16" s="205"/>
      <c r="J16" s="205"/>
      <c r="K16" s="205"/>
      <c r="L16" s="205"/>
      <c r="M16" s="205"/>
      <c r="N16" s="205"/>
      <c r="O16" s="205"/>
      <c r="P16" s="205"/>
      <c r="Q16" s="205"/>
      <c r="R16" s="205"/>
    </row>
    <row r="17" spans="1:18" x14ac:dyDescent="0.15">
      <c r="A17" s="66"/>
      <c r="B17" s="235" t="s">
        <v>382</v>
      </c>
      <c r="C17" s="222">
        <f>846616/953</f>
        <v>888.36935991605458</v>
      </c>
      <c r="D17" s="221">
        <v>423433</v>
      </c>
      <c r="E17" s="214"/>
      <c r="F17" s="214"/>
      <c r="G17" s="214"/>
      <c r="H17" s="214"/>
      <c r="I17" s="205"/>
      <c r="J17" s="205"/>
      <c r="K17" s="205"/>
      <c r="L17" s="205"/>
      <c r="M17" s="205"/>
      <c r="N17" s="205"/>
      <c r="O17" s="205"/>
      <c r="P17" s="205"/>
      <c r="Q17" s="205"/>
      <c r="R17" s="205"/>
    </row>
    <row r="18" spans="1:18" x14ac:dyDescent="0.15">
      <c r="A18" s="66"/>
      <c r="B18" s="210" t="s">
        <v>383</v>
      </c>
      <c r="C18" s="256">
        <f>(C16*(D16/SUM(D16:D17)))+(C17*D17/SUM(D16:D17))</f>
        <v>864.31539448851379</v>
      </c>
      <c r="D18" s="221"/>
      <c r="E18" s="214"/>
      <c r="F18" s="214"/>
      <c r="G18" s="214"/>
      <c r="H18" s="214"/>
      <c r="I18" s="205"/>
      <c r="J18" s="205"/>
      <c r="K18" s="205"/>
      <c r="L18" s="205"/>
      <c r="M18" s="205"/>
      <c r="N18" s="205"/>
      <c r="O18" s="205"/>
      <c r="P18" s="205"/>
      <c r="Q18" s="205"/>
      <c r="R18" s="205"/>
    </row>
    <row r="19" spans="1:18" x14ac:dyDescent="0.15">
      <c r="A19" s="66"/>
      <c r="B19" s="101" t="s">
        <v>267</v>
      </c>
      <c r="C19" s="236"/>
      <c r="D19" s="205"/>
      <c r="E19" s="214"/>
      <c r="F19" s="214"/>
      <c r="G19" s="214"/>
      <c r="H19" s="214"/>
      <c r="I19" s="205"/>
      <c r="J19" s="205"/>
      <c r="K19" s="205"/>
      <c r="L19" s="205"/>
      <c r="M19" s="205"/>
      <c r="N19" s="205"/>
      <c r="O19" s="205"/>
      <c r="P19" s="205"/>
      <c r="Q19" s="205"/>
      <c r="R19" s="205"/>
    </row>
    <row r="20" spans="1:18" x14ac:dyDescent="0.15">
      <c r="A20" s="66"/>
      <c r="B20" s="101" t="s">
        <v>384</v>
      </c>
      <c r="C20" s="236"/>
      <c r="D20" s="205"/>
      <c r="E20" s="214"/>
      <c r="F20" s="214"/>
      <c r="G20" s="214"/>
      <c r="H20" s="214"/>
      <c r="I20" s="205"/>
      <c r="J20" s="205"/>
      <c r="K20" s="205"/>
      <c r="L20" s="205"/>
      <c r="M20" s="205"/>
      <c r="N20" s="205"/>
      <c r="O20" s="205"/>
      <c r="P20" s="205"/>
      <c r="Q20" s="205"/>
      <c r="R20" s="205"/>
    </row>
    <row r="21" spans="1:18" x14ac:dyDescent="0.15">
      <c r="A21" s="66"/>
      <c r="B21" s="101" t="s">
        <v>385</v>
      </c>
      <c r="C21" s="236"/>
      <c r="D21" s="205"/>
      <c r="E21" s="214"/>
      <c r="F21" s="214"/>
      <c r="G21" s="214"/>
      <c r="H21" s="214"/>
      <c r="I21" s="205"/>
      <c r="J21" s="205"/>
      <c r="K21" s="205"/>
      <c r="L21" s="205"/>
      <c r="M21" s="205"/>
      <c r="N21" s="205"/>
      <c r="O21" s="205"/>
      <c r="P21" s="205"/>
      <c r="Q21" s="205"/>
      <c r="R21" s="205"/>
    </row>
    <row r="22" spans="1:18" x14ac:dyDescent="0.15">
      <c r="A22" s="66"/>
      <c r="B22" s="101" t="s">
        <v>386</v>
      </c>
      <c r="C22" s="236"/>
      <c r="D22" s="205"/>
      <c r="E22" s="214"/>
      <c r="F22" s="214"/>
      <c r="G22" s="214"/>
      <c r="H22" s="214"/>
      <c r="I22" s="205"/>
      <c r="J22" s="205"/>
      <c r="K22" s="205"/>
      <c r="L22" s="205"/>
      <c r="M22" s="205"/>
      <c r="N22" s="205"/>
      <c r="O22" s="205"/>
      <c r="P22" s="205"/>
      <c r="Q22" s="205"/>
      <c r="R22" s="205"/>
    </row>
    <row r="23" spans="1:18" x14ac:dyDescent="0.15">
      <c r="A23" s="66"/>
      <c r="B23" s="101"/>
      <c r="C23" s="66"/>
      <c r="D23" s="66"/>
      <c r="E23" s="66"/>
      <c r="F23" s="66"/>
      <c r="G23" s="66"/>
      <c r="H23" s="66"/>
    </row>
    <row r="24" spans="1:18" s="108" customFormat="1" ht="16" x14ac:dyDescent="0.2">
      <c r="A24" s="91"/>
      <c r="B24" s="434">
        <v>2015</v>
      </c>
      <c r="C24" s="91"/>
      <c r="D24" s="90"/>
      <c r="E24" s="90"/>
      <c r="F24" s="90"/>
      <c r="G24" s="90"/>
      <c r="H24" s="90"/>
      <c r="I24" s="90"/>
      <c r="J24" s="90"/>
      <c r="K24" s="90"/>
      <c r="L24" s="90"/>
      <c r="M24" s="90"/>
      <c r="N24" s="90"/>
      <c r="O24" s="90"/>
      <c r="P24" s="90"/>
      <c r="Q24" s="90"/>
      <c r="R24" s="90"/>
    </row>
    <row r="25" spans="1:18" x14ac:dyDescent="0.15">
      <c r="A25" s="66"/>
      <c r="B25" s="66"/>
      <c r="C25" s="66"/>
      <c r="D25" s="66"/>
      <c r="E25" s="66"/>
      <c r="F25" s="66"/>
      <c r="G25" s="66"/>
      <c r="H25" s="66"/>
    </row>
    <row r="26" spans="1:18" ht="15" x14ac:dyDescent="0.15">
      <c r="A26" s="66"/>
      <c r="B26" s="209" t="s">
        <v>362</v>
      </c>
      <c r="C26" s="209" t="s">
        <v>77</v>
      </c>
      <c r="D26" s="209" t="s">
        <v>363</v>
      </c>
      <c r="E26" s="209" t="s">
        <v>364</v>
      </c>
      <c r="F26" s="66"/>
      <c r="G26" s="205"/>
      <c r="H26" s="66"/>
      <c r="K26" s="205"/>
      <c r="L26" s="205"/>
      <c r="M26" s="205"/>
      <c r="N26" s="205"/>
      <c r="O26" s="205"/>
      <c r="P26" s="205"/>
      <c r="Q26" s="205"/>
      <c r="R26" s="205"/>
    </row>
    <row r="27" spans="1:18" ht="15.5" customHeight="1" x14ac:dyDescent="0.15">
      <c r="A27" s="66"/>
      <c r="B27" s="221" t="s">
        <v>365</v>
      </c>
      <c r="C27" s="221" t="s">
        <v>366</v>
      </c>
      <c r="D27" s="221">
        <f>SUMIF('Freight Data_2015'!$G:$G,B27,'Freight Data_2015'!$AD:$AD)/10^6</f>
        <v>8660.7649894659789</v>
      </c>
      <c r="E27" s="221">
        <f>D27*10^6/$C$39</f>
        <v>10096976.102480192</v>
      </c>
      <c r="F27" s="66"/>
      <c r="G27" s="205"/>
      <c r="H27" s="66"/>
    </row>
    <row r="28" spans="1:18" x14ac:dyDescent="0.15">
      <c r="A28" s="66"/>
      <c r="B28" s="221" t="s">
        <v>367</v>
      </c>
      <c r="C28" s="221" t="s">
        <v>368</v>
      </c>
      <c r="D28" s="221">
        <f>SUMIF('Freight Data_2015'!$G:$G,B28,'Freight Data_2015'!$AD:$AD)/10^6</f>
        <v>3240.8532859014681</v>
      </c>
      <c r="E28" s="221">
        <f t="shared" ref="E28:E33" si="1">D28*10^6/$C$39</f>
        <v>3778282.6596948467</v>
      </c>
      <c r="F28" s="66"/>
      <c r="G28" s="205"/>
      <c r="H28" s="66"/>
    </row>
    <row r="29" spans="1:18" x14ac:dyDescent="0.15">
      <c r="A29" s="66"/>
      <c r="B29" s="221" t="s">
        <v>369</v>
      </c>
      <c r="C29" s="221" t="s">
        <v>370</v>
      </c>
      <c r="D29" s="221">
        <f>SUMIF('Freight Data_2015'!$G:$G,B29,'Freight Data_2015'!$AD:$AD)/10^6</f>
        <v>2530.6939212221323</v>
      </c>
      <c r="E29" s="221">
        <f t="shared" si="1"/>
        <v>2950357.8582666647</v>
      </c>
      <c r="F29" s="66"/>
      <c r="G29" s="205"/>
      <c r="H29" s="66"/>
    </row>
    <row r="30" spans="1:18" x14ac:dyDescent="0.15">
      <c r="A30" s="66"/>
      <c r="B30" s="221" t="s">
        <v>371</v>
      </c>
      <c r="C30" s="221" t="s">
        <v>372</v>
      </c>
      <c r="D30" s="221">
        <f>SUMIF('Freight Data_2015'!$G:$G,B30,'Freight Data_2015'!$AD:$AD)/10^6</f>
        <v>740.10326104172805</v>
      </c>
      <c r="E30" s="221">
        <f t="shared" si="1"/>
        <v>862834.28186714463</v>
      </c>
      <c r="F30" s="66"/>
      <c r="G30" s="205"/>
      <c r="H30" s="66"/>
    </row>
    <row r="31" spans="1:18" x14ac:dyDescent="0.15">
      <c r="A31" s="66"/>
      <c r="B31" s="221" t="s">
        <v>373</v>
      </c>
      <c r="C31" s="221" t="s">
        <v>374</v>
      </c>
      <c r="D31" s="221">
        <f>SUMIF('Freight Data_2015'!$G:$G,B31,'Freight Data_2015'!$AD:$AD)/10^6</f>
        <v>2041.8261282385924</v>
      </c>
      <c r="E31" s="221">
        <f t="shared" si="1"/>
        <v>2380421.3192853206</v>
      </c>
      <c r="F31" s="66"/>
      <c r="G31" s="205"/>
      <c r="H31" s="66"/>
    </row>
    <row r="32" spans="1:18" x14ac:dyDescent="0.15">
      <c r="A32" s="66"/>
      <c r="B32" s="221" t="s">
        <v>375</v>
      </c>
      <c r="C32" s="221" t="s">
        <v>376</v>
      </c>
      <c r="D32" s="221">
        <f>SUMIF('Freight Data_2015'!$G:$G,B32,'Freight Data_2015'!$AD:$AD)/10^6</f>
        <v>78.945214506809023</v>
      </c>
      <c r="E32" s="221">
        <f t="shared" si="1"/>
        <v>92036.667113117539</v>
      </c>
      <c r="F32" s="66"/>
      <c r="G32" s="205"/>
      <c r="H32" s="205"/>
      <c r="I32" s="205"/>
      <c r="J32" s="205"/>
      <c r="K32" s="205"/>
      <c r="L32" s="205"/>
      <c r="M32" s="205"/>
      <c r="N32" s="205"/>
      <c r="O32" s="205"/>
      <c r="P32" s="205"/>
      <c r="Q32" s="205"/>
      <c r="R32" s="205"/>
    </row>
    <row r="33" spans="1:18" x14ac:dyDescent="0.15">
      <c r="A33" s="66"/>
      <c r="B33" s="484" t="s">
        <v>377</v>
      </c>
      <c r="C33" s="484" t="s">
        <v>378</v>
      </c>
      <c r="D33" s="484">
        <f>SUMIF('Freight Data_2015'!$G:$G,B33,'Freight Data_2015'!$AD:$AD)/10^6</f>
        <v>1904.6452842860579</v>
      </c>
      <c r="E33" s="484">
        <f t="shared" si="1"/>
        <v>2220491.8321336079</v>
      </c>
      <c r="F33" s="66"/>
      <c r="G33" s="205"/>
      <c r="H33" s="205"/>
      <c r="I33" s="205"/>
      <c r="J33" s="205"/>
      <c r="K33" s="205"/>
      <c r="L33" s="205"/>
      <c r="M33" s="205"/>
      <c r="N33" s="205"/>
      <c r="O33" s="205"/>
      <c r="P33" s="205"/>
      <c r="Q33" s="205"/>
      <c r="R33" s="205"/>
    </row>
    <row r="34" spans="1:18" x14ac:dyDescent="0.15">
      <c r="A34" s="66"/>
      <c r="B34" s="483"/>
      <c r="C34" s="481" t="s">
        <v>130</v>
      </c>
      <c r="D34" s="481">
        <f>SUM(D27:D33)</f>
        <v>19197.832084662768</v>
      </c>
      <c r="E34" s="481">
        <f>SUM(E27:E33)</f>
        <v>22381400.720840901</v>
      </c>
      <c r="F34" s="66"/>
      <c r="G34" s="205"/>
      <c r="H34" s="205"/>
      <c r="I34" s="205"/>
      <c r="J34" s="205"/>
      <c r="K34" s="205"/>
      <c r="L34" s="205"/>
      <c r="M34" s="205"/>
      <c r="N34" s="205"/>
      <c r="O34" s="205"/>
      <c r="P34" s="205"/>
      <c r="Q34" s="205"/>
      <c r="R34" s="205"/>
    </row>
    <row r="35" spans="1:18" x14ac:dyDescent="0.15">
      <c r="A35" s="66"/>
      <c r="B35" s="205"/>
      <c r="C35" s="66"/>
      <c r="D35" s="172">
        <f>D34-'Freight Data_2015'!AD1674/1000000</f>
        <v>0</v>
      </c>
      <c r="E35" s="66"/>
      <c r="F35" s="66"/>
      <c r="G35" s="205"/>
      <c r="H35" s="205"/>
      <c r="I35" s="205"/>
      <c r="J35" s="205"/>
      <c r="K35" s="205"/>
      <c r="L35" s="205"/>
      <c r="M35" s="205"/>
      <c r="N35" s="205"/>
      <c r="O35" s="205"/>
      <c r="P35" s="205"/>
      <c r="Q35" s="205"/>
      <c r="R35" s="205"/>
    </row>
    <row r="36" spans="1:18" ht="30" x14ac:dyDescent="0.15">
      <c r="A36" s="66"/>
      <c r="B36" s="209"/>
      <c r="C36" s="209" t="s">
        <v>379</v>
      </c>
      <c r="D36" s="209" t="s">
        <v>380</v>
      </c>
      <c r="E36" s="205"/>
      <c r="F36" s="205"/>
      <c r="G36" s="205"/>
      <c r="H36" s="205"/>
      <c r="I36" s="205"/>
      <c r="J36" s="205"/>
      <c r="K36" s="205"/>
      <c r="L36" s="205"/>
      <c r="M36" s="205"/>
      <c r="N36" s="205"/>
      <c r="O36" s="205"/>
      <c r="P36" s="205"/>
      <c r="Q36" s="205"/>
      <c r="R36" s="205"/>
    </row>
    <row r="37" spans="1:18" x14ac:dyDescent="0.15">
      <c r="A37" s="66"/>
      <c r="B37" s="210" t="s">
        <v>381</v>
      </c>
      <c r="C37" s="211">
        <v>848</v>
      </c>
      <c r="D37" s="212">
        <f>701762932/1000</f>
        <v>701762.93200000003</v>
      </c>
      <c r="E37" s="214"/>
      <c r="F37" s="214"/>
      <c r="G37" s="214"/>
      <c r="H37" s="214"/>
      <c r="I37" s="205"/>
      <c r="J37" s="205"/>
      <c r="K37" s="205"/>
      <c r="L37" s="205"/>
      <c r="M37" s="205"/>
      <c r="N37" s="205"/>
      <c r="O37" s="205"/>
      <c r="P37" s="205"/>
      <c r="Q37" s="205"/>
      <c r="R37" s="205"/>
    </row>
    <row r="38" spans="1:18" x14ac:dyDescent="0.15">
      <c r="A38" s="66"/>
      <c r="B38" s="210" t="s">
        <v>382</v>
      </c>
      <c r="C38" s="211">
        <f>927677/1064</f>
        <v>871.87687969924809</v>
      </c>
      <c r="D38" s="212">
        <v>485035</v>
      </c>
      <c r="E38" s="214"/>
      <c r="F38" s="214"/>
      <c r="G38" s="214"/>
      <c r="H38" s="214"/>
      <c r="I38" s="205"/>
      <c r="J38" s="205"/>
      <c r="K38" s="205"/>
      <c r="L38" s="205"/>
      <c r="M38" s="205"/>
      <c r="N38" s="205"/>
      <c r="O38" s="205"/>
      <c r="P38" s="205"/>
      <c r="Q38" s="205"/>
      <c r="R38" s="205"/>
    </row>
    <row r="39" spans="1:18" x14ac:dyDescent="0.15">
      <c r="A39" s="66"/>
      <c r="B39" s="210" t="s">
        <v>383</v>
      </c>
      <c r="C39" s="211">
        <f>(C37*(D37/SUM(D37:D38)))+(C38*D38/SUM(D37:D38))</f>
        <v>857.75829333086904</v>
      </c>
      <c r="D39" s="213"/>
      <c r="E39" s="214"/>
      <c r="F39" s="214"/>
      <c r="G39" s="214"/>
      <c r="H39" s="214"/>
      <c r="I39" s="214"/>
      <c r="J39" s="214"/>
      <c r="K39" s="214"/>
      <c r="L39" s="205"/>
      <c r="M39" s="205"/>
      <c r="N39" s="205"/>
      <c r="O39" s="205"/>
      <c r="P39" s="205"/>
      <c r="Q39" s="205"/>
      <c r="R39" s="205"/>
    </row>
    <row r="40" spans="1:18" x14ac:dyDescent="0.15">
      <c r="A40" s="66"/>
      <c r="B40" s="101" t="s">
        <v>267</v>
      </c>
      <c r="C40" s="222"/>
      <c r="D40" s="480"/>
      <c r="E40" s="214"/>
      <c r="F40" s="214"/>
      <c r="G40" s="214"/>
      <c r="H40" s="214"/>
      <c r="I40" s="214"/>
      <c r="J40" s="214"/>
      <c r="K40" s="214"/>
      <c r="L40" s="205"/>
      <c r="M40" s="205"/>
      <c r="N40" s="205"/>
      <c r="O40" s="205"/>
      <c r="P40" s="205"/>
      <c r="Q40" s="205"/>
      <c r="R40" s="205"/>
    </row>
    <row r="41" spans="1:18" x14ac:dyDescent="0.15">
      <c r="A41" s="66"/>
      <c r="B41" s="101" t="s">
        <v>387</v>
      </c>
      <c r="C41" s="222"/>
      <c r="D41" s="480"/>
      <c r="E41" s="214"/>
      <c r="F41" s="214"/>
      <c r="G41" s="214"/>
      <c r="H41" s="214"/>
      <c r="I41" s="214"/>
      <c r="J41" s="214"/>
      <c r="K41" s="214"/>
      <c r="L41" s="205"/>
      <c r="M41" s="205"/>
      <c r="N41" s="205"/>
      <c r="O41" s="205"/>
      <c r="P41" s="205"/>
      <c r="Q41" s="205"/>
      <c r="R41" s="205"/>
    </row>
    <row r="42" spans="1:18" x14ac:dyDescent="0.15">
      <c r="A42" s="66"/>
      <c r="B42" s="101" t="s">
        <v>388</v>
      </c>
      <c r="C42" s="222"/>
      <c r="D42" s="480"/>
      <c r="E42" s="214"/>
      <c r="F42" s="214"/>
      <c r="G42" s="214"/>
      <c r="H42" s="214"/>
      <c r="I42" s="214"/>
      <c r="J42" s="214"/>
      <c r="K42" s="214"/>
      <c r="L42" s="205"/>
      <c r="M42" s="205"/>
      <c r="N42" s="205"/>
      <c r="O42" s="205"/>
      <c r="P42" s="205"/>
      <c r="Q42" s="205"/>
      <c r="R42" s="205"/>
    </row>
    <row r="43" spans="1:18" x14ac:dyDescent="0.15">
      <c r="A43" s="66"/>
      <c r="B43" s="101" t="s">
        <v>389</v>
      </c>
      <c r="C43" s="222"/>
      <c r="D43" s="480"/>
      <c r="E43" s="214"/>
      <c r="F43" s="214"/>
      <c r="G43" s="214"/>
      <c r="H43" s="214"/>
      <c r="I43" s="214"/>
      <c r="J43" s="214"/>
      <c r="K43" s="214"/>
      <c r="L43" s="205"/>
      <c r="M43" s="205"/>
      <c r="N43" s="205"/>
      <c r="O43" s="205"/>
      <c r="P43" s="205"/>
      <c r="Q43" s="205"/>
      <c r="R43" s="205"/>
    </row>
    <row r="44" spans="1:18" x14ac:dyDescent="0.15">
      <c r="A44" s="66"/>
      <c r="B44" s="66"/>
      <c r="C44" s="66"/>
      <c r="D44" s="66"/>
      <c r="E44" s="66"/>
      <c r="F44" s="66"/>
      <c r="G44" s="66"/>
      <c r="H44" s="66"/>
    </row>
    <row r="45" spans="1:18" s="108" customFormat="1" ht="16" x14ac:dyDescent="0.2">
      <c r="A45" s="89"/>
      <c r="B45" s="433">
        <v>2010</v>
      </c>
      <c r="C45" s="91"/>
      <c r="D45" s="90"/>
      <c r="E45" s="90"/>
      <c r="F45" s="90"/>
      <c r="G45" s="90"/>
      <c r="H45" s="90"/>
      <c r="I45" s="90"/>
      <c r="J45" s="90"/>
      <c r="K45" s="90"/>
      <c r="L45" s="90"/>
      <c r="M45" s="90"/>
      <c r="N45" s="90"/>
      <c r="O45" s="90"/>
      <c r="P45" s="90"/>
      <c r="Q45" s="90"/>
      <c r="R45" s="90"/>
    </row>
    <row r="46" spans="1:18" s="108" customFormat="1" ht="16" x14ac:dyDescent="0.2">
      <c r="A46" s="98"/>
      <c r="B46" s="106"/>
      <c r="C46" s="107"/>
      <c r="D46" s="106"/>
      <c r="E46" s="106"/>
      <c r="F46" s="106"/>
      <c r="G46" s="106"/>
      <c r="H46" s="106"/>
      <c r="I46" s="106"/>
      <c r="J46" s="106"/>
      <c r="K46" s="106"/>
      <c r="L46" s="106"/>
      <c r="M46" s="106"/>
      <c r="N46" s="106"/>
      <c r="O46" s="106"/>
      <c r="P46" s="106"/>
      <c r="Q46" s="106"/>
      <c r="R46" s="106"/>
    </row>
    <row r="47" spans="1:18" ht="15" x14ac:dyDescent="0.15">
      <c r="A47" s="66"/>
      <c r="B47" s="75" t="s">
        <v>362</v>
      </c>
      <c r="C47" s="75" t="s">
        <v>77</v>
      </c>
      <c r="D47" s="75" t="s">
        <v>363</v>
      </c>
      <c r="E47" s="75" t="s">
        <v>390</v>
      </c>
      <c r="F47" s="66"/>
      <c r="G47" s="205"/>
      <c r="H47" s="66"/>
      <c r="K47" s="205"/>
      <c r="L47" s="205"/>
      <c r="M47" s="205"/>
      <c r="N47" s="205"/>
      <c r="O47" s="205"/>
      <c r="P47" s="205"/>
      <c r="Q47" s="205"/>
      <c r="R47" s="205"/>
    </row>
    <row r="48" spans="1:18" x14ac:dyDescent="0.15">
      <c r="A48" s="66"/>
      <c r="B48" s="117" t="s">
        <v>365</v>
      </c>
      <c r="C48" s="117" t="s">
        <v>366</v>
      </c>
      <c r="D48" s="117">
        <f>SUMIF('Freight Data_2010'!$G:$G,B48,'Freight Data_2010'!$AD:$AD)/10^6</f>
        <v>7497.9645708261914</v>
      </c>
      <c r="E48" s="179">
        <f>D48*10^6/$C$60</f>
        <v>8768893.2570517194</v>
      </c>
      <c r="F48" s="66"/>
      <c r="G48" s="205"/>
      <c r="H48" s="66"/>
    </row>
    <row r="49" spans="1:18" x14ac:dyDescent="0.15">
      <c r="A49" s="66"/>
      <c r="B49" s="117" t="s">
        <v>367</v>
      </c>
      <c r="C49" s="117" t="s">
        <v>368</v>
      </c>
      <c r="D49" s="117">
        <f>SUMIF('Freight Data_2010'!$G:$G,B49,'Freight Data_2010'!$AD:$AD)/10^6</f>
        <v>2724.4266765127768</v>
      </c>
      <c r="E49" s="179">
        <f t="shared" ref="E49:E53" si="2">D49*10^6/$C$60</f>
        <v>3186225.606607832</v>
      </c>
      <c r="F49" s="66"/>
      <c r="G49" s="205"/>
      <c r="H49" s="66"/>
    </row>
    <row r="50" spans="1:18" x14ac:dyDescent="0.15">
      <c r="A50" s="66"/>
      <c r="B50" s="117" t="s">
        <v>369</v>
      </c>
      <c r="C50" s="117" t="s">
        <v>370</v>
      </c>
      <c r="D50" s="117">
        <f>SUMIF('Freight Data_2010'!$G:$G,B50,'Freight Data_2010'!$AD:$AD)/10^6</f>
        <v>2157.3615403395461</v>
      </c>
      <c r="E50" s="179">
        <f t="shared" si="2"/>
        <v>2523041.1380860447</v>
      </c>
      <c r="F50" s="66"/>
      <c r="G50" s="205"/>
      <c r="H50" s="66"/>
    </row>
    <row r="51" spans="1:18" x14ac:dyDescent="0.15">
      <c r="A51" s="66"/>
      <c r="B51" s="117" t="s">
        <v>371</v>
      </c>
      <c r="C51" s="117" t="s">
        <v>372</v>
      </c>
      <c r="D51" s="117">
        <f>SUMIF('Freight Data_2010'!$G:$G,B51,'Freight Data_2010'!$AD:$AD)/10^6</f>
        <v>593.91153636375282</v>
      </c>
      <c r="E51" s="179">
        <f t="shared" si="2"/>
        <v>694581.4183717171</v>
      </c>
      <c r="F51" s="66"/>
      <c r="G51" s="205"/>
      <c r="H51" s="66"/>
    </row>
    <row r="52" spans="1:18" x14ac:dyDescent="0.15">
      <c r="A52" s="66"/>
      <c r="B52" s="117" t="s">
        <v>373</v>
      </c>
      <c r="C52" s="117" t="s">
        <v>374</v>
      </c>
      <c r="D52" s="117">
        <f>SUMIF('Freight Data_2010'!$G:$G,B52,'Freight Data_2010'!$AD:$AD)/10^6</f>
        <v>1610.9833000105093</v>
      </c>
      <c r="E52" s="179">
        <f t="shared" si="2"/>
        <v>1884050.059618846</v>
      </c>
      <c r="F52" s="66"/>
      <c r="G52" s="205"/>
      <c r="H52" s="66"/>
    </row>
    <row r="53" spans="1:18" x14ac:dyDescent="0.15">
      <c r="A53" s="66"/>
      <c r="B53" s="117" t="s">
        <v>375</v>
      </c>
      <c r="C53" s="117" t="s">
        <v>376</v>
      </c>
      <c r="D53" s="117">
        <f>SUMIF('Freight Data_2010'!$G:$G,B53,'Freight Data_2010'!$AD:$AD)/10^6</f>
        <v>58.61050911757998</v>
      </c>
      <c r="E53" s="179">
        <f t="shared" si="2"/>
        <v>68545.175605822311</v>
      </c>
      <c r="F53" s="66"/>
      <c r="G53" s="205"/>
      <c r="H53" s="205"/>
      <c r="I53" s="205"/>
      <c r="J53" s="205"/>
      <c r="K53" s="205"/>
      <c r="L53" s="205"/>
      <c r="M53" s="205"/>
      <c r="N53" s="205"/>
      <c r="O53" s="205"/>
      <c r="P53" s="205"/>
      <c r="Q53" s="205"/>
      <c r="R53" s="205"/>
    </row>
    <row r="54" spans="1:18" x14ac:dyDescent="0.15">
      <c r="A54" s="66"/>
      <c r="B54" s="207" t="s">
        <v>377</v>
      </c>
      <c r="C54" s="207" t="s">
        <v>378</v>
      </c>
      <c r="D54" s="207">
        <f>SUMIF('Freight Data_2010'!$G:$G,B54,'Freight Data_2010'!$AD:$AD)/10^6</f>
        <v>2405.2390696602747</v>
      </c>
      <c r="E54" s="482">
        <f>D54*10^6/$C$60</f>
        <v>2812934.6918502855</v>
      </c>
      <c r="F54" s="66"/>
      <c r="G54" s="205"/>
      <c r="H54" s="205"/>
      <c r="I54" s="205"/>
      <c r="J54" s="205"/>
      <c r="K54" s="205"/>
      <c r="L54" s="205"/>
      <c r="M54" s="205"/>
      <c r="N54" s="205"/>
      <c r="O54" s="205"/>
      <c r="P54" s="205"/>
      <c r="Q54" s="205"/>
      <c r="R54" s="205"/>
    </row>
    <row r="55" spans="1:18" x14ac:dyDescent="0.15">
      <c r="A55" s="66"/>
      <c r="B55" s="206"/>
      <c r="C55" s="206" t="s">
        <v>130</v>
      </c>
      <c r="D55" s="355">
        <f>SUM(D48:D54)</f>
        <v>17048.497202830629</v>
      </c>
      <c r="E55" s="481">
        <f>SUM(E48:E54)</f>
        <v>19938271.347192269</v>
      </c>
      <c r="F55" s="66"/>
      <c r="G55" s="205"/>
      <c r="H55" s="205"/>
      <c r="I55" s="205"/>
      <c r="J55" s="205"/>
      <c r="K55" s="205"/>
      <c r="L55" s="205"/>
      <c r="M55" s="205"/>
      <c r="N55" s="205"/>
      <c r="O55" s="205"/>
      <c r="P55" s="205"/>
      <c r="Q55" s="205"/>
      <c r="R55" s="205"/>
    </row>
    <row r="56" spans="1:18" x14ac:dyDescent="0.15">
      <c r="A56" s="66"/>
      <c r="B56" s="172"/>
      <c r="C56" s="172"/>
      <c r="D56" s="172">
        <f>D55-'Freight Data_2010'!AD1672/1000000</f>
        <v>0</v>
      </c>
      <c r="E56" s="172"/>
      <c r="F56" s="66"/>
      <c r="G56" s="205"/>
      <c r="H56" s="205"/>
      <c r="I56" s="205"/>
      <c r="J56" s="205"/>
      <c r="K56" s="205"/>
      <c r="L56" s="205"/>
      <c r="M56" s="205"/>
      <c r="N56" s="205"/>
      <c r="O56" s="205"/>
      <c r="P56" s="205"/>
      <c r="Q56" s="205"/>
      <c r="R56" s="205"/>
    </row>
    <row r="57" spans="1:18" ht="30" x14ac:dyDescent="0.15">
      <c r="A57" s="66"/>
      <c r="B57" s="209"/>
      <c r="C57" s="209" t="s">
        <v>379</v>
      </c>
      <c r="D57" s="209" t="s">
        <v>380</v>
      </c>
      <c r="E57" s="172"/>
      <c r="F57" s="66"/>
      <c r="G57" s="205"/>
      <c r="H57" s="205"/>
      <c r="I57" s="205"/>
      <c r="J57" s="205"/>
      <c r="K57" s="205"/>
      <c r="L57" s="205"/>
      <c r="M57" s="205"/>
      <c r="N57" s="205"/>
      <c r="O57" s="205"/>
      <c r="P57" s="205"/>
      <c r="Q57" s="205"/>
      <c r="R57" s="205"/>
    </row>
    <row r="58" spans="1:18" x14ac:dyDescent="0.15">
      <c r="A58" s="66"/>
      <c r="B58" s="210" t="s">
        <v>381</v>
      </c>
      <c r="C58" s="211">
        <v>830</v>
      </c>
      <c r="D58" s="212">
        <f>646549059/1000</f>
        <v>646549.05900000001</v>
      </c>
      <c r="E58" s="66"/>
      <c r="F58" s="66"/>
      <c r="G58" s="205"/>
      <c r="H58" s="205"/>
      <c r="I58" s="205"/>
      <c r="J58" s="205"/>
      <c r="K58" s="205"/>
      <c r="L58" s="205"/>
      <c r="M58" s="205"/>
      <c r="N58" s="205"/>
      <c r="O58" s="205"/>
      <c r="P58" s="205"/>
      <c r="Q58" s="205"/>
      <c r="R58" s="205"/>
    </row>
    <row r="59" spans="1:18" x14ac:dyDescent="0.15">
      <c r="A59" s="66"/>
      <c r="B59" s="210" t="s">
        <v>382</v>
      </c>
      <c r="C59" s="211">
        <f>931400/1051</f>
        <v>886.20361560418644</v>
      </c>
      <c r="D59" s="212">
        <v>520400</v>
      </c>
      <c r="E59" s="66"/>
      <c r="F59" s="66"/>
      <c r="G59" s="205"/>
      <c r="H59" s="205"/>
      <c r="I59" s="205"/>
      <c r="J59" s="205"/>
      <c r="K59" s="205"/>
      <c r="L59" s="205"/>
      <c r="M59" s="205"/>
      <c r="N59" s="205"/>
      <c r="O59" s="205"/>
      <c r="P59" s="205"/>
      <c r="Q59" s="205"/>
      <c r="R59" s="205"/>
    </row>
    <row r="60" spans="1:18" x14ac:dyDescent="0.15">
      <c r="A60" s="66"/>
      <c r="B60" s="210" t="s">
        <v>383</v>
      </c>
      <c r="C60" s="211">
        <f>(C58*(D58/SUM(D58:D59)))+(C59*D59/SUM(D58:D59))</f>
        <v>855.06395744942165</v>
      </c>
      <c r="D60" s="213"/>
      <c r="E60" s="66"/>
      <c r="F60" s="66"/>
      <c r="G60" s="205"/>
      <c r="H60" s="205"/>
      <c r="I60" s="205"/>
      <c r="J60" s="205"/>
      <c r="K60" s="205"/>
      <c r="L60" s="205"/>
      <c r="M60" s="205"/>
      <c r="N60" s="205"/>
      <c r="O60" s="205"/>
      <c r="P60" s="205"/>
      <c r="Q60" s="205"/>
      <c r="R60" s="205"/>
    </row>
    <row r="61" spans="1:18" x14ac:dyDescent="0.15">
      <c r="A61" s="66"/>
      <c r="B61" s="101" t="s">
        <v>267</v>
      </c>
      <c r="C61" s="222"/>
      <c r="D61" s="480"/>
      <c r="E61" s="66"/>
      <c r="F61" s="66"/>
      <c r="G61" s="205"/>
      <c r="H61" s="205"/>
      <c r="I61" s="205"/>
      <c r="J61" s="205"/>
      <c r="K61" s="205"/>
      <c r="L61" s="205"/>
      <c r="M61" s="205"/>
      <c r="N61" s="205"/>
      <c r="O61" s="205"/>
      <c r="P61" s="205"/>
      <c r="Q61" s="205"/>
      <c r="R61" s="205"/>
    </row>
    <row r="62" spans="1:18" x14ac:dyDescent="0.15">
      <c r="A62" s="66"/>
      <c r="B62" s="101" t="s">
        <v>387</v>
      </c>
      <c r="C62" s="69"/>
      <c r="D62" s="66"/>
      <c r="E62" s="66"/>
      <c r="F62" s="66"/>
      <c r="G62" s="66"/>
      <c r="H62" s="66"/>
    </row>
    <row r="63" spans="1:18" x14ac:dyDescent="0.15">
      <c r="A63" s="66"/>
      <c r="B63" s="101" t="s">
        <v>391</v>
      </c>
      <c r="C63" s="69"/>
      <c r="D63" s="66"/>
      <c r="E63" s="66"/>
      <c r="F63" s="66"/>
      <c r="G63" s="66"/>
      <c r="H63" s="66"/>
    </row>
    <row r="64" spans="1:18" x14ac:dyDescent="0.15">
      <c r="A64" s="66"/>
      <c r="B64" s="101" t="s">
        <v>392</v>
      </c>
      <c r="C64" s="69"/>
      <c r="D64" s="66"/>
      <c r="E64" s="66"/>
      <c r="F64" s="66"/>
      <c r="G64" s="66"/>
      <c r="H64" s="66"/>
    </row>
    <row r="65" spans="3:3" s="66" customFormat="1" x14ac:dyDescent="0.15">
      <c r="C65" s="69"/>
    </row>
    <row r="66" spans="3:3" s="66" customFormat="1" x14ac:dyDescent="0.15">
      <c r="C66" s="69"/>
    </row>
    <row r="67" spans="3:3" s="66" customFormat="1" x14ac:dyDescent="0.15">
      <c r="C67" s="69"/>
    </row>
    <row r="68" spans="3:3" s="66" customFormat="1" x14ac:dyDescent="0.15">
      <c r="C68" s="69"/>
    </row>
    <row r="69" spans="3:3" s="66" customFormat="1" x14ac:dyDescent="0.15">
      <c r="C69" s="69"/>
    </row>
    <row r="70" spans="3:3" s="66" customFormat="1" x14ac:dyDescent="0.15">
      <c r="C70" s="69"/>
    </row>
    <row r="71" spans="3:3" s="66" customFormat="1" x14ac:dyDescent="0.15">
      <c r="C71" s="69"/>
    </row>
    <row r="72" spans="3:3" s="66" customFormat="1" x14ac:dyDescent="0.15">
      <c r="C72" s="69"/>
    </row>
    <row r="73" spans="3:3" s="66" customFormat="1" x14ac:dyDescent="0.15">
      <c r="C73" s="69"/>
    </row>
    <row r="74" spans="3:3" s="66" customFormat="1" x14ac:dyDescent="0.15">
      <c r="C74" s="69"/>
    </row>
    <row r="75" spans="3:3" s="66" customFormat="1" x14ac:dyDescent="0.15">
      <c r="C75" s="69"/>
    </row>
    <row r="76" spans="3:3" s="66" customFormat="1" x14ac:dyDescent="0.15">
      <c r="C76" s="69"/>
    </row>
    <row r="77" spans="3:3" s="66" customFormat="1" x14ac:dyDescent="0.15">
      <c r="C77" s="69"/>
    </row>
    <row r="78" spans="3:3" s="66" customFormat="1" x14ac:dyDescent="0.15">
      <c r="C78" s="69"/>
    </row>
    <row r="79" spans="3:3" s="66" customFormat="1" x14ac:dyDescent="0.15">
      <c r="C79" s="69"/>
    </row>
    <row r="80" spans="3:3" s="66" customFormat="1" x14ac:dyDescent="0.15">
      <c r="C80" s="69"/>
    </row>
    <row r="81" spans="3:3" s="66" customFormat="1" x14ac:dyDescent="0.15">
      <c r="C81" s="69"/>
    </row>
    <row r="82" spans="3:3" s="66" customFormat="1" x14ac:dyDescent="0.15">
      <c r="C82" s="69"/>
    </row>
    <row r="83" spans="3:3" s="66" customFormat="1" x14ac:dyDescent="0.15">
      <c r="C83" s="69"/>
    </row>
    <row r="84" spans="3:3" s="66" customFormat="1" x14ac:dyDescent="0.15">
      <c r="C84" s="69"/>
    </row>
    <row r="85" spans="3:3" s="66" customFormat="1" x14ac:dyDescent="0.15">
      <c r="C85" s="69"/>
    </row>
    <row r="86" spans="3:3" s="66" customFormat="1" x14ac:dyDescent="0.15">
      <c r="C86" s="69"/>
    </row>
    <row r="87" spans="3:3" s="66" customFormat="1" x14ac:dyDescent="0.15">
      <c r="C87" s="69"/>
    </row>
    <row r="88" spans="3:3" s="66" customFormat="1" x14ac:dyDescent="0.15">
      <c r="C88" s="69"/>
    </row>
    <row r="89" spans="3:3" s="66" customFormat="1" x14ac:dyDescent="0.15">
      <c r="C89" s="69"/>
    </row>
    <row r="90" spans="3:3" s="66" customFormat="1" x14ac:dyDescent="0.15">
      <c r="C90" s="69"/>
    </row>
    <row r="91" spans="3:3" s="66" customFormat="1" x14ac:dyDescent="0.15">
      <c r="C91" s="69"/>
    </row>
    <row r="92" spans="3:3" s="66" customFormat="1" x14ac:dyDescent="0.15">
      <c r="C92" s="69"/>
    </row>
    <row r="93" spans="3:3" s="66" customFormat="1" x14ac:dyDescent="0.15">
      <c r="C93" s="69"/>
    </row>
    <row r="94" spans="3:3" s="66" customFormat="1" x14ac:dyDescent="0.15">
      <c r="C94" s="69"/>
    </row>
    <row r="95" spans="3:3" s="66" customFormat="1" x14ac:dyDescent="0.15">
      <c r="C95" s="69"/>
    </row>
    <row r="96" spans="3:3" s="66" customFormat="1" x14ac:dyDescent="0.15">
      <c r="C96" s="69"/>
    </row>
    <row r="97" spans="3:3" s="66" customFormat="1" x14ac:dyDescent="0.15">
      <c r="C97" s="69"/>
    </row>
    <row r="98" spans="3:3" s="66" customFormat="1" x14ac:dyDescent="0.15">
      <c r="C98" s="69"/>
    </row>
    <row r="99" spans="3:3" s="66" customFormat="1" x14ac:dyDescent="0.15">
      <c r="C99" s="69"/>
    </row>
    <row r="100" spans="3:3" s="66" customFormat="1" x14ac:dyDescent="0.15">
      <c r="C100" s="69"/>
    </row>
    <row r="101" spans="3:3" s="66" customFormat="1" x14ac:dyDescent="0.15">
      <c r="C101" s="69"/>
    </row>
    <row r="102" spans="3:3" s="66" customFormat="1" x14ac:dyDescent="0.15">
      <c r="C102" s="69"/>
    </row>
    <row r="103" spans="3:3" s="66" customFormat="1" x14ac:dyDescent="0.15">
      <c r="C103" s="69"/>
    </row>
    <row r="104" spans="3:3" s="66" customFormat="1" x14ac:dyDescent="0.15">
      <c r="C104" s="69"/>
    </row>
    <row r="105" spans="3:3" s="66" customFormat="1" x14ac:dyDescent="0.15">
      <c r="C105" s="69"/>
    </row>
    <row r="106" spans="3:3" s="66" customFormat="1" x14ac:dyDescent="0.15">
      <c r="C106" s="69"/>
    </row>
    <row r="107" spans="3:3" s="66" customFormat="1" x14ac:dyDescent="0.15">
      <c r="C107" s="69"/>
    </row>
    <row r="108" spans="3:3" s="66" customFormat="1" x14ac:dyDescent="0.15">
      <c r="C108" s="69"/>
    </row>
    <row r="109" spans="3:3" s="66" customFormat="1" x14ac:dyDescent="0.15">
      <c r="C109" s="69"/>
    </row>
    <row r="110" spans="3:3" s="66" customFormat="1" x14ac:dyDescent="0.15">
      <c r="C110" s="69"/>
    </row>
    <row r="111" spans="3:3" s="66" customFormat="1" x14ac:dyDescent="0.15">
      <c r="C111" s="69"/>
    </row>
    <row r="112" spans="3:3" s="66" customFormat="1" x14ac:dyDescent="0.15">
      <c r="C112" s="69"/>
    </row>
    <row r="113" spans="3:3" s="66" customFormat="1" x14ac:dyDescent="0.15">
      <c r="C113" s="69"/>
    </row>
    <row r="114" spans="3:3" s="66" customFormat="1" x14ac:dyDescent="0.15">
      <c r="C114" s="69"/>
    </row>
    <row r="115" spans="3:3" s="66" customFormat="1" x14ac:dyDescent="0.15">
      <c r="C115" s="69"/>
    </row>
    <row r="116" spans="3:3" s="66" customFormat="1" x14ac:dyDescent="0.15">
      <c r="C116" s="69"/>
    </row>
    <row r="117" spans="3:3" s="66" customFormat="1" x14ac:dyDescent="0.15">
      <c r="C117" s="69"/>
    </row>
    <row r="118" spans="3:3" s="66" customFormat="1" x14ac:dyDescent="0.15">
      <c r="C118" s="69"/>
    </row>
    <row r="119" spans="3:3" s="66" customFormat="1" x14ac:dyDescent="0.15">
      <c r="C119" s="69"/>
    </row>
    <row r="120" spans="3:3" s="66" customFormat="1" x14ac:dyDescent="0.15">
      <c r="C120" s="69"/>
    </row>
    <row r="121" spans="3:3" s="66" customFormat="1" x14ac:dyDescent="0.15">
      <c r="C121" s="69"/>
    </row>
    <row r="122" spans="3:3" s="66" customFormat="1" x14ac:dyDescent="0.15">
      <c r="C122" s="69"/>
    </row>
    <row r="123" spans="3:3" s="66" customFormat="1" x14ac:dyDescent="0.15">
      <c r="C123" s="69"/>
    </row>
    <row r="124" spans="3:3" s="66" customFormat="1" x14ac:dyDescent="0.15">
      <c r="C124" s="69"/>
    </row>
    <row r="125" spans="3:3" s="66" customFormat="1" x14ac:dyDescent="0.15">
      <c r="C125" s="69"/>
    </row>
    <row r="126" spans="3:3" s="66" customFormat="1" x14ac:dyDescent="0.15">
      <c r="C126" s="69"/>
    </row>
    <row r="127" spans="3:3" s="66" customFormat="1" x14ac:dyDescent="0.15">
      <c r="C127" s="69"/>
    </row>
    <row r="128" spans="3:3" s="66" customFormat="1" x14ac:dyDescent="0.15">
      <c r="C128" s="69"/>
    </row>
    <row r="129" spans="3:3" s="66" customFormat="1" x14ac:dyDescent="0.15">
      <c r="C129" s="69"/>
    </row>
    <row r="130" spans="3:3" s="66" customFormat="1" x14ac:dyDescent="0.15">
      <c r="C130" s="69"/>
    </row>
    <row r="131" spans="3:3" s="66" customFormat="1" x14ac:dyDescent="0.15">
      <c r="C131" s="69"/>
    </row>
    <row r="132" spans="3:3" s="66" customFormat="1" x14ac:dyDescent="0.15">
      <c r="C132" s="69"/>
    </row>
    <row r="133" spans="3:3" s="66" customFormat="1" x14ac:dyDescent="0.15">
      <c r="C133" s="69"/>
    </row>
    <row r="134" spans="3:3" s="66" customFormat="1" x14ac:dyDescent="0.15">
      <c r="C134" s="69"/>
    </row>
    <row r="135" spans="3:3" s="66" customFormat="1" x14ac:dyDescent="0.15">
      <c r="C135" s="69"/>
    </row>
    <row r="136" spans="3:3" s="66" customFormat="1" x14ac:dyDescent="0.15">
      <c r="C136" s="69"/>
    </row>
    <row r="137" spans="3:3" s="66" customFormat="1" x14ac:dyDescent="0.15">
      <c r="C137" s="69"/>
    </row>
    <row r="138" spans="3:3" s="66" customFormat="1" x14ac:dyDescent="0.15">
      <c r="C138" s="69"/>
    </row>
    <row r="139" spans="3:3" s="66" customFormat="1" x14ac:dyDescent="0.15">
      <c r="C139" s="69"/>
    </row>
    <row r="140" spans="3:3" s="66" customFormat="1" x14ac:dyDescent="0.15">
      <c r="C140" s="69"/>
    </row>
    <row r="141" spans="3:3" s="66" customFormat="1" x14ac:dyDescent="0.15">
      <c r="C141" s="69"/>
    </row>
    <row r="142" spans="3:3" s="66" customFormat="1" x14ac:dyDescent="0.15">
      <c r="C142" s="69"/>
    </row>
    <row r="143" spans="3:3" s="66" customFormat="1" x14ac:dyDescent="0.15">
      <c r="C143" s="69"/>
    </row>
    <row r="144" spans="3:3" s="66" customFormat="1" x14ac:dyDescent="0.15">
      <c r="C144" s="69"/>
    </row>
    <row r="145" spans="3:3" s="66" customFormat="1" x14ac:dyDescent="0.15">
      <c r="C145" s="69"/>
    </row>
    <row r="146" spans="3:3" s="66" customFormat="1" x14ac:dyDescent="0.15">
      <c r="C146" s="69"/>
    </row>
    <row r="147" spans="3:3" s="66" customFormat="1" x14ac:dyDescent="0.15">
      <c r="C147" s="69"/>
    </row>
    <row r="148" spans="3:3" s="66" customFormat="1" x14ac:dyDescent="0.15">
      <c r="C148" s="69"/>
    </row>
    <row r="149" spans="3:3" s="66" customFormat="1" x14ac:dyDescent="0.15">
      <c r="C149" s="69"/>
    </row>
    <row r="150" spans="3:3" s="66" customFormat="1" x14ac:dyDescent="0.15">
      <c r="C150" s="69"/>
    </row>
    <row r="151" spans="3:3" s="66" customFormat="1" x14ac:dyDescent="0.15">
      <c r="C151" s="69"/>
    </row>
    <row r="152" spans="3:3" s="66" customFormat="1" x14ac:dyDescent="0.15">
      <c r="C152" s="69"/>
    </row>
    <row r="153" spans="3:3" s="66" customFormat="1" x14ac:dyDescent="0.15">
      <c r="C153" s="69"/>
    </row>
    <row r="154" spans="3:3" s="66" customFormat="1" x14ac:dyDescent="0.15">
      <c r="C154" s="69"/>
    </row>
    <row r="155" spans="3:3" s="66" customFormat="1" x14ac:dyDescent="0.15">
      <c r="C155" s="69"/>
    </row>
    <row r="156" spans="3:3" s="66" customFormat="1" x14ac:dyDescent="0.15">
      <c r="C156" s="69"/>
    </row>
    <row r="157" spans="3:3" s="66" customFormat="1" x14ac:dyDescent="0.15">
      <c r="C157" s="69"/>
    </row>
    <row r="158" spans="3:3" s="66" customFormat="1" x14ac:dyDescent="0.15">
      <c r="C158" s="69"/>
    </row>
    <row r="159" spans="3:3" s="66" customFormat="1" x14ac:dyDescent="0.15">
      <c r="C159" s="69"/>
    </row>
    <row r="160" spans="3:3" s="66" customFormat="1" x14ac:dyDescent="0.15">
      <c r="C160" s="69"/>
    </row>
    <row r="161" spans="3:3" s="66" customFormat="1" x14ac:dyDescent="0.15">
      <c r="C161" s="69"/>
    </row>
    <row r="162" spans="3:3" s="66" customFormat="1" x14ac:dyDescent="0.15">
      <c r="C162" s="69"/>
    </row>
    <row r="163" spans="3:3" s="66" customFormat="1" x14ac:dyDescent="0.15">
      <c r="C163" s="69"/>
    </row>
    <row r="164" spans="3:3" s="66" customFormat="1" x14ac:dyDescent="0.15">
      <c r="C164" s="69"/>
    </row>
    <row r="165" spans="3:3" s="66" customFormat="1" x14ac:dyDescent="0.15">
      <c r="C165" s="69"/>
    </row>
    <row r="166" spans="3:3" s="66" customFormat="1" x14ac:dyDescent="0.15">
      <c r="C166" s="69"/>
    </row>
    <row r="167" spans="3:3" s="66" customFormat="1" x14ac:dyDescent="0.15">
      <c r="C167" s="69"/>
    </row>
    <row r="168" spans="3:3" s="66" customFormat="1" x14ac:dyDescent="0.15">
      <c r="C168" s="69"/>
    </row>
    <row r="169" spans="3:3" s="66" customFormat="1" x14ac:dyDescent="0.15">
      <c r="C169" s="69"/>
    </row>
    <row r="170" spans="3:3" s="66" customFormat="1" x14ac:dyDescent="0.15">
      <c r="C170" s="69"/>
    </row>
    <row r="171" spans="3:3" s="66" customFormat="1" x14ac:dyDescent="0.15">
      <c r="C171" s="69"/>
    </row>
    <row r="172" spans="3:3" s="66" customFormat="1" x14ac:dyDescent="0.15">
      <c r="C172" s="69"/>
    </row>
    <row r="173" spans="3:3" s="66" customFormat="1" x14ac:dyDescent="0.15">
      <c r="C173" s="69"/>
    </row>
    <row r="174" spans="3:3" s="66" customFormat="1" x14ac:dyDescent="0.15">
      <c r="C174" s="69"/>
    </row>
    <row r="175" spans="3:3" s="66" customFormat="1" x14ac:dyDescent="0.15">
      <c r="C175" s="69"/>
    </row>
    <row r="176" spans="3:3" s="66" customFormat="1" x14ac:dyDescent="0.15">
      <c r="C176" s="69"/>
    </row>
    <row r="177" spans="3:3" s="66" customFormat="1" x14ac:dyDescent="0.15">
      <c r="C177" s="69"/>
    </row>
    <row r="178" spans="3:3" s="66" customFormat="1" x14ac:dyDescent="0.15">
      <c r="C178" s="69"/>
    </row>
    <row r="179" spans="3:3" s="66" customFormat="1" x14ac:dyDescent="0.15">
      <c r="C179" s="69"/>
    </row>
    <row r="180" spans="3:3" s="66" customFormat="1" x14ac:dyDescent="0.15">
      <c r="C180" s="69"/>
    </row>
    <row r="181" spans="3:3" s="66" customFormat="1" x14ac:dyDescent="0.15">
      <c r="C181" s="69"/>
    </row>
    <row r="182" spans="3:3" s="66" customFormat="1" x14ac:dyDescent="0.15">
      <c r="C182" s="69"/>
    </row>
    <row r="183" spans="3:3" s="66" customFormat="1" x14ac:dyDescent="0.15">
      <c r="C183" s="69"/>
    </row>
    <row r="184" spans="3:3" s="66" customFormat="1" x14ac:dyDescent="0.15">
      <c r="C184" s="69"/>
    </row>
    <row r="185" spans="3:3" s="66" customFormat="1" x14ac:dyDescent="0.15">
      <c r="C185" s="69"/>
    </row>
    <row r="186" spans="3:3" s="66" customFormat="1" x14ac:dyDescent="0.15">
      <c r="C186" s="69"/>
    </row>
    <row r="187" spans="3:3" s="66" customFormat="1" x14ac:dyDescent="0.15">
      <c r="C187" s="69"/>
    </row>
    <row r="188" spans="3:3" s="66" customFormat="1" x14ac:dyDescent="0.15">
      <c r="C188" s="69"/>
    </row>
    <row r="189" spans="3:3" s="66" customFormat="1" x14ac:dyDescent="0.15">
      <c r="C189" s="69"/>
    </row>
    <row r="190" spans="3:3" s="66" customFormat="1" x14ac:dyDescent="0.15">
      <c r="C190" s="69"/>
    </row>
    <row r="191" spans="3:3" s="66" customFormat="1" x14ac:dyDescent="0.15">
      <c r="C191" s="69"/>
    </row>
    <row r="192" spans="3:3" s="66" customFormat="1" x14ac:dyDescent="0.15">
      <c r="C192" s="69"/>
    </row>
    <row r="193" spans="3:3" s="66" customFormat="1" x14ac:dyDescent="0.15">
      <c r="C193" s="69"/>
    </row>
    <row r="194" spans="3:3" s="66" customFormat="1" x14ac:dyDescent="0.15">
      <c r="C194" s="69"/>
    </row>
    <row r="195" spans="3:3" s="66" customFormat="1" x14ac:dyDescent="0.15">
      <c r="C195" s="69"/>
    </row>
    <row r="196" spans="3:3" s="66" customFormat="1" x14ac:dyDescent="0.15">
      <c r="C196" s="69"/>
    </row>
    <row r="197" spans="3:3" s="66" customFormat="1" x14ac:dyDescent="0.15">
      <c r="C197" s="69"/>
    </row>
    <row r="198" spans="3:3" s="66" customFormat="1" x14ac:dyDescent="0.15">
      <c r="C198" s="69"/>
    </row>
    <row r="199" spans="3:3" s="66" customFormat="1" x14ac:dyDescent="0.15">
      <c r="C199" s="69"/>
    </row>
    <row r="200" spans="3:3" s="66" customFormat="1" x14ac:dyDescent="0.15">
      <c r="C200" s="69"/>
    </row>
    <row r="201" spans="3:3" s="66" customFormat="1" x14ac:dyDescent="0.15">
      <c r="C201" s="69"/>
    </row>
    <row r="202" spans="3:3" s="66" customFormat="1" x14ac:dyDescent="0.15">
      <c r="C202" s="69"/>
    </row>
    <row r="203" spans="3:3" s="66" customFormat="1" x14ac:dyDescent="0.15">
      <c r="C203" s="69"/>
    </row>
    <row r="204" spans="3:3" s="66" customFormat="1" x14ac:dyDescent="0.15">
      <c r="C204" s="69"/>
    </row>
    <row r="205" spans="3:3" s="66" customFormat="1" x14ac:dyDescent="0.15">
      <c r="C205" s="69"/>
    </row>
    <row r="206" spans="3:3" s="66" customFormat="1" x14ac:dyDescent="0.15">
      <c r="C206" s="69"/>
    </row>
    <row r="207" spans="3:3" s="66" customFormat="1" x14ac:dyDescent="0.15">
      <c r="C207" s="69"/>
    </row>
    <row r="208" spans="3:3" s="66" customFormat="1" x14ac:dyDescent="0.15">
      <c r="C208" s="69"/>
    </row>
    <row r="209" spans="3:3" s="66" customFormat="1" x14ac:dyDescent="0.15">
      <c r="C209" s="69"/>
    </row>
    <row r="210" spans="3:3" s="66" customFormat="1" x14ac:dyDescent="0.15">
      <c r="C210" s="69"/>
    </row>
    <row r="211" spans="3:3" s="66" customFormat="1" x14ac:dyDescent="0.15">
      <c r="C211" s="69"/>
    </row>
    <row r="212" spans="3:3" s="66" customFormat="1" x14ac:dyDescent="0.15">
      <c r="C212" s="69"/>
    </row>
    <row r="213" spans="3:3" s="66" customFormat="1" x14ac:dyDescent="0.15">
      <c r="C213" s="69"/>
    </row>
    <row r="214" spans="3:3" s="66" customFormat="1" x14ac:dyDescent="0.15">
      <c r="C214" s="69"/>
    </row>
    <row r="215" spans="3:3" s="66" customFormat="1" x14ac:dyDescent="0.15">
      <c r="C215" s="69"/>
    </row>
    <row r="216" spans="3:3" s="66" customFormat="1" x14ac:dyDescent="0.15">
      <c r="C216" s="69"/>
    </row>
    <row r="217" spans="3:3" s="66" customFormat="1" x14ac:dyDescent="0.15">
      <c r="C217" s="69"/>
    </row>
    <row r="218" spans="3:3" s="66" customFormat="1" x14ac:dyDescent="0.15">
      <c r="C218" s="69"/>
    </row>
    <row r="219" spans="3:3" s="66" customFormat="1" x14ac:dyDescent="0.15">
      <c r="C219" s="69"/>
    </row>
    <row r="220" spans="3:3" s="66" customFormat="1" x14ac:dyDescent="0.15">
      <c r="C220" s="69"/>
    </row>
    <row r="221" spans="3:3" s="66" customFormat="1" x14ac:dyDescent="0.15">
      <c r="C221" s="69"/>
    </row>
    <row r="222" spans="3:3" s="66" customFormat="1" x14ac:dyDescent="0.15">
      <c r="C222" s="69"/>
    </row>
    <row r="223" spans="3:3" s="66" customFormat="1" x14ac:dyDescent="0.15">
      <c r="C223" s="69"/>
    </row>
    <row r="224" spans="3:3" s="66" customFormat="1" x14ac:dyDescent="0.15">
      <c r="C224" s="69"/>
    </row>
  </sheetData>
  <conditionalFormatting sqref="D14">
    <cfRule type="iconSet" priority="1">
      <iconSet iconSet="3Symbols">
        <cfvo type="percent" val="0"/>
        <cfvo type="percent" val="33"/>
        <cfvo type="percent" val="67"/>
      </iconSet>
    </cfRule>
  </conditionalFormatting>
  <conditionalFormatting sqref="D35">
    <cfRule type="iconSet" priority="2">
      <iconSet iconSet="3Symbols">
        <cfvo type="percent" val="0"/>
        <cfvo type="percent" val="33"/>
        <cfvo type="percent" val="67"/>
      </iconSet>
    </cfRule>
  </conditionalFormatting>
  <conditionalFormatting sqref="D56">
    <cfRule type="iconSet" priority="3">
      <iconSet iconSet="3Symbols">
        <cfvo type="percent" val="0"/>
        <cfvo type="percent" val="33"/>
        <cfvo type="percent" val="67"/>
      </iconSet>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BF822-5FED-4C1A-843F-DC6EFC36028A}">
  <sheetPr codeName="Sheet13">
    <tabColor theme="8" tint="0.59999389629810485"/>
    <outlinePr summaryBelow="0"/>
  </sheetPr>
  <dimension ref="A1:CH108"/>
  <sheetViews>
    <sheetView zoomScale="90" zoomScaleNormal="90" workbookViewId="0">
      <selection activeCell="B4" sqref="B4:B5"/>
    </sheetView>
  </sheetViews>
  <sheetFormatPr baseColWidth="10" defaultColWidth="9" defaultRowHeight="14" x14ac:dyDescent="0.15"/>
  <cols>
    <col min="1" max="1" width="7.1640625" style="66" customWidth="1"/>
    <col min="2" max="2" width="49" style="66" customWidth="1"/>
    <col min="3" max="3" width="15.6640625" style="69" customWidth="1"/>
    <col min="4" max="10" width="15.6640625" style="66" customWidth="1"/>
    <col min="11" max="11" width="14.1640625" style="66" customWidth="1"/>
    <col min="12" max="12" width="13.6640625" style="66" customWidth="1"/>
    <col min="13" max="13" width="12.5" style="66" customWidth="1"/>
    <col min="14" max="14" width="12.6640625" style="66" customWidth="1"/>
    <col min="15" max="15" width="16.5" style="66" customWidth="1"/>
    <col min="16" max="16" width="13.1640625" style="66" customWidth="1"/>
    <col min="17" max="17" width="12.1640625" style="66" customWidth="1"/>
    <col min="18" max="18" width="13.6640625" style="66" customWidth="1"/>
    <col min="19" max="16384" width="9" style="66"/>
  </cols>
  <sheetData>
    <row r="1" spans="1:14" ht="18" x14ac:dyDescent="0.2">
      <c r="A1" s="76" t="s">
        <v>393</v>
      </c>
      <c r="B1" s="77"/>
      <c r="C1" s="78"/>
      <c r="D1" s="77"/>
      <c r="E1" s="77"/>
      <c r="F1" s="77"/>
      <c r="G1" s="77"/>
      <c r="H1" s="77"/>
      <c r="I1" s="77"/>
      <c r="J1" s="77"/>
      <c r="K1" s="77"/>
      <c r="L1" s="77"/>
      <c r="M1" s="77"/>
      <c r="N1" s="189"/>
    </row>
    <row r="3" spans="1:14" x14ac:dyDescent="0.15">
      <c r="B3" s="82" t="s">
        <v>394</v>
      </c>
    </row>
    <row r="4" spans="1:14" ht="14.25" customHeight="1" x14ac:dyDescent="0.15">
      <c r="B4" s="711" t="s">
        <v>77</v>
      </c>
      <c r="C4" s="725">
        <v>2010</v>
      </c>
      <c r="D4" s="725"/>
      <c r="E4" s="725">
        <v>2015</v>
      </c>
      <c r="F4" s="725"/>
      <c r="G4" s="725">
        <v>2019</v>
      </c>
      <c r="H4" s="725"/>
    </row>
    <row r="5" spans="1:14" ht="14.25" customHeight="1" x14ac:dyDescent="0.15">
      <c r="B5" s="711"/>
      <c r="C5" s="209" t="s">
        <v>146</v>
      </c>
      <c r="D5" s="435" t="s">
        <v>147</v>
      </c>
      <c r="E5" s="209" t="s">
        <v>146</v>
      </c>
      <c r="F5" s="435" t="s">
        <v>147</v>
      </c>
      <c r="G5" s="209" t="s">
        <v>146</v>
      </c>
      <c r="H5" s="435" t="s">
        <v>147</v>
      </c>
    </row>
    <row r="6" spans="1:14" ht="15" x14ac:dyDescent="0.15">
      <c r="B6" s="386" t="s">
        <v>59</v>
      </c>
      <c r="C6" s="436">
        <f>C7+C8</f>
        <v>959810.99614059902</v>
      </c>
      <c r="D6" s="436">
        <f t="shared" ref="D6:G6" si="0">D7+D8</f>
        <v>1544668.6735772092</v>
      </c>
      <c r="E6" s="436">
        <f>E7+E8</f>
        <v>903354.9572873807</v>
      </c>
      <c r="F6" s="436">
        <f t="shared" si="0"/>
        <v>1225453.2785689095</v>
      </c>
      <c r="G6" s="436">
        <f t="shared" si="0"/>
        <v>1017189.4197117309</v>
      </c>
      <c r="H6" s="436">
        <f>H7+H8</f>
        <v>1205336.7254566483</v>
      </c>
    </row>
    <row r="7" spans="1:14" ht="15" x14ac:dyDescent="0.15">
      <c r="B7" s="387" t="s">
        <v>58</v>
      </c>
      <c r="C7" s="437">
        <f>C102+C95</f>
        <v>391327.36463987007</v>
      </c>
      <c r="D7" s="437">
        <f>C101</f>
        <v>15446.686735772093</v>
      </c>
      <c r="E7" s="397">
        <f>C71+C64</f>
        <v>425815.62957287382</v>
      </c>
      <c r="F7" s="397">
        <f>C70</f>
        <v>12254.532785689098</v>
      </c>
      <c r="G7" s="397">
        <f>C40+C32</f>
        <v>502395.98540820024</v>
      </c>
      <c r="H7" s="397">
        <f>C39</f>
        <v>12053.367254566483</v>
      </c>
    </row>
    <row r="8" spans="1:14" ht="15" x14ac:dyDescent="0.15">
      <c r="B8" s="387" t="s">
        <v>131</v>
      </c>
      <c r="C8" s="437">
        <f>D102</f>
        <v>568483.63150072889</v>
      </c>
      <c r="D8" s="437">
        <f>D101</f>
        <v>1529221.9868414372</v>
      </c>
      <c r="E8" s="397">
        <f>D71</f>
        <v>477539.32771450694</v>
      </c>
      <c r="F8" s="397">
        <f>D70</f>
        <v>1213198.7457832205</v>
      </c>
      <c r="G8" s="397">
        <f>D40</f>
        <v>514793.43430353061</v>
      </c>
      <c r="H8" s="397">
        <f>D39</f>
        <v>1193283.3582020819</v>
      </c>
    </row>
    <row r="9" spans="1:14" ht="15" x14ac:dyDescent="0.15">
      <c r="B9" s="386" t="s">
        <v>60</v>
      </c>
      <c r="C9" s="461">
        <f>F102</f>
        <v>16535.032847367183</v>
      </c>
      <c r="D9" s="462">
        <f>F101</f>
        <v>94548.872982304718</v>
      </c>
      <c r="E9" s="397">
        <f>F71</f>
        <v>13889.804208251569</v>
      </c>
      <c r="F9" s="397">
        <f>F70</f>
        <v>73023.622210902366</v>
      </c>
      <c r="G9" s="397">
        <f>F40</f>
        <v>14973.382609548937</v>
      </c>
      <c r="H9" s="397">
        <f>F39</f>
        <v>72370.212886398658</v>
      </c>
    </row>
    <row r="10" spans="1:14" ht="15" x14ac:dyDescent="0.15">
      <c r="B10" s="386" t="s">
        <v>62</v>
      </c>
      <c r="C10" s="461">
        <f>G102</f>
        <v>24802.556590232933</v>
      </c>
      <c r="D10" s="462">
        <f>G101</f>
        <v>141823.36960126465</v>
      </c>
      <c r="E10" s="397">
        <f>G71</f>
        <v>20834.684771113312</v>
      </c>
      <c r="F10" s="397">
        <f>G70</f>
        <v>109535.44230708716</v>
      </c>
      <c r="G10" s="397">
        <f>G40</f>
        <v>22460.080307469339</v>
      </c>
      <c r="H10" s="397">
        <f>G39</f>
        <v>108555.34797055022</v>
      </c>
    </row>
    <row r="11" spans="1:14" ht="15" x14ac:dyDescent="0.15">
      <c r="B11" s="386" t="s">
        <v>61</v>
      </c>
      <c r="C11" s="461">
        <f>H102</f>
        <v>13779.183870427285</v>
      </c>
      <c r="D11" s="462">
        <f>H101</f>
        <v>78790.731665411033</v>
      </c>
      <c r="E11" s="397">
        <f>H71</f>
        <v>11574.838553915632</v>
      </c>
      <c r="F11" s="397">
        <f>H70</f>
        <v>60853.013906568376</v>
      </c>
      <c r="G11" s="397">
        <f>H40</f>
        <v>12477.818941461763</v>
      </c>
      <c r="H11" s="397">
        <f>H39</f>
        <v>60308.541272234914</v>
      </c>
    </row>
    <row r="12" spans="1:14" ht="15" x14ac:dyDescent="0.15">
      <c r="B12" s="386" t="s">
        <v>63</v>
      </c>
      <c r="C12" s="461">
        <f>I102</f>
        <v>511314.12915068568</v>
      </c>
      <c r="D12" s="462">
        <f>I101</f>
        <v>1656095.4886026217</v>
      </c>
      <c r="E12" s="397">
        <f>I71</f>
        <v>429515.76898389618</v>
      </c>
      <c r="F12" s="397">
        <f>I70</f>
        <v>1302719.0622955733</v>
      </c>
      <c r="G12" s="397">
        <f>I40</f>
        <v>463023.61232822482</v>
      </c>
      <c r="H12" s="397">
        <f>I39</f>
        <v>1284390.9923011097</v>
      </c>
    </row>
    <row r="13" spans="1:14" ht="15" x14ac:dyDescent="0.15">
      <c r="B13" s="386" t="s">
        <v>64</v>
      </c>
      <c r="C13" s="461">
        <f>J102</f>
        <v>49605.09385843503</v>
      </c>
      <c r="D13" s="462">
        <f>J101</f>
        <v>283646.53092135052</v>
      </c>
      <c r="E13" s="397">
        <f>J71</f>
        <v>41669.419392385331</v>
      </c>
      <c r="F13" s="397">
        <f>J70</f>
        <v>219070.79566968966</v>
      </c>
      <c r="G13" s="397">
        <f>J40</f>
        <v>44920.161611423173</v>
      </c>
      <c r="H13" s="397">
        <f>J39</f>
        <v>217110.64220298873</v>
      </c>
    </row>
    <row r="14" spans="1:14" ht="15" x14ac:dyDescent="0.15">
      <c r="B14" s="386" t="s">
        <v>65</v>
      </c>
      <c r="C14" s="461">
        <f>K102</f>
        <v>88186.790531404506</v>
      </c>
      <c r="D14" s="462">
        <f>K101</f>
        <v>504260.61591103446</v>
      </c>
      <c r="E14" s="397">
        <f>K71</f>
        <v>74078.986790030511</v>
      </c>
      <c r="F14" s="397">
        <f>K70</f>
        <v>389459.06843455898</v>
      </c>
      <c r="G14" s="397">
        <f>K40</f>
        <v>79858.086687748422</v>
      </c>
      <c r="H14" s="397">
        <f>K39</f>
        <v>385974.90549992392</v>
      </c>
    </row>
    <row r="15" spans="1:14" ht="15" x14ac:dyDescent="0.15">
      <c r="B15" s="551" t="s">
        <v>88</v>
      </c>
      <c r="C15" s="509">
        <f>SUM(C7:C14)</f>
        <v>1664033.7829891518</v>
      </c>
      <c r="D15" s="509">
        <f>SUM(D7:D14)</f>
        <v>4303834.2832611967</v>
      </c>
      <c r="E15" s="509">
        <f t="shared" ref="E15:H15" si="1">SUM(E7:E14)</f>
        <v>1494918.4599869731</v>
      </c>
      <c r="F15" s="509">
        <f t="shared" si="1"/>
        <v>3380114.283393289</v>
      </c>
      <c r="G15" s="509">
        <f t="shared" si="1"/>
        <v>1654902.5621976072</v>
      </c>
      <c r="H15" s="509">
        <f t="shared" si="1"/>
        <v>3334047.3675898542</v>
      </c>
    </row>
    <row r="16" spans="1:14" x14ac:dyDescent="0.15">
      <c r="B16" s="176"/>
      <c r="C16" s="177"/>
      <c r="D16" s="177"/>
      <c r="E16" s="176"/>
      <c r="F16" s="176"/>
      <c r="G16" s="176"/>
      <c r="H16" s="176"/>
      <c r="I16" s="176"/>
      <c r="J16" s="176"/>
      <c r="K16" s="176"/>
    </row>
    <row r="17" spans="1:86" s="92" customFormat="1" ht="16" x14ac:dyDescent="0.2">
      <c r="A17" s="89">
        <v>2019</v>
      </c>
      <c r="B17" s="90"/>
      <c r="C17" s="91"/>
      <c r="D17" s="90"/>
      <c r="E17" s="90"/>
      <c r="F17" s="90"/>
      <c r="G17" s="90"/>
      <c r="H17" s="90"/>
      <c r="I17" s="90"/>
      <c r="J17" s="90"/>
      <c r="K17" s="90"/>
      <c r="L17" s="90"/>
      <c r="M17" s="90"/>
      <c r="N17" s="90"/>
    </row>
    <row r="18" spans="1:86" s="108" customFormat="1" ht="16" x14ac:dyDescent="0.2">
      <c r="A18" s="98"/>
      <c r="B18" s="106"/>
      <c r="C18" s="107"/>
      <c r="D18" s="106"/>
      <c r="E18" s="106"/>
      <c r="F18" s="106"/>
      <c r="G18" s="106"/>
      <c r="H18" s="106"/>
      <c r="I18" s="106"/>
      <c r="J18" s="106"/>
      <c r="K18" s="106"/>
      <c r="L18" s="106"/>
      <c r="M18" s="106"/>
      <c r="N18" s="106"/>
    </row>
    <row r="19" spans="1:86" s="108" customFormat="1" ht="16" x14ac:dyDescent="0.2">
      <c r="A19" s="82" t="s">
        <v>395</v>
      </c>
      <c r="B19" s="106"/>
      <c r="C19" s="106"/>
      <c r="D19" s="106"/>
      <c r="E19" s="66"/>
      <c r="F19" s="66"/>
      <c r="G19" s="66"/>
      <c r="H19" s="106"/>
      <c r="I19" s="106"/>
      <c r="J19" s="106"/>
      <c r="K19" s="106"/>
      <c r="L19" s="106"/>
      <c r="M19" s="106"/>
      <c r="N19" s="106"/>
    </row>
    <row r="20" spans="1:86" s="108" customFormat="1" ht="16" x14ac:dyDescent="0.2">
      <c r="B20" s="82" t="s">
        <v>396</v>
      </c>
      <c r="C20" s="107"/>
      <c r="D20" s="106"/>
      <c r="E20" s="66"/>
      <c r="F20" s="66"/>
      <c r="G20" s="66"/>
      <c r="H20" s="106"/>
      <c r="I20" s="526"/>
      <c r="J20" s="526"/>
      <c r="K20" s="526"/>
      <c r="L20" s="526"/>
      <c r="M20" s="526"/>
      <c r="N20" s="526"/>
      <c r="O20" s="527"/>
      <c r="P20" s="527"/>
      <c r="Q20" s="527"/>
      <c r="R20" s="527"/>
      <c r="S20" s="527"/>
      <c r="T20" s="527"/>
    </row>
    <row r="21" spans="1:86" customFormat="1" ht="15" x14ac:dyDescent="0.15">
      <c r="A21" s="66"/>
      <c r="B21" s="74" t="s">
        <v>397</v>
      </c>
      <c r="C21" s="198" t="s">
        <v>398</v>
      </c>
      <c r="D21" s="197" t="s">
        <v>399</v>
      </c>
      <c r="E21" s="66"/>
      <c r="F21" s="66"/>
      <c r="G21" s="66"/>
      <c r="H21" s="66"/>
      <c r="I21" s="119"/>
      <c r="J21" s="528"/>
      <c r="K21" s="528"/>
      <c r="L21" s="528"/>
      <c r="M21" s="528"/>
      <c r="N21" s="528"/>
      <c r="O21" s="528"/>
      <c r="P21" s="528"/>
      <c r="Q21" s="528"/>
      <c r="R21" s="528"/>
      <c r="S21" s="528"/>
      <c r="T21" s="119"/>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row>
    <row r="22" spans="1:86" customFormat="1" x14ac:dyDescent="0.15">
      <c r="A22" s="66"/>
      <c r="B22" s="80" t="s">
        <v>400</v>
      </c>
      <c r="C22" s="199">
        <v>92232</v>
      </c>
      <c r="D22" s="220" t="s">
        <v>401</v>
      </c>
      <c r="E22" s="66"/>
      <c r="F22" s="66"/>
      <c r="G22" s="66"/>
      <c r="H22" s="66"/>
      <c r="I22" s="119"/>
      <c r="J22" s="528" t="s">
        <v>402</v>
      </c>
      <c r="K22" s="528"/>
      <c r="L22" s="528"/>
      <c r="M22" s="528"/>
      <c r="N22" s="528"/>
      <c r="O22" s="528"/>
      <c r="P22" s="528"/>
      <c r="Q22" s="528"/>
      <c r="R22" s="528"/>
      <c r="S22" s="528"/>
      <c r="T22" s="119"/>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row>
    <row r="23" spans="1:86" x14ac:dyDescent="0.15">
      <c r="B23" s="80" t="s">
        <v>403</v>
      </c>
      <c r="C23" s="199">
        <f>C54*('Constants &amp; Conversions'!$D$61+1)</f>
        <v>39602.314451815633</v>
      </c>
      <c r="D23" s="220" t="s">
        <v>404</v>
      </c>
      <c r="I23" s="119"/>
      <c r="J23" s="529" t="s">
        <v>405</v>
      </c>
      <c r="K23" s="530">
        <v>1301182950.7142849</v>
      </c>
      <c r="L23" s="530">
        <v>144575694.33258849</v>
      </c>
      <c r="M23" s="530">
        <v>216863650.18359298</v>
      </c>
      <c r="N23" s="530">
        <v>120479830.90736601</v>
      </c>
      <c r="O23" s="530">
        <v>1759004102.8571401</v>
      </c>
      <c r="P23" s="530">
        <v>433727186.92857099</v>
      </c>
      <c r="Q23" s="530">
        <v>771071473.85714197</v>
      </c>
      <c r="R23" s="530"/>
      <c r="S23" s="528"/>
      <c r="T23" s="119"/>
    </row>
    <row r="24" spans="1:86" x14ac:dyDescent="0.15">
      <c r="B24" s="80" t="s">
        <v>406</v>
      </c>
      <c r="C24" s="199">
        <f>C55*('Constants &amp; Conversions'!$D$61+1)</f>
        <v>63904.80841885331</v>
      </c>
      <c r="D24" s="220" t="s">
        <v>404</v>
      </c>
      <c r="I24" s="119"/>
      <c r="J24" s="528" t="s">
        <v>405</v>
      </c>
      <c r="K24" s="528">
        <v>2120768012.8571401</v>
      </c>
      <c r="L24" s="528">
        <v>60883340.051897302</v>
      </c>
      <c r="M24" s="528">
        <v>91324982.704799101</v>
      </c>
      <c r="N24" s="528">
        <v>50736117.764508903</v>
      </c>
      <c r="O24" s="528">
        <v>1887381924.2857101</v>
      </c>
      <c r="P24" s="528">
        <v>182649926.285714</v>
      </c>
      <c r="Q24" s="528">
        <v>324711282.85714197</v>
      </c>
      <c r="R24" s="528"/>
      <c r="S24" s="528"/>
      <c r="T24" s="119"/>
    </row>
    <row r="25" spans="1:86" x14ac:dyDescent="0.15">
      <c r="B25" s="80" t="s">
        <v>407</v>
      </c>
      <c r="C25" s="199">
        <f>C56*('Constants &amp; Conversions'!$D$61+1)</f>
        <v>9553.8575730103184</v>
      </c>
      <c r="D25" s="220" t="s">
        <v>404</v>
      </c>
      <c r="I25" s="119"/>
      <c r="J25" s="528"/>
      <c r="K25" s="530">
        <f>(K23+K24)/1000</f>
        <v>3421950.9635714251</v>
      </c>
      <c r="L25" s="530">
        <f t="shared" ref="L25:Q25" si="2">(L23+L24)/1000</f>
        <v>205459.03438448577</v>
      </c>
      <c r="M25" s="530">
        <f t="shared" si="2"/>
        <v>308188.63288839208</v>
      </c>
      <c r="N25" s="530">
        <f t="shared" si="2"/>
        <v>171215.94867187491</v>
      </c>
      <c r="O25" s="530">
        <f t="shared" si="2"/>
        <v>3646386.0271428498</v>
      </c>
      <c r="P25" s="530">
        <f t="shared" si="2"/>
        <v>616377.113214285</v>
      </c>
      <c r="Q25" s="530">
        <f t="shared" si="2"/>
        <v>1095782.756714284</v>
      </c>
      <c r="R25" s="530"/>
      <c r="S25" s="528"/>
      <c r="T25" s="119"/>
    </row>
    <row r="26" spans="1:86" x14ac:dyDescent="0.15">
      <c r="B26" s="80" t="s">
        <v>408</v>
      </c>
      <c r="C26" s="199">
        <f>C57*('Constants &amp; Conversions'!$D$61+1)</f>
        <v>77879.687336912684</v>
      </c>
      <c r="D26" s="220" t="s">
        <v>404</v>
      </c>
      <c r="I26" s="119"/>
      <c r="J26" s="528"/>
      <c r="K26" s="531">
        <f>K25-E44</f>
        <v>0</v>
      </c>
      <c r="L26" s="531">
        <f t="shared" ref="L26:Q26" si="3">L25-F44</f>
        <v>0</v>
      </c>
      <c r="M26" s="531">
        <f t="shared" si="3"/>
        <v>0</v>
      </c>
      <c r="N26" s="531">
        <f t="shared" si="3"/>
        <v>0</v>
      </c>
      <c r="O26" s="531">
        <f t="shared" si="3"/>
        <v>0</v>
      </c>
      <c r="P26" s="531">
        <f t="shared" si="3"/>
        <v>0</v>
      </c>
      <c r="Q26" s="531">
        <f t="shared" si="3"/>
        <v>0</v>
      </c>
      <c r="R26" s="528"/>
      <c r="S26" s="528"/>
      <c r="T26" s="119"/>
    </row>
    <row r="27" spans="1:86" x14ac:dyDescent="0.15">
      <c r="B27" s="80" t="s">
        <v>409</v>
      </c>
      <c r="C27" s="199">
        <f>C58*('Constants &amp; Conversions'!$D$61+1)</f>
        <v>28418.001844642124</v>
      </c>
      <c r="D27" s="220" t="s">
        <v>404</v>
      </c>
      <c r="I27" s="119"/>
      <c r="J27" s="528" t="s">
        <v>410</v>
      </c>
      <c r="K27" s="528"/>
      <c r="L27" s="528"/>
      <c r="M27" s="528"/>
      <c r="N27" s="528"/>
      <c r="O27" s="528"/>
      <c r="P27" s="528"/>
      <c r="Q27" s="528"/>
      <c r="R27" s="528"/>
      <c r="S27" s="528"/>
      <c r="T27" s="119"/>
    </row>
    <row r="28" spans="1:86" x14ac:dyDescent="0.15">
      <c r="B28" s="80" t="s">
        <v>411</v>
      </c>
      <c r="C28" s="199">
        <v>12499.9</v>
      </c>
      <c r="D28" s="220" t="s">
        <v>412</v>
      </c>
      <c r="I28" s="119"/>
      <c r="J28" s="529" t="s">
        <v>405</v>
      </c>
      <c r="K28" s="530">
        <v>1646818996.4033101</v>
      </c>
      <c r="L28" s="530">
        <v>47420702.724441484</v>
      </c>
      <c r="M28" s="530">
        <v>71131074.333755404</v>
      </c>
      <c r="N28" s="530">
        <v>39517252.587609403</v>
      </c>
      <c r="O28" s="530">
        <v>1466395780.2434881</v>
      </c>
      <c r="P28" s="530">
        <v>142262151.82337719</v>
      </c>
      <c r="Q28" s="530">
        <v>252910560.54009923</v>
      </c>
      <c r="R28" s="530"/>
      <c r="S28" s="528"/>
      <c r="T28" s="119"/>
    </row>
    <row r="29" spans="1:86" x14ac:dyDescent="0.15">
      <c r="B29" s="80" t="s">
        <v>413</v>
      </c>
      <c r="C29" s="199">
        <f>C60*('Constants &amp; Conversions'!$D$61+1)</f>
        <v>7349.1212100079383</v>
      </c>
      <c r="D29" s="220" t="s">
        <v>404</v>
      </c>
      <c r="I29" s="119"/>
      <c r="J29" s="528"/>
      <c r="K29" s="528">
        <f>K28/1000</f>
        <v>1646818.99640331</v>
      </c>
      <c r="L29" s="528">
        <f t="shared" ref="L29:Q29" si="4">L28/1000</f>
        <v>47420.702724441486</v>
      </c>
      <c r="M29" s="528">
        <f t="shared" si="4"/>
        <v>71131.074333755401</v>
      </c>
      <c r="N29" s="528">
        <f t="shared" si="4"/>
        <v>39517.252587609401</v>
      </c>
      <c r="O29" s="528">
        <f t="shared" si="4"/>
        <v>1466395.780243488</v>
      </c>
      <c r="P29" s="528">
        <f t="shared" si="4"/>
        <v>142262.15182337718</v>
      </c>
      <c r="Q29" s="528">
        <f t="shared" si="4"/>
        <v>252910.56054009922</v>
      </c>
      <c r="R29" s="528"/>
      <c r="S29" s="528"/>
      <c r="T29" s="119"/>
    </row>
    <row r="30" spans="1:86" x14ac:dyDescent="0.15">
      <c r="B30" s="80" t="s">
        <v>414</v>
      </c>
      <c r="C30" s="199">
        <f>C61*('Constants &amp; Conversions'!$D$61+1)</f>
        <v>25415.360893124594</v>
      </c>
      <c r="D30" s="220" t="s">
        <v>404</v>
      </c>
      <c r="I30" s="119"/>
      <c r="J30" s="528"/>
      <c r="K30" s="532">
        <f>K29-E45</f>
        <v>-4.6566128730773926E-9</v>
      </c>
      <c r="L30" s="532">
        <f t="shared" ref="L30:Q30" si="5">L29-F45</f>
        <v>0</v>
      </c>
      <c r="M30" s="532">
        <f t="shared" si="5"/>
        <v>0</v>
      </c>
      <c r="N30" s="532">
        <f t="shared" si="5"/>
        <v>0</v>
      </c>
      <c r="O30" s="532">
        <f t="shared" si="5"/>
        <v>0</v>
      </c>
      <c r="P30" s="532">
        <f t="shared" si="5"/>
        <v>0</v>
      </c>
      <c r="Q30" s="532">
        <f t="shared" si="5"/>
        <v>0</v>
      </c>
      <c r="R30" s="528"/>
      <c r="S30" s="528"/>
      <c r="T30" s="119"/>
    </row>
    <row r="31" spans="1:86" x14ac:dyDescent="0.15">
      <c r="B31" s="80" t="s">
        <v>415</v>
      </c>
      <c r="C31" s="199">
        <v>140341</v>
      </c>
      <c r="D31" s="220" t="s">
        <v>416</v>
      </c>
      <c r="I31" s="119"/>
      <c r="J31" s="528"/>
      <c r="K31" s="528"/>
      <c r="L31" s="528"/>
      <c r="M31" s="528"/>
      <c r="N31" s="528"/>
      <c r="O31" s="528"/>
      <c r="P31" s="528"/>
      <c r="Q31" s="528"/>
      <c r="R31" s="528"/>
      <c r="S31" s="528"/>
      <c r="T31" s="119"/>
    </row>
    <row r="32" spans="1:86" x14ac:dyDescent="0.15">
      <c r="B32" s="464" t="s">
        <v>88</v>
      </c>
      <c r="C32" s="466">
        <f>SUM(C21:C31)</f>
        <v>497196.05172836658</v>
      </c>
      <c r="D32" s="220"/>
      <c r="I32" s="119"/>
      <c r="J32" s="528"/>
      <c r="K32" s="528"/>
      <c r="L32" s="528"/>
      <c r="M32" s="528"/>
      <c r="N32" s="528"/>
      <c r="O32" s="528"/>
      <c r="P32" s="528"/>
      <c r="Q32" s="528"/>
      <c r="R32" s="528"/>
      <c r="S32" s="528"/>
      <c r="T32" s="119"/>
    </row>
    <row r="33" spans="1:20" x14ac:dyDescent="0.15">
      <c r="B33" s="101" t="s">
        <v>417</v>
      </c>
      <c r="I33" s="119"/>
      <c r="J33" s="119"/>
      <c r="K33" s="119"/>
      <c r="L33" s="119"/>
      <c r="M33" s="119"/>
      <c r="N33" s="119"/>
      <c r="O33" s="119"/>
      <c r="P33" s="119"/>
      <c r="Q33" s="119"/>
      <c r="R33" s="119"/>
      <c r="S33" s="119"/>
      <c r="T33" s="119"/>
    </row>
    <row r="34" spans="1:20" x14ac:dyDescent="0.15">
      <c r="B34" s="101" t="s">
        <v>418</v>
      </c>
      <c r="I34" s="119"/>
      <c r="J34" s="119"/>
      <c r="K34" s="119"/>
      <c r="L34" s="119"/>
      <c r="M34" s="119"/>
      <c r="N34" s="119"/>
      <c r="O34" s="119"/>
      <c r="P34" s="119"/>
      <c r="Q34" s="119"/>
      <c r="R34" s="119"/>
      <c r="S34" s="119"/>
      <c r="T34" s="119"/>
    </row>
    <row r="35" spans="1:20" x14ac:dyDescent="0.15">
      <c r="B35" s="237"/>
    </row>
    <row r="36" spans="1:20" x14ac:dyDescent="0.15">
      <c r="A36" s="82" t="s">
        <v>405</v>
      </c>
    </row>
    <row r="37" spans="1:20" x14ac:dyDescent="0.15">
      <c r="B37" s="66" t="s">
        <v>419</v>
      </c>
    </row>
    <row r="38" spans="1:20" ht="15" x14ac:dyDescent="0.15">
      <c r="B38" s="83"/>
      <c r="C38" s="83" t="s">
        <v>58</v>
      </c>
      <c r="D38" s="83" t="s">
        <v>100</v>
      </c>
      <c r="E38" s="83" t="s">
        <v>59</v>
      </c>
      <c r="F38" s="83" t="s">
        <v>60</v>
      </c>
      <c r="G38" s="83" t="s">
        <v>62</v>
      </c>
      <c r="H38" s="83" t="s">
        <v>61</v>
      </c>
      <c r="I38" s="83" t="s">
        <v>63</v>
      </c>
      <c r="J38" s="83" t="s">
        <v>64</v>
      </c>
      <c r="K38" s="83" t="s">
        <v>65</v>
      </c>
    </row>
    <row r="39" spans="1:20" x14ac:dyDescent="0.15">
      <c r="B39" s="117" t="s">
        <v>147</v>
      </c>
      <c r="C39" s="179">
        <f>C44*'Constants &amp; Conversions'!$D$36/'Constants &amp; Conversions'!$D56</f>
        <v>12053.367254566483</v>
      </c>
      <c r="D39" s="179">
        <f>D44*'Constants &amp; Conversions'!$D$36/'Constants &amp; Conversions'!$D56</f>
        <v>1193283.3582020819</v>
      </c>
      <c r="E39" s="179">
        <f>E44*'Constants &amp; Conversions'!$D$36/'Constants &amp; Conversions'!$D56</f>
        <v>1205336.7254566483</v>
      </c>
      <c r="F39" s="179">
        <f>F44*'Constants &amp; Conversions'!$D$36/'Constants &amp; Conversions'!$D56</f>
        <v>72370.212886398658</v>
      </c>
      <c r="G39" s="179">
        <f>G44*'Constants &amp; Conversions'!$D$36/'Constants &amp; Conversions'!$D56</f>
        <v>108555.34797055022</v>
      </c>
      <c r="H39" s="179">
        <f>H44*'Constants &amp; Conversions'!$D$36/'Constants &amp; Conversions'!$D56</f>
        <v>60308.541272234914</v>
      </c>
      <c r="I39" s="179">
        <f>I44*'Constants &amp; Conversions'!$D$36/'Constants &amp; Conversions'!$D56</f>
        <v>1284390.9923011097</v>
      </c>
      <c r="J39" s="179">
        <f>J44*'Constants &amp; Conversions'!$D$36/'Constants &amp; Conversions'!$D56</f>
        <v>217110.64220298873</v>
      </c>
      <c r="K39" s="179">
        <f>K44*'Constants &amp; Conversions'!$D$36/'Constants &amp; Conversions'!$D56</f>
        <v>385974.90549992392</v>
      </c>
    </row>
    <row r="40" spans="1:20" x14ac:dyDescent="0.15">
      <c r="B40" s="117" t="s">
        <v>146</v>
      </c>
      <c r="C40" s="179">
        <f>C45*'Constants &amp; Conversions'!$D$36/'Constants &amp; Conversions'!$D57</f>
        <v>5199.9336798336426</v>
      </c>
      <c r="D40" s="179">
        <f>D45*'Constants &amp; Conversions'!$D$36/'Constants &amp; Conversions'!$D57</f>
        <v>514793.43430353061</v>
      </c>
      <c r="E40" s="179">
        <f>E45*'Constants &amp; Conversions'!$D$36/'Constants &amp; Conversions'!$D57</f>
        <v>519993.36798336427</v>
      </c>
      <c r="F40" s="179">
        <f>F45*'Constants &amp; Conversions'!$D$36/'Constants &amp; Conversions'!$D57</f>
        <v>14973.382609548937</v>
      </c>
      <c r="G40" s="179">
        <f>G45*'Constants &amp; Conversions'!$D$36/'Constants &amp; Conversions'!$D57</f>
        <v>22460.080307469339</v>
      </c>
      <c r="H40" s="179">
        <f>H45*'Constants &amp; Conversions'!$D$36/'Constants &amp; Conversions'!$D57</f>
        <v>12477.818941461763</v>
      </c>
      <c r="I40" s="179">
        <f>I45*'Constants &amp; Conversions'!$D$36/'Constants &amp; Conversions'!$D57</f>
        <v>463023.61232822482</v>
      </c>
      <c r="J40" s="179">
        <f>J45*'Constants &amp; Conversions'!$D$36/'Constants &amp; Conversions'!$D57</f>
        <v>44920.161611423173</v>
      </c>
      <c r="K40" s="179">
        <f>K45*'Constants &amp; Conversions'!$D$36/'Constants &amp; Conversions'!$D57</f>
        <v>79858.086687748422</v>
      </c>
    </row>
    <row r="42" spans="1:20" x14ac:dyDescent="0.15">
      <c r="A42" s="82"/>
      <c r="B42" s="82" t="s">
        <v>420</v>
      </c>
    </row>
    <row r="43" spans="1:20" ht="15" x14ac:dyDescent="0.15">
      <c r="B43" s="83"/>
      <c r="C43" s="83" t="s">
        <v>58</v>
      </c>
      <c r="D43" s="83" t="s">
        <v>100</v>
      </c>
      <c r="E43" s="83" t="s">
        <v>59</v>
      </c>
      <c r="F43" s="83" t="s">
        <v>60</v>
      </c>
      <c r="G43" s="83" t="s">
        <v>62</v>
      </c>
      <c r="H43" s="83" t="s">
        <v>61</v>
      </c>
      <c r="I43" s="83" t="s">
        <v>63</v>
      </c>
      <c r="J43" s="83" t="s">
        <v>64</v>
      </c>
      <c r="K43" s="83" t="s">
        <v>65</v>
      </c>
    </row>
    <row r="44" spans="1:20" x14ac:dyDescent="0.15">
      <c r="B44" s="117" t="s">
        <v>147</v>
      </c>
      <c r="C44" s="179">
        <f>E44*'Offroad Allocation'!H12</f>
        <v>34219.509635714247</v>
      </c>
      <c r="D44" s="122">
        <f>E44-C44</f>
        <v>3387731.4539357102</v>
      </c>
      <c r="E44" s="122">
        <v>3421950.9635714246</v>
      </c>
      <c r="F44" s="122">
        <v>205459.0343844858</v>
      </c>
      <c r="G44" s="122">
        <v>308188.63288839208</v>
      </c>
      <c r="H44" s="122">
        <v>171215.94867187491</v>
      </c>
      <c r="I44" s="122">
        <v>3646386.0271428502</v>
      </c>
      <c r="J44" s="122">
        <v>616377.113214285</v>
      </c>
      <c r="K44" s="122">
        <v>1095782.756714284</v>
      </c>
    </row>
    <row r="45" spans="1:20" x14ac:dyDescent="0.15">
      <c r="B45" s="117" t="s">
        <v>146</v>
      </c>
      <c r="C45" s="179">
        <f>E45*'Offroad Allocation'!H12</f>
        <v>16468.189964033147</v>
      </c>
      <c r="D45" s="122">
        <f>E45-C45</f>
        <v>1630350.8064392814</v>
      </c>
      <c r="E45" s="122">
        <v>1646818.9964033146</v>
      </c>
      <c r="F45" s="122">
        <v>47420.702724441486</v>
      </c>
      <c r="G45" s="122">
        <v>71131.074333755401</v>
      </c>
      <c r="H45" s="122">
        <v>39517.252587609401</v>
      </c>
      <c r="I45" s="122">
        <v>1466395.780243488</v>
      </c>
      <c r="J45" s="122">
        <v>142262.15182337718</v>
      </c>
      <c r="K45" s="122">
        <v>252910.56054009922</v>
      </c>
      <c r="L45" s="239"/>
    </row>
    <row r="46" spans="1:20" x14ac:dyDescent="0.15">
      <c r="B46" s="101" t="s">
        <v>421</v>
      </c>
    </row>
    <row r="47" spans="1:20" x14ac:dyDescent="0.15">
      <c r="B47" s="101"/>
    </row>
    <row r="48" spans="1:20" s="108" customFormat="1" ht="16" x14ac:dyDescent="0.2">
      <c r="A48" s="89">
        <v>2015</v>
      </c>
      <c r="B48" s="90"/>
      <c r="C48" s="91"/>
      <c r="D48" s="90"/>
      <c r="E48" s="90"/>
      <c r="F48" s="90"/>
      <c r="G48" s="90"/>
      <c r="H48" s="90"/>
      <c r="I48" s="90"/>
      <c r="J48" s="90"/>
      <c r="K48" s="90"/>
      <c r="L48" s="90"/>
      <c r="M48" s="90"/>
      <c r="N48" s="106"/>
    </row>
    <row r="49" spans="1:21" s="108" customFormat="1" ht="16" x14ac:dyDescent="0.2">
      <c r="A49" s="98"/>
      <c r="B49" s="106"/>
      <c r="C49" s="107"/>
      <c r="D49" s="106"/>
      <c r="E49" s="106"/>
      <c r="F49" s="106"/>
      <c r="G49" s="106"/>
      <c r="H49" s="106"/>
      <c r="I49" s="106"/>
      <c r="J49" s="106"/>
      <c r="K49" s="106"/>
      <c r="L49" s="106"/>
      <c r="M49" s="106"/>
      <c r="N49" s="106"/>
    </row>
    <row r="50" spans="1:21" s="108" customFormat="1" ht="16" x14ac:dyDescent="0.2">
      <c r="A50" s="82" t="s">
        <v>395</v>
      </c>
      <c r="B50" s="106"/>
      <c r="C50" s="107"/>
      <c r="D50" s="106"/>
      <c r="E50" s="66"/>
      <c r="F50" s="66"/>
      <c r="G50" s="66"/>
      <c r="H50" s="106"/>
      <c r="I50" s="106"/>
      <c r="J50" s="106"/>
      <c r="K50" s="106"/>
      <c r="L50" s="106"/>
      <c r="M50" s="106"/>
      <c r="N50" s="106"/>
    </row>
    <row r="51" spans="1:21" s="108" customFormat="1" ht="16" x14ac:dyDescent="0.2">
      <c r="B51" s="82" t="s">
        <v>396</v>
      </c>
      <c r="C51" s="107"/>
      <c r="D51" s="106"/>
      <c r="E51" s="66"/>
      <c r="F51" s="66"/>
      <c r="G51" s="66"/>
      <c r="H51" s="106"/>
      <c r="I51" s="106"/>
      <c r="J51" s="526"/>
      <c r="K51" s="526"/>
      <c r="L51" s="526"/>
      <c r="M51" s="526"/>
      <c r="N51" s="526"/>
      <c r="O51" s="526"/>
      <c r="P51" s="526"/>
      <c r="Q51" s="526"/>
      <c r="R51" s="526"/>
      <c r="S51" s="526"/>
      <c r="T51" s="527"/>
      <c r="U51" s="527"/>
    </row>
    <row r="52" spans="1:21" ht="15" x14ac:dyDescent="0.15">
      <c r="B52" s="74" t="s">
        <v>397</v>
      </c>
      <c r="C52" s="198" t="s">
        <v>398</v>
      </c>
      <c r="D52" s="197" t="s">
        <v>399</v>
      </c>
      <c r="J52" s="119"/>
      <c r="K52" s="119"/>
      <c r="L52" s="119"/>
      <c r="M52" s="119"/>
      <c r="N52" s="119"/>
      <c r="O52" s="119"/>
      <c r="P52" s="119"/>
      <c r="Q52" s="119"/>
      <c r="R52" s="119"/>
      <c r="S52" s="119"/>
      <c r="T52" s="119"/>
      <c r="U52" s="119"/>
    </row>
    <row r="53" spans="1:21" x14ac:dyDescent="0.15">
      <c r="B53" s="80" t="s">
        <v>422</v>
      </c>
      <c r="C53" s="199">
        <v>26799</v>
      </c>
      <c r="D53" s="200" t="s">
        <v>423</v>
      </c>
      <c r="J53" s="119"/>
      <c r="K53" s="528"/>
      <c r="L53" s="528"/>
      <c r="M53" s="528"/>
      <c r="N53" s="528"/>
      <c r="O53" s="528"/>
      <c r="P53" s="528"/>
      <c r="Q53" s="528"/>
      <c r="R53" s="528"/>
      <c r="S53" s="528"/>
      <c r="T53" s="528"/>
      <c r="U53" s="119"/>
    </row>
    <row r="54" spans="1:21" x14ac:dyDescent="0.15">
      <c r="B54" s="80" t="s">
        <v>403</v>
      </c>
      <c r="C54" s="199">
        <v>37721</v>
      </c>
      <c r="D54" s="200" t="s">
        <v>424</v>
      </c>
      <c r="J54" s="119"/>
      <c r="K54" s="528" t="s">
        <v>402</v>
      </c>
      <c r="L54" s="528"/>
      <c r="M54" s="528"/>
      <c r="N54" s="528"/>
      <c r="O54" s="528"/>
      <c r="P54" s="528"/>
      <c r="Q54" s="528"/>
      <c r="R54" s="528"/>
      <c r="S54" s="528"/>
      <c r="T54" s="528"/>
      <c r="U54" s="119"/>
    </row>
    <row r="55" spans="1:21" x14ac:dyDescent="0.15">
      <c r="B55" s="80" t="s">
        <v>425</v>
      </c>
      <c r="C55" s="199">
        <v>60869</v>
      </c>
      <c r="D55" s="200" t="s">
        <v>423</v>
      </c>
      <c r="J55" s="119"/>
      <c r="K55" s="529" t="s">
        <v>405</v>
      </c>
      <c r="L55" s="530">
        <v>2036041329.9999919</v>
      </c>
      <c r="M55" s="530">
        <v>226226782.4252229</v>
      </c>
      <c r="N55" s="530">
        <v>339340252.21763349</v>
      </c>
      <c r="O55" s="530">
        <v>188522419.55022311</v>
      </c>
      <c r="P55" s="530">
        <v>2752428254.9999971</v>
      </c>
      <c r="Q55" s="530">
        <v>678680366.99999905</v>
      </c>
      <c r="R55" s="530">
        <v>1206543866.42857</v>
      </c>
      <c r="S55" s="530"/>
      <c r="T55" s="528"/>
      <c r="U55" s="119"/>
    </row>
    <row r="56" spans="1:21" x14ac:dyDescent="0.15">
      <c r="B56" s="80" t="s">
        <v>406</v>
      </c>
      <c r="C56" s="199">
        <v>9100</v>
      </c>
      <c r="D56" s="200" t="s">
        <v>426</v>
      </c>
      <c r="J56" s="119"/>
      <c r="K56" s="528" t="s">
        <v>405</v>
      </c>
      <c r="L56" s="528">
        <v>3272282192.8571401</v>
      </c>
      <c r="M56" s="528">
        <v>93941071.191406205</v>
      </c>
      <c r="N56" s="528">
        <v>140911696.54910699</v>
      </c>
      <c r="O56" s="528">
        <v>78284269.173549101</v>
      </c>
      <c r="P56" s="528">
        <v>2912173614.2857099</v>
      </c>
      <c r="Q56" s="528">
        <v>281823247.14285702</v>
      </c>
      <c r="R56" s="528">
        <v>501019422.85714197</v>
      </c>
      <c r="S56" s="528"/>
      <c r="T56" s="528"/>
      <c r="U56" s="119"/>
    </row>
    <row r="57" spans="1:21" x14ac:dyDescent="0.15">
      <c r="B57" s="80" t="s">
        <v>407</v>
      </c>
      <c r="C57" s="199">
        <v>74180</v>
      </c>
      <c r="D57" s="200" t="s">
        <v>427</v>
      </c>
      <c r="J57" s="119"/>
      <c r="K57" s="528"/>
      <c r="L57" s="530">
        <f>(L55+L56)/1000</f>
        <v>5308323.5228571324</v>
      </c>
      <c r="M57" s="530">
        <f t="shared" ref="M57" si="6">(M55+M56)/1000</f>
        <v>320167.85361662915</v>
      </c>
      <c r="N57" s="530">
        <f t="shared" ref="N57" si="7">(N55+N56)/1000</f>
        <v>480251.94876674045</v>
      </c>
      <c r="O57" s="530">
        <f t="shared" ref="O57" si="8">(O55+O56)/1000</f>
        <v>266806.68872377224</v>
      </c>
      <c r="P57" s="530">
        <f t="shared" ref="P57" si="9">(P55+P56)/1000</f>
        <v>5664601.8692857074</v>
      </c>
      <c r="Q57" s="530">
        <f t="shared" ref="Q57" si="10">(Q55+Q56)/1000</f>
        <v>960503.61414285609</v>
      </c>
      <c r="R57" s="530">
        <f t="shared" ref="R57" si="11">(R55+R56)/1000</f>
        <v>1707563.2892857119</v>
      </c>
      <c r="S57" s="530"/>
      <c r="T57" s="528"/>
      <c r="U57" s="119"/>
    </row>
    <row r="58" spans="1:21" x14ac:dyDescent="0.15">
      <c r="B58" s="80" t="s">
        <v>408</v>
      </c>
      <c r="C58" s="199">
        <v>27068</v>
      </c>
      <c r="D58" s="200" t="s">
        <v>427</v>
      </c>
      <c r="J58" s="119"/>
      <c r="K58" s="528"/>
      <c r="L58" s="531">
        <f>L57-E75</f>
        <v>1829261.6649999982</v>
      </c>
      <c r="M58" s="531">
        <f t="shared" ref="M58:R58" si="12">M57-F75</f>
        <v>112853.79015987733</v>
      </c>
      <c r="N58" s="531">
        <f t="shared" si="12"/>
        <v>169280.82805691997</v>
      </c>
      <c r="O58" s="531">
        <f t="shared" si="12"/>
        <v>94044.982243024628</v>
      </c>
      <c r="P58" s="531">
        <f t="shared" si="12"/>
        <v>1966182.4514285745</v>
      </c>
      <c r="Q58" s="531">
        <f t="shared" si="12"/>
        <v>338561.62523660716</v>
      </c>
      <c r="R58" s="531">
        <f t="shared" si="12"/>
        <v>601888.99399999902</v>
      </c>
      <c r="S58" s="528"/>
      <c r="T58" s="528"/>
      <c r="U58" s="119"/>
    </row>
    <row r="59" spans="1:21" x14ac:dyDescent="0.15">
      <c r="B59" s="80" t="s">
        <v>409</v>
      </c>
      <c r="C59" s="199">
        <v>43033</v>
      </c>
      <c r="D59" s="200" t="s">
        <v>427</v>
      </c>
      <c r="J59" s="119"/>
      <c r="K59" s="528" t="s">
        <v>410</v>
      </c>
      <c r="L59" s="528"/>
      <c r="M59" s="528"/>
      <c r="N59" s="528"/>
      <c r="O59" s="528"/>
      <c r="P59" s="528"/>
      <c r="Q59" s="528"/>
      <c r="R59" s="528"/>
      <c r="S59" s="528"/>
      <c r="T59" s="528"/>
      <c r="U59" s="119"/>
    </row>
    <row r="60" spans="1:21" x14ac:dyDescent="0.15">
      <c r="B60" s="80" t="s">
        <v>411</v>
      </c>
      <c r="C60" s="199">
        <v>7000</v>
      </c>
      <c r="D60" s="200" t="s">
        <v>428</v>
      </c>
      <c r="J60" s="119"/>
      <c r="K60" s="529" t="s">
        <v>405</v>
      </c>
      <c r="L60" s="530">
        <v>2931552489.837821</v>
      </c>
      <c r="M60" s="530">
        <v>84414940.701631799</v>
      </c>
      <c r="N60" s="530">
        <v>126622553.60329707</v>
      </c>
      <c r="O60" s="530">
        <v>70345888.044091329</v>
      </c>
      <c r="P60" s="530">
        <v>2610373939.5365844</v>
      </c>
      <c r="Q60" s="530">
        <v>253244878.36068261</v>
      </c>
      <c r="R60" s="530">
        <v>450213584.86554813</v>
      </c>
      <c r="S60" s="530"/>
      <c r="T60" s="528"/>
      <c r="U60" s="119"/>
    </row>
    <row r="61" spans="1:21" x14ac:dyDescent="0.15">
      <c r="B61" s="80" t="s">
        <v>413</v>
      </c>
      <c r="C61" s="199">
        <v>24208</v>
      </c>
      <c r="D61" s="200" t="s">
        <v>427</v>
      </c>
      <c r="J61" s="119"/>
      <c r="K61" s="528"/>
      <c r="L61" s="528">
        <f>L60/1000</f>
        <v>2931552.4898378211</v>
      </c>
      <c r="M61" s="528">
        <f t="shared" ref="M61:R61" si="13">M60/1000</f>
        <v>84414.9407016318</v>
      </c>
      <c r="N61" s="528">
        <f t="shared" si="13"/>
        <v>126622.55360329707</v>
      </c>
      <c r="O61" s="528">
        <f t="shared" si="13"/>
        <v>70345.888044091334</v>
      </c>
      <c r="P61" s="528">
        <f t="shared" si="13"/>
        <v>2610373.9395365845</v>
      </c>
      <c r="Q61" s="528">
        <f t="shared" si="13"/>
        <v>253244.8783606826</v>
      </c>
      <c r="R61" s="528">
        <f t="shared" si="13"/>
        <v>450213.58486554812</v>
      </c>
      <c r="S61" s="528"/>
      <c r="T61" s="528"/>
      <c r="U61" s="119"/>
    </row>
    <row r="62" spans="1:21" x14ac:dyDescent="0.15">
      <c r="B62" s="80" t="s">
        <v>414</v>
      </c>
      <c r="C62" s="199">
        <v>5644</v>
      </c>
      <c r="D62" s="200" t="s">
        <v>427</v>
      </c>
      <c r="J62" s="119"/>
      <c r="K62" s="528"/>
      <c r="L62" s="532">
        <f>L61-E76</f>
        <v>1403909.0041086862</v>
      </c>
      <c r="M62" s="532">
        <f t="shared" ref="M62:R62" si="14">M61-F76</f>
        <v>40425.930774099084</v>
      </c>
      <c r="N62" s="532">
        <f t="shared" si="14"/>
        <v>60639.106933181203</v>
      </c>
      <c r="O62" s="532">
        <f t="shared" si="14"/>
        <v>33688.374343840529</v>
      </c>
      <c r="P62" s="532">
        <f t="shared" si="14"/>
        <v>1250097.4991645853</v>
      </c>
      <c r="Q62" s="532">
        <f t="shared" si="14"/>
        <v>121277.82714499824</v>
      </c>
      <c r="R62" s="532">
        <f t="shared" si="14"/>
        <v>215605.43370152151</v>
      </c>
      <c r="S62" s="528"/>
      <c r="T62" s="528"/>
      <c r="U62" s="119"/>
    </row>
    <row r="63" spans="1:21" x14ac:dyDescent="0.15">
      <c r="B63" s="80" t="s">
        <v>429</v>
      </c>
      <c r="C63" s="199">
        <v>105370</v>
      </c>
      <c r="D63" s="200" t="s">
        <v>424</v>
      </c>
      <c r="J63" s="119"/>
      <c r="K63" s="528"/>
      <c r="L63" s="528"/>
      <c r="M63" s="528"/>
      <c r="N63" s="528"/>
      <c r="O63" s="528"/>
      <c r="P63" s="528"/>
      <c r="Q63" s="528"/>
      <c r="R63" s="528"/>
      <c r="S63" s="528"/>
      <c r="T63" s="528"/>
      <c r="U63" s="119"/>
    </row>
    <row r="64" spans="1:21" x14ac:dyDescent="0.15">
      <c r="B64" s="464" t="s">
        <v>88</v>
      </c>
      <c r="C64" s="466">
        <f>SUM(C53:C63)</f>
        <v>420992</v>
      </c>
      <c r="D64" s="220"/>
      <c r="J64" s="119"/>
      <c r="K64" s="528"/>
      <c r="L64" s="528"/>
      <c r="M64" s="528"/>
      <c r="N64" s="528"/>
      <c r="O64" s="528"/>
      <c r="P64" s="528"/>
      <c r="Q64" s="528"/>
      <c r="R64" s="528"/>
      <c r="S64" s="528"/>
      <c r="T64" s="528"/>
      <c r="U64" s="119"/>
    </row>
    <row r="65" spans="1:21" x14ac:dyDescent="0.15">
      <c r="B65" s="138" t="s">
        <v>417</v>
      </c>
      <c r="J65" s="119"/>
      <c r="K65" s="119"/>
      <c r="L65" s="119"/>
      <c r="M65" s="119"/>
      <c r="N65" s="119"/>
      <c r="O65" s="119"/>
      <c r="P65" s="119"/>
      <c r="Q65" s="119"/>
      <c r="R65" s="119"/>
      <c r="S65" s="119"/>
      <c r="T65" s="119"/>
      <c r="U65" s="119"/>
    </row>
    <row r="67" spans="1:21" x14ac:dyDescent="0.15">
      <c r="A67" s="82" t="s">
        <v>405</v>
      </c>
    </row>
    <row r="68" spans="1:21" x14ac:dyDescent="0.15">
      <c r="B68" s="66" t="s">
        <v>419</v>
      </c>
    </row>
    <row r="69" spans="1:21" ht="15" x14ac:dyDescent="0.15">
      <c r="B69" s="83"/>
      <c r="C69" s="83" t="s">
        <v>58</v>
      </c>
      <c r="D69" s="83" t="s">
        <v>100</v>
      </c>
      <c r="E69" s="83" t="s">
        <v>59</v>
      </c>
      <c r="F69" s="83" t="s">
        <v>60</v>
      </c>
      <c r="G69" s="83" t="s">
        <v>62</v>
      </c>
      <c r="H69" s="83" t="s">
        <v>61</v>
      </c>
      <c r="I69" s="83" t="s">
        <v>63</v>
      </c>
      <c r="J69" s="83" t="s">
        <v>64</v>
      </c>
      <c r="K69" s="83" t="s">
        <v>65</v>
      </c>
    </row>
    <row r="70" spans="1:21" x14ac:dyDescent="0.15">
      <c r="B70" s="117" t="s">
        <v>147</v>
      </c>
      <c r="C70" s="179">
        <f>C75*'Constants &amp; Conversions'!$D$36/'Constants &amp; Conversions'!$D56</f>
        <v>12254.532785689098</v>
      </c>
      <c r="D70" s="179">
        <f>D75*'Constants &amp; Conversions'!$D$36/'Constants &amp; Conversions'!$D56</f>
        <v>1213198.7457832205</v>
      </c>
      <c r="E70" s="179">
        <f>E75*'Constants &amp; Conversions'!$D$36/'Constants &amp; Conversions'!$D56</f>
        <v>1225453.2785689095</v>
      </c>
      <c r="F70" s="179">
        <f>F75*'Constants &amp; Conversions'!$D$36/'Constants &amp; Conversions'!$D56</f>
        <v>73023.622210902366</v>
      </c>
      <c r="G70" s="179">
        <f>G75*'Constants &amp; Conversions'!$D$36/'Constants &amp; Conversions'!$D56</f>
        <v>109535.44230708716</v>
      </c>
      <c r="H70" s="179">
        <f>H75*'Constants &amp; Conversions'!$D$36/'Constants &amp; Conversions'!$D56</f>
        <v>60853.013906568376</v>
      </c>
      <c r="I70" s="179">
        <f>I75*'Constants &amp; Conversions'!$D$36/'Constants &amp; Conversions'!$D56</f>
        <v>1302719.0622955733</v>
      </c>
      <c r="J70" s="179">
        <f>J75*'Constants &amp; Conversions'!$D$36/'Constants &amp; Conversions'!$D56</f>
        <v>219070.79566968966</v>
      </c>
      <c r="K70" s="179">
        <f>K75*'Constants &amp; Conversions'!$D$36/'Constants &amp; Conversions'!$D56</f>
        <v>389459.06843455898</v>
      </c>
    </row>
    <row r="71" spans="1:21" x14ac:dyDescent="0.15">
      <c r="B71" s="117" t="s">
        <v>146</v>
      </c>
      <c r="C71" s="179">
        <f>C76*'Constants &amp; Conversions'!$D$36/'Constants &amp; Conversions'!$D57</f>
        <v>4823.6295728738078</v>
      </c>
      <c r="D71" s="179">
        <f>D76*'Constants &amp; Conversions'!$D$36/'Constants &amp; Conversions'!$D57</f>
        <v>477539.32771450694</v>
      </c>
      <c r="E71" s="179">
        <f>E76*'Constants &amp; Conversions'!$D$36/'Constants &amp; Conversions'!$D57</f>
        <v>482362.95728738076</v>
      </c>
      <c r="F71" s="179">
        <f>F76*'Constants &amp; Conversions'!$D$36/'Constants &amp; Conversions'!$D57</f>
        <v>13889.804208251569</v>
      </c>
      <c r="G71" s="179">
        <f>G76*'Constants &amp; Conversions'!$D$36/'Constants &amp; Conversions'!$D57</f>
        <v>20834.684771113312</v>
      </c>
      <c r="H71" s="179">
        <f>H76*'Constants &amp; Conversions'!$D$36/'Constants &amp; Conversions'!$D57</f>
        <v>11574.838553915632</v>
      </c>
      <c r="I71" s="179">
        <f>I76*'Constants &amp; Conversions'!$D$36/'Constants &amp; Conversions'!$D57</f>
        <v>429515.76898389618</v>
      </c>
      <c r="J71" s="179">
        <f>J76*'Constants &amp; Conversions'!$D$36/'Constants &amp; Conversions'!$D57</f>
        <v>41669.419392385331</v>
      </c>
      <c r="K71" s="179">
        <f>K76*'Constants &amp; Conversions'!$D$36/'Constants &amp; Conversions'!$D57</f>
        <v>74078.986790030511</v>
      </c>
    </row>
    <row r="73" spans="1:21" x14ac:dyDescent="0.15">
      <c r="A73" s="82"/>
      <c r="B73" s="82" t="s">
        <v>420</v>
      </c>
    </row>
    <row r="74" spans="1:21" ht="15" x14ac:dyDescent="0.15">
      <c r="B74" s="83"/>
      <c r="C74" s="83" t="s">
        <v>58</v>
      </c>
      <c r="D74" s="83" t="s">
        <v>100</v>
      </c>
      <c r="E74" s="83" t="s">
        <v>59</v>
      </c>
      <c r="F74" s="83" t="s">
        <v>60</v>
      </c>
      <c r="G74" s="83" t="s">
        <v>62</v>
      </c>
      <c r="H74" s="83" t="s">
        <v>61</v>
      </c>
      <c r="I74" s="83" t="s">
        <v>63</v>
      </c>
      <c r="J74" s="83" t="s">
        <v>64</v>
      </c>
      <c r="K74" s="83" t="s">
        <v>65</v>
      </c>
    </row>
    <row r="75" spans="1:21" x14ac:dyDescent="0.15">
      <c r="B75" s="117" t="s">
        <v>147</v>
      </c>
      <c r="C75" s="179">
        <f>E75*'Offroad Allocation'!F12</f>
        <v>34790.618578571346</v>
      </c>
      <c r="D75" s="122">
        <f>E75-C75</f>
        <v>3444271.2392785628</v>
      </c>
      <c r="E75" s="117">
        <v>3479061.8578571342</v>
      </c>
      <c r="F75" s="117">
        <v>207314.06345675181</v>
      </c>
      <c r="G75" s="117">
        <v>310971.12070982048</v>
      </c>
      <c r="H75" s="117">
        <v>172761.70648074761</v>
      </c>
      <c r="I75" s="117">
        <v>3698419.4178571329</v>
      </c>
      <c r="J75" s="117">
        <v>621941.98890624894</v>
      </c>
      <c r="K75" s="117">
        <v>1105674.2952857129</v>
      </c>
    </row>
    <row r="76" spans="1:21" x14ac:dyDescent="0.15">
      <c r="B76" s="117" t="s">
        <v>146</v>
      </c>
      <c r="C76" s="179">
        <f>E76*'Offroad Allocation'!F12</f>
        <v>15276.43485729135</v>
      </c>
      <c r="D76" s="122">
        <f>E76-C76</f>
        <v>1512367.0508718435</v>
      </c>
      <c r="E76" s="117">
        <v>1527643.4857291349</v>
      </c>
      <c r="F76" s="117">
        <v>43989.009927532716</v>
      </c>
      <c r="G76" s="117">
        <v>65983.446670115867</v>
      </c>
      <c r="H76" s="117">
        <v>36657.513700250805</v>
      </c>
      <c r="I76" s="117">
        <v>1360276.4403719993</v>
      </c>
      <c r="J76" s="117">
        <v>131967.05121568436</v>
      </c>
      <c r="K76" s="117">
        <v>234608.15116402661</v>
      </c>
    </row>
    <row r="77" spans="1:21" x14ac:dyDescent="0.15">
      <c r="B77" s="101" t="s">
        <v>421</v>
      </c>
    </row>
    <row r="79" spans="1:21" s="108" customFormat="1" ht="16" x14ac:dyDescent="0.2">
      <c r="A79" s="89">
        <v>2010</v>
      </c>
      <c r="B79" s="90"/>
      <c r="C79" s="91"/>
      <c r="D79" s="90"/>
      <c r="E79" s="90"/>
      <c r="F79" s="90"/>
      <c r="G79" s="90"/>
      <c r="H79" s="90"/>
      <c r="I79" s="90"/>
      <c r="J79" s="90"/>
      <c r="K79" s="90"/>
      <c r="L79" s="90"/>
      <c r="M79" s="90"/>
      <c r="N79" s="106"/>
    </row>
    <row r="80" spans="1:21" x14ac:dyDescent="0.15">
      <c r="C80" s="66"/>
    </row>
    <row r="81" spans="1:21" x14ac:dyDescent="0.15">
      <c r="A81" s="82" t="s">
        <v>430</v>
      </c>
      <c r="C81" s="66"/>
    </row>
    <row r="82" spans="1:21" s="108" customFormat="1" ht="16" x14ac:dyDescent="0.2">
      <c r="B82" s="82" t="s">
        <v>396</v>
      </c>
      <c r="C82" s="107"/>
      <c r="D82" s="106"/>
      <c r="E82" s="66"/>
      <c r="F82" s="66"/>
      <c r="G82" s="66"/>
      <c r="H82" s="106"/>
      <c r="I82" s="106"/>
      <c r="J82" s="106"/>
      <c r="K82" s="106"/>
      <c r="L82" s="106"/>
      <c r="M82" s="106"/>
      <c r="N82" s="106"/>
    </row>
    <row r="83" spans="1:21" ht="15" x14ac:dyDescent="0.15">
      <c r="B83" s="74" t="s">
        <v>397</v>
      </c>
      <c r="C83" s="198" t="s">
        <v>398</v>
      </c>
      <c r="J83" s="119"/>
      <c r="K83" s="119"/>
      <c r="L83" s="119"/>
      <c r="M83" s="119"/>
      <c r="N83" s="119"/>
      <c r="O83" s="119"/>
      <c r="P83" s="119"/>
      <c r="Q83" s="119"/>
      <c r="R83" s="119"/>
      <c r="S83" s="119"/>
      <c r="T83" s="119"/>
      <c r="U83" s="119"/>
    </row>
    <row r="84" spans="1:21" x14ac:dyDescent="0.15">
      <c r="B84" s="80" t="s">
        <v>422</v>
      </c>
      <c r="C84" s="186">
        <f t="shared" ref="C84:C94" si="15">C53/(GDP_Growth+1)</f>
        <v>24545.110711401408</v>
      </c>
      <c r="J84" s="119"/>
      <c r="K84" s="528"/>
      <c r="L84" s="528"/>
      <c r="M84" s="528"/>
      <c r="N84" s="528"/>
      <c r="O84" s="528"/>
      <c r="P84" s="528"/>
      <c r="Q84" s="528"/>
      <c r="R84" s="528"/>
      <c r="S84" s="528"/>
      <c r="T84" s="528"/>
      <c r="U84" s="119"/>
    </row>
    <row r="85" spans="1:21" x14ac:dyDescent="0.15">
      <c r="B85" s="80" t="s">
        <v>403</v>
      </c>
      <c r="C85" s="186">
        <f t="shared" si="15"/>
        <v>34548.532450642655</v>
      </c>
      <c r="J85" s="119"/>
      <c r="K85" s="528" t="s">
        <v>402</v>
      </c>
      <c r="L85" s="528"/>
      <c r="M85" s="528"/>
      <c r="N85" s="528"/>
      <c r="O85" s="528"/>
      <c r="P85" s="528"/>
      <c r="Q85" s="528"/>
      <c r="R85" s="528"/>
      <c r="S85" s="528"/>
      <c r="T85" s="528"/>
      <c r="U85" s="119"/>
    </row>
    <row r="86" spans="1:21" x14ac:dyDescent="0.15">
      <c r="B86" s="80" t="s">
        <v>425</v>
      </c>
      <c r="C86" s="186">
        <f t="shared" si="15"/>
        <v>55749.704984973032</v>
      </c>
      <c r="J86" s="119"/>
      <c r="K86" s="529" t="s">
        <v>405</v>
      </c>
      <c r="L86" s="530">
        <v>1301182950.7142849</v>
      </c>
      <c r="M86" s="530">
        <v>144575694.33258849</v>
      </c>
      <c r="N86" s="530">
        <v>216863650.18359298</v>
      </c>
      <c r="O86" s="530">
        <v>120479830.90736601</v>
      </c>
      <c r="P86" s="530">
        <v>1759004102.8571401</v>
      </c>
      <c r="Q86" s="530">
        <v>433727186.92857099</v>
      </c>
      <c r="R86" s="530">
        <v>771071473.85714197</v>
      </c>
      <c r="S86" s="530"/>
      <c r="T86" s="528"/>
      <c r="U86" s="119"/>
    </row>
    <row r="87" spans="1:21" x14ac:dyDescent="0.15">
      <c r="B87" s="80" t="s">
        <v>406</v>
      </c>
      <c r="C87" s="186">
        <f t="shared" si="15"/>
        <v>8334.6582885090047</v>
      </c>
      <c r="J87" s="119"/>
      <c r="K87" s="528" t="s">
        <v>405</v>
      </c>
      <c r="L87" s="528">
        <v>2120768012.8571401</v>
      </c>
      <c r="M87" s="528">
        <v>60883340.051897302</v>
      </c>
      <c r="N87" s="528">
        <v>91324982.704799101</v>
      </c>
      <c r="O87" s="528">
        <v>50736117.764508903</v>
      </c>
      <c r="P87" s="528">
        <v>1887381924.2857101</v>
      </c>
      <c r="Q87" s="528">
        <v>182649926.285714</v>
      </c>
      <c r="R87" s="528">
        <v>324711282.85714197</v>
      </c>
      <c r="S87" s="528"/>
      <c r="T87" s="528"/>
      <c r="U87" s="119"/>
    </row>
    <row r="88" spans="1:21" x14ac:dyDescent="0.15">
      <c r="B88" s="80" t="s">
        <v>407</v>
      </c>
      <c r="C88" s="186">
        <f t="shared" si="15"/>
        <v>67941.203499076699</v>
      </c>
      <c r="J88" s="119"/>
      <c r="K88" s="528"/>
      <c r="L88" s="530">
        <f>(L86+L87)/1000</f>
        <v>3421950.9635714251</v>
      </c>
      <c r="M88" s="530">
        <f t="shared" ref="M88" si="16">(M86+M87)/1000</f>
        <v>205459.03438448577</v>
      </c>
      <c r="N88" s="530">
        <f t="shared" ref="N88" si="17">(N86+N87)/1000</f>
        <v>308188.63288839208</v>
      </c>
      <c r="O88" s="530">
        <f t="shared" ref="O88" si="18">(O86+O87)/1000</f>
        <v>171215.94867187491</v>
      </c>
      <c r="P88" s="530">
        <f t="shared" ref="P88" si="19">(P86+P87)/1000</f>
        <v>3646386.0271428498</v>
      </c>
      <c r="Q88" s="530">
        <f t="shared" ref="Q88" si="20">(Q86+Q87)/1000</f>
        <v>616377.113214285</v>
      </c>
      <c r="R88" s="530">
        <f t="shared" ref="R88" si="21">(R86+R87)/1000</f>
        <v>1095782.756714284</v>
      </c>
      <c r="S88" s="530"/>
      <c r="T88" s="528"/>
      <c r="U88" s="119"/>
    </row>
    <row r="89" spans="1:21" x14ac:dyDescent="0.15">
      <c r="B89" s="80" t="s">
        <v>408</v>
      </c>
      <c r="C89" s="186">
        <f t="shared" si="15"/>
        <v>24791.486873995796</v>
      </c>
      <c r="J89" s="119"/>
      <c r="K89" s="528"/>
      <c r="L89" s="531">
        <f>L88-F107</f>
        <v>3369584.5145438132</v>
      </c>
      <c r="M89" s="531">
        <f t="shared" ref="M89" si="22">M88-G107</f>
        <v>126909.33766321807</v>
      </c>
      <c r="N89" s="531">
        <f t="shared" ref="N89" si="23">N88-H107</f>
        <v>264549.95757074887</v>
      </c>
      <c r="O89" s="531">
        <f t="shared" ref="O89" si="24">O88-I107</f>
        <v>-1448115.8983483466</v>
      </c>
      <c r="P89" s="531">
        <f t="shared" ref="P89" si="25">P88-J107</f>
        <v>3489286.694893186</v>
      </c>
      <c r="Q89" s="531">
        <f t="shared" ref="Q89" si="26">Q88-K107</f>
        <v>337089.54760132695</v>
      </c>
      <c r="R89" s="531">
        <f t="shared" ref="R89" si="27">R88-L107</f>
        <v>1095782.756714284</v>
      </c>
      <c r="S89" s="528"/>
      <c r="T89" s="528"/>
      <c r="U89" s="119"/>
    </row>
    <row r="90" spans="1:21" x14ac:dyDescent="0.15">
      <c r="B90" s="80" t="s">
        <v>409</v>
      </c>
      <c r="C90" s="186">
        <f t="shared" si="15"/>
        <v>39413.774739495384</v>
      </c>
      <c r="J90" s="119"/>
      <c r="K90" s="528" t="s">
        <v>410</v>
      </c>
      <c r="L90" s="528"/>
      <c r="M90" s="528"/>
      <c r="N90" s="528"/>
      <c r="O90" s="528"/>
      <c r="P90" s="528"/>
      <c r="Q90" s="528"/>
      <c r="R90" s="528"/>
      <c r="S90" s="528"/>
      <c r="T90" s="528"/>
      <c r="U90" s="119"/>
    </row>
    <row r="91" spans="1:21" x14ac:dyDescent="0.15">
      <c r="B91" s="80" t="s">
        <v>411</v>
      </c>
      <c r="C91" s="186">
        <f t="shared" si="15"/>
        <v>6411.2756065453887</v>
      </c>
      <c r="J91" s="119"/>
      <c r="K91" s="529" t="s">
        <v>405</v>
      </c>
      <c r="L91" s="530">
        <v>2628535141.7915306</v>
      </c>
      <c r="M91" s="530">
        <v>75689425.23183763</v>
      </c>
      <c r="N91" s="530">
        <v>113534331.0964617</v>
      </c>
      <c r="O91" s="530">
        <v>63074527.413142614</v>
      </c>
      <c r="P91" s="530">
        <v>2340553728.5759206</v>
      </c>
      <c r="Q91" s="530">
        <v>227068434.60719445</v>
      </c>
      <c r="R91" s="530">
        <v>403677255.48903042</v>
      </c>
      <c r="S91" s="530"/>
      <c r="T91" s="528"/>
      <c r="U91" s="119"/>
    </row>
    <row r="92" spans="1:21" x14ac:dyDescent="0.15">
      <c r="B92" s="80" t="s">
        <v>413</v>
      </c>
      <c r="C92" s="186">
        <f t="shared" si="15"/>
        <v>22172.022840464393</v>
      </c>
      <c r="J92" s="119"/>
      <c r="K92" s="528"/>
      <c r="L92" s="528">
        <f>L91/1000</f>
        <v>2628535.1417915304</v>
      </c>
      <c r="M92" s="528">
        <f t="shared" ref="M92" si="28">M91/1000</f>
        <v>75689.425231837624</v>
      </c>
      <c r="N92" s="528">
        <f t="shared" ref="N92" si="29">N91/1000</f>
        <v>113534.3310964617</v>
      </c>
      <c r="O92" s="528">
        <f t="shared" ref="O92" si="30">O91/1000</f>
        <v>63074.527413142612</v>
      </c>
      <c r="P92" s="528">
        <f t="shared" ref="P92" si="31">P91/1000</f>
        <v>2340553.7285759207</v>
      </c>
      <c r="Q92" s="528">
        <f t="shared" ref="Q92" si="32">Q91/1000</f>
        <v>227068.43460719445</v>
      </c>
      <c r="R92" s="528">
        <f t="shared" ref="R92" si="33">R91/1000</f>
        <v>403677.25548903045</v>
      </c>
      <c r="S92" s="528"/>
      <c r="T92" s="528"/>
      <c r="U92" s="119"/>
    </row>
    <row r="93" spans="1:21" x14ac:dyDescent="0.15">
      <c r="B93" s="80" t="s">
        <v>414</v>
      </c>
      <c r="C93" s="186">
        <f t="shared" si="15"/>
        <v>5169.319931906025</v>
      </c>
      <c r="J93" s="119"/>
      <c r="K93" s="528"/>
      <c r="L93" s="532">
        <f>L92-E107</f>
        <v>809961.74687960278</v>
      </c>
      <c r="M93" s="532">
        <f t="shared" ref="M93:R93" si="34">M92-F107</f>
        <v>23322.976204225757</v>
      </c>
      <c r="N93" s="532">
        <f t="shared" si="34"/>
        <v>34984.634375194</v>
      </c>
      <c r="O93" s="532">
        <f t="shared" si="34"/>
        <v>19435.852095499402</v>
      </c>
      <c r="P93" s="532">
        <f t="shared" si="34"/>
        <v>721221.88155569928</v>
      </c>
      <c r="Q93" s="532">
        <f t="shared" si="34"/>
        <v>69969.102357530704</v>
      </c>
      <c r="R93" s="532">
        <f t="shared" si="34"/>
        <v>124389.6898760724</v>
      </c>
      <c r="S93" s="528"/>
      <c r="T93" s="528"/>
      <c r="U93" s="119"/>
    </row>
    <row r="94" spans="1:21" x14ac:dyDescent="0.15">
      <c r="B94" s="463" t="s">
        <v>429</v>
      </c>
      <c r="C94" s="465">
        <f t="shared" si="15"/>
        <v>96508.015808812517</v>
      </c>
      <c r="J94" s="119"/>
      <c r="K94" s="528"/>
      <c r="L94" s="528"/>
      <c r="M94" s="528"/>
      <c r="N94" s="528"/>
      <c r="O94" s="528"/>
      <c r="P94" s="528"/>
      <c r="Q94" s="528"/>
      <c r="R94" s="528"/>
      <c r="S94" s="528"/>
      <c r="T94" s="528"/>
      <c r="U94" s="119"/>
    </row>
    <row r="95" spans="1:21" x14ac:dyDescent="0.15">
      <c r="B95" s="464" t="s">
        <v>88</v>
      </c>
      <c r="C95" s="466">
        <f>SUM(C84:C94)</f>
        <v>385585.10573582229</v>
      </c>
      <c r="J95" s="119"/>
      <c r="K95" s="528"/>
      <c r="L95" s="528"/>
      <c r="M95" s="528"/>
      <c r="N95" s="528"/>
      <c r="O95" s="528"/>
      <c r="P95" s="528"/>
      <c r="Q95" s="528"/>
      <c r="R95" s="528"/>
      <c r="S95" s="528"/>
      <c r="T95" s="528"/>
      <c r="U95" s="119"/>
    </row>
    <row r="96" spans="1:21" x14ac:dyDescent="0.15">
      <c r="B96" s="101" t="s">
        <v>431</v>
      </c>
      <c r="C96" s="66"/>
      <c r="J96" s="119"/>
      <c r="K96" s="119"/>
      <c r="L96" s="119"/>
      <c r="M96" s="119"/>
      <c r="N96" s="119"/>
      <c r="O96" s="119"/>
      <c r="P96" s="119"/>
      <c r="Q96" s="119"/>
      <c r="R96" s="119"/>
      <c r="S96" s="119"/>
      <c r="T96" s="119"/>
      <c r="U96" s="119"/>
    </row>
    <row r="97" spans="1:11" x14ac:dyDescent="0.15">
      <c r="C97" s="66"/>
    </row>
    <row r="98" spans="1:11" x14ac:dyDescent="0.15">
      <c r="A98" s="82" t="s">
        <v>405</v>
      </c>
      <c r="C98" s="66"/>
    </row>
    <row r="99" spans="1:11" x14ac:dyDescent="0.15">
      <c r="B99" s="66" t="s">
        <v>419</v>
      </c>
    </row>
    <row r="100" spans="1:11" ht="15" x14ac:dyDescent="0.15">
      <c r="B100" s="83"/>
      <c r="C100" s="83" t="s">
        <v>58</v>
      </c>
      <c r="D100" s="83" t="s">
        <v>100</v>
      </c>
      <c r="E100" s="83" t="s">
        <v>59</v>
      </c>
      <c r="F100" s="83" t="s">
        <v>60</v>
      </c>
      <c r="G100" s="83" t="s">
        <v>62</v>
      </c>
      <c r="H100" s="83" t="s">
        <v>61</v>
      </c>
      <c r="I100" s="83" t="s">
        <v>63</v>
      </c>
      <c r="J100" s="83" t="s">
        <v>64</v>
      </c>
      <c r="K100" s="83" t="s">
        <v>65</v>
      </c>
    </row>
    <row r="101" spans="1:11" x14ac:dyDescent="0.15">
      <c r="B101" s="117" t="s">
        <v>147</v>
      </c>
      <c r="C101" s="179">
        <f>C106*'Constants &amp; Conversions'!$D$36/'Constants &amp; Conversions'!$D56</f>
        <v>15446.686735772093</v>
      </c>
      <c r="D101" s="179">
        <f>D106*'Constants &amp; Conversions'!$D$36/'Constants &amp; Conversions'!$D56</f>
        <v>1529221.9868414372</v>
      </c>
      <c r="E101" s="179">
        <f>E106*'Constants &amp; Conversions'!$D$36/'Constants &amp; Conversions'!$D56</f>
        <v>1544668.6735772092</v>
      </c>
      <c r="F101" s="179">
        <f>F106*'Constants &amp; Conversions'!$D$36/'Constants &amp; Conversions'!$D56</f>
        <v>94548.872982304718</v>
      </c>
      <c r="G101" s="179">
        <f>G106*'Constants &amp; Conversions'!$D$36/'Constants &amp; Conversions'!$D56</f>
        <v>141823.36960126465</v>
      </c>
      <c r="H101" s="179">
        <f>H106*'Constants &amp; Conversions'!$D$36/'Constants &amp; Conversions'!$D56</f>
        <v>78790.731665411033</v>
      </c>
      <c r="I101" s="179">
        <f>I106*'Constants &amp; Conversions'!$D$36/'Constants &amp; Conversions'!$D56</f>
        <v>1656095.4886026217</v>
      </c>
      <c r="J101" s="179">
        <f>J106*'Constants &amp; Conversions'!$D$36/'Constants &amp; Conversions'!$D56</f>
        <v>283646.53092135052</v>
      </c>
      <c r="K101" s="179">
        <f>K106*'Constants &amp; Conversions'!$D$36/'Constants &amp; Conversions'!$D56</f>
        <v>504260.61591103446</v>
      </c>
    </row>
    <row r="102" spans="1:11" x14ac:dyDescent="0.15">
      <c r="B102" s="117" t="s">
        <v>146</v>
      </c>
      <c r="C102" s="179">
        <f>C107*'Constants &amp; Conversions'!$D$36/'Constants &amp; Conversions'!$D57</f>
        <v>5742.2589040477669</v>
      </c>
      <c r="D102" s="179">
        <f>D107*'Constants &amp; Conversions'!$D$36/'Constants &amp; Conversions'!$D57</f>
        <v>568483.63150072889</v>
      </c>
      <c r="E102" s="179">
        <f>E107*'Constants &amp; Conversions'!$D$36/'Constants &amp; Conversions'!$D57</f>
        <v>574225.89040477667</v>
      </c>
      <c r="F102" s="179">
        <f>F107*'Constants &amp; Conversions'!$D$36/'Constants &amp; Conversions'!$D57</f>
        <v>16535.032847367183</v>
      </c>
      <c r="G102" s="179">
        <f>G107*'Constants &amp; Conversions'!$D$36/'Constants &amp; Conversions'!$D57</f>
        <v>24802.556590232933</v>
      </c>
      <c r="H102" s="179">
        <f>H107*'Constants &amp; Conversions'!$D$36/'Constants &amp; Conversions'!$D57</f>
        <v>13779.183870427285</v>
      </c>
      <c r="I102" s="179">
        <f>I107*'Constants &amp; Conversions'!$D$36/'Constants &amp; Conversions'!$D57</f>
        <v>511314.12915068568</v>
      </c>
      <c r="J102" s="179">
        <f>J107*'Constants &amp; Conversions'!$D$36/'Constants &amp; Conversions'!$D57</f>
        <v>49605.09385843503</v>
      </c>
      <c r="K102" s="179">
        <f>K107*'Constants &amp; Conversions'!$D$36/'Constants &amp; Conversions'!$D57</f>
        <v>88186.790531404506</v>
      </c>
    </row>
    <row r="104" spans="1:11" x14ac:dyDescent="0.15">
      <c r="B104" s="66" t="s">
        <v>420</v>
      </c>
    </row>
    <row r="105" spans="1:11" ht="15" x14ac:dyDescent="0.15">
      <c r="B105" s="83"/>
      <c r="C105" s="83" t="s">
        <v>58</v>
      </c>
      <c r="D105" s="83" t="s">
        <v>100</v>
      </c>
      <c r="E105" s="83" t="s">
        <v>59</v>
      </c>
      <c r="F105" s="83" t="s">
        <v>60</v>
      </c>
      <c r="G105" s="83" t="s">
        <v>62</v>
      </c>
      <c r="H105" s="83" t="s">
        <v>61</v>
      </c>
      <c r="I105" s="83" t="s">
        <v>63</v>
      </c>
      <c r="J105" s="83" t="s">
        <v>64</v>
      </c>
      <c r="K105" s="83" t="s">
        <v>65</v>
      </c>
    </row>
    <row r="106" spans="1:11" x14ac:dyDescent="0.15">
      <c r="B106" s="117" t="s">
        <v>147</v>
      </c>
      <c r="C106" s="179">
        <f>E106*'Offroad Allocation'!F12</f>
        <v>43853.143642856972</v>
      </c>
      <c r="D106" s="122">
        <f>E106-C106</f>
        <v>4341461.2206428405</v>
      </c>
      <c r="E106" s="117">
        <v>4385314.3642856972</v>
      </c>
      <c r="F106" s="117">
        <v>268424.25039676309</v>
      </c>
      <c r="G106" s="117">
        <v>402636.54629799037</v>
      </c>
      <c r="H106" s="117">
        <v>223686.8871981019</v>
      </c>
      <c r="I106" s="117">
        <v>4701655.0921428436</v>
      </c>
      <c r="J106" s="117">
        <v>805272.5012857141</v>
      </c>
      <c r="K106" s="117">
        <v>1431595.888571427</v>
      </c>
    </row>
    <row r="107" spans="1:11" x14ac:dyDescent="0.15">
      <c r="B107" s="117" t="s">
        <v>146</v>
      </c>
      <c r="C107" s="179">
        <f>E107*'Offroad Allocation'!F12</f>
        <v>18185.733949119276</v>
      </c>
      <c r="D107" s="122">
        <f>E107-C107</f>
        <v>1800387.6609628084</v>
      </c>
      <c r="E107" s="117">
        <v>1818573.3949119276</v>
      </c>
      <c r="F107" s="117">
        <v>52366.449027611867</v>
      </c>
      <c r="G107" s="117">
        <v>78549.696721267697</v>
      </c>
      <c r="H107" s="117">
        <v>43638.67531764321</v>
      </c>
      <c r="I107" s="117">
        <v>1619331.8470202214</v>
      </c>
      <c r="J107" s="117">
        <v>157099.33224966374</v>
      </c>
      <c r="K107" s="117">
        <v>279287.56561295805</v>
      </c>
    </row>
    <row r="108" spans="1:11" x14ac:dyDescent="0.15">
      <c r="B108" s="101" t="s">
        <v>421</v>
      </c>
    </row>
  </sheetData>
  <mergeCells count="4">
    <mergeCell ref="B4:B5"/>
    <mergeCell ref="C4:D4"/>
    <mergeCell ref="E4:F4"/>
    <mergeCell ref="G4:H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66A80-FA32-40F6-AC80-6766F5637A26}">
  <sheetPr codeName="Sheet14">
    <tabColor theme="8" tint="0.59999389629810485"/>
    <outlinePr summaryBelow="0"/>
  </sheetPr>
  <dimension ref="A1:N232"/>
  <sheetViews>
    <sheetView zoomScale="90" zoomScaleNormal="90" workbookViewId="0">
      <selection activeCell="B4" sqref="B4:B5"/>
    </sheetView>
  </sheetViews>
  <sheetFormatPr baseColWidth="10" defaultColWidth="9" defaultRowHeight="14" x14ac:dyDescent="0.15"/>
  <cols>
    <col min="1" max="1" width="4.6640625" customWidth="1"/>
    <col min="2" max="2" width="41.6640625" customWidth="1"/>
    <col min="3" max="3" width="15.6640625" style="64" customWidth="1"/>
    <col min="4" max="4" width="16.83203125" customWidth="1"/>
    <col min="5" max="8" width="15.6640625" customWidth="1"/>
    <col min="9" max="10" width="15.6640625" style="66" customWidth="1"/>
    <col min="11" max="12" width="14.1640625" style="66" customWidth="1"/>
    <col min="13" max="16384" width="9" style="66"/>
  </cols>
  <sheetData>
    <row r="1" spans="1:14" ht="18" x14ac:dyDescent="0.2">
      <c r="A1" s="76" t="s">
        <v>432</v>
      </c>
      <c r="B1" s="77"/>
      <c r="C1" s="78"/>
      <c r="D1" s="77"/>
      <c r="E1" s="77"/>
      <c r="F1" s="77"/>
      <c r="G1" s="77"/>
      <c r="H1" s="77"/>
      <c r="I1" s="77"/>
      <c r="J1" s="77"/>
      <c r="K1" s="77"/>
      <c r="L1" s="77"/>
      <c r="M1" s="77"/>
      <c r="N1" s="189"/>
    </row>
    <row r="2" spans="1:14" x14ac:dyDescent="0.15">
      <c r="A2" s="66"/>
      <c r="B2" s="66"/>
      <c r="C2" s="66"/>
      <c r="D2" s="66"/>
      <c r="E2" s="66"/>
      <c r="F2" s="66"/>
      <c r="G2" s="66"/>
      <c r="H2" s="66"/>
    </row>
    <row r="3" spans="1:14" x14ac:dyDescent="0.15">
      <c r="A3" s="66"/>
      <c r="B3" s="82" t="s">
        <v>394</v>
      </c>
      <c r="C3" s="69"/>
      <c r="D3" s="66"/>
      <c r="E3" s="66"/>
      <c r="F3" s="66"/>
      <c r="G3" s="66"/>
      <c r="H3" s="66"/>
    </row>
    <row r="4" spans="1:14" ht="14.25" customHeight="1" x14ac:dyDescent="0.15">
      <c r="A4" s="66"/>
      <c r="B4" s="711" t="s">
        <v>77</v>
      </c>
      <c r="C4" s="725">
        <v>2010</v>
      </c>
      <c r="D4" s="725"/>
      <c r="E4" s="725">
        <v>2015</v>
      </c>
      <c r="F4" s="725"/>
      <c r="G4" s="725">
        <v>2019</v>
      </c>
      <c r="H4" s="725"/>
    </row>
    <row r="5" spans="1:14" ht="14.25" customHeight="1" x14ac:dyDescent="0.15">
      <c r="A5" s="66"/>
      <c r="B5" s="711"/>
      <c r="C5" s="209" t="s">
        <v>433</v>
      </c>
      <c r="D5" s="435" t="s">
        <v>151</v>
      </c>
      <c r="E5" s="209" t="s">
        <v>433</v>
      </c>
      <c r="F5" s="435" t="s">
        <v>151</v>
      </c>
      <c r="G5" s="209" t="s">
        <v>433</v>
      </c>
      <c r="H5" s="435" t="s">
        <v>151</v>
      </c>
    </row>
    <row r="6" spans="1:14" ht="15" x14ac:dyDescent="0.15">
      <c r="A6" s="66"/>
      <c r="B6" s="386" t="s">
        <v>59</v>
      </c>
      <c r="C6" s="436">
        <f>C7+C8</f>
        <v>91.589651522076977</v>
      </c>
      <c r="D6" s="436">
        <f t="shared" ref="D6:F6" si="0">D7+D8</f>
        <v>161053923.27142611</v>
      </c>
      <c r="E6" s="436">
        <f t="shared" si="0"/>
        <v>100</v>
      </c>
      <c r="F6" s="436">
        <f t="shared" si="0"/>
        <v>161126100.41991758</v>
      </c>
      <c r="G6" s="436">
        <f>G7+G8</f>
        <v>104.98744585725626</v>
      </c>
      <c r="H6" s="436">
        <f>H7+H8</f>
        <v>164428582.78970376</v>
      </c>
    </row>
    <row r="7" spans="1:14" ht="15" x14ac:dyDescent="0.15">
      <c r="A7" s="66"/>
      <c r="B7" s="387" t="s">
        <v>58</v>
      </c>
      <c r="C7" s="437">
        <f>C57+C58</f>
        <v>0</v>
      </c>
      <c r="D7" s="437">
        <f>D57+D58</f>
        <v>161053007.37491089</v>
      </c>
      <c r="E7" s="397">
        <f>C40+C41</f>
        <v>0</v>
      </c>
      <c r="F7" s="397">
        <f>D40+D41</f>
        <v>161125100.41991758</v>
      </c>
      <c r="G7" s="397">
        <f>C23+C24</f>
        <v>0</v>
      </c>
      <c r="H7" s="397">
        <f>D23+D24</f>
        <v>164427532.91524518</v>
      </c>
    </row>
    <row r="8" spans="1:14" ht="15" x14ac:dyDescent="0.15">
      <c r="A8" s="66"/>
      <c r="B8" s="387" t="s">
        <v>131</v>
      </c>
      <c r="C8" s="437">
        <f>C56</f>
        <v>91.589651522076977</v>
      </c>
      <c r="D8" s="437">
        <f>D56</f>
        <v>915.89651522076974</v>
      </c>
      <c r="E8" s="397">
        <f>C39</f>
        <v>100</v>
      </c>
      <c r="F8" s="397">
        <f>D39</f>
        <v>1000</v>
      </c>
      <c r="G8" s="397">
        <f>C22</f>
        <v>104.98744585725626</v>
      </c>
      <c r="H8" s="397">
        <f>D22</f>
        <v>1049.8744585725626</v>
      </c>
    </row>
    <row r="9" spans="1:14" ht="15" x14ac:dyDescent="0.15">
      <c r="A9" s="66"/>
      <c r="B9" s="386" t="s">
        <v>60</v>
      </c>
      <c r="C9" s="386"/>
      <c r="D9" s="396"/>
      <c r="E9" s="396"/>
      <c r="F9" s="396"/>
      <c r="G9" s="396"/>
      <c r="H9" s="396"/>
    </row>
    <row r="10" spans="1:14" ht="15" x14ac:dyDescent="0.15">
      <c r="A10" s="66"/>
      <c r="B10" s="386" t="s">
        <v>62</v>
      </c>
      <c r="C10" s="386"/>
      <c r="D10" s="396"/>
      <c r="E10" s="396"/>
      <c r="F10" s="396"/>
      <c r="G10" s="396"/>
      <c r="H10" s="396"/>
    </row>
    <row r="11" spans="1:14" ht="15" x14ac:dyDescent="0.15">
      <c r="A11" s="66"/>
      <c r="B11" s="386" t="s">
        <v>61</v>
      </c>
      <c r="C11" s="386"/>
      <c r="D11" s="396"/>
      <c r="E11" s="396"/>
      <c r="F11" s="396"/>
      <c r="G11" s="396"/>
      <c r="H11" s="396"/>
    </row>
    <row r="12" spans="1:14" ht="15" x14ac:dyDescent="0.15">
      <c r="A12" s="66"/>
      <c r="B12" s="386" t="s">
        <v>63</v>
      </c>
      <c r="C12" s="386"/>
      <c r="D12" s="396"/>
      <c r="E12" s="396"/>
      <c r="F12" s="396"/>
      <c r="G12" s="396"/>
      <c r="H12" s="396"/>
    </row>
    <row r="13" spans="1:14" ht="15" x14ac:dyDescent="0.15">
      <c r="A13" s="66"/>
      <c r="B13" s="386" t="s">
        <v>64</v>
      </c>
      <c r="C13" s="386"/>
      <c r="D13" s="396"/>
      <c r="E13" s="396"/>
      <c r="F13" s="396"/>
      <c r="G13" s="396"/>
      <c r="H13" s="396"/>
    </row>
    <row r="14" spans="1:14" ht="15" x14ac:dyDescent="0.15">
      <c r="A14" s="66"/>
      <c r="B14" s="386" t="s">
        <v>65</v>
      </c>
      <c r="C14" s="386"/>
      <c r="D14" s="396"/>
      <c r="E14" s="396"/>
      <c r="F14" s="396"/>
      <c r="G14" s="396"/>
      <c r="H14" s="396"/>
    </row>
    <row r="15" spans="1:14" ht="15" x14ac:dyDescent="0.15">
      <c r="A15" s="66"/>
      <c r="B15" s="438" t="s">
        <v>88</v>
      </c>
      <c r="C15" s="439">
        <f>SUM(C7:C14)</f>
        <v>91.589651522076977</v>
      </c>
      <c r="D15" s="439">
        <f t="shared" ref="D15:H15" si="1">SUM(D7:D14)</f>
        <v>161053923.27142611</v>
      </c>
      <c r="E15" s="439">
        <f t="shared" si="1"/>
        <v>100</v>
      </c>
      <c r="F15" s="439">
        <f t="shared" si="1"/>
        <v>161126100.41991758</v>
      </c>
      <c r="G15" s="439">
        <f t="shared" si="1"/>
        <v>104.98744585725626</v>
      </c>
      <c r="H15" s="439">
        <f t="shared" si="1"/>
        <v>164428582.78970376</v>
      </c>
    </row>
    <row r="16" spans="1:14" x14ac:dyDescent="0.15">
      <c r="A16" s="66"/>
      <c r="B16" s="101" t="s">
        <v>434</v>
      </c>
      <c r="C16" s="66"/>
      <c r="D16" s="66"/>
      <c r="E16" s="66"/>
      <c r="F16" s="66"/>
      <c r="G16" s="66"/>
      <c r="H16" s="66"/>
    </row>
    <row r="17" spans="1:14" x14ac:dyDescent="0.15">
      <c r="A17" s="66"/>
      <c r="B17" s="66"/>
      <c r="C17" s="66"/>
      <c r="D17" s="66"/>
      <c r="E17" s="66"/>
      <c r="F17" s="66"/>
      <c r="G17" s="66"/>
      <c r="H17" s="66"/>
    </row>
    <row r="18" spans="1:14" s="108" customFormat="1" ht="16" x14ac:dyDescent="0.2">
      <c r="A18" s="89"/>
      <c r="B18" s="434">
        <v>2019</v>
      </c>
      <c r="C18" s="91"/>
      <c r="D18" s="90"/>
      <c r="E18" s="90"/>
      <c r="F18" s="90"/>
      <c r="G18" s="90"/>
      <c r="H18" s="90"/>
      <c r="I18" s="90"/>
      <c r="J18" s="90"/>
      <c r="K18" s="90"/>
      <c r="L18" s="90"/>
      <c r="M18" s="90"/>
      <c r="N18" s="106"/>
    </row>
    <row r="19" spans="1:14" x14ac:dyDescent="0.15">
      <c r="A19" s="66"/>
      <c r="B19" s="66"/>
      <c r="C19" s="66"/>
      <c r="D19" s="66"/>
      <c r="E19" s="66"/>
      <c r="F19" s="66"/>
      <c r="G19" s="66"/>
      <c r="H19" s="66"/>
    </row>
    <row r="20" spans="1:14" s="108" customFormat="1" ht="16" x14ac:dyDescent="0.2">
      <c r="A20" s="98"/>
      <c r="B20" s="19" t="s">
        <v>419</v>
      </c>
      <c r="C20" s="66"/>
      <c r="D20" s="66"/>
      <c r="E20" s="66"/>
      <c r="F20" s="66"/>
      <c r="G20" s="106"/>
      <c r="J20" s="106"/>
      <c r="K20" s="106"/>
      <c r="L20" s="106"/>
      <c r="M20" s="106"/>
      <c r="N20" s="106"/>
    </row>
    <row r="21" spans="1:14" ht="15" x14ac:dyDescent="0.15">
      <c r="A21" s="66"/>
      <c r="B21" s="75" t="s">
        <v>397</v>
      </c>
      <c r="C21" s="67" t="s">
        <v>433</v>
      </c>
      <c r="D21" s="70" t="s">
        <v>151</v>
      </c>
      <c r="E21" s="66"/>
      <c r="F21" s="66"/>
      <c r="G21" s="66"/>
      <c r="H21" s="66"/>
    </row>
    <row r="22" spans="1:14" x14ac:dyDescent="0.15">
      <c r="A22" s="66"/>
      <c r="B22" s="72" t="s">
        <v>435</v>
      </c>
      <c r="C22" s="186">
        <f>C39*('Constants &amp; Conversions'!$D$61+1)</f>
        <v>104.98744585725626</v>
      </c>
      <c r="D22" s="186">
        <f>D39*('Constants &amp; Conversions'!$D$61+1)</f>
        <v>1049.8744585725626</v>
      </c>
      <c r="E22" s="66"/>
      <c r="F22" s="66"/>
      <c r="G22" s="66"/>
      <c r="H22" s="66"/>
    </row>
    <row r="23" spans="1:14" x14ac:dyDescent="0.15">
      <c r="A23" s="66"/>
      <c r="B23" s="359" t="s">
        <v>436</v>
      </c>
      <c r="C23" s="186"/>
      <c r="D23" s="179">
        <f>C30*D40/C48</f>
        <v>131295568.04922664</v>
      </c>
      <c r="E23" s="66"/>
      <c r="F23" s="66"/>
      <c r="G23" s="66"/>
      <c r="H23" s="66"/>
    </row>
    <row r="24" spans="1:14" x14ac:dyDescent="0.15">
      <c r="A24" s="66"/>
      <c r="B24" s="393" t="s">
        <v>437</v>
      </c>
      <c r="C24" s="186"/>
      <c r="D24" s="208">
        <f>D23*C31/C30</f>
        <v>33131964.866018541</v>
      </c>
      <c r="E24" s="66"/>
      <c r="F24" s="66"/>
      <c r="G24" s="66"/>
      <c r="H24" s="66"/>
    </row>
    <row r="25" spans="1:14" x14ac:dyDescent="0.15">
      <c r="A25" s="66"/>
      <c r="B25" s="398" t="s">
        <v>88</v>
      </c>
      <c r="C25" s="399">
        <f>SUM(C22:C24)</f>
        <v>104.98744585725626</v>
      </c>
      <c r="D25" s="399">
        <f>SUM(D22:D24)</f>
        <v>164428582.78970376</v>
      </c>
      <c r="E25" s="66"/>
      <c r="F25" s="66"/>
      <c r="G25" s="66"/>
      <c r="H25" s="66"/>
    </row>
    <row r="26" spans="1:14" x14ac:dyDescent="0.15">
      <c r="A26" s="66"/>
      <c r="B26" s="101" t="s">
        <v>438</v>
      </c>
      <c r="C26" s="66"/>
      <c r="D26" s="66"/>
      <c r="E26" s="66"/>
      <c r="F26" s="66"/>
      <c r="G26" s="66"/>
      <c r="H26" s="66"/>
    </row>
    <row r="27" spans="1:14" x14ac:dyDescent="0.15">
      <c r="A27" s="66"/>
      <c r="B27" s="82"/>
      <c r="C27" s="66"/>
      <c r="D27" s="66"/>
      <c r="E27" s="66"/>
      <c r="F27" s="66"/>
      <c r="G27" s="66"/>
      <c r="H27" s="66"/>
    </row>
    <row r="28" spans="1:14" x14ac:dyDescent="0.15">
      <c r="A28" s="66"/>
      <c r="B28" s="19" t="s">
        <v>439</v>
      </c>
      <c r="C28" s="69"/>
      <c r="D28" s="66"/>
      <c r="E28" s="66"/>
      <c r="F28" s="66"/>
      <c r="G28" s="66"/>
      <c r="H28" s="66"/>
    </row>
    <row r="29" spans="1:14" ht="15" x14ac:dyDescent="0.15">
      <c r="A29" s="66"/>
      <c r="B29" s="75"/>
      <c r="C29" s="67" t="s">
        <v>440</v>
      </c>
      <c r="D29" s="66"/>
      <c r="E29" s="66"/>
      <c r="F29" s="66"/>
      <c r="G29" s="66"/>
      <c r="H29" s="66"/>
    </row>
    <row r="30" spans="1:14" x14ac:dyDescent="0.15">
      <c r="A30" s="66"/>
      <c r="B30" s="117" t="s">
        <v>441</v>
      </c>
      <c r="C30" s="179">
        <v>919704</v>
      </c>
      <c r="D30" s="66"/>
      <c r="E30" s="66"/>
      <c r="F30" s="66"/>
      <c r="G30" s="66"/>
      <c r="H30" s="66"/>
    </row>
    <row r="31" spans="1:14" x14ac:dyDescent="0.15">
      <c r="A31" s="66"/>
      <c r="B31" s="117" t="s">
        <v>437</v>
      </c>
      <c r="C31" s="179">
        <v>232084</v>
      </c>
      <c r="D31" s="66"/>
      <c r="E31" s="66"/>
      <c r="F31" s="66"/>
      <c r="G31" s="66"/>
      <c r="H31" s="66"/>
    </row>
    <row r="32" spans="1:14" x14ac:dyDescent="0.15">
      <c r="A32" s="66"/>
      <c r="B32" s="171" t="s">
        <v>88</v>
      </c>
      <c r="C32" s="171">
        <f>SUM(C30:C31)</f>
        <v>1151788</v>
      </c>
      <c r="D32" s="66"/>
      <c r="E32" s="66"/>
      <c r="F32" s="66"/>
      <c r="G32" s="66"/>
      <c r="H32" s="66"/>
    </row>
    <row r="33" spans="1:14" x14ac:dyDescent="0.15">
      <c r="A33" s="66"/>
      <c r="B33" s="101" t="s">
        <v>442</v>
      </c>
      <c r="C33" s="66"/>
      <c r="D33" s="66"/>
      <c r="E33" s="66"/>
      <c r="F33" s="66"/>
      <c r="G33" s="66"/>
      <c r="H33" s="66"/>
    </row>
    <row r="34" spans="1:14" x14ac:dyDescent="0.15">
      <c r="A34" s="66"/>
      <c r="B34" s="101"/>
      <c r="C34" s="66"/>
      <c r="D34" s="66"/>
      <c r="E34" s="66"/>
      <c r="F34" s="66"/>
      <c r="G34" s="66"/>
      <c r="H34" s="66"/>
    </row>
    <row r="35" spans="1:14" s="108" customFormat="1" ht="16" x14ac:dyDescent="0.2">
      <c r="A35" s="91"/>
      <c r="B35" s="434">
        <v>2015</v>
      </c>
      <c r="C35" s="91"/>
      <c r="D35" s="90"/>
      <c r="E35" s="90"/>
      <c r="F35" s="90"/>
      <c r="G35" s="90"/>
      <c r="H35" s="90"/>
      <c r="I35" s="90"/>
      <c r="J35" s="90"/>
      <c r="K35" s="90"/>
      <c r="L35" s="90"/>
      <c r="M35" s="90"/>
      <c r="N35" s="106"/>
    </row>
    <row r="36" spans="1:14" x14ac:dyDescent="0.15">
      <c r="A36" s="66"/>
      <c r="B36" s="66"/>
      <c r="C36" s="66"/>
      <c r="D36" s="66"/>
      <c r="E36" s="66"/>
      <c r="F36" s="66"/>
      <c r="G36" s="66"/>
      <c r="H36" s="66"/>
    </row>
    <row r="37" spans="1:14" s="108" customFormat="1" ht="16" x14ac:dyDescent="0.2">
      <c r="A37" s="98"/>
      <c r="B37" s="19" t="s">
        <v>419</v>
      </c>
      <c r="C37" s="66"/>
      <c r="D37" s="66"/>
      <c r="E37" s="66"/>
      <c r="F37" s="66"/>
      <c r="G37" s="106"/>
      <c r="H37" s="106"/>
      <c r="I37" s="106"/>
      <c r="J37" s="106"/>
      <c r="K37" s="106"/>
      <c r="L37" s="106"/>
      <c r="M37" s="106"/>
      <c r="N37" s="106"/>
    </row>
    <row r="38" spans="1:14" ht="15" x14ac:dyDescent="0.15">
      <c r="A38" s="66"/>
      <c r="B38" s="75" t="s">
        <v>397</v>
      </c>
      <c r="C38" s="67" t="s">
        <v>149</v>
      </c>
      <c r="D38" s="70" t="s">
        <v>151</v>
      </c>
      <c r="E38" s="66"/>
      <c r="F38" s="66"/>
      <c r="G38" s="66"/>
      <c r="H38" s="66"/>
    </row>
    <row r="39" spans="1:14" x14ac:dyDescent="0.15">
      <c r="A39" s="66"/>
      <c r="B39" s="72" t="s">
        <v>435</v>
      </c>
      <c r="C39" s="81">
        <v>100</v>
      </c>
      <c r="D39" s="81">
        <f>2000*50%</f>
        <v>1000</v>
      </c>
      <c r="E39" s="66"/>
      <c r="F39" s="66"/>
      <c r="G39" s="66"/>
      <c r="H39" s="66"/>
    </row>
    <row r="40" spans="1:14" x14ac:dyDescent="0.15">
      <c r="A40" s="66"/>
      <c r="B40" s="359" t="s">
        <v>436</v>
      </c>
      <c r="C40" s="392"/>
      <c r="D40" s="179">
        <v>124933107</v>
      </c>
      <c r="E40" s="66"/>
      <c r="F40" s="66"/>
      <c r="G40" s="66"/>
      <c r="H40" s="66"/>
    </row>
    <row r="41" spans="1:14" x14ac:dyDescent="0.15">
      <c r="A41" s="66"/>
      <c r="B41" s="393" t="s">
        <v>437</v>
      </c>
      <c r="C41" s="394"/>
      <c r="D41" s="395">
        <f>D40*C49/C48</f>
        <v>36191993.419917591</v>
      </c>
      <c r="E41" s="66"/>
      <c r="F41" s="66"/>
      <c r="G41" s="66"/>
      <c r="H41" s="66"/>
    </row>
    <row r="42" spans="1:14" x14ac:dyDescent="0.15">
      <c r="A42" s="66"/>
      <c r="B42" s="398" t="s">
        <v>88</v>
      </c>
      <c r="C42" s="399">
        <f t="shared" ref="C42:D42" si="2">SUM(C39:C41)</f>
        <v>100</v>
      </c>
      <c r="D42" s="399">
        <f t="shared" si="2"/>
        <v>161126100.41991758</v>
      </c>
      <c r="E42" s="66"/>
      <c r="F42" s="66"/>
      <c r="G42" s="66"/>
      <c r="H42" s="66"/>
    </row>
    <row r="43" spans="1:14" x14ac:dyDescent="0.15">
      <c r="A43" s="66"/>
      <c r="B43" s="101" t="s">
        <v>443</v>
      </c>
      <c r="C43" s="66"/>
      <c r="D43" s="66"/>
      <c r="E43" s="66"/>
      <c r="F43" s="66"/>
      <c r="G43" s="66"/>
      <c r="H43" s="66"/>
    </row>
    <row r="44" spans="1:14" x14ac:dyDescent="0.15">
      <c r="A44" s="66"/>
      <c r="B44" s="101" t="s">
        <v>444</v>
      </c>
      <c r="C44" s="111"/>
      <c r="D44" s="66"/>
      <c r="E44" s="66"/>
      <c r="F44" s="240"/>
      <c r="G44" s="66"/>
      <c r="H44" s="66"/>
    </row>
    <row r="45" spans="1:14" x14ac:dyDescent="0.15">
      <c r="A45" s="66"/>
      <c r="B45" s="66"/>
      <c r="C45" s="69"/>
      <c r="D45" s="66"/>
      <c r="E45" s="66"/>
      <c r="F45" s="66"/>
      <c r="G45" s="66"/>
      <c r="H45" s="66"/>
    </row>
    <row r="46" spans="1:14" x14ac:dyDescent="0.15">
      <c r="A46" s="66"/>
      <c r="B46" s="19" t="s">
        <v>439</v>
      </c>
      <c r="C46" s="69"/>
      <c r="D46" s="66"/>
      <c r="E46" s="66"/>
      <c r="F46" s="66"/>
      <c r="G46" s="66"/>
      <c r="H46" s="66"/>
    </row>
    <row r="47" spans="1:14" ht="15" x14ac:dyDescent="0.15">
      <c r="A47" s="66"/>
      <c r="B47" s="75"/>
      <c r="C47" s="67" t="s">
        <v>445</v>
      </c>
      <c r="D47" s="66"/>
      <c r="E47" s="298"/>
      <c r="F47" s="299"/>
      <c r="G47" s="66"/>
      <c r="H47" s="66"/>
    </row>
    <row r="48" spans="1:14" x14ac:dyDescent="0.15">
      <c r="A48" s="66"/>
      <c r="B48" s="117" t="s">
        <v>441</v>
      </c>
      <c r="C48" s="179">
        <v>875136</v>
      </c>
      <c r="D48" s="66"/>
      <c r="E48" s="283"/>
      <c r="F48" s="240"/>
      <c r="G48" s="66"/>
      <c r="H48" s="66"/>
    </row>
    <row r="49" spans="1:14" x14ac:dyDescent="0.15">
      <c r="A49" s="66"/>
      <c r="B49" s="117" t="s">
        <v>437</v>
      </c>
      <c r="C49" s="179">
        <v>253519</v>
      </c>
      <c r="D49" s="66"/>
      <c r="E49" s="283"/>
      <c r="F49" s="240"/>
      <c r="G49" s="66"/>
      <c r="H49" s="66"/>
    </row>
    <row r="50" spans="1:14" x14ac:dyDescent="0.15">
      <c r="A50" s="66"/>
      <c r="B50" s="101" t="s">
        <v>442</v>
      </c>
      <c r="C50" s="66"/>
      <c r="D50" s="66"/>
      <c r="E50" s="66"/>
      <c r="F50" s="66"/>
      <c r="G50" s="66"/>
      <c r="H50" s="66"/>
    </row>
    <row r="51" spans="1:14" x14ac:dyDescent="0.15">
      <c r="A51" s="66"/>
      <c r="B51" s="66"/>
      <c r="C51" s="66"/>
      <c r="D51" s="66"/>
      <c r="E51" s="66"/>
      <c r="F51" s="66"/>
      <c r="G51" s="66"/>
      <c r="H51" s="66"/>
    </row>
    <row r="52" spans="1:14" s="108" customFormat="1" ht="16" x14ac:dyDescent="0.2">
      <c r="A52" s="89"/>
      <c r="B52" s="433">
        <v>2010</v>
      </c>
      <c r="C52" s="91"/>
      <c r="D52" s="90"/>
      <c r="E52" s="90"/>
      <c r="F52" s="90"/>
      <c r="G52" s="90"/>
      <c r="H52" s="90"/>
      <c r="I52" s="90"/>
      <c r="J52" s="90"/>
      <c r="K52" s="90"/>
      <c r="L52" s="90"/>
      <c r="M52" s="90"/>
      <c r="N52" s="106"/>
    </row>
    <row r="53" spans="1:14" s="108" customFormat="1" ht="16" x14ac:dyDescent="0.2">
      <c r="A53" s="98"/>
      <c r="B53" s="106"/>
      <c r="C53" s="107"/>
      <c r="D53" s="106"/>
      <c r="E53" s="106"/>
      <c r="F53" s="106"/>
      <c r="G53" s="106"/>
      <c r="H53" s="106"/>
      <c r="I53" s="106"/>
      <c r="J53" s="106"/>
      <c r="K53" s="106"/>
      <c r="L53" s="106"/>
      <c r="M53" s="106"/>
      <c r="N53" s="106"/>
    </row>
    <row r="54" spans="1:14" s="108" customFormat="1" ht="16" x14ac:dyDescent="0.2">
      <c r="A54" s="98"/>
      <c r="B54" s="19" t="s">
        <v>419</v>
      </c>
      <c r="C54" s="66"/>
      <c r="D54" s="66"/>
      <c r="E54" s="66"/>
      <c r="F54" s="66"/>
      <c r="G54" s="106"/>
      <c r="H54" s="106"/>
      <c r="I54" s="106"/>
      <c r="J54" s="106"/>
      <c r="K54" s="106"/>
      <c r="L54" s="106"/>
      <c r="M54" s="106"/>
      <c r="N54" s="106"/>
    </row>
    <row r="55" spans="1:14" ht="15" x14ac:dyDescent="0.15">
      <c r="A55" s="66"/>
      <c r="B55" s="75" t="s">
        <v>446</v>
      </c>
      <c r="C55" s="67" t="s">
        <v>149</v>
      </c>
      <c r="D55" s="70" t="s">
        <v>151</v>
      </c>
      <c r="E55" s="66"/>
      <c r="F55" s="66"/>
      <c r="G55" s="66"/>
      <c r="H55" s="66"/>
    </row>
    <row r="56" spans="1:14" x14ac:dyDescent="0.15">
      <c r="A56" s="66"/>
      <c r="B56" s="72" t="s">
        <v>435</v>
      </c>
      <c r="C56" s="391">
        <f>C39/(GDP_Growth+1)</f>
        <v>91.589651522076977</v>
      </c>
      <c r="D56" s="81">
        <f>D39/(GDP_Growth+1)</f>
        <v>915.89651522076974</v>
      </c>
      <c r="F56" s="66"/>
      <c r="G56" s="66"/>
      <c r="H56" s="66"/>
    </row>
    <row r="57" spans="1:14" x14ac:dyDescent="0.15">
      <c r="A57" s="66"/>
      <c r="B57" s="359" t="s">
        <v>436</v>
      </c>
      <c r="C57" s="392"/>
      <c r="D57" s="390">
        <f>C64*D40/C48</f>
        <v>126001083.37563419</v>
      </c>
      <c r="E57" s="66"/>
      <c r="F57" s="66"/>
      <c r="G57" s="66"/>
      <c r="H57" s="66"/>
    </row>
    <row r="58" spans="1:14" x14ac:dyDescent="0.15">
      <c r="A58" s="66"/>
      <c r="B58" s="393" t="s">
        <v>437</v>
      </c>
      <c r="C58" s="394"/>
      <c r="D58" s="395">
        <f>D57*C65/C64</f>
        <v>35051923.999276683</v>
      </c>
      <c r="E58" s="66"/>
      <c r="F58" s="66"/>
      <c r="G58" s="66"/>
      <c r="H58" s="66"/>
    </row>
    <row r="59" spans="1:14" x14ac:dyDescent="0.15">
      <c r="A59" s="66"/>
      <c r="B59" s="398" t="s">
        <v>88</v>
      </c>
      <c r="C59" s="399">
        <f t="shared" ref="C59" si="3">SUM(C56:C58)</f>
        <v>91.589651522076977</v>
      </c>
      <c r="D59" s="399">
        <f>SUM(D56:D58)</f>
        <v>161053923.27142608</v>
      </c>
      <c r="E59" s="66"/>
      <c r="F59" s="66"/>
      <c r="G59" s="66"/>
      <c r="H59" s="66"/>
    </row>
    <row r="60" spans="1:14" x14ac:dyDescent="0.15">
      <c r="A60" s="66"/>
      <c r="B60" s="101" t="s">
        <v>447</v>
      </c>
      <c r="C60" s="400"/>
      <c r="D60" s="400"/>
      <c r="E60" s="400"/>
      <c r="F60" s="66"/>
      <c r="G60" s="66"/>
      <c r="H60" s="66"/>
    </row>
    <row r="61" spans="1:14" x14ac:dyDescent="0.15">
      <c r="A61" s="66"/>
      <c r="B61" s="66"/>
      <c r="C61" s="69"/>
      <c r="D61" s="66"/>
      <c r="E61" s="66"/>
      <c r="F61" s="66"/>
      <c r="G61" s="66"/>
      <c r="H61" s="66"/>
    </row>
    <row r="62" spans="1:14" x14ac:dyDescent="0.15">
      <c r="A62" s="66"/>
      <c r="B62" s="19" t="s">
        <v>439</v>
      </c>
      <c r="C62" s="69"/>
      <c r="D62" s="66"/>
      <c r="E62" s="66"/>
      <c r="F62" s="66"/>
      <c r="G62" s="66"/>
      <c r="H62" s="66"/>
    </row>
    <row r="63" spans="1:14" ht="15" x14ac:dyDescent="0.15">
      <c r="A63" s="66"/>
      <c r="B63" s="75"/>
      <c r="C63" s="67" t="s">
        <v>448</v>
      </c>
      <c r="D63" s="66"/>
      <c r="E63" s="66"/>
      <c r="F63" s="66"/>
      <c r="G63" s="66"/>
      <c r="H63" s="66"/>
    </row>
    <row r="64" spans="1:14" x14ac:dyDescent="0.15">
      <c r="A64" s="66"/>
      <c r="B64" s="117" t="s">
        <v>441</v>
      </c>
      <c r="C64" s="389">
        <v>882617</v>
      </c>
      <c r="D64" s="66"/>
      <c r="E64" s="66"/>
      <c r="F64" s="66"/>
      <c r="G64" s="66"/>
      <c r="H64" s="66"/>
    </row>
    <row r="65" spans="2:3" s="66" customFormat="1" x14ac:dyDescent="0.15">
      <c r="B65" s="117" t="s">
        <v>437</v>
      </c>
      <c r="C65" s="389">
        <v>245533</v>
      </c>
    </row>
    <row r="66" spans="2:3" s="66" customFormat="1" x14ac:dyDescent="0.15">
      <c r="B66" s="101" t="s">
        <v>442</v>
      </c>
    </row>
    <row r="67" spans="2:3" s="66" customFormat="1" x14ac:dyDescent="0.15">
      <c r="C67" s="69"/>
    </row>
    <row r="68" spans="2:3" s="66" customFormat="1" x14ac:dyDescent="0.15">
      <c r="C68" s="69"/>
    </row>
    <row r="69" spans="2:3" s="66" customFormat="1" x14ac:dyDescent="0.15">
      <c r="C69" s="69"/>
    </row>
    <row r="70" spans="2:3" s="66" customFormat="1" x14ac:dyDescent="0.15">
      <c r="C70" s="69"/>
    </row>
    <row r="71" spans="2:3" s="66" customFormat="1" x14ac:dyDescent="0.15">
      <c r="C71" s="69"/>
    </row>
    <row r="72" spans="2:3" s="66" customFormat="1" x14ac:dyDescent="0.15">
      <c r="C72" s="69"/>
    </row>
    <row r="73" spans="2:3" s="66" customFormat="1" x14ac:dyDescent="0.15">
      <c r="C73" s="69"/>
    </row>
    <row r="74" spans="2:3" s="66" customFormat="1" x14ac:dyDescent="0.15">
      <c r="C74" s="69"/>
    </row>
    <row r="75" spans="2:3" s="66" customFormat="1" x14ac:dyDescent="0.15">
      <c r="C75" s="69"/>
    </row>
    <row r="76" spans="2:3" s="66" customFormat="1" x14ac:dyDescent="0.15">
      <c r="C76" s="69"/>
    </row>
    <row r="77" spans="2:3" s="66" customFormat="1" x14ac:dyDescent="0.15">
      <c r="C77" s="69"/>
    </row>
    <row r="78" spans="2:3" s="66" customFormat="1" x14ac:dyDescent="0.15">
      <c r="C78" s="69"/>
    </row>
    <row r="79" spans="2:3" s="66" customFormat="1" x14ac:dyDescent="0.15">
      <c r="C79" s="69"/>
    </row>
    <row r="80" spans="2:3" s="66" customFormat="1" x14ac:dyDescent="0.15">
      <c r="C80" s="69"/>
    </row>
    <row r="81" spans="3:3" s="66" customFormat="1" x14ac:dyDescent="0.15">
      <c r="C81" s="69"/>
    </row>
    <row r="82" spans="3:3" s="66" customFormat="1" x14ac:dyDescent="0.15">
      <c r="C82" s="69"/>
    </row>
    <row r="83" spans="3:3" s="66" customFormat="1" x14ac:dyDescent="0.15">
      <c r="C83" s="69"/>
    </row>
    <row r="84" spans="3:3" s="66" customFormat="1" x14ac:dyDescent="0.15">
      <c r="C84" s="69"/>
    </row>
    <row r="85" spans="3:3" s="66" customFormat="1" x14ac:dyDescent="0.15">
      <c r="C85" s="69"/>
    </row>
    <row r="86" spans="3:3" s="66" customFormat="1" x14ac:dyDescent="0.15">
      <c r="C86" s="69"/>
    </row>
    <row r="87" spans="3:3" s="66" customFormat="1" x14ac:dyDescent="0.15">
      <c r="C87" s="69"/>
    </row>
    <row r="88" spans="3:3" s="66" customFormat="1" x14ac:dyDescent="0.15">
      <c r="C88" s="69"/>
    </row>
    <row r="89" spans="3:3" s="66" customFormat="1" x14ac:dyDescent="0.15">
      <c r="C89" s="69"/>
    </row>
    <row r="90" spans="3:3" s="66" customFormat="1" x14ac:dyDescent="0.15">
      <c r="C90" s="69"/>
    </row>
    <row r="91" spans="3:3" s="66" customFormat="1" x14ac:dyDescent="0.15">
      <c r="C91" s="69"/>
    </row>
    <row r="92" spans="3:3" s="66" customFormat="1" x14ac:dyDescent="0.15">
      <c r="C92" s="69"/>
    </row>
    <row r="93" spans="3:3" s="66" customFormat="1" x14ac:dyDescent="0.15">
      <c r="C93" s="69"/>
    </row>
    <row r="94" spans="3:3" s="66" customFormat="1" x14ac:dyDescent="0.15">
      <c r="C94" s="69"/>
    </row>
    <row r="95" spans="3:3" s="66" customFormat="1" x14ac:dyDescent="0.15">
      <c r="C95" s="69"/>
    </row>
    <row r="96" spans="3:3" s="66" customFormat="1" x14ac:dyDescent="0.15">
      <c r="C96" s="69"/>
    </row>
    <row r="97" spans="3:3" s="66" customFormat="1" x14ac:dyDescent="0.15">
      <c r="C97" s="69"/>
    </row>
    <row r="98" spans="3:3" s="66" customFormat="1" x14ac:dyDescent="0.15">
      <c r="C98" s="69"/>
    </row>
    <row r="99" spans="3:3" s="66" customFormat="1" x14ac:dyDescent="0.15">
      <c r="C99" s="69"/>
    </row>
    <row r="100" spans="3:3" s="66" customFormat="1" x14ac:dyDescent="0.15">
      <c r="C100" s="69"/>
    </row>
    <row r="101" spans="3:3" s="66" customFormat="1" x14ac:dyDescent="0.15">
      <c r="C101" s="69"/>
    </row>
    <row r="102" spans="3:3" s="66" customFormat="1" x14ac:dyDescent="0.15">
      <c r="C102" s="69"/>
    </row>
    <row r="103" spans="3:3" s="66" customFormat="1" x14ac:dyDescent="0.15">
      <c r="C103" s="69"/>
    </row>
    <row r="104" spans="3:3" s="66" customFormat="1" x14ac:dyDescent="0.15">
      <c r="C104" s="69"/>
    </row>
    <row r="105" spans="3:3" s="66" customFormat="1" x14ac:dyDescent="0.15">
      <c r="C105" s="69"/>
    </row>
    <row r="106" spans="3:3" s="66" customFormat="1" x14ac:dyDescent="0.15">
      <c r="C106" s="69"/>
    </row>
    <row r="107" spans="3:3" s="66" customFormat="1" x14ac:dyDescent="0.15">
      <c r="C107" s="69"/>
    </row>
    <row r="108" spans="3:3" s="66" customFormat="1" x14ac:dyDescent="0.15">
      <c r="C108" s="69"/>
    </row>
    <row r="109" spans="3:3" s="66" customFormat="1" x14ac:dyDescent="0.15">
      <c r="C109" s="69"/>
    </row>
    <row r="110" spans="3:3" s="66" customFormat="1" x14ac:dyDescent="0.15">
      <c r="C110" s="69"/>
    </row>
    <row r="111" spans="3:3" s="66" customFormat="1" x14ac:dyDescent="0.15">
      <c r="C111" s="69"/>
    </row>
    <row r="112" spans="3:3" s="66" customFormat="1" x14ac:dyDescent="0.15">
      <c r="C112" s="69"/>
    </row>
    <row r="113" spans="3:3" s="66" customFormat="1" x14ac:dyDescent="0.15">
      <c r="C113" s="69"/>
    </row>
    <row r="114" spans="3:3" s="66" customFormat="1" x14ac:dyDescent="0.15">
      <c r="C114" s="69"/>
    </row>
    <row r="115" spans="3:3" s="66" customFormat="1" x14ac:dyDescent="0.15">
      <c r="C115" s="69"/>
    </row>
    <row r="116" spans="3:3" s="66" customFormat="1" x14ac:dyDescent="0.15">
      <c r="C116" s="69"/>
    </row>
    <row r="117" spans="3:3" s="66" customFormat="1" x14ac:dyDescent="0.15">
      <c r="C117" s="69"/>
    </row>
    <row r="118" spans="3:3" s="66" customFormat="1" x14ac:dyDescent="0.15">
      <c r="C118" s="69"/>
    </row>
    <row r="119" spans="3:3" s="66" customFormat="1" x14ac:dyDescent="0.15">
      <c r="C119" s="69"/>
    </row>
    <row r="120" spans="3:3" s="66" customFormat="1" x14ac:dyDescent="0.15">
      <c r="C120" s="69"/>
    </row>
    <row r="121" spans="3:3" s="66" customFormat="1" x14ac:dyDescent="0.15">
      <c r="C121" s="69"/>
    </row>
    <row r="122" spans="3:3" s="66" customFormat="1" x14ac:dyDescent="0.15">
      <c r="C122" s="69"/>
    </row>
    <row r="123" spans="3:3" s="66" customFormat="1" x14ac:dyDescent="0.15">
      <c r="C123" s="69"/>
    </row>
    <row r="124" spans="3:3" s="66" customFormat="1" x14ac:dyDescent="0.15">
      <c r="C124" s="69"/>
    </row>
    <row r="125" spans="3:3" s="66" customFormat="1" x14ac:dyDescent="0.15">
      <c r="C125" s="69"/>
    </row>
    <row r="126" spans="3:3" s="66" customFormat="1" x14ac:dyDescent="0.15">
      <c r="C126" s="69"/>
    </row>
    <row r="127" spans="3:3" s="66" customFormat="1" x14ac:dyDescent="0.15">
      <c r="C127" s="69"/>
    </row>
    <row r="128" spans="3:3" s="66" customFormat="1" x14ac:dyDescent="0.15">
      <c r="C128" s="69"/>
    </row>
    <row r="129" spans="3:3" s="66" customFormat="1" x14ac:dyDescent="0.15">
      <c r="C129" s="69"/>
    </row>
    <row r="130" spans="3:3" s="66" customFormat="1" x14ac:dyDescent="0.15">
      <c r="C130" s="69"/>
    </row>
    <row r="131" spans="3:3" s="66" customFormat="1" x14ac:dyDescent="0.15">
      <c r="C131" s="69"/>
    </row>
    <row r="132" spans="3:3" s="66" customFormat="1" x14ac:dyDescent="0.15">
      <c r="C132" s="69"/>
    </row>
    <row r="133" spans="3:3" s="66" customFormat="1" x14ac:dyDescent="0.15">
      <c r="C133" s="69"/>
    </row>
    <row r="134" spans="3:3" s="66" customFormat="1" x14ac:dyDescent="0.15">
      <c r="C134" s="69"/>
    </row>
    <row r="135" spans="3:3" s="66" customFormat="1" x14ac:dyDescent="0.15">
      <c r="C135" s="69"/>
    </row>
    <row r="136" spans="3:3" s="66" customFormat="1" x14ac:dyDescent="0.15">
      <c r="C136" s="69"/>
    </row>
    <row r="137" spans="3:3" s="66" customFormat="1" x14ac:dyDescent="0.15">
      <c r="C137" s="69"/>
    </row>
    <row r="138" spans="3:3" s="66" customFormat="1" x14ac:dyDescent="0.15">
      <c r="C138" s="69"/>
    </row>
    <row r="139" spans="3:3" s="66" customFormat="1" x14ac:dyDescent="0.15">
      <c r="C139" s="69"/>
    </row>
    <row r="140" spans="3:3" s="66" customFormat="1" x14ac:dyDescent="0.15">
      <c r="C140" s="69"/>
    </row>
    <row r="141" spans="3:3" s="66" customFormat="1" x14ac:dyDescent="0.15">
      <c r="C141" s="69"/>
    </row>
    <row r="142" spans="3:3" s="66" customFormat="1" x14ac:dyDescent="0.15">
      <c r="C142" s="69"/>
    </row>
    <row r="143" spans="3:3" s="66" customFormat="1" x14ac:dyDescent="0.15">
      <c r="C143" s="69"/>
    </row>
    <row r="144" spans="3:3" s="66" customFormat="1" x14ac:dyDescent="0.15">
      <c r="C144" s="69"/>
    </row>
    <row r="145" spans="3:3" s="66" customFormat="1" x14ac:dyDescent="0.15">
      <c r="C145" s="69"/>
    </row>
    <row r="146" spans="3:3" s="66" customFormat="1" x14ac:dyDescent="0.15">
      <c r="C146" s="69"/>
    </row>
    <row r="147" spans="3:3" s="66" customFormat="1" x14ac:dyDescent="0.15">
      <c r="C147" s="69"/>
    </row>
    <row r="148" spans="3:3" s="66" customFormat="1" x14ac:dyDescent="0.15">
      <c r="C148" s="69"/>
    </row>
    <row r="149" spans="3:3" s="66" customFormat="1" x14ac:dyDescent="0.15">
      <c r="C149" s="69"/>
    </row>
    <row r="150" spans="3:3" s="66" customFormat="1" x14ac:dyDescent="0.15">
      <c r="C150" s="69"/>
    </row>
    <row r="151" spans="3:3" s="66" customFormat="1" x14ac:dyDescent="0.15">
      <c r="C151" s="69"/>
    </row>
    <row r="152" spans="3:3" s="66" customFormat="1" x14ac:dyDescent="0.15">
      <c r="C152" s="69"/>
    </row>
    <row r="153" spans="3:3" s="66" customFormat="1" x14ac:dyDescent="0.15">
      <c r="C153" s="69"/>
    </row>
    <row r="154" spans="3:3" s="66" customFormat="1" x14ac:dyDescent="0.15">
      <c r="C154" s="69"/>
    </row>
    <row r="155" spans="3:3" s="66" customFormat="1" x14ac:dyDescent="0.15">
      <c r="C155" s="69"/>
    </row>
    <row r="156" spans="3:3" s="66" customFormat="1" x14ac:dyDescent="0.15">
      <c r="C156" s="69"/>
    </row>
    <row r="157" spans="3:3" s="66" customFormat="1" x14ac:dyDescent="0.15">
      <c r="C157" s="69"/>
    </row>
    <row r="158" spans="3:3" s="66" customFormat="1" x14ac:dyDescent="0.15">
      <c r="C158" s="69"/>
    </row>
    <row r="159" spans="3:3" s="66" customFormat="1" x14ac:dyDescent="0.15">
      <c r="C159" s="69"/>
    </row>
    <row r="160" spans="3:3" s="66" customFormat="1" x14ac:dyDescent="0.15">
      <c r="C160" s="69"/>
    </row>
    <row r="161" spans="3:3" s="66" customFormat="1" x14ac:dyDescent="0.15">
      <c r="C161" s="69"/>
    </row>
    <row r="162" spans="3:3" s="66" customFormat="1" x14ac:dyDescent="0.15">
      <c r="C162" s="69"/>
    </row>
    <row r="163" spans="3:3" s="66" customFormat="1" x14ac:dyDescent="0.15">
      <c r="C163" s="69"/>
    </row>
    <row r="164" spans="3:3" s="66" customFormat="1" x14ac:dyDescent="0.15">
      <c r="C164" s="69"/>
    </row>
    <row r="165" spans="3:3" s="66" customFormat="1" x14ac:dyDescent="0.15">
      <c r="C165" s="69"/>
    </row>
    <row r="166" spans="3:3" s="66" customFormat="1" x14ac:dyDescent="0.15">
      <c r="C166" s="69"/>
    </row>
    <row r="167" spans="3:3" s="66" customFormat="1" x14ac:dyDescent="0.15">
      <c r="C167" s="69"/>
    </row>
    <row r="168" spans="3:3" s="66" customFormat="1" x14ac:dyDescent="0.15">
      <c r="C168" s="69"/>
    </row>
    <row r="169" spans="3:3" s="66" customFormat="1" x14ac:dyDescent="0.15">
      <c r="C169" s="69"/>
    </row>
    <row r="170" spans="3:3" s="66" customFormat="1" x14ac:dyDescent="0.15">
      <c r="C170" s="69"/>
    </row>
    <row r="171" spans="3:3" s="66" customFormat="1" x14ac:dyDescent="0.15">
      <c r="C171" s="69"/>
    </row>
    <row r="172" spans="3:3" s="66" customFormat="1" x14ac:dyDescent="0.15">
      <c r="C172" s="69"/>
    </row>
    <row r="173" spans="3:3" s="66" customFormat="1" x14ac:dyDescent="0.15">
      <c r="C173" s="69"/>
    </row>
    <row r="174" spans="3:3" s="66" customFormat="1" x14ac:dyDescent="0.15">
      <c r="C174" s="69"/>
    </row>
    <row r="175" spans="3:3" s="66" customFormat="1" x14ac:dyDescent="0.15">
      <c r="C175" s="69"/>
    </row>
    <row r="176" spans="3:3" s="66" customFormat="1" x14ac:dyDescent="0.15">
      <c r="C176" s="69"/>
    </row>
    <row r="177" spans="3:3" s="66" customFormat="1" x14ac:dyDescent="0.15">
      <c r="C177" s="69"/>
    </row>
    <row r="178" spans="3:3" s="66" customFormat="1" x14ac:dyDescent="0.15">
      <c r="C178" s="69"/>
    </row>
    <row r="179" spans="3:3" s="66" customFormat="1" x14ac:dyDescent="0.15">
      <c r="C179" s="69"/>
    </row>
    <row r="180" spans="3:3" s="66" customFormat="1" x14ac:dyDescent="0.15">
      <c r="C180" s="69"/>
    </row>
    <row r="181" spans="3:3" s="66" customFormat="1" x14ac:dyDescent="0.15">
      <c r="C181" s="69"/>
    </row>
    <row r="182" spans="3:3" s="66" customFormat="1" x14ac:dyDescent="0.15">
      <c r="C182" s="69"/>
    </row>
    <row r="183" spans="3:3" s="66" customFormat="1" x14ac:dyDescent="0.15">
      <c r="C183" s="69"/>
    </row>
    <row r="184" spans="3:3" s="66" customFormat="1" x14ac:dyDescent="0.15">
      <c r="C184" s="69"/>
    </row>
    <row r="185" spans="3:3" s="66" customFormat="1" x14ac:dyDescent="0.15">
      <c r="C185" s="69"/>
    </row>
    <row r="186" spans="3:3" s="66" customFormat="1" x14ac:dyDescent="0.15">
      <c r="C186" s="69"/>
    </row>
    <row r="187" spans="3:3" s="66" customFormat="1" x14ac:dyDescent="0.15">
      <c r="C187" s="69"/>
    </row>
    <row r="188" spans="3:3" s="66" customFormat="1" x14ac:dyDescent="0.15">
      <c r="C188" s="69"/>
    </row>
    <row r="189" spans="3:3" s="66" customFormat="1" x14ac:dyDescent="0.15">
      <c r="C189" s="69"/>
    </row>
    <row r="190" spans="3:3" s="66" customFormat="1" x14ac:dyDescent="0.15">
      <c r="C190" s="69"/>
    </row>
    <row r="191" spans="3:3" s="66" customFormat="1" x14ac:dyDescent="0.15">
      <c r="C191" s="69"/>
    </row>
    <row r="192" spans="3:3" s="66" customFormat="1" x14ac:dyDescent="0.15">
      <c r="C192" s="69"/>
    </row>
    <row r="193" spans="3:3" s="66" customFormat="1" x14ac:dyDescent="0.15">
      <c r="C193" s="69"/>
    </row>
    <row r="194" spans="3:3" s="66" customFormat="1" x14ac:dyDescent="0.15">
      <c r="C194" s="69"/>
    </row>
    <row r="195" spans="3:3" s="66" customFormat="1" x14ac:dyDescent="0.15">
      <c r="C195" s="69"/>
    </row>
    <row r="196" spans="3:3" s="66" customFormat="1" x14ac:dyDescent="0.15">
      <c r="C196" s="69"/>
    </row>
    <row r="197" spans="3:3" s="66" customFormat="1" x14ac:dyDescent="0.15">
      <c r="C197" s="69"/>
    </row>
    <row r="198" spans="3:3" s="66" customFormat="1" x14ac:dyDescent="0.15">
      <c r="C198" s="69"/>
    </row>
    <row r="199" spans="3:3" s="66" customFormat="1" x14ac:dyDescent="0.15">
      <c r="C199" s="69"/>
    </row>
    <row r="200" spans="3:3" s="66" customFormat="1" x14ac:dyDescent="0.15">
      <c r="C200" s="69"/>
    </row>
    <row r="201" spans="3:3" s="66" customFormat="1" x14ac:dyDescent="0.15">
      <c r="C201" s="69"/>
    </row>
    <row r="202" spans="3:3" s="66" customFormat="1" x14ac:dyDescent="0.15">
      <c r="C202" s="69"/>
    </row>
    <row r="203" spans="3:3" s="66" customFormat="1" x14ac:dyDescent="0.15">
      <c r="C203" s="69"/>
    </row>
    <row r="204" spans="3:3" s="66" customFormat="1" x14ac:dyDescent="0.15">
      <c r="C204" s="69"/>
    </row>
    <row r="205" spans="3:3" s="66" customFormat="1" x14ac:dyDescent="0.15">
      <c r="C205" s="69"/>
    </row>
    <row r="206" spans="3:3" s="66" customFormat="1" x14ac:dyDescent="0.15">
      <c r="C206" s="69"/>
    </row>
    <row r="207" spans="3:3" s="66" customFormat="1" x14ac:dyDescent="0.15">
      <c r="C207" s="69"/>
    </row>
    <row r="208" spans="3:3" s="66" customFormat="1" x14ac:dyDescent="0.15">
      <c r="C208" s="69"/>
    </row>
    <row r="209" spans="3:3" s="66" customFormat="1" x14ac:dyDescent="0.15">
      <c r="C209" s="69"/>
    </row>
    <row r="210" spans="3:3" s="66" customFormat="1" x14ac:dyDescent="0.15">
      <c r="C210" s="69"/>
    </row>
    <row r="211" spans="3:3" s="66" customFormat="1" x14ac:dyDescent="0.15">
      <c r="C211" s="69"/>
    </row>
    <row r="212" spans="3:3" s="66" customFormat="1" x14ac:dyDescent="0.15">
      <c r="C212" s="69"/>
    </row>
    <row r="213" spans="3:3" s="66" customFormat="1" x14ac:dyDescent="0.15">
      <c r="C213" s="69"/>
    </row>
    <row r="214" spans="3:3" s="66" customFormat="1" x14ac:dyDescent="0.15">
      <c r="C214" s="69"/>
    </row>
    <row r="215" spans="3:3" s="66" customFormat="1" x14ac:dyDescent="0.15">
      <c r="C215" s="69"/>
    </row>
    <row r="216" spans="3:3" s="66" customFormat="1" x14ac:dyDescent="0.15">
      <c r="C216" s="69"/>
    </row>
    <row r="217" spans="3:3" s="66" customFormat="1" x14ac:dyDescent="0.15">
      <c r="C217" s="69"/>
    </row>
    <row r="218" spans="3:3" s="66" customFormat="1" x14ac:dyDescent="0.15">
      <c r="C218" s="69"/>
    </row>
    <row r="219" spans="3:3" s="66" customFormat="1" x14ac:dyDescent="0.15">
      <c r="C219" s="69"/>
    </row>
    <row r="220" spans="3:3" s="66" customFormat="1" x14ac:dyDescent="0.15">
      <c r="C220" s="69"/>
    </row>
    <row r="221" spans="3:3" s="66" customFormat="1" x14ac:dyDescent="0.15">
      <c r="C221" s="69"/>
    </row>
    <row r="222" spans="3:3" s="66" customFormat="1" x14ac:dyDescent="0.15">
      <c r="C222" s="69"/>
    </row>
    <row r="223" spans="3:3" s="66" customFormat="1" x14ac:dyDescent="0.15">
      <c r="C223" s="69"/>
    </row>
    <row r="224" spans="3:3" s="66" customFormat="1" x14ac:dyDescent="0.15">
      <c r="C224" s="69"/>
    </row>
    <row r="225" spans="3:3" s="66" customFormat="1" x14ac:dyDescent="0.15">
      <c r="C225" s="69"/>
    </row>
    <row r="226" spans="3:3" s="66" customFormat="1" x14ac:dyDescent="0.15">
      <c r="C226" s="69"/>
    </row>
    <row r="227" spans="3:3" s="66" customFormat="1" x14ac:dyDescent="0.15">
      <c r="C227" s="69"/>
    </row>
    <row r="228" spans="3:3" s="66" customFormat="1" x14ac:dyDescent="0.15">
      <c r="C228" s="69"/>
    </row>
    <row r="229" spans="3:3" s="66" customFormat="1" x14ac:dyDescent="0.15">
      <c r="C229" s="69"/>
    </row>
    <row r="230" spans="3:3" s="66" customFormat="1" x14ac:dyDescent="0.15">
      <c r="C230" s="69"/>
    </row>
    <row r="231" spans="3:3" s="66" customFormat="1" x14ac:dyDescent="0.15">
      <c r="C231" s="69"/>
    </row>
    <row r="232" spans="3:3" s="66" customFormat="1" x14ac:dyDescent="0.15">
      <c r="C232" s="69"/>
    </row>
  </sheetData>
  <mergeCells count="4">
    <mergeCell ref="B4:B5"/>
    <mergeCell ref="C4:D4"/>
    <mergeCell ref="E4:F4"/>
    <mergeCell ref="G4:H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3AB9F-CD04-418D-BFE4-1C62CC5CE36E}">
  <sheetPr codeName="Sheet15">
    <tabColor theme="8" tint="0.59999389629810485"/>
    <outlinePr summaryBelow="0"/>
  </sheetPr>
  <dimension ref="A1:Y1147"/>
  <sheetViews>
    <sheetView zoomScale="70" zoomScaleNormal="70" workbookViewId="0">
      <selection activeCell="B4" sqref="B4"/>
    </sheetView>
  </sheetViews>
  <sheetFormatPr baseColWidth="10" defaultColWidth="9" defaultRowHeight="14" outlineLevelRow="1" x14ac:dyDescent="0.15"/>
  <cols>
    <col min="1" max="1" width="7.1640625" customWidth="1"/>
    <col min="2" max="2" width="36.5" customWidth="1"/>
    <col min="3" max="3" width="19.6640625" style="64" customWidth="1"/>
    <col min="4" max="4" width="20" customWidth="1"/>
    <col min="5" max="5" width="20.1640625" customWidth="1"/>
    <col min="6" max="6" width="15.6640625" customWidth="1"/>
    <col min="7" max="7" width="18.5" customWidth="1"/>
    <col min="8" max="8" width="18.1640625" customWidth="1"/>
    <col min="9" max="9" width="15.6640625" style="66" customWidth="1"/>
    <col min="10" max="10" width="18.5" style="66" customWidth="1"/>
    <col min="11" max="11" width="19.6640625" style="66" customWidth="1"/>
    <col min="12" max="12" width="17.33203125" style="66" customWidth="1"/>
    <col min="13" max="13" width="17.5" style="66" bestFit="1" customWidth="1"/>
    <col min="14" max="14" width="33" style="66" bestFit="1" customWidth="1"/>
    <col min="15" max="15" width="17.6640625" style="66" customWidth="1"/>
    <col min="16" max="17" width="18.1640625" style="66" customWidth="1"/>
    <col min="18" max="24" width="15.33203125" style="66" customWidth="1"/>
    <col min="25" max="25" width="14" style="66" customWidth="1"/>
    <col min="26" max="16384" width="9" style="66"/>
  </cols>
  <sheetData>
    <row r="1" spans="1:17" ht="18" x14ac:dyDescent="0.2">
      <c r="A1" s="76" t="s">
        <v>449</v>
      </c>
      <c r="B1" s="77"/>
      <c r="C1" s="78"/>
      <c r="D1" s="77"/>
      <c r="E1" s="77"/>
      <c r="F1" s="77"/>
      <c r="G1" s="77"/>
      <c r="H1" s="77"/>
      <c r="I1" s="77"/>
      <c r="J1" s="77"/>
      <c r="K1" s="77"/>
      <c r="L1" s="77"/>
      <c r="M1" s="77"/>
    </row>
    <row r="2" spans="1:17" x14ac:dyDescent="0.15">
      <c r="A2" s="66"/>
      <c r="B2" s="66"/>
      <c r="C2" s="69"/>
      <c r="D2" s="66"/>
      <c r="E2" s="66"/>
      <c r="F2" s="66"/>
      <c r="G2" s="66"/>
      <c r="H2" s="66"/>
    </row>
    <row r="3" spans="1:17" x14ac:dyDescent="0.15">
      <c r="A3" s="66"/>
      <c r="B3" s="82" t="s">
        <v>450</v>
      </c>
      <c r="C3" s="69"/>
      <c r="D3" s="66"/>
      <c r="E3" s="66"/>
      <c r="F3" s="66"/>
      <c r="G3" s="66"/>
      <c r="H3" s="66"/>
      <c r="N3" s="82"/>
      <c r="O3" s="603"/>
      <c r="P3" s="603"/>
      <c r="Q3" s="603"/>
    </row>
    <row r="4" spans="1:17" ht="14.25" customHeight="1" x14ac:dyDescent="0.15">
      <c r="A4" s="66"/>
      <c r="B4" s="460" t="s">
        <v>77</v>
      </c>
      <c r="C4" s="435">
        <v>2010</v>
      </c>
      <c r="D4" s="435">
        <v>2015</v>
      </c>
      <c r="E4" s="435">
        <v>2019</v>
      </c>
      <c r="F4" s="66"/>
      <c r="G4" s="66"/>
      <c r="H4" s="66"/>
      <c r="N4" s="604"/>
      <c r="O4" s="298"/>
      <c r="P4" s="298"/>
      <c r="Q4" s="298"/>
    </row>
    <row r="5" spans="1:17" ht="15" x14ac:dyDescent="0.15">
      <c r="A5" s="66"/>
      <c r="B5" s="386" t="s">
        <v>59</v>
      </c>
      <c r="C5" s="436">
        <f t="shared" ref="C5:C13" si="0">SUMIF($C$455:$K$455,B5,$C$461:$K$461)+SUMIF($C$500:$K$500,B5,$C$511:$K$511)+SUMIF($C$569:$K$569,B5,$C$589:$K$589)</f>
        <v>1579217681.0589614</v>
      </c>
      <c r="D5" s="436">
        <f t="shared" ref="D5:D13" si="1">SUMIF($C$257:$K$257,B5,$C$263:$K$263)+SUMIF($C$302:$K$302,B5,$C$313:$K$313)+SUMIF($C$371:$K$371,B5,$C$391:$K$391)</f>
        <v>1476972450.3369403</v>
      </c>
      <c r="E5" s="436">
        <f t="shared" ref="E5:E13" si="2">SUMIF($C$59:$K$59,B5,$C$65:$K$65)+SUMIF($C$104:$K$104,B5,$C$115:$K$115)+SUMIF($C$173:$K$173,B5,$C$193:$K$193)</f>
        <v>1631983281.0494134</v>
      </c>
      <c r="F5" s="66"/>
      <c r="G5" s="66"/>
      <c r="H5" s="66"/>
      <c r="O5" s="605"/>
      <c r="P5" s="605"/>
      <c r="Q5" s="605"/>
    </row>
    <row r="6" spans="1:17" ht="15" x14ac:dyDescent="0.15">
      <c r="A6" s="66"/>
      <c r="B6" s="387" t="s">
        <v>58</v>
      </c>
      <c r="C6" s="436">
        <f t="shared" si="0"/>
        <v>530910958.45133281</v>
      </c>
      <c r="D6" s="436">
        <f t="shared" si="1"/>
        <v>495908896.08921587</v>
      </c>
      <c r="E6" s="436">
        <f t="shared" si="2"/>
        <v>551751942.28154016</v>
      </c>
      <c r="F6" s="66"/>
      <c r="G6" s="66"/>
      <c r="H6" s="66"/>
      <c r="O6" s="605"/>
      <c r="P6" s="605"/>
      <c r="Q6" s="605"/>
    </row>
    <row r="7" spans="1:17" ht="15" x14ac:dyDescent="0.15">
      <c r="A7" s="66"/>
      <c r="B7" s="387" t="s">
        <v>100</v>
      </c>
      <c r="C7" s="436">
        <f t="shared" si="0"/>
        <v>1048306722.6076287</v>
      </c>
      <c r="D7" s="436">
        <f t="shared" si="1"/>
        <v>981063554.24772441</v>
      </c>
      <c r="E7" s="436">
        <f t="shared" si="2"/>
        <v>1080231338.7678733</v>
      </c>
      <c r="F7" s="66"/>
      <c r="G7" s="66"/>
      <c r="H7" s="66"/>
      <c r="O7" s="605"/>
      <c r="P7" s="605"/>
      <c r="Q7" s="605"/>
    </row>
    <row r="8" spans="1:17" ht="15" x14ac:dyDescent="0.15">
      <c r="A8" s="66"/>
      <c r="B8" s="386" t="s">
        <v>60</v>
      </c>
      <c r="C8" s="436">
        <f t="shared" si="0"/>
        <v>476382347.59078121</v>
      </c>
      <c r="D8" s="436">
        <f t="shared" si="1"/>
        <v>457887766.78527057</v>
      </c>
      <c r="E8" s="436">
        <f t="shared" si="2"/>
        <v>497790773.74568403</v>
      </c>
      <c r="F8" s="66"/>
      <c r="G8" s="66"/>
      <c r="H8" s="66"/>
      <c r="O8" s="606"/>
      <c r="P8" s="606"/>
      <c r="Q8" s="606"/>
    </row>
    <row r="9" spans="1:17" ht="15" x14ac:dyDescent="0.15">
      <c r="A9" s="66"/>
      <c r="B9" s="386" t="s">
        <v>62</v>
      </c>
      <c r="C9" s="436">
        <f t="shared" si="0"/>
        <v>321125369.17579108</v>
      </c>
      <c r="D9" s="436">
        <f t="shared" si="1"/>
        <v>296529423.66847456</v>
      </c>
      <c r="E9" s="436">
        <f t="shared" si="2"/>
        <v>324138165.76615065</v>
      </c>
      <c r="F9" s="66"/>
      <c r="G9" s="66"/>
      <c r="H9" s="66"/>
      <c r="O9" s="606"/>
      <c r="P9" s="606"/>
      <c r="Q9" s="606"/>
    </row>
    <row r="10" spans="1:17" ht="15" x14ac:dyDescent="0.15">
      <c r="A10" s="66"/>
      <c r="B10" s="386" t="s">
        <v>61</v>
      </c>
      <c r="C10" s="436">
        <f t="shared" si="0"/>
        <v>80706601.95869641</v>
      </c>
      <c r="D10" s="436">
        <f t="shared" si="1"/>
        <v>75163887.654968455</v>
      </c>
      <c r="E10" s="436">
        <f t="shared" si="2"/>
        <v>80012792.931072891</v>
      </c>
      <c r="F10" s="66"/>
      <c r="G10" s="66"/>
      <c r="H10" s="66"/>
      <c r="O10" s="605"/>
      <c r="P10" s="605"/>
      <c r="Q10" s="605"/>
    </row>
    <row r="11" spans="1:17" ht="15" x14ac:dyDescent="0.15">
      <c r="A11" s="66"/>
      <c r="B11" s="386" t="s">
        <v>63</v>
      </c>
      <c r="C11" s="436">
        <f t="shared" si="0"/>
        <v>358526039.22623044</v>
      </c>
      <c r="D11" s="436">
        <f t="shared" si="1"/>
        <v>345036696.89712447</v>
      </c>
      <c r="E11" s="436">
        <f t="shared" si="2"/>
        <v>373320226.66005874</v>
      </c>
      <c r="F11" s="66"/>
      <c r="G11" s="66"/>
      <c r="H11" s="66"/>
      <c r="O11" s="605"/>
      <c r="P11" s="605"/>
      <c r="Q11" s="605"/>
    </row>
    <row r="12" spans="1:17" ht="15" x14ac:dyDescent="0.15">
      <c r="A12" s="66"/>
      <c r="B12" s="386" t="s">
        <v>64</v>
      </c>
      <c r="C12" s="436">
        <f t="shared" si="0"/>
        <v>204205789.61051205</v>
      </c>
      <c r="D12" s="436">
        <f t="shared" si="1"/>
        <v>189996973.16604546</v>
      </c>
      <c r="E12" s="436">
        <f t="shared" si="2"/>
        <v>206798521.48806864</v>
      </c>
      <c r="F12" s="66"/>
      <c r="G12" s="66"/>
      <c r="H12" s="66"/>
      <c r="O12" s="605"/>
      <c r="P12" s="605"/>
      <c r="Q12" s="605"/>
    </row>
    <row r="13" spans="1:17" ht="15" x14ac:dyDescent="0.15">
      <c r="A13" s="66"/>
      <c r="B13" s="386" t="s">
        <v>65</v>
      </c>
      <c r="C13" s="436">
        <f t="shared" si="0"/>
        <v>379500545.66692889</v>
      </c>
      <c r="D13" s="436">
        <f t="shared" si="1"/>
        <v>338202362.97808051</v>
      </c>
      <c r="E13" s="436">
        <f t="shared" si="2"/>
        <v>373161117.27018446</v>
      </c>
      <c r="F13" s="66"/>
      <c r="G13" s="66"/>
      <c r="H13" s="66"/>
      <c r="O13" s="605"/>
      <c r="P13" s="605"/>
      <c r="Q13" s="605"/>
    </row>
    <row r="14" spans="1:17" ht="15" x14ac:dyDescent="0.15">
      <c r="A14" s="66"/>
      <c r="B14" s="551" t="s">
        <v>88</v>
      </c>
      <c r="C14" s="509">
        <f>SUM(C6:C13)</f>
        <v>3399664374.2879019</v>
      </c>
      <c r="D14" s="509">
        <f t="shared" ref="D14:E14" si="3">SUM(D6:D13)</f>
        <v>3179789561.4869041</v>
      </c>
      <c r="E14" s="509">
        <f t="shared" si="3"/>
        <v>3487204878.9106321</v>
      </c>
      <c r="F14" s="66"/>
      <c r="G14" s="66"/>
      <c r="H14" s="66"/>
      <c r="O14" s="605"/>
      <c r="P14" s="605"/>
      <c r="Q14" s="605"/>
    </row>
    <row r="15" spans="1:17" x14ac:dyDescent="0.15">
      <c r="A15" s="66"/>
      <c r="B15" s="66" t="s">
        <v>451</v>
      </c>
      <c r="C15" s="66"/>
      <c r="D15" s="66"/>
      <c r="E15" s="66"/>
      <c r="F15" s="66"/>
      <c r="G15" s="66"/>
      <c r="H15" s="66"/>
      <c r="O15" s="605"/>
      <c r="P15" s="605"/>
      <c r="Q15" s="605"/>
    </row>
    <row r="16" spans="1:17" x14ac:dyDescent="0.15">
      <c r="A16" s="66"/>
      <c r="B16" s="66"/>
      <c r="C16" s="66"/>
      <c r="D16" s="66"/>
      <c r="E16" s="66"/>
      <c r="F16" s="66"/>
      <c r="G16" s="66"/>
      <c r="H16" s="66"/>
      <c r="O16" s="605"/>
      <c r="P16" s="605"/>
      <c r="Q16" s="605"/>
    </row>
    <row r="17" spans="1:17" x14ac:dyDescent="0.15">
      <c r="A17" s="66"/>
      <c r="B17" s="82" t="s">
        <v>452</v>
      </c>
      <c r="C17" s="69"/>
      <c r="D17" s="66"/>
      <c r="E17" s="66"/>
      <c r="F17" s="66"/>
      <c r="G17" s="66"/>
      <c r="H17" s="66"/>
      <c r="N17" s="82"/>
      <c r="O17" s="603"/>
      <c r="P17" s="603"/>
      <c r="Q17" s="603"/>
    </row>
    <row r="18" spans="1:17" ht="14.25" customHeight="1" x14ac:dyDescent="0.15">
      <c r="A18" s="66"/>
      <c r="B18" s="460" t="s">
        <v>77</v>
      </c>
      <c r="C18" s="435">
        <v>2010</v>
      </c>
      <c r="D18" s="435">
        <v>2015</v>
      </c>
      <c r="E18" s="435">
        <v>2019</v>
      </c>
      <c r="F18" s="66"/>
      <c r="G18" s="66"/>
      <c r="H18" s="66"/>
      <c r="N18" s="604"/>
      <c r="O18" s="298"/>
      <c r="P18" s="298"/>
      <c r="Q18" s="298"/>
    </row>
    <row r="19" spans="1:17" ht="15" x14ac:dyDescent="0.15">
      <c r="A19" s="66"/>
      <c r="B19" s="386" t="s">
        <v>59</v>
      </c>
      <c r="C19" s="436">
        <f t="shared" ref="C19:C27" si="4">SUMIF($C$455:$K$455,B19,$C$471:$K$471)+SUMIF($C$500:$K$500,B19,$C$526:$K$526)+SUMIF($C$569:$K$569,B19,$C$613:$K$613)</f>
        <v>1320404.7324087026</v>
      </c>
      <c r="D19" s="436">
        <f t="shared" ref="D19:D27" si="5">SUMIF($C$257:$K$257,B19,$C$273:$K$273)+SUMIF($C$302:$K$302,B19,$C$328:$K$328)+SUMIF($C$371:$K$371,B19,$C$415:$K$415)</f>
        <v>690396.34745990497</v>
      </c>
      <c r="E19" s="436">
        <f t="shared" ref="E19:E27" si="6">SUMIF($C$59:$K$59,B19,$C$75:$K$75)+SUMIF($C$104:$K$104,B19,$C$130:$K$130)+SUMIF($C$173:$K$173,B19,$C$217:$K$217)</f>
        <v>576918.77017358539</v>
      </c>
      <c r="F19" s="66"/>
      <c r="G19" s="66"/>
      <c r="H19" s="66"/>
      <c r="O19" s="605"/>
      <c r="P19" s="605"/>
      <c r="Q19" s="605"/>
    </row>
    <row r="20" spans="1:17" ht="15" x14ac:dyDescent="0.15">
      <c r="A20" s="66"/>
      <c r="B20" s="387" t="s">
        <v>58</v>
      </c>
      <c r="C20" s="436">
        <f t="shared" si="4"/>
        <v>411977.5796915493</v>
      </c>
      <c r="D20" s="436">
        <f t="shared" si="5"/>
        <v>210871.18230488172</v>
      </c>
      <c r="E20" s="436">
        <f t="shared" si="6"/>
        <v>174796.89954493399</v>
      </c>
      <c r="F20" s="66"/>
      <c r="G20" s="66"/>
      <c r="H20" s="66"/>
      <c r="O20" s="605"/>
      <c r="P20" s="605"/>
      <c r="Q20" s="605"/>
    </row>
    <row r="21" spans="1:17" ht="15" x14ac:dyDescent="0.15">
      <c r="A21" s="66"/>
      <c r="B21" s="387" t="s">
        <v>100</v>
      </c>
      <c r="C21" s="436">
        <f t="shared" si="4"/>
        <v>908427.15271715331</v>
      </c>
      <c r="D21" s="436">
        <f t="shared" si="5"/>
        <v>479525.16515502334</v>
      </c>
      <c r="E21" s="436">
        <f t="shared" si="6"/>
        <v>402121.87062865135</v>
      </c>
      <c r="F21" s="66"/>
      <c r="G21" s="66"/>
      <c r="H21" s="66"/>
      <c r="O21" s="605"/>
      <c r="P21" s="605"/>
      <c r="Q21" s="605"/>
    </row>
    <row r="22" spans="1:17" ht="15" x14ac:dyDescent="0.15">
      <c r="A22" s="66"/>
      <c r="B22" s="386" t="s">
        <v>60</v>
      </c>
      <c r="C22" s="436">
        <f t="shared" si="4"/>
        <v>442339.2435492705</v>
      </c>
      <c r="D22" s="436">
        <f t="shared" si="5"/>
        <v>249463.32714839996</v>
      </c>
      <c r="E22" s="436">
        <f t="shared" si="6"/>
        <v>218370.10019701702</v>
      </c>
      <c r="F22" s="66"/>
      <c r="G22" s="66"/>
      <c r="H22" s="66"/>
      <c r="O22" s="606"/>
      <c r="P22" s="606"/>
      <c r="Q22" s="606"/>
    </row>
    <row r="23" spans="1:17" ht="15" x14ac:dyDescent="0.15">
      <c r="A23" s="66"/>
      <c r="B23" s="386" t="s">
        <v>62</v>
      </c>
      <c r="C23" s="436">
        <f t="shared" si="4"/>
        <v>211449.82155280741</v>
      </c>
      <c r="D23" s="436">
        <f t="shared" si="5"/>
        <v>114695.90601977715</v>
      </c>
      <c r="E23" s="436">
        <f t="shared" si="6"/>
        <v>99699.204507492585</v>
      </c>
      <c r="F23" s="66"/>
      <c r="G23" s="66"/>
      <c r="H23" s="66"/>
      <c r="O23" s="606"/>
      <c r="P23" s="606"/>
      <c r="Q23" s="606"/>
    </row>
    <row r="24" spans="1:17" ht="15" x14ac:dyDescent="0.15">
      <c r="A24" s="66"/>
      <c r="B24" s="386" t="s">
        <v>61</v>
      </c>
      <c r="C24" s="436">
        <f t="shared" si="4"/>
        <v>32120.71154142989</v>
      </c>
      <c r="D24" s="436">
        <f t="shared" si="5"/>
        <v>21075.352871420455</v>
      </c>
      <c r="E24" s="436">
        <f t="shared" si="6"/>
        <v>17873.486244867774</v>
      </c>
      <c r="F24" s="66"/>
      <c r="G24" s="66"/>
      <c r="H24" s="66"/>
      <c r="O24" s="605"/>
      <c r="P24" s="605"/>
      <c r="Q24" s="605"/>
    </row>
    <row r="25" spans="1:17" ht="15" x14ac:dyDescent="0.15">
      <c r="A25" s="66"/>
      <c r="B25" s="386" t="s">
        <v>63</v>
      </c>
      <c r="C25" s="436">
        <f t="shared" si="4"/>
        <v>335174.70728941122</v>
      </c>
      <c r="D25" s="436">
        <f t="shared" si="5"/>
        <v>188282.2721004489</v>
      </c>
      <c r="E25" s="436">
        <f t="shared" si="6"/>
        <v>165551.76443560561</v>
      </c>
      <c r="F25" s="66"/>
      <c r="G25" s="66"/>
      <c r="H25" s="66"/>
      <c r="O25" s="605"/>
      <c r="P25" s="605"/>
      <c r="Q25" s="605"/>
    </row>
    <row r="26" spans="1:17" ht="15" x14ac:dyDescent="0.15">
      <c r="A26" s="66"/>
      <c r="B26" s="386" t="s">
        <v>64</v>
      </c>
      <c r="C26" s="436">
        <f t="shared" si="4"/>
        <v>130362.56623291524</v>
      </c>
      <c r="D26" s="436">
        <f t="shared" si="5"/>
        <v>67050.638521742745</v>
      </c>
      <c r="E26" s="436">
        <f t="shared" si="6"/>
        <v>56776.985912072334</v>
      </c>
      <c r="F26" s="66"/>
      <c r="G26" s="66"/>
      <c r="H26" s="66"/>
      <c r="O26" s="605"/>
      <c r="P26" s="605"/>
      <c r="Q26" s="605"/>
    </row>
    <row r="27" spans="1:17" ht="15" x14ac:dyDescent="0.15">
      <c r="A27" s="66"/>
      <c r="B27" s="386" t="s">
        <v>65</v>
      </c>
      <c r="C27" s="436">
        <f t="shared" si="4"/>
        <v>173954.18695818767</v>
      </c>
      <c r="D27" s="436">
        <f t="shared" si="5"/>
        <v>98433.311168441505</v>
      </c>
      <c r="E27" s="436">
        <f t="shared" si="6"/>
        <v>85648.25143063892</v>
      </c>
      <c r="F27" s="66"/>
      <c r="G27" s="66"/>
      <c r="H27" s="66"/>
      <c r="O27" s="605"/>
      <c r="P27" s="605"/>
      <c r="Q27" s="605"/>
    </row>
    <row r="28" spans="1:17" ht="15" x14ac:dyDescent="0.15">
      <c r="A28" s="66"/>
      <c r="B28" s="551" t="s">
        <v>88</v>
      </c>
      <c r="C28" s="509">
        <f>SUM(C20:C27)</f>
        <v>2645805.9695327245</v>
      </c>
      <c r="D28" s="509">
        <f t="shared" ref="D28:E28" si="7">SUM(D20:D27)</f>
        <v>1429397.1552901359</v>
      </c>
      <c r="E28" s="509">
        <f t="shared" si="7"/>
        <v>1220838.5629012794</v>
      </c>
      <c r="F28" s="66"/>
      <c r="G28" s="66"/>
      <c r="H28" s="66"/>
      <c r="O28" s="605"/>
      <c r="P28" s="605"/>
      <c r="Q28" s="605"/>
    </row>
    <row r="29" spans="1:17" x14ac:dyDescent="0.15">
      <c r="A29" s="66"/>
      <c r="B29" s="66" t="s">
        <v>451</v>
      </c>
      <c r="C29" s="66"/>
      <c r="D29" s="66"/>
      <c r="E29" s="66"/>
      <c r="F29" s="66"/>
      <c r="G29" s="66"/>
      <c r="H29" s="66"/>
      <c r="O29" s="605"/>
      <c r="P29" s="605"/>
      <c r="Q29" s="605"/>
    </row>
    <row r="30" spans="1:17" x14ac:dyDescent="0.15">
      <c r="A30" s="66"/>
      <c r="B30" s="66"/>
      <c r="C30" s="66"/>
      <c r="D30" s="66"/>
      <c r="E30" s="66"/>
      <c r="F30" s="66"/>
      <c r="G30" s="66"/>
      <c r="H30" s="66"/>
      <c r="O30" s="605"/>
      <c r="P30" s="605"/>
      <c r="Q30" s="605"/>
    </row>
    <row r="31" spans="1:17" x14ac:dyDescent="0.15">
      <c r="A31" s="66"/>
      <c r="B31" s="82" t="s">
        <v>453</v>
      </c>
      <c r="C31" s="69"/>
      <c r="D31" s="66"/>
      <c r="E31" s="66"/>
      <c r="F31" s="66"/>
      <c r="G31" s="66"/>
      <c r="H31" s="66"/>
      <c r="N31" s="82"/>
      <c r="O31" s="605"/>
      <c r="P31" s="605"/>
      <c r="Q31" s="605"/>
    </row>
    <row r="32" spans="1:17" ht="14.25" customHeight="1" x14ac:dyDescent="0.15">
      <c r="A32" s="66"/>
      <c r="B32" s="460" t="s">
        <v>77</v>
      </c>
      <c r="C32" s="726">
        <v>2010</v>
      </c>
      <c r="D32" s="727"/>
      <c r="E32" s="728"/>
      <c r="F32" s="726">
        <v>2015</v>
      </c>
      <c r="G32" s="727"/>
      <c r="H32" s="728"/>
      <c r="I32" s="726">
        <v>2019</v>
      </c>
      <c r="J32" s="727"/>
      <c r="K32" s="727"/>
      <c r="N32" s="604"/>
      <c r="O32" s="605"/>
      <c r="P32" s="605"/>
      <c r="Q32" s="605"/>
    </row>
    <row r="33" spans="1:24" ht="14.25" customHeight="1" x14ac:dyDescent="0.15">
      <c r="A33" s="66"/>
      <c r="B33" s="460"/>
      <c r="C33" s="435" t="s">
        <v>454</v>
      </c>
      <c r="D33" s="435" t="s">
        <v>455</v>
      </c>
      <c r="E33" s="435" t="s">
        <v>456</v>
      </c>
      <c r="F33" s="435" t="s">
        <v>454</v>
      </c>
      <c r="G33" s="435" t="s">
        <v>455</v>
      </c>
      <c r="H33" s="435" t="s">
        <v>456</v>
      </c>
      <c r="I33" s="435" t="s">
        <v>454</v>
      </c>
      <c r="J33" s="435" t="s">
        <v>455</v>
      </c>
      <c r="K33" s="435" t="s">
        <v>456</v>
      </c>
      <c r="N33" s="604"/>
      <c r="O33" s="605"/>
      <c r="P33" s="605"/>
      <c r="Q33" s="605"/>
    </row>
    <row r="34" spans="1:24" ht="15" x14ac:dyDescent="0.15">
      <c r="A34" s="66"/>
      <c r="B34" s="386" t="s">
        <v>59</v>
      </c>
      <c r="C34" s="436">
        <f t="shared" ref="C34:C42" si="8">SUMIF($C$475:$K$475,B34,$C$481:$K$481)</f>
        <v>3652157.6667066352</v>
      </c>
      <c r="D34" s="436">
        <f t="shared" ref="D34:D42" si="9">SUMIF($C$530:$K$530,B34,$C$541:$K$541)</f>
        <v>108354505.07205966</v>
      </c>
      <c r="E34" s="436">
        <f t="shared" ref="E34:E42" si="10">SUMIF($C$617:$K$617,B34,$C$637:$K$637)</f>
        <v>54076459.842458174</v>
      </c>
      <c r="F34" s="436">
        <f t="shared" ref="F34:F42" si="11">SUMIF($C$277:$K$277,B34,$C$283:$K$283)</f>
        <v>3761635.0440176115</v>
      </c>
      <c r="G34" s="436">
        <f t="shared" ref="G34:G42" si="12">SUMIF($C$332:$K$332,B34,$C$343:$K$343)</f>
        <v>95436525.498738959</v>
      </c>
      <c r="H34" s="436">
        <f t="shared" ref="H34:H42" si="13">SUMIF($C$419:$K$419,B34,$C$439:$K$439)</f>
        <v>56250770.765212871</v>
      </c>
      <c r="I34" s="436">
        <f t="shared" ref="I34:I42" si="14">SUMIF($C$79:$K$79,B34,$C$85:$K$85)</f>
        <v>4134307.54565999</v>
      </c>
      <c r="J34" s="436">
        <f t="shared" ref="J34:J42" si="15">SUMIF($C$134:$K$134,B34,$C$145:$K$145)</f>
        <v>108347173.73647614</v>
      </c>
      <c r="K34" s="436">
        <f t="shared" ref="K34:K42" si="16">SUMIF($C$221:$K$221,B34,$C$241:$K$241)</f>
        <v>58542246.325044982</v>
      </c>
      <c r="O34" s="605"/>
      <c r="P34" s="605"/>
      <c r="Q34" s="605"/>
    </row>
    <row r="35" spans="1:24" ht="15" x14ac:dyDescent="0.15">
      <c r="A35" s="66"/>
      <c r="B35" s="387" t="s">
        <v>58</v>
      </c>
      <c r="C35" s="436">
        <f t="shared" si="8"/>
        <v>1244614.4293989635</v>
      </c>
      <c r="D35" s="436">
        <f t="shared" si="9"/>
        <v>38691399.681846119</v>
      </c>
      <c r="E35" s="436">
        <f t="shared" si="10"/>
        <v>15534719.240835069</v>
      </c>
      <c r="F35" s="436">
        <f t="shared" si="11"/>
        <v>1281908.0066705025</v>
      </c>
      <c r="G35" s="436">
        <f t="shared" si="12"/>
        <v>34401950.154767133</v>
      </c>
      <c r="H35" s="436">
        <f t="shared" si="13"/>
        <v>16160792.93331554</v>
      </c>
      <c r="I35" s="436">
        <f t="shared" si="14"/>
        <v>1408942.1399096937</v>
      </c>
      <c r="J35" s="436">
        <f t="shared" si="15"/>
        <v>39135849.514905885</v>
      </c>
      <c r="K35" s="436">
        <f t="shared" si="16"/>
        <v>16904149.053709991</v>
      </c>
      <c r="O35" s="605"/>
      <c r="P35" s="605"/>
      <c r="Q35" s="605"/>
    </row>
    <row r="36" spans="1:24" ht="15" x14ac:dyDescent="0.15">
      <c r="A36" s="66"/>
      <c r="B36" s="387" t="s">
        <v>100</v>
      </c>
      <c r="C36" s="436">
        <f t="shared" si="8"/>
        <v>2407543.2373076719</v>
      </c>
      <c r="D36" s="436">
        <f t="shared" si="9"/>
        <v>69663105.390213519</v>
      </c>
      <c r="E36" s="436">
        <f t="shared" si="10"/>
        <v>38541740.601623096</v>
      </c>
      <c r="F36" s="436">
        <f t="shared" si="11"/>
        <v>2479727.03734711</v>
      </c>
      <c r="G36" s="436">
        <f t="shared" si="12"/>
        <v>61034575.343971804</v>
      </c>
      <c r="H36" s="436">
        <f t="shared" si="13"/>
        <v>40089977.831897333</v>
      </c>
      <c r="I36" s="436">
        <f t="shared" si="14"/>
        <v>2725365.4057502965</v>
      </c>
      <c r="J36" s="436">
        <f t="shared" si="15"/>
        <v>69211324.221570253</v>
      </c>
      <c r="K36" s="436">
        <f t="shared" si="16"/>
        <v>41638097.271334983</v>
      </c>
      <c r="O36" s="605"/>
      <c r="P36" s="605"/>
      <c r="Q36" s="605"/>
    </row>
    <row r="37" spans="1:24" ht="15" x14ac:dyDescent="0.15">
      <c r="A37" s="66"/>
      <c r="B37" s="386" t="s">
        <v>60</v>
      </c>
      <c r="C37" s="436">
        <f t="shared" si="8"/>
        <v>1072074.1725584008</v>
      </c>
      <c r="D37" s="436">
        <f t="shared" si="9"/>
        <v>28184920.867030337</v>
      </c>
      <c r="E37" s="436">
        <f t="shared" si="10"/>
        <v>21574102.693556987</v>
      </c>
      <c r="F37" s="436">
        <f t="shared" si="11"/>
        <v>1110246.1020659171</v>
      </c>
      <c r="G37" s="436">
        <f t="shared" si="12"/>
        <v>25044215.626149502</v>
      </c>
      <c r="H37" s="436">
        <f t="shared" si="13"/>
        <v>22717071.536492746</v>
      </c>
      <c r="I37" s="436">
        <f t="shared" si="14"/>
        <v>1213519.3654312952</v>
      </c>
      <c r="J37" s="436">
        <f t="shared" si="15"/>
        <v>28186538.139492434</v>
      </c>
      <c r="K37" s="436">
        <f t="shared" si="16"/>
        <v>23506017.96512644</v>
      </c>
      <c r="O37" s="605"/>
      <c r="P37" s="605"/>
      <c r="Q37" s="605"/>
    </row>
    <row r="38" spans="1:24" ht="15" x14ac:dyDescent="0.15">
      <c r="A38" s="66"/>
      <c r="B38" s="386" t="s">
        <v>62</v>
      </c>
      <c r="C38" s="436">
        <f t="shared" si="8"/>
        <v>464526.70940611348</v>
      </c>
      <c r="D38" s="436">
        <f t="shared" si="9"/>
        <v>23010496.529329814</v>
      </c>
      <c r="E38" s="436">
        <f t="shared" si="10"/>
        <v>10051065.73379416</v>
      </c>
      <c r="F38" s="436">
        <f t="shared" si="11"/>
        <v>477304.95696246566</v>
      </c>
      <c r="G38" s="436">
        <f t="shared" si="12"/>
        <v>19984778.517671697</v>
      </c>
      <c r="H38" s="436">
        <f t="shared" si="13"/>
        <v>10551481.697087897</v>
      </c>
      <c r="I38" s="436">
        <f t="shared" si="14"/>
        <v>525406.30899739487</v>
      </c>
      <c r="J38" s="436">
        <f t="shared" si="15"/>
        <v>22349200.188650694</v>
      </c>
      <c r="K38" s="436">
        <f t="shared" si="16"/>
        <v>10905740.099038584</v>
      </c>
      <c r="O38" s="605"/>
      <c r="P38" s="605"/>
      <c r="Q38" s="605"/>
    </row>
    <row r="39" spans="1:24" ht="15" x14ac:dyDescent="0.15">
      <c r="A39" s="66"/>
      <c r="B39" s="386" t="s">
        <v>61</v>
      </c>
      <c r="C39" s="436">
        <f t="shared" si="8"/>
        <v>36520.283441947031</v>
      </c>
      <c r="D39" s="436">
        <f t="shared" si="9"/>
        <v>6170285.5119072692</v>
      </c>
      <c r="E39" s="436">
        <f t="shared" si="10"/>
        <v>2250719.5840546694</v>
      </c>
      <c r="F39" s="436">
        <f t="shared" si="11"/>
        <v>38073.864273578569</v>
      </c>
      <c r="G39" s="436">
        <f t="shared" si="12"/>
        <v>5578941.1960806763</v>
      </c>
      <c r="H39" s="436">
        <f t="shared" si="13"/>
        <v>2231566.8231802084</v>
      </c>
      <c r="I39" s="436">
        <f t="shared" si="14"/>
        <v>40807.950770250369</v>
      </c>
      <c r="J39" s="436">
        <f t="shared" si="15"/>
        <v>6015991.5509568397</v>
      </c>
      <c r="K39" s="436">
        <f t="shared" si="16"/>
        <v>2240309.2973164208</v>
      </c>
      <c r="O39" s="605"/>
      <c r="P39" s="605"/>
      <c r="Q39" s="605"/>
    </row>
    <row r="40" spans="1:24" ht="15" x14ac:dyDescent="0.15">
      <c r="A40" s="66"/>
      <c r="B40" s="386" t="s">
        <v>63</v>
      </c>
      <c r="C40" s="436">
        <f t="shared" si="8"/>
        <v>698746.40885659191</v>
      </c>
      <c r="D40" s="436">
        <f t="shared" si="9"/>
        <v>20591284.221978504</v>
      </c>
      <c r="E40" s="436">
        <f t="shared" si="10"/>
        <v>17097075.66624907</v>
      </c>
      <c r="F40" s="436">
        <f t="shared" si="11"/>
        <v>719951.42614641506</v>
      </c>
      <c r="G40" s="436">
        <f t="shared" si="12"/>
        <v>18250441.175582167</v>
      </c>
      <c r="H40" s="436">
        <f t="shared" si="13"/>
        <v>17966325.535539977</v>
      </c>
      <c r="I40" s="436">
        <f t="shared" si="14"/>
        <v>791461.52384793991</v>
      </c>
      <c r="J40" s="436">
        <f t="shared" si="15"/>
        <v>20501468.905614894</v>
      </c>
      <c r="K40" s="436">
        <f t="shared" si="16"/>
        <v>18488898.130895503</v>
      </c>
      <c r="O40" s="605"/>
      <c r="P40" s="605"/>
      <c r="Q40" s="605"/>
    </row>
    <row r="41" spans="1:24" ht="15" x14ac:dyDescent="0.15">
      <c r="A41" s="66"/>
      <c r="B41" s="386" t="s">
        <v>64</v>
      </c>
      <c r="C41" s="436">
        <f t="shared" si="8"/>
        <v>333153.88371840544</v>
      </c>
      <c r="D41" s="436">
        <f t="shared" si="9"/>
        <v>15449790.652122496</v>
      </c>
      <c r="E41" s="436">
        <f t="shared" si="10"/>
        <v>5416831.4061718043</v>
      </c>
      <c r="F41" s="436">
        <f t="shared" si="11"/>
        <v>341806.82771763724</v>
      </c>
      <c r="G41" s="436">
        <f t="shared" si="12"/>
        <v>13740060.499090916</v>
      </c>
      <c r="H41" s="436">
        <f t="shared" si="13"/>
        <v>5658907.7268668674</v>
      </c>
      <c r="I41" s="436">
        <f t="shared" si="14"/>
        <v>376587.11857007403</v>
      </c>
      <c r="J41" s="436">
        <f t="shared" si="15"/>
        <v>15177721.464133862</v>
      </c>
      <c r="K41" s="436">
        <f t="shared" si="16"/>
        <v>5869471.1605808064</v>
      </c>
      <c r="O41" s="605"/>
      <c r="P41" s="605"/>
      <c r="Q41" s="605"/>
    </row>
    <row r="42" spans="1:24" ht="15" x14ac:dyDescent="0.15">
      <c r="A42" s="66"/>
      <c r="B42" s="386" t="s">
        <v>65</v>
      </c>
      <c r="C42" s="436">
        <f t="shared" si="8"/>
        <v>367772.00602884364</v>
      </c>
      <c r="D42" s="436">
        <f t="shared" si="9"/>
        <v>30244765.445592627</v>
      </c>
      <c r="E42" s="436">
        <f t="shared" si="10"/>
        <v>8447725.6680012997</v>
      </c>
      <c r="F42" s="436">
        <f t="shared" si="11"/>
        <v>381381.21144880552</v>
      </c>
      <c r="G42" s="436">
        <f t="shared" si="12"/>
        <v>25703883.917137943</v>
      </c>
      <c r="H42" s="436">
        <f t="shared" si="13"/>
        <v>8798557.3250915185</v>
      </c>
      <c r="I42" s="436">
        <f t="shared" si="14"/>
        <v>416368.32996909833</v>
      </c>
      <c r="J42" s="436">
        <f t="shared" si="15"/>
        <v>28821806.408925198</v>
      </c>
      <c r="K42" s="436">
        <f t="shared" si="16"/>
        <v>9126013.3111141231</v>
      </c>
      <c r="O42" s="605"/>
      <c r="P42" s="605"/>
      <c r="Q42" s="605"/>
    </row>
    <row r="43" spans="1:24" ht="15" x14ac:dyDescent="0.15">
      <c r="A43" s="66"/>
      <c r="B43" s="551" t="s">
        <v>88</v>
      </c>
      <c r="C43" s="509">
        <f>SUM(C35:C42)</f>
        <v>6624951.1307169385</v>
      </c>
      <c r="D43" s="509">
        <f t="shared" ref="D43:E43" si="17">SUM(D35:D42)</f>
        <v>232006048.30002069</v>
      </c>
      <c r="E43" s="509">
        <f t="shared" si="17"/>
        <v>118913980.59428613</v>
      </c>
      <c r="F43" s="509">
        <f t="shared" ref="F43:K43" si="18">SUM(F35:F42)</f>
        <v>6830399.4326324323</v>
      </c>
      <c r="G43" s="509">
        <f t="shared" si="18"/>
        <v>203738846.43045187</v>
      </c>
      <c r="H43" s="509">
        <f>SUM(H35:H42)</f>
        <v>124174681.40947208</v>
      </c>
      <c r="I43" s="509">
        <f t="shared" si="18"/>
        <v>7498458.1432460435</v>
      </c>
      <c r="J43" s="509">
        <f t="shared" si="18"/>
        <v>229399900.39425007</v>
      </c>
      <c r="K43" s="509">
        <f t="shared" si="18"/>
        <v>128678696.28911684</v>
      </c>
      <c r="O43" s="605"/>
      <c r="P43" s="605"/>
      <c r="Q43" s="605"/>
    </row>
    <row r="44" spans="1:24" x14ac:dyDescent="0.15">
      <c r="A44" s="66"/>
      <c r="B44" s="66"/>
      <c r="C44" s="66"/>
      <c r="D44" s="66"/>
      <c r="E44" s="66"/>
      <c r="F44" s="66"/>
      <c r="G44" s="66"/>
      <c r="H44" s="66"/>
      <c r="O44" s="605"/>
      <c r="P44" s="605"/>
      <c r="Q44" s="605"/>
    </row>
    <row r="45" spans="1:24" s="108" customFormat="1" ht="16" x14ac:dyDescent="0.2">
      <c r="A45" s="89">
        <v>2019</v>
      </c>
      <c r="B45" s="90"/>
      <c r="C45" s="91"/>
      <c r="D45" s="90"/>
      <c r="E45" s="90"/>
      <c r="F45" s="90"/>
      <c r="G45" s="90"/>
      <c r="H45" s="90"/>
      <c r="I45" s="90"/>
      <c r="J45" s="90"/>
      <c r="K45" s="90"/>
      <c r="L45" s="90"/>
      <c r="M45" s="90"/>
      <c r="N45" s="106"/>
    </row>
    <row r="46" spans="1:24" x14ac:dyDescent="0.15">
      <c r="A46" s="66"/>
      <c r="B46" s="238"/>
      <c r="C46" s="236"/>
      <c r="D46" s="205"/>
      <c r="E46" s="214"/>
      <c r="F46" s="214"/>
      <c r="G46" s="214"/>
      <c r="H46" s="214"/>
      <c r="I46" s="205"/>
      <c r="J46" s="205"/>
      <c r="K46" s="205"/>
      <c r="M46" s="205"/>
      <c r="N46" s="205"/>
    </row>
    <row r="47" spans="1:24" ht="18" x14ac:dyDescent="0.2">
      <c r="A47" s="189" t="s">
        <v>154</v>
      </c>
      <c r="B47" s="66"/>
      <c r="C47" s="69"/>
      <c r="D47" s="205"/>
      <c r="E47" s="214"/>
      <c r="F47" s="214"/>
      <c r="G47" s="214"/>
      <c r="H47" s="214"/>
      <c r="I47" s="205"/>
      <c r="J47" s="205"/>
      <c r="K47" s="205"/>
      <c r="N47" s="82" t="s">
        <v>457</v>
      </c>
    </row>
    <row r="48" spans="1:24" ht="15" outlineLevel="1" x14ac:dyDescent="0.15">
      <c r="A48" s="82"/>
      <c r="B48" s="82" t="s">
        <v>458</v>
      </c>
      <c r="C48" s="69"/>
      <c r="D48" s="66"/>
      <c r="E48" s="66"/>
      <c r="F48" s="66"/>
      <c r="G48" s="66"/>
      <c r="H48" s="66"/>
      <c r="N48" s="472" t="s">
        <v>152</v>
      </c>
      <c r="O48" s="472" t="s">
        <v>153</v>
      </c>
      <c r="P48" s="472" t="s">
        <v>58</v>
      </c>
      <c r="Q48" s="472" t="s">
        <v>100</v>
      </c>
      <c r="R48" s="472" t="s">
        <v>59</v>
      </c>
      <c r="S48" s="472" t="s">
        <v>60</v>
      </c>
      <c r="T48" s="472" t="s">
        <v>62</v>
      </c>
      <c r="U48" s="472" t="s">
        <v>61</v>
      </c>
      <c r="V48" s="472" t="s">
        <v>63</v>
      </c>
      <c r="W48" s="472" t="s">
        <v>64</v>
      </c>
      <c r="X48" s="472" t="s">
        <v>65</v>
      </c>
    </row>
    <row r="49" spans="1:25" ht="15" outlineLevel="1" x14ac:dyDescent="0.15">
      <c r="A49" s="66"/>
      <c r="B49" s="83" t="s">
        <v>459</v>
      </c>
      <c r="C49" s="83" t="s">
        <v>58</v>
      </c>
      <c r="D49" s="83" t="s">
        <v>100</v>
      </c>
      <c r="E49" s="83" t="s">
        <v>59</v>
      </c>
      <c r="F49" s="83" t="s">
        <v>60</v>
      </c>
      <c r="G49" s="83" t="s">
        <v>62</v>
      </c>
      <c r="H49" s="83" t="s">
        <v>61</v>
      </c>
      <c r="I49" s="83" t="s">
        <v>63</v>
      </c>
      <c r="J49" s="83" t="s">
        <v>64</v>
      </c>
      <c r="K49" s="83" t="s">
        <v>65</v>
      </c>
      <c r="N49" s="178" t="s">
        <v>154</v>
      </c>
      <c r="O49" s="178" t="s">
        <v>155</v>
      </c>
      <c r="P49" s="473">
        <f t="shared" ref="P49:X53" si="19">C50</f>
        <v>0</v>
      </c>
      <c r="Q49" s="473">
        <f t="shared" si="19"/>
        <v>1555.0445796506017</v>
      </c>
      <c r="R49" s="473">
        <f t="shared" si="19"/>
        <v>1555.0445796506017</v>
      </c>
      <c r="S49" s="473">
        <f t="shared" si="19"/>
        <v>522.22579802349617</v>
      </c>
      <c r="T49" s="473">
        <f t="shared" si="19"/>
        <v>18668.331129645205</v>
      </c>
      <c r="U49" s="473">
        <f t="shared" si="19"/>
        <v>16346.942014951346</v>
      </c>
      <c r="V49" s="473">
        <f t="shared" si="19"/>
        <v>3097.4153553875517</v>
      </c>
      <c r="W49" s="473">
        <f t="shared" si="19"/>
        <v>21051.019024126283</v>
      </c>
      <c r="X49" s="473">
        <f t="shared" si="19"/>
        <v>25456.105651340986</v>
      </c>
    </row>
    <row r="50" spans="1:25" outlineLevel="1" x14ac:dyDescent="0.15">
      <c r="A50" s="66"/>
      <c r="B50" s="117" t="s">
        <v>155</v>
      </c>
      <c r="C50" s="179">
        <f>E50*VLOOKUP($B50,'Offroad Allocation'!$B$4:$G$15,5,0)</f>
        <v>0</v>
      </c>
      <c r="D50" s="356">
        <f>E50-C50</f>
        <v>1555.0445796506017</v>
      </c>
      <c r="E50" s="179">
        <v>1555.0445796506017</v>
      </c>
      <c r="F50" s="179">
        <v>522.22579802349617</v>
      </c>
      <c r="G50" s="179">
        <v>18668.331129645205</v>
      </c>
      <c r="H50" s="179">
        <v>16346.942014951346</v>
      </c>
      <c r="I50" s="179">
        <v>3097.4153553875517</v>
      </c>
      <c r="J50" s="179">
        <v>21051.019024126283</v>
      </c>
      <c r="K50" s="179">
        <v>25456.105651340986</v>
      </c>
      <c r="N50" s="178" t="s">
        <v>154</v>
      </c>
      <c r="O50" s="178" t="s">
        <v>104</v>
      </c>
      <c r="P50" s="473">
        <f t="shared" si="19"/>
        <v>933963.00810956827</v>
      </c>
      <c r="Q50" s="473">
        <f t="shared" si="19"/>
        <v>1806121.7834462249</v>
      </c>
      <c r="R50" s="473">
        <f t="shared" si="19"/>
        <v>2740084.791555793</v>
      </c>
      <c r="S50" s="473">
        <f t="shared" si="19"/>
        <v>993801.96674274385</v>
      </c>
      <c r="T50" s="473">
        <f t="shared" si="19"/>
        <v>274649.25007463648</v>
      </c>
      <c r="U50" s="473">
        <f t="shared" si="19"/>
        <v>23394.889121381388</v>
      </c>
      <c r="V50" s="473">
        <f t="shared" si="19"/>
        <v>467577.21676897194</v>
      </c>
      <c r="W50" s="473">
        <f t="shared" si="19"/>
        <v>172417.12341894483</v>
      </c>
      <c r="X50" s="473">
        <f t="shared" si="19"/>
        <v>225616.29097614347</v>
      </c>
    </row>
    <row r="51" spans="1:25" outlineLevel="1" x14ac:dyDescent="0.15">
      <c r="A51" s="66"/>
      <c r="B51" s="117" t="s">
        <v>104</v>
      </c>
      <c r="C51" s="179">
        <f>E51*VLOOKUP($B51,'Offroad Allocation'!$B$4:$G$15,5,0)</f>
        <v>933963.00810956827</v>
      </c>
      <c r="D51" s="356">
        <f t="shared" ref="D51:D52" si="20">E51-C51</f>
        <v>1806121.7834462249</v>
      </c>
      <c r="E51" s="179">
        <v>2740084.791555793</v>
      </c>
      <c r="F51" s="179">
        <v>993801.96674274385</v>
      </c>
      <c r="G51" s="179">
        <v>274649.25007463648</v>
      </c>
      <c r="H51" s="179">
        <v>23394.889121381388</v>
      </c>
      <c r="I51" s="179">
        <v>467577.21676897194</v>
      </c>
      <c r="J51" s="179">
        <v>172417.12341894483</v>
      </c>
      <c r="K51" s="179">
        <v>225616.29097614347</v>
      </c>
      <c r="N51" s="178" t="s">
        <v>154</v>
      </c>
      <c r="O51" s="178" t="s">
        <v>156</v>
      </c>
      <c r="P51" s="473">
        <f t="shared" si="19"/>
        <v>474.37463134059567</v>
      </c>
      <c r="Q51" s="473">
        <f t="shared" si="19"/>
        <v>917.35791218618442</v>
      </c>
      <c r="R51" s="473">
        <f t="shared" si="19"/>
        <v>1391.7325435267801</v>
      </c>
      <c r="S51" s="473">
        <f t="shared" si="19"/>
        <v>349.021690778459</v>
      </c>
      <c r="T51" s="473">
        <f t="shared" si="19"/>
        <v>319.71600315638898</v>
      </c>
      <c r="U51" s="473">
        <f t="shared" si="19"/>
        <v>74.525144234793487</v>
      </c>
      <c r="V51" s="473">
        <f t="shared" si="19"/>
        <v>257.78282822963098</v>
      </c>
      <c r="W51" s="473">
        <f t="shared" si="19"/>
        <v>195.317140965053</v>
      </c>
      <c r="X51" s="473">
        <f t="shared" si="19"/>
        <v>457.893749407087</v>
      </c>
    </row>
    <row r="52" spans="1:25" outlineLevel="1" x14ac:dyDescent="0.15">
      <c r="A52" s="66"/>
      <c r="B52" s="170" t="s">
        <v>156</v>
      </c>
      <c r="C52" s="179">
        <f>E52*VLOOKUP($B52,'Offroad Allocation'!$B$4:$G$15,5,0)</f>
        <v>474.37463134059567</v>
      </c>
      <c r="D52" s="356">
        <f t="shared" si="20"/>
        <v>917.35791218618442</v>
      </c>
      <c r="E52" s="179">
        <v>1391.7325435267801</v>
      </c>
      <c r="F52" s="179">
        <v>349.021690778459</v>
      </c>
      <c r="G52" s="179">
        <v>319.71600315638898</v>
      </c>
      <c r="H52" s="179">
        <v>74.525144234793487</v>
      </c>
      <c r="I52" s="179">
        <v>257.78282822963098</v>
      </c>
      <c r="J52" s="179">
        <v>195.317140965053</v>
      </c>
      <c r="K52" s="179">
        <v>457.893749407087</v>
      </c>
      <c r="N52" s="178" t="s">
        <v>154</v>
      </c>
      <c r="O52" s="178" t="s">
        <v>157</v>
      </c>
      <c r="P52" s="473">
        <f t="shared" si="19"/>
        <v>2096411.8945206576</v>
      </c>
      <c r="Q52" s="473">
        <f t="shared" si="19"/>
        <v>4054095.4586986476</v>
      </c>
      <c r="R52" s="473">
        <f t="shared" si="19"/>
        <v>6150507.3532193052</v>
      </c>
      <c r="S52" s="473">
        <f t="shared" si="19"/>
        <v>1575700.6803337389</v>
      </c>
      <c r="T52" s="473">
        <f t="shared" si="19"/>
        <v>838669.2675202979</v>
      </c>
      <c r="U52" s="473">
        <f t="shared" si="19"/>
        <v>48724.403823696615</v>
      </c>
      <c r="V52" s="473">
        <f t="shared" si="19"/>
        <v>1196478.9484172324</v>
      </c>
      <c r="W52" s="473">
        <f t="shared" si="19"/>
        <v>623415.29821472103</v>
      </c>
      <c r="X52" s="473">
        <f t="shared" si="19"/>
        <v>575218.75441960793</v>
      </c>
    </row>
    <row r="53" spans="1:25" outlineLevel="1" x14ac:dyDescent="0.15">
      <c r="A53" s="66"/>
      <c r="B53" s="117" t="s">
        <v>157</v>
      </c>
      <c r="C53" s="179">
        <f>E53*VLOOKUP($B53,'Offroad Allocation'!$B$4:$G$15,5,0)</f>
        <v>2096411.8945206576</v>
      </c>
      <c r="D53" s="356">
        <f>E53-C53</f>
        <v>4054095.4586986476</v>
      </c>
      <c r="E53" s="179">
        <v>6150507.3532193052</v>
      </c>
      <c r="F53" s="179">
        <v>1575700.6803337389</v>
      </c>
      <c r="G53" s="179">
        <v>838669.2675202979</v>
      </c>
      <c r="H53" s="179">
        <v>48724.403823696615</v>
      </c>
      <c r="I53" s="179">
        <v>1196478.9484172324</v>
      </c>
      <c r="J53" s="179">
        <v>623415.29821472103</v>
      </c>
      <c r="K53" s="179">
        <v>575218.75441960793</v>
      </c>
      <c r="N53" s="178" t="s">
        <v>154</v>
      </c>
      <c r="O53" s="178" t="s">
        <v>158</v>
      </c>
      <c r="P53" s="473">
        <f t="shared" si="19"/>
        <v>26123.82861359026</v>
      </c>
      <c r="Q53" s="473">
        <f t="shared" si="19"/>
        <v>50518.934386409746</v>
      </c>
      <c r="R53" s="473">
        <f t="shared" si="19"/>
        <v>76642.763000000006</v>
      </c>
      <c r="S53" s="473">
        <f t="shared" si="19"/>
        <v>62591.618000000002</v>
      </c>
      <c r="T53" s="473">
        <f t="shared" si="19"/>
        <v>7664.2763496093703</v>
      </c>
      <c r="U53" s="473">
        <f t="shared" si="19"/>
        <v>0</v>
      </c>
      <c r="V53" s="473">
        <f t="shared" si="19"/>
        <v>49817.843000000001</v>
      </c>
      <c r="W53" s="473">
        <f t="shared" si="19"/>
        <v>0</v>
      </c>
      <c r="X53" s="473">
        <f t="shared" si="19"/>
        <v>76642.763000000006</v>
      </c>
    </row>
    <row r="54" spans="1:25" outlineLevel="1" x14ac:dyDescent="0.15">
      <c r="A54" s="66"/>
      <c r="B54" s="117" t="s">
        <v>158</v>
      </c>
      <c r="C54" s="179">
        <f>E54*VLOOKUP($B54,'Offroad Allocation'!$B$4:$G$15,5,0)</f>
        <v>26123.82861359026</v>
      </c>
      <c r="D54" s="356">
        <f>E54-C54</f>
        <v>50518.934386409746</v>
      </c>
      <c r="E54" s="179">
        <v>76642.763000000006</v>
      </c>
      <c r="F54" s="179">
        <v>62591.618000000002</v>
      </c>
      <c r="G54" s="179">
        <v>7664.2763496093703</v>
      </c>
      <c r="H54" s="179">
        <v>0</v>
      </c>
      <c r="I54" s="179">
        <v>49817.843000000001</v>
      </c>
      <c r="J54" s="179">
        <v>0</v>
      </c>
      <c r="K54" s="179">
        <v>76642.763000000006</v>
      </c>
      <c r="N54" s="178" t="s">
        <v>146</v>
      </c>
      <c r="O54" s="178" t="s">
        <v>155</v>
      </c>
      <c r="P54" s="473">
        <f t="shared" ref="P54:P61" si="21">C90</f>
        <v>0</v>
      </c>
      <c r="Q54" s="473">
        <f t="shared" ref="Q54:Q61" si="22">D90</f>
        <v>636857.31915858493</v>
      </c>
      <c r="R54" s="473">
        <f t="shared" ref="R54:R61" si="23">E90</f>
        <v>636857.31915858493</v>
      </c>
      <c r="S54" s="473">
        <f t="shared" ref="S54:S61" si="24">F90</f>
        <v>213873.89202315427</v>
      </c>
      <c r="T54" s="473">
        <f t="shared" ref="T54:T61" si="25">G90</f>
        <v>7645476.1962492056</v>
      </c>
      <c r="U54" s="473">
        <f t="shared" ref="U54:U61" si="26">H90</f>
        <v>6694763.421049458</v>
      </c>
      <c r="V54" s="473">
        <f t="shared" ref="V54:V61" si="27">I90</f>
        <v>1268523.6262419585</v>
      </c>
      <c r="W54" s="473">
        <f t="shared" ref="W54:W61" si="28">J90</f>
        <v>8621291.9697775524</v>
      </c>
      <c r="X54" s="473">
        <f t="shared" ref="X54:X61" si="29">K90</f>
        <v>10425376.045428537</v>
      </c>
      <c r="Y54" s="283"/>
    </row>
    <row r="55" spans="1:25" outlineLevel="1" x14ac:dyDescent="0.15">
      <c r="A55" s="66"/>
      <c r="B55" s="171" t="s">
        <v>88</v>
      </c>
      <c r="C55" s="357">
        <f>SUM(C50:C54)</f>
        <v>3056973.1058751568</v>
      </c>
      <c r="D55" s="357">
        <f t="shared" ref="D55:J55" si="30">SUM(D50:D54)</f>
        <v>5913208.5790231191</v>
      </c>
      <c r="E55" s="357">
        <f t="shared" si="30"/>
        <v>8970181.6848982759</v>
      </c>
      <c r="F55" s="357">
        <f t="shared" si="30"/>
        <v>2632965.5125652845</v>
      </c>
      <c r="G55" s="357">
        <f t="shared" si="30"/>
        <v>1139970.8410773454</v>
      </c>
      <c r="H55" s="357">
        <f t="shared" si="30"/>
        <v>88540.760104264147</v>
      </c>
      <c r="I55" s="357">
        <f t="shared" si="30"/>
        <v>1717229.2063698217</v>
      </c>
      <c r="J55" s="357">
        <f t="shared" si="30"/>
        <v>817078.75779875717</v>
      </c>
      <c r="K55" s="357">
        <f>SUM(K50:K54)</f>
        <v>903391.80779649946</v>
      </c>
      <c r="N55" s="178" t="s">
        <v>146</v>
      </c>
      <c r="O55" s="178" t="s">
        <v>159</v>
      </c>
      <c r="P55" s="473">
        <f t="shared" si="21"/>
        <v>12142595.4</v>
      </c>
      <c r="Q55" s="473">
        <f t="shared" si="22"/>
        <v>0</v>
      </c>
      <c r="R55" s="473">
        <f t="shared" si="23"/>
        <v>12142595.4</v>
      </c>
      <c r="S55" s="473">
        <f t="shared" si="24"/>
        <v>2858.6781201171802</v>
      </c>
      <c r="T55" s="473">
        <f t="shared" si="25"/>
        <v>1301.8654641113201</v>
      </c>
      <c r="U55" s="473">
        <f t="shared" si="26"/>
        <v>0</v>
      </c>
      <c r="V55" s="473">
        <f t="shared" si="27"/>
        <v>1437.4754494628899</v>
      </c>
      <c r="W55" s="473">
        <f t="shared" si="28"/>
        <v>1247.62064526367</v>
      </c>
      <c r="X55" s="473">
        <f t="shared" si="29"/>
        <v>2929.1946020507798</v>
      </c>
      <c r="Y55" s="283"/>
    </row>
    <row r="56" spans="1:25" outlineLevel="1" x14ac:dyDescent="0.15">
      <c r="A56" s="66"/>
      <c r="B56" s="101" t="s">
        <v>460</v>
      </c>
      <c r="C56" s="177"/>
      <c r="D56" s="177"/>
      <c r="E56" s="176"/>
      <c r="F56" s="176"/>
      <c r="G56" s="176"/>
      <c r="H56" s="176"/>
      <c r="I56" s="176"/>
      <c r="J56" s="176"/>
      <c r="K56" s="176"/>
      <c r="N56" s="178" t="s">
        <v>146</v>
      </c>
      <c r="O56" s="178" t="s">
        <v>104</v>
      </c>
      <c r="P56" s="473">
        <f t="shared" si="21"/>
        <v>12462699.456213085</v>
      </c>
      <c r="Q56" s="473">
        <f t="shared" si="22"/>
        <v>24100690.04121542</v>
      </c>
      <c r="R56" s="473">
        <f t="shared" si="23"/>
        <v>36563389.497428507</v>
      </c>
      <c r="S56" s="473">
        <f t="shared" si="24"/>
        <v>13261177.891714267</v>
      </c>
      <c r="T56" s="473">
        <f t="shared" si="25"/>
        <v>3664888.1667946316</v>
      </c>
      <c r="U56" s="473">
        <f t="shared" si="26"/>
        <v>312178.49547628261</v>
      </c>
      <c r="V56" s="473">
        <f t="shared" si="27"/>
        <v>6239292.5042857109</v>
      </c>
      <c r="W56" s="473">
        <f t="shared" si="28"/>
        <v>2300712.4844966456</v>
      </c>
      <c r="X56" s="473">
        <f t="shared" si="29"/>
        <v>3010598.614242184</v>
      </c>
      <c r="Y56" s="283"/>
    </row>
    <row r="57" spans="1:25" outlineLevel="1" x14ac:dyDescent="0.15">
      <c r="A57" s="66"/>
      <c r="B57" s="101"/>
      <c r="C57" s="177"/>
      <c r="D57" s="177"/>
      <c r="E57" s="176"/>
      <c r="F57" s="176"/>
      <c r="G57" s="176"/>
      <c r="H57" s="176"/>
      <c r="I57" s="176"/>
      <c r="J57" s="176"/>
      <c r="K57" s="176"/>
      <c r="N57" s="178" t="s">
        <v>146</v>
      </c>
      <c r="O57" s="178" t="s">
        <v>156</v>
      </c>
      <c r="P57" s="473">
        <f t="shared" si="21"/>
        <v>69098002.639037803</v>
      </c>
      <c r="Q57" s="473">
        <f t="shared" si="22"/>
        <v>133623501.86823459</v>
      </c>
      <c r="R57" s="473">
        <f t="shared" si="23"/>
        <v>202721504.50727239</v>
      </c>
      <c r="S57" s="473">
        <f t="shared" si="24"/>
        <v>50838938.094538718</v>
      </c>
      <c r="T57" s="473">
        <f t="shared" si="25"/>
        <v>46570301.175628714</v>
      </c>
      <c r="U57" s="473">
        <f t="shared" si="26"/>
        <v>10855432.935476769</v>
      </c>
      <c r="V57" s="473">
        <f t="shared" si="27"/>
        <v>37548993.323487945</v>
      </c>
      <c r="W57" s="473">
        <f t="shared" si="28"/>
        <v>28450148.261997662</v>
      </c>
      <c r="X57" s="473">
        <f t="shared" si="29"/>
        <v>66697317.505000889</v>
      </c>
      <c r="Y57" s="283"/>
    </row>
    <row r="58" spans="1:25" outlineLevel="1" x14ac:dyDescent="0.15">
      <c r="A58" s="66"/>
      <c r="B58" s="82" t="s">
        <v>461</v>
      </c>
      <c r="C58" s="69"/>
      <c r="D58" s="66"/>
      <c r="E58" s="66"/>
      <c r="F58" s="66"/>
      <c r="G58" s="66"/>
      <c r="H58" s="66"/>
      <c r="N58" s="178" t="s">
        <v>146</v>
      </c>
      <c r="O58" s="178" t="s">
        <v>157</v>
      </c>
      <c r="P58" s="473">
        <f t="shared" si="21"/>
        <v>27267539.613667842</v>
      </c>
      <c r="Q58" s="473">
        <f t="shared" si="22"/>
        <v>52730672.253189206</v>
      </c>
      <c r="R58" s="473">
        <f t="shared" si="23"/>
        <v>79998211.866857052</v>
      </c>
      <c r="S58" s="473">
        <f t="shared" si="24"/>
        <v>18191636.179285698</v>
      </c>
      <c r="T58" s="473">
        <f t="shared" si="25"/>
        <v>9440049.6770267617</v>
      </c>
      <c r="U58" s="473">
        <f t="shared" si="26"/>
        <v>731786.58331780042</v>
      </c>
      <c r="V58" s="473">
        <f t="shared" si="27"/>
        <v>13689624.629241047</v>
      </c>
      <c r="W58" s="473">
        <f t="shared" si="28"/>
        <v>6763886.9446629407</v>
      </c>
      <c r="X58" s="473">
        <f t="shared" si="29"/>
        <v>7765375.65937611</v>
      </c>
      <c r="Y58" s="283"/>
    </row>
    <row r="59" spans="1:25" ht="15" outlineLevel="1" x14ac:dyDescent="0.15">
      <c r="A59" s="66"/>
      <c r="B59" s="83" t="s">
        <v>459</v>
      </c>
      <c r="C59" s="83" t="s">
        <v>58</v>
      </c>
      <c r="D59" s="83" t="s">
        <v>100</v>
      </c>
      <c r="E59" s="83" t="s">
        <v>59</v>
      </c>
      <c r="F59" s="83" t="s">
        <v>60</v>
      </c>
      <c r="G59" s="83" t="s">
        <v>62</v>
      </c>
      <c r="H59" s="83" t="s">
        <v>61</v>
      </c>
      <c r="I59" s="83" t="s">
        <v>63</v>
      </c>
      <c r="J59" s="83" t="s">
        <v>64</v>
      </c>
      <c r="K59" s="83" t="s">
        <v>65</v>
      </c>
      <c r="L59" s="83" t="s">
        <v>66</v>
      </c>
      <c r="N59" s="178" t="s">
        <v>146</v>
      </c>
      <c r="O59" s="178" t="s">
        <v>160</v>
      </c>
      <c r="P59" s="473">
        <f t="shared" si="21"/>
        <v>2291678.0870280252</v>
      </c>
      <c r="Q59" s="473">
        <f t="shared" si="22"/>
        <v>7250256.2013897207</v>
      </c>
      <c r="R59" s="473">
        <f t="shared" si="23"/>
        <v>9541934.2884177454</v>
      </c>
      <c r="S59" s="473">
        <f t="shared" si="24"/>
        <v>6090104.2728182655</v>
      </c>
      <c r="T59" s="473">
        <f t="shared" si="25"/>
        <v>3218283.9151473967</v>
      </c>
      <c r="U59" s="473">
        <f t="shared" si="26"/>
        <v>266907.19410883117</v>
      </c>
      <c r="V59" s="473">
        <f t="shared" si="27"/>
        <v>5520355.9688740177</v>
      </c>
      <c r="W59" s="473">
        <f t="shared" si="28"/>
        <v>1442324.7944002354</v>
      </c>
      <c r="X59" s="473">
        <f t="shared" si="29"/>
        <v>2314905.6281127641</v>
      </c>
      <c r="Y59" s="283"/>
    </row>
    <row r="60" spans="1:25" outlineLevel="1" x14ac:dyDescent="0.15">
      <c r="A60" s="119">
        <f>$A$45</f>
        <v>2019</v>
      </c>
      <c r="B60" s="117" t="s">
        <v>155</v>
      </c>
      <c r="C60" s="179">
        <f>E60*VLOOKUP($B60,'Offroad Allocation'!$B$4:$G$15,5,0)</f>
        <v>0</v>
      </c>
      <c r="D60" s="356">
        <f>E60-C60</f>
        <v>4034.6881105891594</v>
      </c>
      <c r="E60" s="179">
        <v>4034.6881105891594</v>
      </c>
      <c r="F60" s="179">
        <v>1354.9599932381766</v>
      </c>
      <c r="G60" s="179">
        <v>48436.49463705872</v>
      </c>
      <c r="H60" s="179">
        <v>42413.43845895816</v>
      </c>
      <c r="I60" s="179">
        <v>8036.499754907878</v>
      </c>
      <c r="J60" s="179">
        <v>54618.597712751092</v>
      </c>
      <c r="K60" s="179">
        <v>66047.994308454188</v>
      </c>
      <c r="L60" s="577">
        <f>SUM(E60:K60)</f>
        <v>224942.67297595739</v>
      </c>
      <c r="N60" s="178" t="s">
        <v>146</v>
      </c>
      <c r="O60" s="178" t="s">
        <v>161</v>
      </c>
      <c r="P60" s="473">
        <f t="shared" si="21"/>
        <v>0</v>
      </c>
      <c r="Q60" s="473">
        <f t="shared" si="22"/>
        <v>309271.99300000002</v>
      </c>
      <c r="R60" s="473">
        <f t="shared" si="23"/>
        <v>309271.99300000002</v>
      </c>
      <c r="S60" s="473">
        <f t="shared" si="24"/>
        <v>50176.628814732096</v>
      </c>
      <c r="T60" s="473">
        <f t="shared" si="25"/>
        <v>76049.596714285697</v>
      </c>
      <c r="U60" s="473">
        <f t="shared" si="26"/>
        <v>133535.967142857</v>
      </c>
      <c r="V60" s="473">
        <f t="shared" si="27"/>
        <v>184441.38399999999</v>
      </c>
      <c r="W60" s="473">
        <f t="shared" si="28"/>
        <v>442206.72285714198</v>
      </c>
      <c r="X60" s="473">
        <f t="shared" si="29"/>
        <v>463347.18599999999</v>
      </c>
      <c r="Y60" s="283"/>
    </row>
    <row r="61" spans="1:25" outlineLevel="1" x14ac:dyDescent="0.15">
      <c r="A61" s="119"/>
      <c r="B61" s="117" t="s">
        <v>104</v>
      </c>
      <c r="C61" s="179">
        <f>E61*VLOOKUP($B61,'Offroad Allocation'!$B$4:$G$15,5,0)</f>
        <v>2385297.1733834348</v>
      </c>
      <c r="D61" s="356">
        <f t="shared" ref="D61:D62" si="31">E61-C61</f>
        <v>4612749.2710451297</v>
      </c>
      <c r="E61" s="179">
        <v>6998046.444428564</v>
      </c>
      <c r="F61" s="179">
        <v>2538117.8072410631</v>
      </c>
      <c r="G61" s="179">
        <v>701441.28179520019</v>
      </c>
      <c r="H61" s="179">
        <v>59749.411764508885</v>
      </c>
      <c r="I61" s="179">
        <v>1194168.6253286819</v>
      </c>
      <c r="J61" s="179">
        <v>440344.36243080272</v>
      </c>
      <c r="K61" s="179">
        <v>576212.73983565765</v>
      </c>
      <c r="L61" s="577">
        <f t="shared" ref="L61:L62" si="32">SUM(E61:K61)</f>
        <v>12508080.672824478</v>
      </c>
      <c r="N61" s="178" t="s">
        <v>146</v>
      </c>
      <c r="O61" s="178" t="s">
        <v>158</v>
      </c>
      <c r="P61" s="473">
        <f t="shared" si="21"/>
        <v>144247.20465131354</v>
      </c>
      <c r="Q61" s="473">
        <f t="shared" si="22"/>
        <v>278948.96934868646</v>
      </c>
      <c r="R61" s="473">
        <f t="shared" si="23"/>
        <v>423196.174</v>
      </c>
      <c r="S61" s="473">
        <f t="shared" si="24"/>
        <v>345610.6</v>
      </c>
      <c r="T61" s="473">
        <f t="shared" si="25"/>
        <v>42319.616828124999</v>
      </c>
      <c r="U61" s="473">
        <f t="shared" si="26"/>
        <v>0</v>
      </c>
      <c r="V61" s="473">
        <f t="shared" si="27"/>
        <v>275077.87</v>
      </c>
      <c r="W61" s="473">
        <f t="shared" si="28"/>
        <v>0</v>
      </c>
      <c r="X61" s="473">
        <f t="shared" si="29"/>
        <v>423196.174</v>
      </c>
      <c r="Y61" s="283"/>
    </row>
    <row r="62" spans="1:25" outlineLevel="1" x14ac:dyDescent="0.15">
      <c r="A62" s="119"/>
      <c r="B62" s="117" t="s">
        <v>156</v>
      </c>
      <c r="C62" s="179">
        <f>E62*VLOOKUP($B62,'Offroad Allocation'!$B$4:$G$15,5,0)</f>
        <v>1130.1399261716697</v>
      </c>
      <c r="D62" s="356">
        <f t="shared" si="31"/>
        <v>2185.4937736051102</v>
      </c>
      <c r="E62" s="179">
        <v>3315.6336997767798</v>
      </c>
      <c r="F62" s="179">
        <v>831.50143784877207</v>
      </c>
      <c r="G62" s="179">
        <v>761.68399278041306</v>
      </c>
      <c r="H62" s="179">
        <v>177.54707877894799</v>
      </c>
      <c r="I62" s="179">
        <v>614.136063790457</v>
      </c>
      <c r="J62" s="179">
        <v>465.31935920061301</v>
      </c>
      <c r="K62" s="179">
        <v>1090.8745253208701</v>
      </c>
      <c r="L62" s="577">
        <f t="shared" si="32"/>
        <v>7256.6961574968527</v>
      </c>
      <c r="N62" s="178" t="s">
        <v>146</v>
      </c>
      <c r="O62" s="178" t="s">
        <v>162</v>
      </c>
      <c r="P62" s="473">
        <f t="shared" ref="P62:X63" si="33">C98</f>
        <v>410759.69653275801</v>
      </c>
      <c r="Q62" s="473">
        <f t="shared" si="33"/>
        <v>146316.73375295597</v>
      </c>
      <c r="R62" s="473">
        <f t="shared" si="33"/>
        <v>557076.43028571398</v>
      </c>
      <c r="S62" s="473">
        <f t="shared" si="33"/>
        <v>230396.65857142801</v>
      </c>
      <c r="T62" s="473">
        <f t="shared" si="33"/>
        <v>100250.09872767801</v>
      </c>
      <c r="U62" s="473">
        <f t="shared" si="33"/>
        <v>16047.253422154001</v>
      </c>
      <c r="V62" s="473">
        <f t="shared" si="33"/>
        <v>74425.105502232109</v>
      </c>
      <c r="W62" s="473">
        <f t="shared" si="33"/>
        <v>14530.0251185825</v>
      </c>
      <c r="X62" s="473">
        <f t="shared" si="33"/>
        <v>123123.16371428499</v>
      </c>
      <c r="Y62" s="283"/>
    </row>
    <row r="63" spans="1:25" outlineLevel="1" x14ac:dyDescent="0.15">
      <c r="A63" s="119">
        <f t="shared" ref="A63:A64" si="34">$A$45</f>
        <v>2019</v>
      </c>
      <c r="B63" s="117" t="s">
        <v>157</v>
      </c>
      <c r="C63" s="179">
        <f>E63*VLOOKUP($B63,'Offroad Allocation'!$B$4:$G$15,5,0)</f>
        <v>5437754.0330593353</v>
      </c>
      <c r="D63" s="356">
        <f>E63-C63</f>
        <v>10515669.171962369</v>
      </c>
      <c r="E63" s="179">
        <v>15953423.205021705</v>
      </c>
      <c r="F63" s="179">
        <v>4087127.3630117187</v>
      </c>
      <c r="G63" s="179">
        <v>2175378.2009450276</v>
      </c>
      <c r="H63" s="179">
        <v>126383.10086053873</v>
      </c>
      <c r="I63" s="179">
        <v>3103479.8438931289</v>
      </c>
      <c r="J63" s="179">
        <v>1617043.0823281235</v>
      </c>
      <c r="K63" s="179">
        <v>1492026.4506801062</v>
      </c>
      <c r="L63" s="577">
        <f>SUM(E63:K63)</f>
        <v>28554861.246740349</v>
      </c>
      <c r="N63" s="178" t="s">
        <v>146</v>
      </c>
      <c r="O63" s="178" t="s">
        <v>163</v>
      </c>
      <c r="P63" s="473">
        <f t="shared" si="33"/>
        <v>125713.31657613159</v>
      </c>
      <c r="Q63" s="473">
        <f t="shared" si="33"/>
        <v>115748.43042386841</v>
      </c>
      <c r="R63" s="473">
        <f t="shared" si="33"/>
        <v>241461.747</v>
      </c>
      <c r="S63" s="473">
        <f t="shared" si="33"/>
        <v>41993.391886160702</v>
      </c>
      <c r="T63" s="473">
        <f t="shared" si="33"/>
        <v>20996.688875836997</v>
      </c>
      <c r="U63" s="473">
        <f t="shared" si="33"/>
        <v>41993.391886160702</v>
      </c>
      <c r="V63" s="473">
        <f t="shared" si="33"/>
        <v>125980.137</v>
      </c>
      <c r="W63" s="473">
        <f t="shared" si="33"/>
        <v>31495.0529559151</v>
      </c>
      <c r="X63" s="473">
        <f t="shared" si="33"/>
        <v>52491.726589285703</v>
      </c>
      <c r="Y63" s="283"/>
    </row>
    <row r="64" spans="1:25" outlineLevel="1" x14ac:dyDescent="0.15">
      <c r="A64" s="119">
        <f t="shared" si="34"/>
        <v>2019</v>
      </c>
      <c r="B64" s="170" t="s">
        <v>158</v>
      </c>
      <c r="C64" s="179">
        <f>E64*VLOOKUP($B64,'Offroad Allocation'!$B$4:$G$15,5,0)</f>
        <v>67800.008233053319</v>
      </c>
      <c r="D64" s="356">
        <f>E64-C64</f>
        <v>131113.40676694669</v>
      </c>
      <c r="E64" s="179">
        <v>198913.41500000001</v>
      </c>
      <c r="F64" s="179">
        <v>162445.93900000001</v>
      </c>
      <c r="G64" s="179">
        <v>19891.3414257812</v>
      </c>
      <c r="H64" s="179">
        <v>0</v>
      </c>
      <c r="I64" s="179">
        <v>129293.69899999999</v>
      </c>
      <c r="J64" s="179">
        <v>0</v>
      </c>
      <c r="K64" s="179">
        <v>198913.41500000001</v>
      </c>
      <c r="L64" s="577">
        <f t="shared" ref="L64" si="35">SUM(E64:K64)</f>
        <v>709457.80942578125</v>
      </c>
      <c r="N64" s="178" t="s">
        <v>462</v>
      </c>
      <c r="O64" s="178" t="s">
        <v>155</v>
      </c>
      <c r="P64" s="473">
        <f t="shared" ref="P64:X70" si="36">C151</f>
        <v>0</v>
      </c>
      <c r="Q64" s="473">
        <f t="shared" si="36"/>
        <v>74.412456627981996</v>
      </c>
      <c r="R64" s="473">
        <f t="shared" si="36"/>
        <v>74.412456627981996</v>
      </c>
      <c r="S64" s="473">
        <f t="shared" si="36"/>
        <v>24.989759943280902</v>
      </c>
      <c r="T64" s="473">
        <f t="shared" si="36"/>
        <v>893.32193415178494</v>
      </c>
      <c r="U64" s="473">
        <f t="shared" si="36"/>
        <v>782.23826560756095</v>
      </c>
      <c r="V64" s="473">
        <f t="shared" si="36"/>
        <v>148.21837127903498</v>
      </c>
      <c r="W64" s="473">
        <f t="shared" si="36"/>
        <v>1007.33988841029</v>
      </c>
      <c r="X64" s="473">
        <f t="shared" si="36"/>
        <v>1218.1342405482701</v>
      </c>
      <c r="Y64" s="283"/>
    </row>
    <row r="65" spans="1:24" outlineLevel="1" x14ac:dyDescent="0.15">
      <c r="A65" s="66"/>
      <c r="B65" s="171" t="s">
        <v>88</v>
      </c>
      <c r="C65" s="357">
        <f t="shared" ref="C65:K65" si="37">SUM(C60:C64)</f>
        <v>7891981.354601996</v>
      </c>
      <c r="D65" s="357">
        <f t="shared" si="37"/>
        <v>15265752.03165864</v>
      </c>
      <c r="E65" s="357">
        <f t="shared" si="37"/>
        <v>23157733.386260636</v>
      </c>
      <c r="F65" s="357">
        <f t="shared" si="37"/>
        <v>6789877.5706838695</v>
      </c>
      <c r="G65" s="357">
        <f t="shared" si="37"/>
        <v>2945909.0027958481</v>
      </c>
      <c r="H65" s="357">
        <f t="shared" si="37"/>
        <v>228723.49816278473</v>
      </c>
      <c r="I65" s="357">
        <f t="shared" si="37"/>
        <v>4435592.8040405093</v>
      </c>
      <c r="J65" s="357">
        <f t="shared" si="37"/>
        <v>2112471.3618308781</v>
      </c>
      <c r="K65" s="357">
        <f t="shared" si="37"/>
        <v>2334291.4743495388</v>
      </c>
      <c r="L65" s="357">
        <f>SUM(E65:K65)</f>
        <v>42004599.098124057</v>
      </c>
      <c r="N65" s="178" t="s">
        <v>462</v>
      </c>
      <c r="O65" s="178" t="s">
        <v>104</v>
      </c>
      <c r="P65" s="473">
        <f t="shared" si="36"/>
        <v>310526.52840390109</v>
      </c>
      <c r="Q65" s="473">
        <f t="shared" si="36"/>
        <v>600504.2195658593</v>
      </c>
      <c r="R65" s="473">
        <f t="shared" si="36"/>
        <v>911030.74796976033</v>
      </c>
      <c r="S65" s="473">
        <f t="shared" si="36"/>
        <v>330421.8472416203</v>
      </c>
      <c r="T65" s="473">
        <f t="shared" si="36"/>
        <v>91316.342658868904</v>
      </c>
      <c r="U65" s="473">
        <f t="shared" si="36"/>
        <v>7778.3936665333276</v>
      </c>
      <c r="V65" s="473">
        <f t="shared" si="36"/>
        <v>155461.21288404547</v>
      </c>
      <c r="W65" s="473">
        <f t="shared" si="36"/>
        <v>57325.711811555542</v>
      </c>
      <c r="X65" s="473">
        <f t="shared" si="36"/>
        <v>75013.599028240715</v>
      </c>
    </row>
    <row r="66" spans="1:24" outlineLevel="1" x14ac:dyDescent="0.15">
      <c r="A66" s="66"/>
      <c r="B66" s="101" t="s">
        <v>460</v>
      </c>
      <c r="C66" s="177"/>
      <c r="D66" s="177"/>
      <c r="E66" s="176"/>
      <c r="F66" s="176"/>
      <c r="G66" s="176"/>
      <c r="H66" s="176"/>
      <c r="I66" s="176"/>
      <c r="J66" s="176"/>
      <c r="K66" s="176"/>
      <c r="N66" s="178" t="s">
        <v>462</v>
      </c>
      <c r="O66" s="178" t="s">
        <v>156</v>
      </c>
      <c r="P66" s="473">
        <f t="shared" si="36"/>
        <v>258321.12258601192</v>
      </c>
      <c r="Q66" s="473">
        <f t="shared" si="36"/>
        <v>499548.05765941436</v>
      </c>
      <c r="R66" s="473">
        <f t="shared" si="36"/>
        <v>757869.18024542625</v>
      </c>
      <c r="S66" s="473">
        <f t="shared" si="36"/>
        <v>190059.97082894429</v>
      </c>
      <c r="T66" s="473">
        <f t="shared" si="36"/>
        <v>174101.72020890028</v>
      </c>
      <c r="U66" s="473">
        <f t="shared" si="36"/>
        <v>40582.768561279823</v>
      </c>
      <c r="V66" s="473">
        <f t="shared" si="36"/>
        <v>140375.89334732422</v>
      </c>
      <c r="W66" s="473">
        <f t="shared" si="36"/>
        <v>106360.10938096662</v>
      </c>
      <c r="X66" s="473">
        <f t="shared" si="36"/>
        <v>249346.19999830518</v>
      </c>
    </row>
    <row r="67" spans="1:24" outlineLevel="1" x14ac:dyDescent="0.15">
      <c r="A67" s="66"/>
      <c r="B67" s="101"/>
      <c r="C67" s="177"/>
      <c r="D67" s="177"/>
      <c r="E67" s="176"/>
      <c r="F67" s="176"/>
      <c r="G67" s="176"/>
      <c r="H67" s="176"/>
      <c r="I67" s="176"/>
      <c r="J67" s="176"/>
      <c r="K67" s="176"/>
      <c r="N67" s="178" t="s">
        <v>462</v>
      </c>
      <c r="O67" s="178" t="s">
        <v>157</v>
      </c>
      <c r="P67" s="473">
        <f t="shared" si="36"/>
        <v>5920.3741257868896</v>
      </c>
      <c r="Q67" s="473">
        <f t="shared" si="36"/>
        <v>11448.97237030683</v>
      </c>
      <c r="R67" s="473">
        <f t="shared" si="36"/>
        <v>17369.34649609372</v>
      </c>
      <c r="S67" s="473">
        <f t="shared" si="36"/>
        <v>4452.8118080182676</v>
      </c>
      <c r="T67" s="473">
        <f t="shared" si="36"/>
        <v>2370.3261611851271</v>
      </c>
      <c r="U67" s="473">
        <f t="shared" si="36"/>
        <v>137.474959200722</v>
      </c>
      <c r="V67" s="473">
        <f t="shared" si="36"/>
        <v>3381.3153586425719</v>
      </c>
      <c r="W67" s="473">
        <f t="shared" si="36"/>
        <v>1762.2781132420112</v>
      </c>
      <c r="X67" s="473">
        <f t="shared" si="36"/>
        <v>1624.0866243286118</v>
      </c>
    </row>
    <row r="68" spans="1:24" outlineLevel="1" x14ac:dyDescent="0.15">
      <c r="A68" s="66"/>
      <c r="B68" s="82" t="s">
        <v>463</v>
      </c>
      <c r="C68" s="69"/>
      <c r="D68" s="66"/>
      <c r="E68" s="66"/>
      <c r="F68" s="66"/>
      <c r="G68" s="66"/>
      <c r="H68" s="66"/>
      <c r="N68" s="178" t="s">
        <v>462</v>
      </c>
      <c r="O68" s="178" t="s">
        <v>160</v>
      </c>
      <c r="P68" s="473">
        <f t="shared" si="36"/>
        <v>2264018.6806720402</v>
      </c>
      <c r="Q68" s="473">
        <f t="shared" si="36"/>
        <v>7162749.2414923534</v>
      </c>
      <c r="R68" s="473">
        <f t="shared" si="36"/>
        <v>9426767.9221643936</v>
      </c>
      <c r="S68" s="473">
        <f t="shared" si="36"/>
        <v>4674373.8516025953</v>
      </c>
      <c r="T68" s="473">
        <f t="shared" si="36"/>
        <v>2426488.3561247503</v>
      </c>
      <c r="U68" s="473">
        <f t="shared" si="36"/>
        <v>214910.77763815003</v>
      </c>
      <c r="V68" s="473">
        <f t="shared" si="36"/>
        <v>4132802.2144834418</v>
      </c>
      <c r="W68" s="473">
        <f t="shared" si="36"/>
        <v>1131196.2988431773</v>
      </c>
      <c r="X68" s="473">
        <f t="shared" si="36"/>
        <v>1857894.2420548028</v>
      </c>
    </row>
    <row r="69" spans="1:24" ht="15" outlineLevel="1" x14ac:dyDescent="0.15">
      <c r="A69" s="66"/>
      <c r="B69" s="83" t="s">
        <v>459</v>
      </c>
      <c r="C69" s="83" t="s">
        <v>58</v>
      </c>
      <c r="D69" s="83" t="s">
        <v>100</v>
      </c>
      <c r="E69" s="83" t="s">
        <v>59</v>
      </c>
      <c r="F69" s="83" t="s">
        <v>60</v>
      </c>
      <c r="G69" s="83" t="s">
        <v>62</v>
      </c>
      <c r="H69" s="83" t="s">
        <v>61</v>
      </c>
      <c r="I69" s="83" t="s">
        <v>63</v>
      </c>
      <c r="J69" s="83" t="s">
        <v>64</v>
      </c>
      <c r="K69" s="83" t="s">
        <v>65</v>
      </c>
      <c r="L69" s="83" t="s">
        <v>66</v>
      </c>
      <c r="N69" s="178" t="s">
        <v>462</v>
      </c>
      <c r="O69" s="178" t="s">
        <v>161</v>
      </c>
      <c r="P69" s="473">
        <f t="shared" si="36"/>
        <v>0</v>
      </c>
      <c r="Q69" s="473">
        <f t="shared" si="36"/>
        <v>3782.7643307756698</v>
      </c>
      <c r="R69" s="473">
        <f t="shared" si="36"/>
        <v>3782.7643307756698</v>
      </c>
      <c r="S69" s="473">
        <f t="shared" si="36"/>
        <v>613.71982529994398</v>
      </c>
      <c r="T69" s="473">
        <f t="shared" si="36"/>
        <v>930.17898378208611</v>
      </c>
      <c r="U69" s="473">
        <f t="shared" si="36"/>
        <v>1633.3030735212001</v>
      </c>
      <c r="V69" s="473">
        <f t="shared" si="36"/>
        <v>2255.93821972656</v>
      </c>
      <c r="W69" s="473">
        <f t="shared" si="36"/>
        <v>5408.7143295200894</v>
      </c>
      <c r="X69" s="473">
        <f t="shared" si="36"/>
        <v>5667.3006796874997</v>
      </c>
    </row>
    <row r="70" spans="1:24" outlineLevel="1" x14ac:dyDescent="0.15">
      <c r="A70" s="66"/>
      <c r="B70" s="117" t="s">
        <v>155</v>
      </c>
      <c r="C70" s="179">
        <f>E70*VLOOKUP($B70,'Offroad Allocation'!$B$4:$G$15,5,0)</f>
        <v>0</v>
      </c>
      <c r="D70" s="356">
        <f>E70-C70</f>
        <v>18.319944352422397</v>
      </c>
      <c r="E70" s="179">
        <v>18.319944352422397</v>
      </c>
      <c r="F70" s="179">
        <v>6.1523363542386384</v>
      </c>
      <c r="G70" s="179">
        <v>219.9306591584332</v>
      </c>
      <c r="H70" s="179">
        <v>192.58258786610131</v>
      </c>
      <c r="I70" s="179">
        <v>36.490562543187814</v>
      </c>
      <c r="J70" s="179">
        <v>248.00140430532181</v>
      </c>
      <c r="K70" s="179">
        <v>299.89784831837193</v>
      </c>
      <c r="L70" s="577">
        <f>SUM(E70:K70)</f>
        <v>1021.3753428980772</v>
      </c>
      <c r="N70" s="178" t="s">
        <v>462</v>
      </c>
      <c r="O70" s="178" t="s">
        <v>163</v>
      </c>
      <c r="P70" s="473">
        <f t="shared" si="36"/>
        <v>529529.33167633368</v>
      </c>
      <c r="Q70" s="473">
        <f t="shared" si="36"/>
        <v>487555.26203795022</v>
      </c>
      <c r="R70" s="473">
        <f t="shared" si="36"/>
        <v>1017084.5937142839</v>
      </c>
      <c r="S70" s="473">
        <f t="shared" si="36"/>
        <v>176884.25876953118</v>
      </c>
      <c r="T70" s="473">
        <f t="shared" si="36"/>
        <v>88442.112744419515</v>
      </c>
      <c r="U70" s="473">
        <f t="shared" si="36"/>
        <v>2997654.2873409516</v>
      </c>
      <c r="V70" s="473">
        <f t="shared" si="36"/>
        <v>530652.58349330304</v>
      </c>
      <c r="W70" s="473">
        <f t="shared" si="36"/>
        <v>132663.18502622761</v>
      </c>
      <c r="X70" s="473">
        <f t="shared" si="36"/>
        <v>221105.19748995523</v>
      </c>
    </row>
    <row r="71" spans="1:24" outlineLevel="1" x14ac:dyDescent="0.15">
      <c r="A71" s="66"/>
      <c r="B71" s="117" t="s">
        <v>104</v>
      </c>
      <c r="C71" s="179">
        <f>E71*VLOOKUP($B71,'Offroad Allocation'!$B$4:$G$15,5,0)</f>
        <v>28121.356322103078</v>
      </c>
      <c r="D71" s="356">
        <f t="shared" ref="D71:D72" si="38">E71-C71</f>
        <v>54381.805052652635</v>
      </c>
      <c r="E71" s="179">
        <v>82503.161374755713</v>
      </c>
      <c r="F71" s="179">
        <v>29923.115075796894</v>
      </c>
      <c r="G71" s="179">
        <v>8269.6284657985088</v>
      </c>
      <c r="H71" s="179">
        <v>704.41395262118624</v>
      </c>
      <c r="I71" s="179">
        <v>14078.62434816196</v>
      </c>
      <c r="J71" s="179">
        <v>5191.4379858376524</v>
      </c>
      <c r="K71" s="179">
        <v>6793.2532520010682</v>
      </c>
      <c r="L71" s="577">
        <f t="shared" ref="L71:L72" si="39">SUM(E71:K71)</f>
        <v>147463.63445497298</v>
      </c>
      <c r="N71" s="178" t="s">
        <v>464</v>
      </c>
      <c r="O71" s="178" t="s">
        <v>155</v>
      </c>
      <c r="P71" s="473">
        <f t="shared" ref="P71:P80" si="40">C159</f>
        <v>0</v>
      </c>
      <c r="Q71" s="473">
        <f t="shared" ref="Q71:Q80" si="41">D159</f>
        <v>8494.6505460138142</v>
      </c>
      <c r="R71" s="473">
        <f t="shared" ref="R71:R80" si="42">E159</f>
        <v>8494.6505460138142</v>
      </c>
      <c r="S71" s="473">
        <f t="shared" ref="S71:S80" si="43">F159</f>
        <v>2852.7377110138218</v>
      </c>
      <c r="T71" s="473">
        <f t="shared" ref="T71:T80" si="44">G159</f>
        <v>101978.37600008587</v>
      </c>
      <c r="U71" s="473">
        <f t="shared" ref="U71:U80" si="45">H159</f>
        <v>89297.433780784428</v>
      </c>
      <c r="V71" s="473">
        <f t="shared" ref="V71:V80" si="46">I159</f>
        <v>16920.065555841142</v>
      </c>
      <c r="W71" s="473">
        <f t="shared" ref="W71:W80" si="47">J159</f>
        <v>114994.23499412627</v>
      </c>
      <c r="X71" s="473">
        <f t="shared" ref="X71:X80" si="48">K159</f>
        <v>139057.68803809234</v>
      </c>
    </row>
    <row r="72" spans="1:24" outlineLevel="1" x14ac:dyDescent="0.15">
      <c r="A72" s="66"/>
      <c r="B72" s="117" t="s">
        <v>156</v>
      </c>
      <c r="C72" s="179">
        <f>E72*VLOOKUP($B72,'Offroad Allocation'!$B$4:$G$15,5,0)</f>
        <v>47.815004295366407</v>
      </c>
      <c r="D72" s="356">
        <f t="shared" si="38"/>
        <v>92.465890065856598</v>
      </c>
      <c r="E72" s="179">
        <v>140.28089436122301</v>
      </c>
      <c r="F72" s="179">
        <v>35.179963946751101</v>
      </c>
      <c r="G72" s="179">
        <v>32.226061593191901</v>
      </c>
      <c r="H72" s="179">
        <v>7.5118246143886003</v>
      </c>
      <c r="I72" s="179">
        <v>25.983458623613597</v>
      </c>
      <c r="J72" s="179">
        <v>19.687169275556201</v>
      </c>
      <c r="K72" s="179">
        <v>46.153754132952002</v>
      </c>
      <c r="L72" s="577">
        <f t="shared" si="39"/>
        <v>307.02312654767638</v>
      </c>
      <c r="N72" s="178" t="s">
        <v>464</v>
      </c>
      <c r="O72" s="178" t="s">
        <v>159</v>
      </c>
      <c r="P72" s="473">
        <f t="shared" si="40"/>
        <v>288169.34899999999</v>
      </c>
      <c r="Q72" s="473">
        <f t="shared" si="41"/>
        <v>0</v>
      </c>
      <c r="R72" s="473">
        <f t="shared" si="42"/>
        <v>288169.34899999999</v>
      </c>
      <c r="S72" s="473">
        <f t="shared" si="43"/>
        <v>67.842379257202111</v>
      </c>
      <c r="T72" s="473">
        <f t="shared" si="44"/>
        <v>30.895981681823702</v>
      </c>
      <c r="U72" s="473">
        <f t="shared" si="45"/>
        <v>0</v>
      </c>
      <c r="V72" s="473">
        <f t="shared" si="46"/>
        <v>34.114314994811998</v>
      </c>
      <c r="W72" s="473">
        <f t="shared" si="47"/>
        <v>29.608635154724098</v>
      </c>
      <c r="X72" s="473">
        <f t="shared" si="48"/>
        <v>69.516012359619097</v>
      </c>
    </row>
    <row r="73" spans="1:24" outlineLevel="1" x14ac:dyDescent="0.15">
      <c r="A73" s="66"/>
      <c r="B73" s="117" t="s">
        <v>157</v>
      </c>
      <c r="C73" s="179">
        <f>E73*VLOOKUP($B73,'Offroad Allocation'!$B$4:$G$15,5,0)</f>
        <v>25104.302302560183</v>
      </c>
      <c r="D73" s="356">
        <f>E73-C73</f>
        <v>48547.348078216295</v>
      </c>
      <c r="E73" s="179">
        <v>73651.650380776482</v>
      </c>
      <c r="F73" s="179">
        <v>18867.277286648299</v>
      </c>
      <c r="G73" s="179">
        <v>10041.979209839956</v>
      </c>
      <c r="H73" s="179">
        <v>583.53690390304155</v>
      </c>
      <c r="I73" s="179">
        <v>14326.432144831728</v>
      </c>
      <c r="J73" s="179">
        <v>7464.4078175456098</v>
      </c>
      <c r="K73" s="179">
        <v>6888.3829400750501</v>
      </c>
      <c r="L73" s="577">
        <f>SUM(E73:K73)</f>
        <v>131823.66668362016</v>
      </c>
      <c r="N73" s="178" t="s">
        <v>464</v>
      </c>
      <c r="O73" s="178" t="s">
        <v>104</v>
      </c>
      <c r="P73" s="473">
        <f t="shared" si="40"/>
        <v>15690069.408783961</v>
      </c>
      <c r="Q73" s="473">
        <f t="shared" si="41"/>
        <v>30341861.398073096</v>
      </c>
      <c r="R73" s="473">
        <f t="shared" si="42"/>
        <v>46031930.806857057</v>
      </c>
      <c r="S73" s="473">
        <f t="shared" si="43"/>
        <v>16695335.562142834</v>
      </c>
      <c r="T73" s="473">
        <f t="shared" si="44"/>
        <v>4613962.6405066932</v>
      </c>
      <c r="U73" s="473">
        <f t="shared" si="45"/>
        <v>393021.33824762795</v>
      </c>
      <c r="V73" s="473">
        <f t="shared" si="46"/>
        <v>7855050.3588571325</v>
      </c>
      <c r="W73" s="473">
        <f t="shared" si="47"/>
        <v>2896513.1681473162</v>
      </c>
      <c r="X73" s="473">
        <f t="shared" si="48"/>
        <v>3790232.1296272269</v>
      </c>
    </row>
    <row r="74" spans="1:24" outlineLevel="1" x14ac:dyDescent="0.15">
      <c r="A74" s="66"/>
      <c r="B74" s="170" t="s">
        <v>158</v>
      </c>
      <c r="C74" s="179">
        <f>E74*VLOOKUP($B74,'Offroad Allocation'!$B$4:$G$15,5,0)</f>
        <v>296.83983624568435</v>
      </c>
      <c r="D74" s="356">
        <f>E74-C74</f>
        <v>574.03654082951061</v>
      </c>
      <c r="E74" s="179">
        <v>870.87637707519491</v>
      </c>
      <c r="F74" s="179">
        <v>711.21438183593705</v>
      </c>
      <c r="G74" s="179">
        <v>87.087636825561489</v>
      </c>
      <c r="H74" s="179">
        <v>0</v>
      </c>
      <c r="I74" s="179">
        <v>566.06862756347596</v>
      </c>
      <c r="J74" s="179">
        <v>0</v>
      </c>
      <c r="K74" s="179">
        <v>870.87637707519491</v>
      </c>
      <c r="L74" s="577">
        <f t="shared" ref="L74" si="49">SUM(E74:K74)</f>
        <v>3106.1234003753643</v>
      </c>
      <c r="N74" s="178" t="s">
        <v>464</v>
      </c>
      <c r="O74" s="178" t="s">
        <v>156</v>
      </c>
      <c r="P74" s="473">
        <f t="shared" si="40"/>
        <v>1471074.2883715297</v>
      </c>
      <c r="Q74" s="473">
        <f t="shared" si="41"/>
        <v>2844801.4474078324</v>
      </c>
      <c r="R74" s="473">
        <f t="shared" si="42"/>
        <v>4315875.7357793618</v>
      </c>
      <c r="S74" s="473">
        <f t="shared" si="43"/>
        <v>1082344.3222971854</v>
      </c>
      <c r="T74" s="473">
        <f t="shared" si="44"/>
        <v>991466.23896647978</v>
      </c>
      <c r="U74" s="473">
        <f t="shared" si="45"/>
        <v>231108.62926052828</v>
      </c>
      <c r="V74" s="473">
        <f t="shared" si="46"/>
        <v>799405.92046928965</v>
      </c>
      <c r="W74" s="473">
        <f t="shared" si="47"/>
        <v>605694.5379219834</v>
      </c>
      <c r="X74" s="473">
        <f t="shared" si="48"/>
        <v>1419964.4535794826</v>
      </c>
    </row>
    <row r="75" spans="1:24" outlineLevel="1" x14ac:dyDescent="0.15">
      <c r="A75" s="66"/>
      <c r="B75" s="171" t="s">
        <v>88</v>
      </c>
      <c r="C75" s="357">
        <f t="shared" ref="C75:K75" si="50">SUM(C70:C74)</f>
        <v>53570.313465204315</v>
      </c>
      <c r="D75" s="357">
        <f t="shared" si="50"/>
        <v>103613.97550611671</v>
      </c>
      <c r="E75" s="357">
        <f t="shared" si="50"/>
        <v>157184.28897132102</v>
      </c>
      <c r="F75" s="357">
        <f t="shared" si="50"/>
        <v>49542.939044582126</v>
      </c>
      <c r="G75" s="357">
        <f t="shared" si="50"/>
        <v>18650.852033215655</v>
      </c>
      <c r="H75" s="357">
        <f t="shared" si="50"/>
        <v>1488.0452690047177</v>
      </c>
      <c r="I75" s="357">
        <f t="shared" si="50"/>
        <v>29033.599141723967</v>
      </c>
      <c r="J75" s="357">
        <f t="shared" si="50"/>
        <v>12923.53437696414</v>
      </c>
      <c r="K75" s="357">
        <f t="shared" si="50"/>
        <v>14898.564171602638</v>
      </c>
      <c r="L75" s="357">
        <f>SUM(E75:K75)</f>
        <v>283721.8230084143</v>
      </c>
      <c r="N75" s="178" t="s">
        <v>464</v>
      </c>
      <c r="O75" s="178" t="s">
        <v>157</v>
      </c>
      <c r="P75" s="473">
        <f t="shared" si="40"/>
        <v>3948327.410502858</v>
      </c>
      <c r="Q75" s="473">
        <f t="shared" si="41"/>
        <v>7635377.5067828391</v>
      </c>
      <c r="R75" s="473">
        <f t="shared" si="42"/>
        <v>11583704.917285698</v>
      </c>
      <c r="S75" s="473">
        <f t="shared" si="43"/>
        <v>2965303.7243339797</v>
      </c>
      <c r="T75" s="473">
        <f t="shared" si="44"/>
        <v>1578042.8442885019</v>
      </c>
      <c r="U75" s="473">
        <f t="shared" si="45"/>
        <v>91865.544555628949</v>
      </c>
      <c r="V75" s="473">
        <f t="shared" si="46"/>
        <v>2251523.5314319162</v>
      </c>
      <c r="W75" s="473">
        <f t="shared" si="47"/>
        <v>1172763.227758996</v>
      </c>
      <c r="X75" s="473">
        <f t="shared" si="48"/>
        <v>1083640.1938998313</v>
      </c>
    </row>
    <row r="76" spans="1:24" outlineLevel="1" x14ac:dyDescent="0.15">
      <c r="A76" s="66"/>
      <c r="B76" s="101" t="s">
        <v>460</v>
      </c>
      <c r="C76" s="177"/>
      <c r="D76" s="177"/>
      <c r="E76" s="176"/>
      <c r="F76" s="176"/>
      <c r="G76" s="176"/>
      <c r="H76" s="176"/>
      <c r="I76" s="176"/>
      <c r="J76" s="176"/>
      <c r="K76" s="176"/>
      <c r="N76" s="178" t="s">
        <v>464</v>
      </c>
      <c r="O76" s="178" t="s">
        <v>160</v>
      </c>
      <c r="P76" s="473">
        <f t="shared" si="40"/>
        <v>21043765.940703247</v>
      </c>
      <c r="Q76" s="473">
        <f t="shared" si="41"/>
        <v>66576844.006062925</v>
      </c>
      <c r="R76" s="473">
        <f t="shared" si="42"/>
        <v>87620609.946766168</v>
      </c>
      <c r="S76" s="473">
        <f t="shared" si="43"/>
        <v>39509641.739420354</v>
      </c>
      <c r="T76" s="473">
        <f t="shared" si="44"/>
        <v>20344753.759321339</v>
      </c>
      <c r="U76" s="473">
        <f t="shared" si="45"/>
        <v>1854463.4263208979</v>
      </c>
      <c r="V76" s="473">
        <f t="shared" si="46"/>
        <v>34538286.115919605</v>
      </c>
      <c r="W76" s="473">
        <f t="shared" si="47"/>
        <v>9652557.0127294734</v>
      </c>
      <c r="X76" s="473">
        <f t="shared" si="48"/>
        <v>16010005.286893036</v>
      </c>
    </row>
    <row r="77" spans="1:24" outlineLevel="1" x14ac:dyDescent="0.15">
      <c r="A77" s="66"/>
      <c r="B77" s="101"/>
      <c r="C77" s="177"/>
      <c r="D77" s="177"/>
      <c r="E77" s="176"/>
      <c r="F77" s="176"/>
      <c r="G77" s="176"/>
      <c r="H77" s="176"/>
      <c r="I77" s="176"/>
      <c r="J77" s="176"/>
      <c r="K77" s="176"/>
      <c r="N77" s="178" t="s">
        <v>464</v>
      </c>
      <c r="O77" s="178" t="s">
        <v>161</v>
      </c>
      <c r="P77" s="473">
        <f t="shared" si="40"/>
        <v>0</v>
      </c>
      <c r="Q77" s="473">
        <f t="shared" si="41"/>
        <v>10978.665595589717</v>
      </c>
      <c r="R77" s="473">
        <f t="shared" si="42"/>
        <v>10978.665595589717</v>
      </c>
      <c r="S77" s="473">
        <f t="shared" si="43"/>
        <v>1781.1870435899998</v>
      </c>
      <c r="T77" s="473">
        <f t="shared" si="44"/>
        <v>2699.6388572278665</v>
      </c>
      <c r="U77" s="473">
        <f t="shared" si="45"/>
        <v>4740.3016085880799</v>
      </c>
      <c r="V77" s="473">
        <f t="shared" si="46"/>
        <v>6547.3705111236541</v>
      </c>
      <c r="W77" s="473">
        <f t="shared" si="47"/>
        <v>15697.623907950172</v>
      </c>
      <c r="X77" s="473">
        <f t="shared" si="48"/>
        <v>16448.084602722134</v>
      </c>
    </row>
    <row r="78" spans="1:24" outlineLevel="1" x14ac:dyDescent="0.15">
      <c r="A78" s="66"/>
      <c r="B78" s="82" t="s">
        <v>465</v>
      </c>
      <c r="C78" s="66"/>
      <c r="D78" s="66"/>
      <c r="E78" s="66"/>
      <c r="F78" s="66"/>
      <c r="G78" s="66"/>
      <c r="H78" s="66"/>
      <c r="N78" s="178" t="s">
        <v>464</v>
      </c>
      <c r="O78" s="178" t="s">
        <v>158</v>
      </c>
      <c r="P78" s="473">
        <f t="shared" si="40"/>
        <v>31994.71531073645</v>
      </c>
      <c r="Q78" s="473">
        <f t="shared" si="41"/>
        <v>61872.206689263556</v>
      </c>
      <c r="R78" s="473">
        <f t="shared" si="42"/>
        <v>93866.922000000006</v>
      </c>
      <c r="S78" s="473">
        <f t="shared" si="43"/>
        <v>76657.910999999993</v>
      </c>
      <c r="T78" s="473">
        <f t="shared" si="44"/>
        <v>9386.6921738281198</v>
      </c>
      <c r="U78" s="473">
        <f t="shared" si="45"/>
        <v>0</v>
      </c>
      <c r="V78" s="473">
        <f t="shared" si="46"/>
        <v>61013.445</v>
      </c>
      <c r="W78" s="473">
        <f t="shared" si="47"/>
        <v>0</v>
      </c>
      <c r="X78" s="473">
        <f t="shared" si="48"/>
        <v>93866.922000000006</v>
      </c>
    </row>
    <row r="79" spans="1:24" ht="14.5" customHeight="1" outlineLevel="1" x14ac:dyDescent="0.15">
      <c r="A79" s="66"/>
      <c r="B79" s="83" t="s">
        <v>459</v>
      </c>
      <c r="C79" s="83" t="s">
        <v>58</v>
      </c>
      <c r="D79" s="83" t="s">
        <v>100</v>
      </c>
      <c r="E79" s="83" t="s">
        <v>59</v>
      </c>
      <c r="F79" s="83" t="s">
        <v>60</v>
      </c>
      <c r="G79" s="83" t="s">
        <v>62</v>
      </c>
      <c r="H79" s="83" t="s">
        <v>61</v>
      </c>
      <c r="I79" s="83" t="s">
        <v>63</v>
      </c>
      <c r="J79" s="83" t="s">
        <v>64</v>
      </c>
      <c r="K79" s="83" t="s">
        <v>65</v>
      </c>
      <c r="N79" s="178" t="s">
        <v>464</v>
      </c>
      <c r="O79" s="178" t="s">
        <v>162</v>
      </c>
      <c r="P79" s="473">
        <f t="shared" si="40"/>
        <v>25046.944443954169</v>
      </c>
      <c r="Q79" s="473">
        <f t="shared" si="41"/>
        <v>8921.9734371842278</v>
      </c>
      <c r="R79" s="473">
        <f t="shared" si="42"/>
        <v>33968.917881138397</v>
      </c>
      <c r="S79" s="473">
        <f t="shared" si="43"/>
        <v>14048.9640714285</v>
      </c>
      <c r="T79" s="473">
        <f t="shared" si="44"/>
        <v>6112.9685047433004</v>
      </c>
      <c r="U79" s="473">
        <f t="shared" si="45"/>
        <v>978.51848505510497</v>
      </c>
      <c r="V79" s="473">
        <f t="shared" si="46"/>
        <v>4538.2431580636103</v>
      </c>
      <c r="W79" s="473">
        <f t="shared" si="47"/>
        <v>886.00316085379393</v>
      </c>
      <c r="X79" s="473">
        <f t="shared" si="48"/>
        <v>7507.7209464285697</v>
      </c>
    </row>
    <row r="80" spans="1:24" outlineLevel="1" x14ac:dyDescent="0.15">
      <c r="A80" s="66"/>
      <c r="B80" s="117" t="s">
        <v>155</v>
      </c>
      <c r="C80" s="179">
        <f>C50*'Constants &amp; Conversions'!$D$58/'Constants &amp; Conversions'!$D$59/1000000*'Constants &amp; Conversions'!$D$38</f>
        <v>0</v>
      </c>
      <c r="D80" s="179">
        <f>D50*'Constants &amp; Conversions'!$D$58/'Constants &amp; Conversions'!$D$59/1000000*'Constants &amp; Conversions'!$D$38</f>
        <v>716.71151882137781</v>
      </c>
      <c r="E80" s="179">
        <f>E50*'Constants &amp; Conversions'!$D$58/'Constants &amp; Conversions'!$D$59/1000000*'Constants &amp; Conversions'!$D$38</f>
        <v>716.71151882137781</v>
      </c>
      <c r="F80" s="179">
        <f>F50*'Constants &amp; Conversions'!$D$58/'Constants &amp; Conversions'!$D$59/1000000*'Constants &amp; Conversions'!$D$38</f>
        <v>240.69100639752924</v>
      </c>
      <c r="G80" s="179">
        <f>G50*'Constants &amp; Conversions'!$D$58/'Constants &amp; Conversions'!$D$59/1000000*'Constants &amp; Conversions'!$D$38</f>
        <v>8604.1314396238668</v>
      </c>
      <c r="H80" s="179">
        <f>H50*'Constants &amp; Conversions'!$D$58/'Constants &amp; Conversions'!$D$59/1000000*'Constants &amp; Conversions'!$D$38</f>
        <v>7534.2159272714989</v>
      </c>
      <c r="I80" s="179">
        <f>I50*'Constants &amp; Conversions'!$D$58/'Constants &amp; Conversions'!$D$59/1000000*'Constants &amp; Conversions'!$D$38</f>
        <v>1427.5817509227065</v>
      </c>
      <c r="J80" s="179">
        <f>J50*'Constants &amp; Conversions'!$D$58/'Constants &amp; Conversions'!$D$59/1000000*'Constants &amp; Conversions'!$D$38</f>
        <v>9702.2992234146986</v>
      </c>
      <c r="K80" s="179">
        <f>K50*'Constants &amp; Conversions'!$D$58/'Constants &amp; Conversions'!$D$59/1000000*'Constants &amp; Conversions'!$D$38</f>
        <v>11732.579492190125</v>
      </c>
      <c r="N80" s="178" t="s">
        <v>464</v>
      </c>
      <c r="O80" s="178" t="s">
        <v>163</v>
      </c>
      <c r="P80" s="473">
        <f t="shared" si="40"/>
        <v>2124115.0689023077</v>
      </c>
      <c r="Q80" s="473">
        <f t="shared" si="41"/>
        <v>1955743.3688119696</v>
      </c>
      <c r="R80" s="473">
        <f t="shared" si="42"/>
        <v>4079858.4377142773</v>
      </c>
      <c r="S80" s="473">
        <f t="shared" si="43"/>
        <v>1008719.5627583694</v>
      </c>
      <c r="T80" s="473">
        <f t="shared" si="44"/>
        <v>528419.72775390488</v>
      </c>
      <c r="U80" s="473">
        <f t="shared" si="45"/>
        <v>431283.65931696392</v>
      </c>
      <c r="V80" s="473">
        <f t="shared" si="46"/>
        <v>1991585.2522366045</v>
      </c>
      <c r="W80" s="473">
        <f t="shared" si="47"/>
        <v>768569.57023995463</v>
      </c>
      <c r="X80" s="473">
        <f t="shared" si="48"/>
        <v>936091.03453794518</v>
      </c>
    </row>
    <row r="81" spans="1:24" outlineLevel="1" x14ac:dyDescent="0.15">
      <c r="A81" s="66"/>
      <c r="B81" s="117" t="s">
        <v>104</v>
      </c>
      <c r="C81" s="179">
        <f>C51*'Constants &amp; Conversions'!$D$58/'Constants &amp; Conversions'!$D$59/1000000*'Constants &amp; Conversions'!$D$38</f>
        <v>430458.42853945255</v>
      </c>
      <c r="D81" s="179">
        <f>D51*'Constants &amp; Conversions'!$D$58/'Constants &amp; Conversions'!$D$59/1000000*'Constants &amp; Conversions'!$D$38</f>
        <v>832431.62513126782</v>
      </c>
      <c r="E81" s="179">
        <f>E51*'Constants &amp; Conversions'!$D$58/'Constants &amp; Conversions'!$D$59/1000000*'Constants &amp; Conversions'!$D$38</f>
        <v>1262890.0536707204</v>
      </c>
      <c r="F81" s="179">
        <f>F51*'Constants &amp; Conversions'!$D$58/'Constants &amp; Conversions'!$D$59/1000000*'Constants &amp; Conversions'!$D$38</f>
        <v>458037.87641374383</v>
      </c>
      <c r="G81" s="179">
        <f>G51*'Constants &amp; Conversions'!$D$58/'Constants &amp; Conversions'!$D$59/1000000*'Constants &amp; Conversions'!$D$38</f>
        <v>126584.33316964684</v>
      </c>
      <c r="H81" s="179">
        <f>H51*'Constants &amp; Conversions'!$D$58/'Constants &amp; Conversions'!$D$59/1000000*'Constants &amp; Conversions'!$D$38</f>
        <v>10782.576097342753</v>
      </c>
      <c r="I81" s="179">
        <f>I51*'Constants &amp; Conversions'!$D$58/'Constants &amp; Conversions'!$D$59/1000000*'Constants &amp; Conversions'!$D$38</f>
        <v>215503.77499277817</v>
      </c>
      <c r="J81" s="179">
        <f>J51*'Constants &amp; Conversions'!$D$58/'Constants &amp; Conversions'!$D$59/1000000*'Constants &amp; Conversions'!$D$38</f>
        <v>79466.106639958991</v>
      </c>
      <c r="K81" s="179">
        <f>K51*'Constants &amp; Conversions'!$D$58/'Constants &amp; Conversions'!$D$59/1000000*'Constants &amp; Conversions'!$D$38</f>
        <v>103985.31122026742</v>
      </c>
    </row>
    <row r="82" spans="1:24" outlineLevel="1" x14ac:dyDescent="0.15">
      <c r="A82" s="66"/>
      <c r="B82" s="117" t="s">
        <v>156</v>
      </c>
      <c r="C82" s="179">
        <f>C52*'Constants &amp; Conversions'!$D$58/'Constants &amp; Conversions'!$D$59/1000000*'Constants &amp; Conversions'!$D$38</f>
        <v>218.63666609148973</v>
      </c>
      <c r="D82" s="179">
        <f>D52*'Constants &amp; Conversions'!$D$58/'Constants &amp; Conversions'!$D$59/1000000*'Constants &amp; Conversions'!$D$38</f>
        <v>422.80523089151302</v>
      </c>
      <c r="E82" s="179">
        <f>E52*'Constants &amp; Conversions'!$D$58/'Constants &amp; Conversions'!$D$59/1000000*'Constants &amp; Conversions'!$D$38</f>
        <v>641.44189698300283</v>
      </c>
      <c r="F82" s="179">
        <f>F52*'Constants &amp; Conversions'!$D$58/'Constants &amp; Conversions'!$D$59/1000000*'Constants &amp; Conversions'!$D$38</f>
        <v>160.86218322798157</v>
      </c>
      <c r="G82" s="179">
        <f>G52*'Constants &amp; Conversions'!$D$58/'Constants &amp; Conversions'!$D$59/1000000*'Constants &amp; Conversions'!$D$38</f>
        <v>147.35535251677589</v>
      </c>
      <c r="H82" s="179">
        <f>H52*'Constants &amp; Conversions'!$D$58/'Constants &amp; Conversions'!$D$59/1000000*'Constants &amp; Conversions'!$D$38</f>
        <v>34.34823027832573</v>
      </c>
      <c r="I82" s="179">
        <f>I52*'Constants &amp; Conversions'!$D$58/'Constants &amp; Conversions'!$D$59/1000000*'Constants &amp; Conversions'!$D$38</f>
        <v>118.81069183755585</v>
      </c>
      <c r="J82" s="179">
        <f>J52*'Constants &amp; Conversions'!$D$58/'Constants &amp; Conversions'!$D$59/1000000*'Constants &amp; Conversions'!$D$38</f>
        <v>90.020599142157948</v>
      </c>
      <c r="K82" s="179">
        <f>K52*'Constants &amp; Conversions'!$D$58/'Constants &amp; Conversions'!$D$59/1000000*'Constants &amp; Conversions'!$D$38</f>
        <v>211.04071799028813</v>
      </c>
    </row>
    <row r="83" spans="1:24" outlineLevel="1" x14ac:dyDescent="0.15">
      <c r="A83" s="66"/>
      <c r="B83" s="117" t="s">
        <v>157</v>
      </c>
      <c r="C83" s="179">
        <f>C53*'Constants &amp; Conversions'!$D$58/'Constants &amp; Conversions'!$D$59/1000000*'Constants &amp; Conversions'!$D$38</f>
        <v>966224.74536048376</v>
      </c>
      <c r="D83" s="179">
        <f>D53*'Constants &amp; Conversions'!$D$58/'Constants &amp; Conversions'!$D$59/1000000*'Constants &amp; Conversions'!$D$38</f>
        <v>1868510.364058896</v>
      </c>
      <c r="E83" s="179">
        <f>E53*'Constants &amp; Conversions'!$D$58/'Constants &amp; Conversions'!$D$59/1000000*'Constants &amp; Conversions'!$D$38</f>
        <v>2834735.1094193794</v>
      </c>
      <c r="F83" s="179">
        <f>F53*'Constants &amp; Conversions'!$D$58/'Constants &amp; Conversions'!$D$59/1000000*'Constants &amp; Conversions'!$D$38</f>
        <v>726231.80234718218</v>
      </c>
      <c r="G83" s="179">
        <f>G53*'Constants &amp; Conversions'!$D$58/'Constants &amp; Conversions'!$D$59/1000000*'Constants &amp; Conversions'!$D$38</f>
        <v>386538.06609733409</v>
      </c>
      <c r="H83" s="179">
        <f>H53*'Constants &amp; Conversions'!$D$58/'Constants &amp; Conversions'!$D$59/1000000*'Constants &amp; Conversions'!$D$38</f>
        <v>22456.810515357789</v>
      </c>
      <c r="I83" s="179">
        <f>I53*'Constants &amp; Conversions'!$D$58/'Constants &amp; Conversions'!$D$59/1000000*'Constants &amp; Conversions'!$D$38</f>
        <v>551450.58577715862</v>
      </c>
      <c r="J83" s="179">
        <f>J53*'Constants &amp; Conversions'!$D$58/'Constants &amp; Conversions'!$D$59/1000000*'Constants &amp; Conversions'!$D$38</f>
        <v>287328.69210755819</v>
      </c>
      <c r="K83" s="179">
        <f>K53*'Constants &amp; Conversions'!$D$58/'Constants &amp; Conversions'!$D$59/1000000*'Constants &amp; Conversions'!$D$38</f>
        <v>265115.16938456468</v>
      </c>
    </row>
    <row r="84" spans="1:24" outlineLevel="1" x14ac:dyDescent="0.15">
      <c r="A84" s="66"/>
      <c r="B84" s="170" t="s">
        <v>158</v>
      </c>
      <c r="C84" s="179">
        <f>C54*'Constants &amp; Conversions'!$D$58/'Constants &amp; Conversions'!$D$59/1000000*'Constants &amp; Conversions'!$D$38</f>
        <v>12040.329343665839</v>
      </c>
      <c r="D84" s="179">
        <f>D54*'Constants &amp; Conversions'!$D$58/'Constants &amp; Conversions'!$D$59/1000000*'Constants &amp; Conversions'!$D$38</f>
        <v>23283.899810419989</v>
      </c>
      <c r="E84" s="179">
        <f>E54*'Constants &amp; Conversions'!$D$58/'Constants &amp; Conversions'!$D$59/1000000*'Constants &amp; Conversions'!$D$38</f>
        <v>35324.22915408582</v>
      </c>
      <c r="F84" s="179">
        <f>F54*'Constants &amp; Conversions'!$D$58/'Constants &amp; Conversions'!$D$59/1000000*'Constants &amp; Conversions'!$D$38</f>
        <v>28848.133480743672</v>
      </c>
      <c r="G84" s="179">
        <f>G54*'Constants &amp; Conversions'!$D$58/'Constants &amp; Conversions'!$D$59/1000000*'Constants &amp; Conversions'!$D$38</f>
        <v>3532.4229382732688</v>
      </c>
      <c r="H84" s="179">
        <f>H54*'Constants &amp; Conversions'!$D$58/'Constants &amp; Conversions'!$D$59/1000000*'Constants &amp; Conversions'!$D$38</f>
        <v>0</v>
      </c>
      <c r="I84" s="179">
        <f>I54*'Constants &amp; Conversions'!$D$58/'Constants &amp; Conversions'!$D$59/1000000*'Constants &amp; Conversions'!$D$38</f>
        <v>22960.770635242752</v>
      </c>
      <c r="J84" s="179">
        <f>J54*'Constants &amp; Conversions'!$D$58/'Constants &amp; Conversions'!$D$59/1000000*'Constants &amp; Conversions'!$D$38</f>
        <v>0</v>
      </c>
      <c r="K84" s="179">
        <f>K54*'Constants &amp; Conversions'!$D$58/'Constants &amp; Conversions'!$D$59/1000000*'Constants &amp; Conversions'!$D$38</f>
        <v>35324.22915408582</v>
      </c>
    </row>
    <row r="85" spans="1:24" ht="15" outlineLevel="1" x14ac:dyDescent="0.15">
      <c r="A85" s="66"/>
      <c r="B85" s="171" t="s">
        <v>88</v>
      </c>
      <c r="C85" s="357">
        <f t="shared" ref="C85:K85" si="51">SUM(C80:C84)</f>
        <v>1408942.1399096937</v>
      </c>
      <c r="D85" s="357">
        <f t="shared" si="51"/>
        <v>2725365.4057502965</v>
      </c>
      <c r="E85" s="357">
        <f t="shared" si="51"/>
        <v>4134307.54565999</v>
      </c>
      <c r="F85" s="357">
        <f t="shared" si="51"/>
        <v>1213519.3654312952</v>
      </c>
      <c r="G85" s="357">
        <f t="shared" si="51"/>
        <v>525406.30899739487</v>
      </c>
      <c r="H85" s="357">
        <f t="shared" si="51"/>
        <v>40807.950770250369</v>
      </c>
      <c r="I85" s="357">
        <f t="shared" si="51"/>
        <v>791461.52384793991</v>
      </c>
      <c r="J85" s="357">
        <f t="shared" si="51"/>
        <v>376587.11857007403</v>
      </c>
      <c r="K85" s="357">
        <f t="shared" si="51"/>
        <v>416368.32996909833</v>
      </c>
      <c r="P85" s="472" t="s">
        <v>466</v>
      </c>
      <c r="Q85" s="472" t="s">
        <v>467</v>
      </c>
      <c r="R85" s="472" t="s">
        <v>468</v>
      </c>
      <c r="S85" s="472" t="s">
        <v>469</v>
      </c>
      <c r="T85" s="472" t="s">
        <v>470</v>
      </c>
      <c r="U85" s="283"/>
      <c r="V85" s="283"/>
      <c r="W85" s="283"/>
      <c r="X85" s="283"/>
    </row>
    <row r="86" spans="1:24" x14ac:dyDescent="0.15">
      <c r="A86" s="66"/>
      <c r="B86" s="66"/>
      <c r="C86" s="69"/>
      <c r="D86" s="66"/>
      <c r="E86" s="66"/>
      <c r="F86" s="66"/>
      <c r="G86" s="66"/>
      <c r="H86" s="66"/>
      <c r="O86" s="178" t="s">
        <v>155</v>
      </c>
      <c r="P86" s="473">
        <f>(SUMIF($B$60:$B$64,O86,$L$60:$L$64)+SUMIF($B$105:$B$114,O86,$L$105:$L$114)+SUMIF($B$175:$B$192,O86,$L$175:$L$192))/'Constants &amp; Conversions'!$D$32</f>
        <v>114835.79167161834</v>
      </c>
      <c r="Q86" s="473">
        <f t="shared" ref="Q86:Q93" si="52">SUMIF($B$70:$B$74,O86,$L$70:$L$74)+SUMIF($B$120:$B$129,O86,$L$120:$L$129)+SUMIF($B$199:$B$216,O86,$L$199:$L$216)</f>
        <v>5095.4683100165303</v>
      </c>
      <c r="R86" s="473">
        <f>Q86/'Constants &amp; Conversions'!$D$32*CH4_GWP</f>
        <v>142.67311268046285</v>
      </c>
      <c r="S86" s="473">
        <f>SUMIF('Off-road'!$C$43:$C$74,'Offroad Data'!O86,'Off-road'!$M$43:$M$74)*Global_Warming_Potential_N2O</f>
        <v>2736.8403155490464</v>
      </c>
      <c r="T86" s="610">
        <f t="shared" ref="T86:T93" si="53">P86+R86+S86</f>
        <v>117715.30509984786</v>
      </c>
      <c r="U86" s="283"/>
      <c r="V86" s="283"/>
      <c r="W86" s="283"/>
      <c r="X86" s="283"/>
    </row>
    <row r="87" spans="1:24" ht="18" x14ac:dyDescent="0.2">
      <c r="A87" s="189" t="s">
        <v>146</v>
      </c>
      <c r="B87" s="66"/>
      <c r="C87" s="69"/>
      <c r="D87" s="66"/>
      <c r="E87" s="66"/>
      <c r="F87" s="66"/>
      <c r="G87" s="66"/>
      <c r="H87" s="66"/>
      <c r="O87" s="178" t="s">
        <v>159</v>
      </c>
      <c r="P87" s="473">
        <f>(SUMIF($B$60:$B$64,O87,$L$60:$L$64)+SUMIF($B$105:$B$114,O87,$L$105:$L$114)+SUMIF($B$175:$B$192,O87,$L$175:$L$192))/'Constants &amp; Conversions'!$D$32</f>
        <v>39658.708473196675</v>
      </c>
      <c r="Q87" s="473">
        <f t="shared" si="52"/>
        <v>827.84518022219731</v>
      </c>
      <c r="R87" s="473">
        <f>Q87/'Constants &amp; Conversions'!$D$32*CH4_GWP</f>
        <v>23.179665046221526</v>
      </c>
      <c r="S87" s="473">
        <f>SUMIF('Off-road'!$C$43:$C$74,'Offroad Data'!O87,'Off-road'!$M$43:$M$74)*Global_Warming_Potential_N2O</f>
        <v>976.19749447151821</v>
      </c>
      <c r="T87" s="610">
        <f t="shared" si="53"/>
        <v>40658.085632714414</v>
      </c>
      <c r="U87" s="283"/>
      <c r="V87" s="283"/>
      <c r="W87" s="283"/>
      <c r="X87" s="283"/>
    </row>
    <row r="88" spans="1:24" outlineLevel="1" x14ac:dyDescent="0.15">
      <c r="A88" s="82"/>
      <c r="B88" s="82" t="s">
        <v>458</v>
      </c>
      <c r="C88" s="69"/>
      <c r="D88" s="66"/>
      <c r="E88" s="66"/>
      <c r="F88" s="66"/>
      <c r="G88" s="66"/>
      <c r="H88" s="66"/>
      <c r="O88" s="178" t="s">
        <v>104</v>
      </c>
      <c r="P88" s="473">
        <f>(SUMIF($B$60:$B$64,O88,$L$60:$L$64)+SUMIF($B$105:$B$114,O88,$L$105:$L$114)+SUMIF($B$175:$B$192,O88,$L$175:$L$192))/'Constants &amp; Conversions'!$D$32</f>
        <v>483338.50082625006</v>
      </c>
      <c r="Q88" s="473">
        <f t="shared" si="52"/>
        <v>338402.22365692002</v>
      </c>
      <c r="R88" s="473">
        <f>Q88/'Constants &amp; Conversions'!$D$32*CH4_GWP</f>
        <v>9475.2622623937605</v>
      </c>
      <c r="S88" s="473">
        <f>SUMIF('Off-road'!$C$43:$C$74,'Offroad Data'!O88,'Off-road'!$M$43:$M$74)*Global_Warming_Potential_N2O</f>
        <v>17849.585939053424</v>
      </c>
      <c r="T88" s="610">
        <f t="shared" si="53"/>
        <v>510663.34902769729</v>
      </c>
      <c r="U88" s="283"/>
      <c r="V88" s="283"/>
      <c r="W88" s="283"/>
      <c r="X88" s="283"/>
    </row>
    <row r="89" spans="1:24" ht="15" outlineLevel="1" x14ac:dyDescent="0.15">
      <c r="A89" s="66"/>
      <c r="B89" s="83" t="s">
        <v>459</v>
      </c>
      <c r="C89" s="83" t="s">
        <v>58</v>
      </c>
      <c r="D89" s="83" t="s">
        <v>100</v>
      </c>
      <c r="E89" s="83" t="s">
        <v>59</v>
      </c>
      <c r="F89" s="83" t="s">
        <v>60</v>
      </c>
      <c r="G89" s="83" t="s">
        <v>62</v>
      </c>
      <c r="H89" s="83" t="s">
        <v>61</v>
      </c>
      <c r="I89" s="83" t="s">
        <v>63</v>
      </c>
      <c r="J89" s="83" t="s">
        <v>64</v>
      </c>
      <c r="K89" s="83" t="s">
        <v>65</v>
      </c>
      <c r="O89" s="178" t="s">
        <v>156</v>
      </c>
      <c r="P89" s="473">
        <f>(SUMIF($B$60:$B$64,O89,$L$60:$L$64)+SUMIF($B$105:$B$114,O89,$L$105:$L$114)+SUMIF($B$175:$B$192,O89,$L$175:$L$192))/'Constants &amp; Conversions'!$D$32</f>
        <v>1447551.2020078509</v>
      </c>
      <c r="Q89" s="473">
        <f t="shared" si="52"/>
        <v>53807.492458090521</v>
      </c>
      <c r="R89" s="473">
        <f>Q89/'Constants &amp; Conversions'!$D$32*CH4_GWP</f>
        <v>1506.6097888265347</v>
      </c>
      <c r="S89" s="473">
        <f>SUMIF('Off-road'!$C$43:$C$74,'Offroad Data'!O89,'Off-road'!$M$43:$M$74)*Global_Warming_Potential_N2O</f>
        <v>33763.398425450017</v>
      </c>
      <c r="T89" s="610">
        <f t="shared" si="53"/>
        <v>1482821.2102221274</v>
      </c>
      <c r="U89" s="283"/>
      <c r="V89" s="283"/>
      <c r="W89" s="283"/>
      <c r="X89" s="283"/>
    </row>
    <row r="90" spans="1:24" outlineLevel="1" x14ac:dyDescent="0.15">
      <c r="A90" s="66"/>
      <c r="B90" s="117" t="s">
        <v>155</v>
      </c>
      <c r="C90" s="179">
        <f>E90*VLOOKUP($B90,'Offroad Allocation'!$B$4:$G$15,5,0)</f>
        <v>0</v>
      </c>
      <c r="D90" s="356">
        <f t="shared" ref="D90:D99" si="54">E90-C90</f>
        <v>636857.31915858493</v>
      </c>
      <c r="E90" s="179">
        <v>636857.31915858493</v>
      </c>
      <c r="F90" s="179">
        <v>213873.89202315427</v>
      </c>
      <c r="G90" s="179">
        <v>7645476.1962492056</v>
      </c>
      <c r="H90" s="179">
        <v>6694763.421049458</v>
      </c>
      <c r="I90" s="179">
        <v>1268523.6262419585</v>
      </c>
      <c r="J90" s="179">
        <v>8621291.9697775524</v>
      </c>
      <c r="K90" s="179">
        <v>10425376.045428537</v>
      </c>
      <c r="O90" s="178" t="s">
        <v>157</v>
      </c>
      <c r="P90" s="473">
        <f>(SUMIF($B$60:$B$64,O90,$L$60:$L$64)+SUMIF($B$105:$B$114,O90,$L$105:$L$114)+SUMIF($B$175:$B$192,O90,$L$175:$L$192))/'Constants &amp; Conversions'!$D$32</f>
        <v>529762.55268054712</v>
      </c>
      <c r="Q90" s="473">
        <f t="shared" si="52"/>
        <v>158924.57742057505</v>
      </c>
      <c r="R90" s="473">
        <f>Q90/'Constants &amp; Conversions'!$D$32*CH4_GWP</f>
        <v>4449.888167776101</v>
      </c>
      <c r="S90" s="473">
        <f>SUMIF('Off-road'!$C$43:$C$74,'Offroad Data'!O90,'Off-road'!$M$43:$M$74)*Global_Warming_Potential_N2O</f>
        <v>13269.415563894485</v>
      </c>
      <c r="T90" s="610">
        <f t="shared" si="53"/>
        <v>547481.8564122176</v>
      </c>
      <c r="U90" s="283"/>
      <c r="V90" s="283"/>
      <c r="W90" s="283"/>
      <c r="X90" s="283"/>
    </row>
    <row r="91" spans="1:24" outlineLevel="1" x14ac:dyDescent="0.15">
      <c r="A91" s="66"/>
      <c r="B91" s="117" t="s">
        <v>159</v>
      </c>
      <c r="C91" s="179">
        <f>E91*VLOOKUP($B91,'Offroad Allocation'!$B$4:$G$15,5,0)</f>
        <v>12142595.4</v>
      </c>
      <c r="D91" s="356">
        <f t="shared" si="54"/>
        <v>0</v>
      </c>
      <c r="E91" s="179">
        <v>12142595.4</v>
      </c>
      <c r="F91" s="179">
        <v>2858.6781201171802</v>
      </c>
      <c r="G91" s="179">
        <v>1301.8654641113201</v>
      </c>
      <c r="H91" s="179">
        <v>0</v>
      </c>
      <c r="I91" s="179">
        <v>1437.4754494628899</v>
      </c>
      <c r="J91" s="179">
        <v>1247.62064526367</v>
      </c>
      <c r="K91" s="179">
        <v>2929.1946020507798</v>
      </c>
      <c r="O91" s="178" t="s">
        <v>160</v>
      </c>
      <c r="P91" s="473">
        <f>(SUMIF($B$60:$B$64,O91,$L$60:$L$64)+SUMIF($B$105:$B$114,O91,$L$105:$L$114)+SUMIF($B$175:$B$192,O91,$L$175:$L$192))/'Constants &amp; Conversions'!$D$32</f>
        <v>809839.65163626929</v>
      </c>
      <c r="Q91" s="473">
        <f t="shared" si="52"/>
        <v>612287.83835206844</v>
      </c>
      <c r="R91" s="473">
        <f>Q91/'Constants &amp; Conversions'!$D$32*CH4_GWP</f>
        <v>17144.059473857917</v>
      </c>
      <c r="S91" s="473">
        <f>SUMIF('Off-road'!$C$43:$C$74,'Offroad Data'!O91,'Off-road'!$M$43:$M$74)*Global_Warming_Potential_N2O</f>
        <v>33715.478282500648</v>
      </c>
      <c r="T91" s="610">
        <f t="shared" si="53"/>
        <v>860699.1893926278</v>
      </c>
      <c r="U91" s="283"/>
      <c r="V91" s="283"/>
      <c r="W91" s="283"/>
      <c r="X91" s="283"/>
    </row>
    <row r="92" spans="1:24" outlineLevel="1" x14ac:dyDescent="0.15">
      <c r="A92" s="66"/>
      <c r="B92" s="117" t="s">
        <v>104</v>
      </c>
      <c r="C92" s="179">
        <f>E92*VLOOKUP($B92,'Offroad Allocation'!$B$4:$G$15,5,0)</f>
        <v>12462699.456213085</v>
      </c>
      <c r="D92" s="356">
        <f t="shared" si="54"/>
        <v>24100690.04121542</v>
      </c>
      <c r="E92" s="179">
        <v>36563389.497428507</v>
      </c>
      <c r="F92" s="179">
        <v>13261177.891714267</v>
      </c>
      <c r="G92" s="179">
        <v>3664888.1667946316</v>
      </c>
      <c r="H92" s="179">
        <v>312178.49547628261</v>
      </c>
      <c r="I92" s="179">
        <v>6239292.5042857109</v>
      </c>
      <c r="J92" s="179">
        <v>2300712.4844966456</v>
      </c>
      <c r="K92" s="179">
        <v>3010598.614242184</v>
      </c>
      <c r="O92" s="178" t="s">
        <v>161</v>
      </c>
      <c r="P92" s="473">
        <f>(SUMIF($B$60:$B$64,O92,$L$60:$L$64)+SUMIF($B$105:$B$114,O92,$L$105:$L$114)+SUMIF($B$175:$B$192,O92,$L$175:$L$192))/'Constants &amp; Conversions'!$D$32</f>
        <v>5525.87562320904</v>
      </c>
      <c r="Q92" s="473">
        <f t="shared" si="52"/>
        <v>275.0809923013507</v>
      </c>
      <c r="R92" s="473">
        <f>Q92/'Constants &amp; Conversions'!$D$32*CH4_GWP</f>
        <v>7.7022677844378196</v>
      </c>
      <c r="S92" s="473">
        <f>SUMIF('Off-road'!$C$43:$C$74,'Offroad Data'!O92,'Off-road'!$M$43:$M$74)*Global_Warming_Potential_N2O</f>
        <v>135.63080151935546</v>
      </c>
      <c r="T92" s="610">
        <f t="shared" si="53"/>
        <v>5669.2086925128333</v>
      </c>
    </row>
    <row r="93" spans="1:24" outlineLevel="1" x14ac:dyDescent="0.15">
      <c r="A93" s="66"/>
      <c r="B93" s="117" t="s">
        <v>156</v>
      </c>
      <c r="C93" s="179">
        <f>E93*VLOOKUP($B93,'Offroad Allocation'!$B$4:$G$15,5,0)</f>
        <v>69098002.639037803</v>
      </c>
      <c r="D93" s="356">
        <f t="shared" si="54"/>
        <v>133623501.86823459</v>
      </c>
      <c r="E93" s="179">
        <v>202721504.50727239</v>
      </c>
      <c r="F93" s="179">
        <v>50838938.094538718</v>
      </c>
      <c r="G93" s="179">
        <v>46570301.175628714</v>
      </c>
      <c r="H93" s="179">
        <v>10855432.935476769</v>
      </c>
      <c r="I93" s="179">
        <v>37548993.323487945</v>
      </c>
      <c r="J93" s="179">
        <v>28450148.261997662</v>
      </c>
      <c r="K93" s="179">
        <v>66697317.505000889</v>
      </c>
      <c r="O93" s="178" t="s">
        <v>158</v>
      </c>
      <c r="P93" s="473">
        <f>(SUMIF($B$60:$B$64,O93,$L$60:$L$64)+SUMIF($B$105:$B$114,O93,$L$105:$L$114)+SUMIF($B$175:$B$192,O93,$L$175:$L$192))/'Constants &amp; Conversions'!$D$32</f>
        <v>6568.2080905507819</v>
      </c>
      <c r="Q93" s="473">
        <f t="shared" si="52"/>
        <v>4068.3653225460007</v>
      </c>
      <c r="R93" s="473">
        <f>Q93/'Constants &amp; Conversions'!$D$32*CH4_GWP</f>
        <v>113.91422903128802</v>
      </c>
      <c r="S93" s="473">
        <f>SUMIF('Off-road'!$C$43:$C$74,'Offroad Data'!O93,'Off-road'!$M$43:$M$74)*Global_Warming_Potential_N2O</f>
        <v>165.6058054753118</v>
      </c>
      <c r="T93" s="610">
        <f t="shared" si="53"/>
        <v>6847.7281250573824</v>
      </c>
    </row>
    <row r="94" spans="1:24" outlineLevel="1" x14ac:dyDescent="0.15">
      <c r="A94" s="66"/>
      <c r="B94" s="117" t="s">
        <v>157</v>
      </c>
      <c r="C94" s="179">
        <f>E94*VLOOKUP($B94,'Offroad Allocation'!$B$4:$G$15,5,0)</f>
        <v>27267539.613667842</v>
      </c>
      <c r="D94" s="356">
        <f t="shared" ref="D94:D96" si="55">E94-C94</f>
        <v>52730672.253189206</v>
      </c>
      <c r="E94" s="179">
        <v>79998211.866857052</v>
      </c>
      <c r="F94" s="179">
        <v>18191636.179285698</v>
      </c>
      <c r="G94" s="179">
        <v>9440049.6770267617</v>
      </c>
      <c r="H94" s="179">
        <v>731786.58331780042</v>
      </c>
      <c r="I94" s="179">
        <v>13689624.629241047</v>
      </c>
      <c r="J94" s="179">
        <v>6763886.9446629407</v>
      </c>
      <c r="K94" s="179">
        <v>7765375.65937611</v>
      </c>
      <c r="O94" s="178" t="s">
        <v>162</v>
      </c>
      <c r="P94" s="473">
        <f>(SUMIF($B$60:$B$64,O94,$L$60:$L$64)+SUMIF($B$105:$B$114,O94,$L$105:$L$114)+SUMIF($B$175:$B$192,O94,$L$175:$L$192))/'Constants &amp; Conversions'!$D$32</f>
        <v>3762.2874401002273</v>
      </c>
      <c r="Q94" s="473">
        <f>SUMIF($B$70:$B$74,O94,$L$70:$L$74)+SUMIF($B$120:$B$129,O94,$L$120:$L$129)+SUMIF($B$199:$B$216,O94,$L$199:$L$216)</f>
        <v>287.23156339114018</v>
      </c>
      <c r="R94" s="473">
        <f>Q94/'Constants &amp; Conversions'!$D$32*CH4_GWP</f>
        <v>8.0424837749519256</v>
      </c>
      <c r="S94" s="473">
        <f>SUMIF('Off-road'!$C$43:$C$74,'Offroad Data'!O94,'Off-road'!$M$43:$M$74)*Global_Warming_Potential_N2O</f>
        <v>82.096661238337518</v>
      </c>
      <c r="T94" s="610">
        <f>P94+R94+S94</f>
        <v>3852.4265851135169</v>
      </c>
    </row>
    <row r="95" spans="1:24" outlineLevel="1" x14ac:dyDescent="0.15">
      <c r="A95" s="66"/>
      <c r="B95" s="117" t="s">
        <v>160</v>
      </c>
      <c r="C95" s="179">
        <f>E95*VLOOKUP($B95,'Offroad Allocation'!$B$4:$G$15,5,0)</f>
        <v>2291678.0870280252</v>
      </c>
      <c r="D95" s="356">
        <f t="shared" si="55"/>
        <v>7250256.2013897207</v>
      </c>
      <c r="E95" s="179">
        <v>9541934.2884177454</v>
      </c>
      <c r="F95" s="179">
        <v>6090104.2728182655</v>
      </c>
      <c r="G95" s="179">
        <v>3218283.9151473967</v>
      </c>
      <c r="H95" s="179">
        <v>266907.19410883117</v>
      </c>
      <c r="I95" s="179">
        <v>5520355.9688740177</v>
      </c>
      <c r="J95" s="179">
        <v>1442324.7944002354</v>
      </c>
      <c r="K95" s="179">
        <v>2314905.6281127641</v>
      </c>
      <c r="O95" s="178" t="s">
        <v>163</v>
      </c>
      <c r="P95" s="473">
        <f>(SUMIF($B$60:$B$64,O95,$L$60:$L$64)+SUMIF($B$105:$B$114,O95,$L$105:$L$114)+SUMIF($B$175:$B$192,O95,$L$175:$L$192))/'Constants &amp; Conversions'!$D$32</f>
        <v>46362.1004610401</v>
      </c>
      <c r="Q95" s="473">
        <f>SUMIF($B$70:$B$74,O95,$L$70:$L$74)+SUMIF($B$120:$B$129,O95,$L$120:$L$129)+SUMIF($B$199:$B$216,O95,$L$199:$L$216)</f>
        <v>46862.439645148341</v>
      </c>
      <c r="R95" s="473">
        <f>Q95/'Constants &amp; Conversions'!$D$32*CH4_GWP</f>
        <v>1312.1483100641535</v>
      </c>
      <c r="S95" s="473">
        <f>SUMIF('Off-road'!$C$43:$C$74,'Offroad Data'!O95,'Off-road'!$M$43:$M$74)*Global_Warming_Potential_N2O</f>
        <v>2186.2646892952748</v>
      </c>
      <c r="T95" s="610">
        <f>P95+R95+S95</f>
        <v>49860.513460399532</v>
      </c>
    </row>
    <row r="96" spans="1:24" outlineLevel="1" x14ac:dyDescent="0.15">
      <c r="A96" s="66"/>
      <c r="B96" s="117" t="s">
        <v>161</v>
      </c>
      <c r="C96" s="179">
        <f>E96*VLOOKUP($B96,'Offroad Allocation'!$B$4:$G$15,5,0)</f>
        <v>0</v>
      </c>
      <c r="D96" s="356">
        <f t="shared" si="55"/>
        <v>309271.99300000002</v>
      </c>
      <c r="E96" s="179">
        <v>309271.99300000002</v>
      </c>
      <c r="F96" s="179">
        <v>50176.628814732096</v>
      </c>
      <c r="G96" s="179">
        <v>76049.596714285697</v>
      </c>
      <c r="H96" s="179">
        <v>133535.967142857</v>
      </c>
      <c r="I96" s="179">
        <v>184441.38399999999</v>
      </c>
      <c r="J96" s="179">
        <v>442206.72285714198</v>
      </c>
      <c r="K96" s="179">
        <v>463347.18599999999</v>
      </c>
      <c r="T96" s="283">
        <f>SUM(T86:T95)-'Off-road'!K89</f>
        <v>0</v>
      </c>
    </row>
    <row r="97" spans="1:12" outlineLevel="1" x14ac:dyDescent="0.15">
      <c r="A97" s="66"/>
      <c r="B97" s="117" t="s">
        <v>158</v>
      </c>
      <c r="C97" s="179">
        <f>E97*VLOOKUP($B97,'Offroad Allocation'!$B$4:$G$15,5,0)</f>
        <v>144247.20465131354</v>
      </c>
      <c r="D97" s="356">
        <f t="shared" si="54"/>
        <v>278948.96934868646</v>
      </c>
      <c r="E97" s="179">
        <v>423196.174</v>
      </c>
      <c r="F97" s="179">
        <v>345610.6</v>
      </c>
      <c r="G97" s="179">
        <v>42319.616828124999</v>
      </c>
      <c r="H97" s="179">
        <v>0</v>
      </c>
      <c r="I97" s="179">
        <v>275077.87</v>
      </c>
      <c r="J97" s="179">
        <v>0</v>
      </c>
      <c r="K97" s="179">
        <v>423196.174</v>
      </c>
    </row>
    <row r="98" spans="1:12" outlineLevel="1" x14ac:dyDescent="0.15">
      <c r="A98" s="66"/>
      <c r="B98" s="117" t="s">
        <v>162</v>
      </c>
      <c r="C98" s="179">
        <f>E98*VLOOKUP($B98,'Offroad Allocation'!$B$4:$G$15,5,0)</f>
        <v>410759.69653275801</v>
      </c>
      <c r="D98" s="356">
        <f t="shared" si="54"/>
        <v>146316.73375295597</v>
      </c>
      <c r="E98" s="179">
        <v>557076.43028571398</v>
      </c>
      <c r="F98" s="179">
        <v>230396.65857142801</v>
      </c>
      <c r="G98" s="179">
        <v>100250.09872767801</v>
      </c>
      <c r="H98" s="179">
        <v>16047.253422154001</v>
      </c>
      <c r="I98" s="179">
        <v>74425.105502232109</v>
      </c>
      <c r="J98" s="179">
        <v>14530.0251185825</v>
      </c>
      <c r="K98" s="179">
        <v>123123.16371428499</v>
      </c>
    </row>
    <row r="99" spans="1:12" outlineLevel="1" x14ac:dyDescent="0.15">
      <c r="A99" s="66"/>
      <c r="B99" s="117" t="s">
        <v>163</v>
      </c>
      <c r="C99" s="179">
        <f>E99*VLOOKUP($B99,'Offroad Allocation'!$B$4:$G$15,5,0)</f>
        <v>125713.31657613159</v>
      </c>
      <c r="D99" s="356">
        <f t="shared" si="54"/>
        <v>115748.43042386841</v>
      </c>
      <c r="E99" s="179">
        <v>241461.747</v>
      </c>
      <c r="F99" s="179">
        <v>41993.391886160702</v>
      </c>
      <c r="G99" s="179">
        <v>20996.688875836997</v>
      </c>
      <c r="H99" s="179">
        <v>41993.391886160702</v>
      </c>
      <c r="I99" s="179">
        <v>125980.137</v>
      </c>
      <c r="J99" s="179">
        <v>31495.0529559151</v>
      </c>
      <c r="K99" s="179">
        <v>52491.726589285703</v>
      </c>
    </row>
    <row r="100" spans="1:12" outlineLevel="1" x14ac:dyDescent="0.15">
      <c r="A100" s="66"/>
      <c r="B100" s="171" t="s">
        <v>88</v>
      </c>
      <c r="C100" s="357">
        <f t="shared" ref="C100:K100" si="56">SUM(C90:C99)</f>
        <v>123943235.41370696</v>
      </c>
      <c r="D100" s="357">
        <f t="shared" si="56"/>
        <v>219192263.80971307</v>
      </c>
      <c r="E100" s="357">
        <f t="shared" si="56"/>
        <v>343135499.22341996</v>
      </c>
      <c r="F100" s="357">
        <f t="shared" si="56"/>
        <v>89266766.287772521</v>
      </c>
      <c r="G100" s="357">
        <f t="shared" si="56"/>
        <v>70779916.997456744</v>
      </c>
      <c r="H100" s="357">
        <f t="shared" si="56"/>
        <v>19052645.241880313</v>
      </c>
      <c r="I100" s="357">
        <f t="shared" si="56"/>
        <v>64928152.024082378</v>
      </c>
      <c r="J100" s="357">
        <f t="shared" si="56"/>
        <v>48067843.876911946</v>
      </c>
      <c r="K100" s="357">
        <f t="shared" si="56"/>
        <v>91278660.897066116</v>
      </c>
    </row>
    <row r="101" spans="1:12" outlineLevel="1" x14ac:dyDescent="0.15">
      <c r="A101" s="66"/>
      <c r="B101" s="101" t="s">
        <v>460</v>
      </c>
      <c r="C101" s="177"/>
      <c r="D101" s="177"/>
      <c r="E101" s="177"/>
      <c r="F101" s="177"/>
      <c r="G101" s="177"/>
      <c r="H101" s="177"/>
      <c r="I101" s="177"/>
      <c r="J101" s="177"/>
      <c r="K101" s="177"/>
    </row>
    <row r="102" spans="1:12" outlineLevel="1" x14ac:dyDescent="0.15">
      <c r="A102" s="66"/>
      <c r="B102" s="101"/>
      <c r="C102" s="177"/>
      <c r="D102" s="177"/>
      <c r="E102" s="177"/>
      <c r="F102" s="177"/>
      <c r="G102" s="177"/>
      <c r="H102" s="177"/>
      <c r="I102" s="177"/>
      <c r="J102" s="177"/>
      <c r="K102" s="177"/>
    </row>
    <row r="103" spans="1:12" outlineLevel="1" x14ac:dyDescent="0.15">
      <c r="A103" s="66"/>
      <c r="B103" s="82" t="s">
        <v>461</v>
      </c>
      <c r="C103" s="69"/>
      <c r="D103" s="66"/>
      <c r="E103" s="66"/>
      <c r="F103" s="66"/>
      <c r="G103" s="66"/>
      <c r="H103" s="66"/>
    </row>
    <row r="104" spans="1:12" ht="15" outlineLevel="1" x14ac:dyDescent="0.15">
      <c r="A104" s="66"/>
      <c r="B104" s="83" t="s">
        <v>459</v>
      </c>
      <c r="C104" s="83" t="s">
        <v>58</v>
      </c>
      <c r="D104" s="83" t="s">
        <v>100</v>
      </c>
      <c r="E104" s="83" t="s">
        <v>59</v>
      </c>
      <c r="F104" s="83" t="s">
        <v>60</v>
      </c>
      <c r="G104" s="83" t="s">
        <v>62</v>
      </c>
      <c r="H104" s="83" t="s">
        <v>61</v>
      </c>
      <c r="I104" s="83" t="s">
        <v>63</v>
      </c>
      <c r="J104" s="83" t="s">
        <v>64</v>
      </c>
      <c r="K104" s="83" t="s">
        <v>65</v>
      </c>
      <c r="L104" s="83" t="s">
        <v>66</v>
      </c>
    </row>
    <row r="105" spans="1:12" outlineLevel="1" x14ac:dyDescent="0.15">
      <c r="A105" s="119">
        <f t="shared" ref="A105:A115" si="57">$A$45</f>
        <v>2019</v>
      </c>
      <c r="B105" s="117" t="s">
        <v>155</v>
      </c>
      <c r="C105" s="179">
        <f>E105*VLOOKUP($B105,'Offroad Allocation'!$B$4:$G$15,5,0)</f>
        <v>0</v>
      </c>
      <c r="D105" s="356">
        <f t="shared" ref="D105:D114" si="58">E105-C105</f>
        <v>2028847.3034255598</v>
      </c>
      <c r="E105" s="179">
        <v>2028847.3034255598</v>
      </c>
      <c r="F105" s="179">
        <v>681342.58120693278</v>
      </c>
      <c r="G105" s="179">
        <v>24356336.646172129</v>
      </c>
      <c r="H105" s="179">
        <v>21327614.205018297</v>
      </c>
      <c r="I105" s="179">
        <v>4041161.7089056252</v>
      </c>
      <c r="J105" s="179">
        <v>27465014.1969584</v>
      </c>
      <c r="K105" s="179">
        <v>33212271.164930336</v>
      </c>
      <c r="L105" s="577">
        <f>SUM(E105:K105)</f>
        <v>113112587.80661729</v>
      </c>
    </row>
    <row r="106" spans="1:12" outlineLevel="1" x14ac:dyDescent="0.15">
      <c r="A106" s="119">
        <f t="shared" si="57"/>
        <v>2019</v>
      </c>
      <c r="B106" s="117" t="s">
        <v>159</v>
      </c>
      <c r="C106" s="179">
        <f>E106*VLOOKUP($B106,'Offroad Allocation'!$B$4:$G$15,5,0)</f>
        <v>38714058</v>
      </c>
      <c r="D106" s="356">
        <f t="shared" si="58"/>
        <v>0</v>
      </c>
      <c r="E106" s="179">
        <v>38714058</v>
      </c>
      <c r="F106" s="179">
        <v>9114.2989804687495</v>
      </c>
      <c r="G106" s="179">
        <v>4150.7355722656202</v>
      </c>
      <c r="H106" s="179">
        <v>0</v>
      </c>
      <c r="I106" s="179">
        <v>4583.0831972656206</v>
      </c>
      <c r="J106" s="179">
        <v>3977.7898359374999</v>
      </c>
      <c r="K106" s="179">
        <v>9339.1282304687502</v>
      </c>
      <c r="L106" s="577">
        <f>SUM(E106:K106)</f>
        <v>38745223.035816401</v>
      </c>
    </row>
    <row r="107" spans="1:12" outlineLevel="1" x14ac:dyDescent="0.15">
      <c r="A107" s="119">
        <f t="shared" si="57"/>
        <v>2019</v>
      </c>
      <c r="B107" s="117" t="s">
        <v>104</v>
      </c>
      <c r="C107" s="179">
        <f>E107*VLOOKUP($B107,'Offroad Allocation'!$B$4:$G$15,5,0)</f>
        <v>39680299.14727588</v>
      </c>
      <c r="D107" s="356">
        <f t="shared" si="58"/>
        <v>76734787.182438299</v>
      </c>
      <c r="E107" s="179">
        <v>116415086.32971418</v>
      </c>
      <c r="F107" s="179">
        <v>42222622.552285619</v>
      </c>
      <c r="G107" s="179">
        <v>11668738.940285698</v>
      </c>
      <c r="H107" s="179">
        <v>993953.79565066763</v>
      </c>
      <c r="I107" s="179">
        <v>19865450.872999977</v>
      </c>
      <c r="J107" s="179">
        <v>7325304.9651428405</v>
      </c>
      <c r="K107" s="179">
        <v>9585529.0025714152</v>
      </c>
      <c r="L107" s="577">
        <f>SUM(E107:K107)</f>
        <v>208076686.45865035</v>
      </c>
    </row>
    <row r="108" spans="1:12" outlineLevel="1" x14ac:dyDescent="0.15">
      <c r="A108" s="119">
        <f t="shared" si="57"/>
        <v>2019</v>
      </c>
      <c r="B108" s="117" t="s">
        <v>156</v>
      </c>
      <c r="C108" s="179">
        <f>E108*VLOOKUP($B108,'Offroad Allocation'!$B$4:$G$15,5,0)</f>
        <v>220162534.38911837</v>
      </c>
      <c r="D108" s="356">
        <f t="shared" si="58"/>
        <v>425755994.40900546</v>
      </c>
      <c r="E108" s="179">
        <v>645918528.79812384</v>
      </c>
      <c r="F108" s="179">
        <v>161984753.22808468</v>
      </c>
      <c r="G108" s="179">
        <v>148383834.8246592</v>
      </c>
      <c r="H108" s="179">
        <v>34587956.393953592</v>
      </c>
      <c r="I108" s="179">
        <v>119639903.81529017</v>
      </c>
      <c r="J108" s="179">
        <v>90648870.641012922</v>
      </c>
      <c r="K108" s="179">
        <v>212513353.03846407</v>
      </c>
      <c r="L108" s="577">
        <f t="shared" ref="L108:L115" si="59">SUM(E108:K108)</f>
        <v>1413677200.7395885</v>
      </c>
    </row>
    <row r="109" spans="1:12" outlineLevel="1" x14ac:dyDescent="0.15">
      <c r="A109" s="119"/>
      <c r="B109" s="117" t="s">
        <v>157</v>
      </c>
      <c r="C109" s="179">
        <f>E109*VLOOKUP($B109,'Offroad Allocation'!$B$4:$G$15,5,0)</f>
        <v>86938162.421999499</v>
      </c>
      <c r="D109" s="356">
        <f t="shared" ref="D109:D111" si="60">E109-C109</f>
        <v>168123263.55514318</v>
      </c>
      <c r="E109" s="179">
        <v>255061425.97714269</v>
      </c>
      <c r="F109" s="179">
        <v>58002358.243571356</v>
      </c>
      <c r="G109" s="179">
        <v>30098912.826571409</v>
      </c>
      <c r="H109" s="179">
        <v>2333127.1969737704</v>
      </c>
      <c r="I109" s="179">
        <v>43648222.144571312</v>
      </c>
      <c r="J109" s="179">
        <v>21566334.401142839</v>
      </c>
      <c r="K109" s="179">
        <v>24758494.941714268</v>
      </c>
      <c r="L109" s="577">
        <f t="shared" si="59"/>
        <v>435468875.73168761</v>
      </c>
    </row>
    <row r="110" spans="1:12" outlineLevel="1" x14ac:dyDescent="0.15">
      <c r="A110" s="119"/>
      <c r="B110" s="117" t="s">
        <v>160</v>
      </c>
      <c r="C110" s="179">
        <f>E110*VLOOKUP($B110,'Offroad Allocation'!$B$4:$G$15,5,0)</f>
        <v>7298089.1381786736</v>
      </c>
      <c r="D110" s="356">
        <f t="shared" si="60"/>
        <v>23089201.023427952</v>
      </c>
      <c r="E110" s="179">
        <v>30387290.161606625</v>
      </c>
      <c r="F110" s="179">
        <v>19394576.503216006</v>
      </c>
      <c r="G110" s="179">
        <v>10248972.245921087</v>
      </c>
      <c r="H110" s="179">
        <v>849994.07482564484</v>
      </c>
      <c r="I110" s="179">
        <v>17580164.311646588</v>
      </c>
      <c r="J110" s="179">
        <v>4593240.256618374</v>
      </c>
      <c r="K110" s="179">
        <v>7372064.4873502841</v>
      </c>
      <c r="L110" s="577">
        <f t="shared" si="59"/>
        <v>90426302.041184604</v>
      </c>
    </row>
    <row r="111" spans="1:12" outlineLevel="1" x14ac:dyDescent="0.15">
      <c r="A111" s="119"/>
      <c r="B111" s="117" t="s">
        <v>161</v>
      </c>
      <c r="C111" s="179">
        <f>E111*VLOOKUP($B111,'Offroad Allocation'!$B$4:$G$15,5,0)</f>
        <v>0</v>
      </c>
      <c r="D111" s="356">
        <f t="shared" si="60"/>
        <v>986326.26571428496</v>
      </c>
      <c r="E111" s="179">
        <v>986326.26571428496</v>
      </c>
      <c r="F111" s="179">
        <v>160022.49014285699</v>
      </c>
      <c r="G111" s="179">
        <v>242536.569714285</v>
      </c>
      <c r="H111" s="179">
        <v>425871.33571428503</v>
      </c>
      <c r="I111" s="179">
        <v>588217.31000000006</v>
      </c>
      <c r="J111" s="179">
        <v>1410279.3057142799</v>
      </c>
      <c r="K111" s="179">
        <v>1477703.13142857</v>
      </c>
      <c r="L111" s="577">
        <f t="shared" si="59"/>
        <v>5290956.4084285619</v>
      </c>
    </row>
    <row r="112" spans="1:12" outlineLevel="1" x14ac:dyDescent="0.15">
      <c r="A112" s="119">
        <f t="shared" si="57"/>
        <v>2019</v>
      </c>
      <c r="B112" s="117" t="s">
        <v>158</v>
      </c>
      <c r="C112" s="179">
        <f>E112*VLOOKUP($B112,'Offroad Allocation'!$B$4:$G$15,5,0)</f>
        <v>459820.83841188333</v>
      </c>
      <c r="D112" s="356">
        <f t="shared" si="58"/>
        <v>889213.41158811667</v>
      </c>
      <c r="E112" s="179">
        <v>1349034.25</v>
      </c>
      <c r="F112" s="179">
        <v>1101711.57</v>
      </c>
      <c r="G112" s="179">
        <v>134903.42499999999</v>
      </c>
      <c r="H112" s="179">
        <v>0</v>
      </c>
      <c r="I112" s="179">
        <v>876872.02</v>
      </c>
      <c r="J112" s="179">
        <v>0</v>
      </c>
      <c r="K112" s="179">
        <v>1349034.25</v>
      </c>
      <c r="L112" s="577">
        <f t="shared" si="59"/>
        <v>4811555.5150000006</v>
      </c>
    </row>
    <row r="113" spans="1:12" outlineLevel="1" x14ac:dyDescent="0.15">
      <c r="A113" s="119">
        <f t="shared" si="57"/>
        <v>2019</v>
      </c>
      <c r="B113" s="117" t="s">
        <v>162</v>
      </c>
      <c r="C113" s="179">
        <f>E113*VLOOKUP($B113,'Offroad Allocation'!$B$4:$G$15,5,0)</f>
        <v>1306302.5315990169</v>
      </c>
      <c r="D113" s="356">
        <f t="shared" si="58"/>
        <v>465318.09554383298</v>
      </c>
      <c r="E113" s="179">
        <v>1771620.6271428498</v>
      </c>
      <c r="F113" s="179">
        <v>732710.48742857098</v>
      </c>
      <c r="G113" s="179">
        <v>318816.32914285699</v>
      </c>
      <c r="H113" s="179">
        <v>51033.685877232099</v>
      </c>
      <c r="I113" s="179">
        <v>236687.682857142</v>
      </c>
      <c r="J113" s="179">
        <v>46208.593328125004</v>
      </c>
      <c r="K113" s="179">
        <v>391558.49314285704</v>
      </c>
      <c r="L113" s="577">
        <f t="shared" si="59"/>
        <v>3548635.8989196336</v>
      </c>
    </row>
    <row r="114" spans="1:12" outlineLevel="1" x14ac:dyDescent="0.15">
      <c r="A114" s="119">
        <f t="shared" si="57"/>
        <v>2019</v>
      </c>
      <c r="B114" s="117" t="s">
        <v>163</v>
      </c>
      <c r="C114" s="179">
        <f>E114*VLOOKUP($B114,'Offroad Allocation'!$B$4:$G$15,5,0)</f>
        <v>399099.66545833368</v>
      </c>
      <c r="D114" s="356">
        <f t="shared" si="58"/>
        <v>367464.33168452326</v>
      </c>
      <c r="E114" s="179">
        <v>766563.99714285694</v>
      </c>
      <c r="F114" s="179">
        <v>133315.593883928</v>
      </c>
      <c r="G114" s="179">
        <v>66657.737051339209</v>
      </c>
      <c r="H114" s="179">
        <v>133315.593883928</v>
      </c>
      <c r="I114" s="179">
        <v>399946.54799999896</v>
      </c>
      <c r="J114" s="179">
        <v>99986.700075892804</v>
      </c>
      <c r="K114" s="179">
        <v>166644.35599999898</v>
      </c>
      <c r="L114" s="577">
        <f t="shared" si="59"/>
        <v>1766430.5260379429</v>
      </c>
    </row>
    <row r="115" spans="1:12" outlineLevel="1" x14ac:dyDescent="0.15">
      <c r="A115" s="119">
        <f t="shared" si="57"/>
        <v>2019</v>
      </c>
      <c r="B115" s="171" t="s">
        <v>88</v>
      </c>
      <c r="C115" s="357">
        <f t="shared" ref="C115:K115" si="61">SUM(C105:C114)</f>
        <v>394958366.13204163</v>
      </c>
      <c r="D115" s="357">
        <f t="shared" si="61"/>
        <v>698440415.5779711</v>
      </c>
      <c r="E115" s="357">
        <f t="shared" si="61"/>
        <v>1093398781.7100127</v>
      </c>
      <c r="F115" s="357">
        <f t="shared" si="61"/>
        <v>284422527.54880041</v>
      </c>
      <c r="G115" s="357">
        <f t="shared" si="61"/>
        <v>225523860.28009027</v>
      </c>
      <c r="H115" s="357">
        <f t="shared" si="61"/>
        <v>60702866.281897426</v>
      </c>
      <c r="I115" s="357">
        <f t="shared" si="61"/>
        <v>206881209.49746811</v>
      </c>
      <c r="J115" s="357">
        <f t="shared" si="61"/>
        <v>153159216.84982961</v>
      </c>
      <c r="K115" s="357">
        <f t="shared" si="61"/>
        <v>290835991.99383229</v>
      </c>
      <c r="L115" s="357">
        <f t="shared" si="59"/>
        <v>2314924454.1619306</v>
      </c>
    </row>
    <row r="116" spans="1:12" outlineLevel="1" x14ac:dyDescent="0.15">
      <c r="A116" s="66"/>
      <c r="B116" s="101" t="s">
        <v>460</v>
      </c>
      <c r="C116" s="172"/>
      <c r="D116" s="172"/>
      <c r="E116" s="172"/>
      <c r="F116" s="172"/>
      <c r="G116" s="172"/>
      <c r="H116" s="172"/>
      <c r="I116" s="172"/>
      <c r="J116" s="172"/>
      <c r="K116" s="172"/>
    </row>
    <row r="117" spans="1:12" outlineLevel="1" x14ac:dyDescent="0.15">
      <c r="A117" s="66"/>
      <c r="B117" s="101"/>
      <c r="C117" s="177"/>
      <c r="D117" s="177"/>
      <c r="E117" s="177"/>
      <c r="F117" s="177"/>
      <c r="G117" s="177"/>
      <c r="H117" s="177"/>
      <c r="I117" s="177"/>
      <c r="J117" s="177"/>
      <c r="K117" s="177"/>
    </row>
    <row r="118" spans="1:12" outlineLevel="1" x14ac:dyDescent="0.15">
      <c r="A118" s="66"/>
      <c r="B118" s="82" t="s">
        <v>463</v>
      </c>
      <c r="C118" s="69"/>
      <c r="D118" s="66"/>
      <c r="E118" s="66"/>
      <c r="F118" s="66"/>
      <c r="G118" s="66"/>
      <c r="H118" s="66"/>
    </row>
    <row r="119" spans="1:12" ht="15" outlineLevel="1" x14ac:dyDescent="0.15">
      <c r="A119" s="66"/>
      <c r="B119" s="83" t="s">
        <v>459</v>
      </c>
      <c r="C119" s="83" t="s">
        <v>58</v>
      </c>
      <c r="D119" s="83" t="s">
        <v>100</v>
      </c>
      <c r="E119" s="83" t="s">
        <v>59</v>
      </c>
      <c r="F119" s="83" t="s">
        <v>60</v>
      </c>
      <c r="G119" s="83" t="s">
        <v>62</v>
      </c>
      <c r="H119" s="83" t="s">
        <v>61</v>
      </c>
      <c r="I119" s="83" t="s">
        <v>63</v>
      </c>
      <c r="J119" s="83" t="s">
        <v>64</v>
      </c>
      <c r="K119" s="83" t="s">
        <v>65</v>
      </c>
      <c r="L119" s="83" t="s">
        <v>66</v>
      </c>
    </row>
    <row r="120" spans="1:12" outlineLevel="1" x14ac:dyDescent="0.15">
      <c r="A120" s="66"/>
      <c r="B120" s="117" t="s">
        <v>155</v>
      </c>
      <c r="C120" s="179">
        <f>E120*VLOOKUP($B120,'Offroad Allocation'!$B$4:$G$15,5,0)</f>
        <v>0</v>
      </c>
      <c r="D120" s="356">
        <f t="shared" ref="D120:D129" si="62">E120-C120</f>
        <v>52.956291669364731</v>
      </c>
      <c r="E120" s="179">
        <v>52.956291669364731</v>
      </c>
      <c r="F120" s="179">
        <v>17.784178499958177</v>
      </c>
      <c r="G120" s="179">
        <v>635.74127400161956</v>
      </c>
      <c r="H120" s="179">
        <v>556.68642458661202</v>
      </c>
      <c r="I120" s="179">
        <v>105.48097574324711</v>
      </c>
      <c r="J120" s="179">
        <v>716.88262993227249</v>
      </c>
      <c r="K120" s="179">
        <v>866.89575941903718</v>
      </c>
      <c r="L120" s="577">
        <f>SUM(E120:K120)</f>
        <v>2952.4275338521111</v>
      </c>
    </row>
    <row r="121" spans="1:12" outlineLevel="1" x14ac:dyDescent="0.15">
      <c r="A121" s="66"/>
      <c r="B121" s="117" t="s">
        <v>159</v>
      </c>
      <c r="C121" s="179">
        <f>E121*VLOOKUP($B121,'Offroad Allocation'!$B$4:$G$15,5,0)</f>
        <v>557.03982385253892</v>
      </c>
      <c r="D121" s="356">
        <f t="shared" si="62"/>
        <v>0</v>
      </c>
      <c r="E121" s="179">
        <v>557.03982385253892</v>
      </c>
      <c r="F121" s="179">
        <v>0.13114152148365901</v>
      </c>
      <c r="G121" s="179">
        <v>5.9722821906208902E-2</v>
      </c>
      <c r="H121" s="179">
        <v>0</v>
      </c>
      <c r="I121" s="179">
        <v>6.5944067493080988E-2</v>
      </c>
      <c r="J121" s="179">
        <v>5.7234499230980805E-2</v>
      </c>
      <c r="K121" s="179">
        <v>0.134376461237669</v>
      </c>
      <c r="L121" s="577">
        <f>SUM(E121:K121)</f>
        <v>557.48824322389055</v>
      </c>
    </row>
    <row r="122" spans="1:12" outlineLevel="1" x14ac:dyDescent="0.15">
      <c r="A122" s="66"/>
      <c r="B122" s="117" t="s">
        <v>104</v>
      </c>
      <c r="C122" s="179">
        <f>E122*VLOOKUP($B122,'Offroad Allocation'!$B$4:$G$15,5,0)</f>
        <v>1183.5908803383629</v>
      </c>
      <c r="D122" s="356">
        <f t="shared" si="62"/>
        <v>2288.8586090731169</v>
      </c>
      <c r="E122" s="179">
        <v>3472.44948941148</v>
      </c>
      <c r="F122" s="179">
        <v>1259.4215788279921</v>
      </c>
      <c r="G122" s="179">
        <v>348.05704114723187</v>
      </c>
      <c r="H122" s="179">
        <v>29.647811598684076</v>
      </c>
      <c r="I122" s="179">
        <v>592.54991592570639</v>
      </c>
      <c r="J122" s="179">
        <v>218.50022873401625</v>
      </c>
      <c r="K122" s="179">
        <v>285.91861155128447</v>
      </c>
      <c r="L122" s="577">
        <f>SUM(E122:K122)</f>
        <v>6206.5446771963952</v>
      </c>
    </row>
    <row r="123" spans="1:12" outlineLevel="1" x14ac:dyDescent="0.15">
      <c r="A123" s="66"/>
      <c r="B123" s="117" t="s">
        <v>156</v>
      </c>
      <c r="C123" s="179">
        <f>E123*VLOOKUP($B123,'Offroad Allocation'!$B$4:$G$15,5,0)</f>
        <v>4186.6971809050019</v>
      </c>
      <c r="D123" s="356">
        <f t="shared" si="62"/>
        <v>8096.3431243717105</v>
      </c>
      <c r="E123" s="179">
        <v>12283.040305276712</v>
      </c>
      <c r="F123" s="179">
        <v>3080.3668640795745</v>
      </c>
      <c r="G123" s="179">
        <v>2821.7260976615762</v>
      </c>
      <c r="H123" s="179">
        <v>657.73839991939326</v>
      </c>
      <c r="I123" s="179">
        <v>2275.1207368873843</v>
      </c>
      <c r="J123" s="179">
        <v>1723.8150292629159</v>
      </c>
      <c r="K123" s="179">
        <v>4041.238653240147</v>
      </c>
      <c r="L123" s="577">
        <f t="shared" ref="L123:L130" si="63">SUM(E123:K123)</f>
        <v>26883.0460863277</v>
      </c>
    </row>
    <row r="124" spans="1:12" outlineLevel="1" x14ac:dyDescent="0.15">
      <c r="A124" s="66"/>
      <c r="B124" s="117" t="s">
        <v>157</v>
      </c>
      <c r="C124" s="179">
        <f>E124*VLOOKUP($B124,'Offroad Allocation'!$B$4:$G$15,5,0)</f>
        <v>1485.7438974118481</v>
      </c>
      <c r="D124" s="356">
        <f t="shared" si="62"/>
        <v>2873.1699161933225</v>
      </c>
      <c r="E124" s="179">
        <v>4358.9138136051706</v>
      </c>
      <c r="F124" s="179">
        <v>918.21652766527234</v>
      </c>
      <c r="G124" s="179">
        <v>467.82421538707138</v>
      </c>
      <c r="H124" s="179">
        <v>42.980892436368073</v>
      </c>
      <c r="I124" s="179">
        <v>686.55602416774173</v>
      </c>
      <c r="J124" s="179">
        <v>325.92403012479969</v>
      </c>
      <c r="K124" s="179">
        <v>432.10728004646262</v>
      </c>
      <c r="L124" s="577">
        <f t="shared" si="63"/>
        <v>7232.5227834328862</v>
      </c>
    </row>
    <row r="125" spans="1:12" outlineLevel="1" x14ac:dyDescent="0.15">
      <c r="A125" s="66"/>
      <c r="B125" s="117" t="s">
        <v>160</v>
      </c>
      <c r="C125" s="179">
        <f>E125*VLOOKUP($B125,'Offroad Allocation'!$B$4:$G$15,5,0)</f>
        <v>235.7876341279563</v>
      </c>
      <c r="D125" s="356">
        <f t="shared" si="62"/>
        <v>745.96897628158013</v>
      </c>
      <c r="E125" s="179">
        <v>981.75661040953639</v>
      </c>
      <c r="F125" s="179">
        <v>626.60243918468245</v>
      </c>
      <c r="G125" s="179">
        <v>331.12522231303257</v>
      </c>
      <c r="H125" s="179">
        <v>27.461720830557901</v>
      </c>
      <c r="I125" s="179">
        <v>567.98250696405501</v>
      </c>
      <c r="J125" s="179">
        <v>148.39893197667098</v>
      </c>
      <c r="K125" s="179">
        <v>238.17761565868824</v>
      </c>
      <c r="L125" s="577">
        <f t="shared" si="63"/>
        <v>2921.5050473372239</v>
      </c>
    </row>
    <row r="126" spans="1:12" outlineLevel="1" x14ac:dyDescent="0.15">
      <c r="A126" s="66"/>
      <c r="B126" s="117" t="s">
        <v>161</v>
      </c>
      <c r="C126" s="179">
        <f>E126*VLOOKUP($B126,'Offroad Allocation'!$B$4:$G$15,5,0)</f>
        <v>0</v>
      </c>
      <c r="D126" s="356">
        <f t="shared" si="62"/>
        <v>8.5122055664062497</v>
      </c>
      <c r="E126" s="179">
        <v>8.5122055664062497</v>
      </c>
      <c r="F126" s="179">
        <v>1.3810292977605501</v>
      </c>
      <c r="G126" s="179">
        <v>2.0931437691961001</v>
      </c>
      <c r="H126" s="179">
        <v>3.6753632726669299</v>
      </c>
      <c r="I126" s="179">
        <v>5.0764551751273004</v>
      </c>
      <c r="J126" s="179">
        <v>12.1710267050606</v>
      </c>
      <c r="K126" s="179">
        <v>12.7528988075256</v>
      </c>
      <c r="L126" s="577">
        <f t="shared" si="63"/>
        <v>45.662122593743334</v>
      </c>
    </row>
    <row r="127" spans="1:12" outlineLevel="1" x14ac:dyDescent="0.15">
      <c r="A127" s="66"/>
      <c r="B127" s="117" t="s">
        <v>158</v>
      </c>
      <c r="C127" s="179">
        <f>E127*VLOOKUP($B127,'Offroad Allocation'!$B$4:$G$15,5,0)</f>
        <v>10.160114914358571</v>
      </c>
      <c r="D127" s="356">
        <f t="shared" si="62"/>
        <v>19.647892592965633</v>
      </c>
      <c r="E127" s="179">
        <v>29.808007507324202</v>
      </c>
      <c r="F127" s="179">
        <v>24.3432158164978</v>
      </c>
      <c r="G127" s="179">
        <v>2.9808007183074903</v>
      </c>
      <c r="H127" s="179">
        <v>0</v>
      </c>
      <c r="I127" s="179">
        <v>19.375218345642001</v>
      </c>
      <c r="J127" s="179">
        <v>0</v>
      </c>
      <c r="K127" s="179">
        <v>29.808007507324202</v>
      </c>
      <c r="L127" s="577">
        <f t="shared" si="63"/>
        <v>106.3152498950957</v>
      </c>
    </row>
    <row r="128" spans="1:12" outlineLevel="1" x14ac:dyDescent="0.15">
      <c r="A128" s="66"/>
      <c r="B128" s="117" t="s">
        <v>162</v>
      </c>
      <c r="C128" s="179">
        <f>E128*VLOOKUP($B128,'Offroad Allocation'!$B$4:$G$15,5,0)</f>
        <v>53.772716184754771</v>
      </c>
      <c r="D128" s="356">
        <f t="shared" si="62"/>
        <v>19.154382145061717</v>
      </c>
      <c r="E128" s="179">
        <v>72.927098329816488</v>
      </c>
      <c r="F128" s="179">
        <v>30.1613064351763</v>
      </c>
      <c r="G128" s="179">
        <v>13.123780760901299</v>
      </c>
      <c r="H128" s="179">
        <v>2.1007548829827902</v>
      </c>
      <c r="I128" s="179">
        <v>9.7430326298304895</v>
      </c>
      <c r="J128" s="179">
        <v>1.9021339105878501</v>
      </c>
      <c r="K128" s="179">
        <v>16.118114615304101</v>
      </c>
      <c r="L128" s="577">
        <f t="shared" si="63"/>
        <v>146.07622156459931</v>
      </c>
    </row>
    <row r="129" spans="1:12" outlineLevel="1" x14ac:dyDescent="0.15">
      <c r="A129" s="66"/>
      <c r="B129" s="117" t="s">
        <v>163</v>
      </c>
      <c r="C129" s="179">
        <f>E129*VLOOKUP($B129,'Offroad Allocation'!$B$4:$G$15,5,0)</f>
        <v>15.694416683617655</v>
      </c>
      <c r="D129" s="356">
        <f t="shared" si="62"/>
        <v>14.450371265535642</v>
      </c>
      <c r="E129" s="179">
        <v>30.144787949153297</v>
      </c>
      <c r="F129" s="179">
        <v>5.2425662826129305</v>
      </c>
      <c r="G129" s="179">
        <v>2.6212837440626902</v>
      </c>
      <c r="H129" s="179">
        <v>5.2425662826129305</v>
      </c>
      <c r="I129" s="179">
        <v>15.7277029427119</v>
      </c>
      <c r="J129" s="179">
        <v>3.9319233788762697</v>
      </c>
      <c r="K129" s="179">
        <v>6.5532095361437097</v>
      </c>
      <c r="L129" s="577">
        <f t="shared" si="63"/>
        <v>69.46404011617372</v>
      </c>
    </row>
    <row r="130" spans="1:12" outlineLevel="1" x14ac:dyDescent="0.15">
      <c r="A130" s="66"/>
      <c r="B130" s="171" t="s">
        <v>88</v>
      </c>
      <c r="C130" s="357">
        <f t="shared" ref="C130:K130" si="64">SUM(C120:C129)</f>
        <v>7728.4866644184394</v>
      </c>
      <c r="D130" s="357">
        <f t="shared" si="64"/>
        <v>14119.061769159065</v>
      </c>
      <c r="E130" s="357">
        <f t="shared" si="64"/>
        <v>21847.5484335775</v>
      </c>
      <c r="F130" s="357">
        <f t="shared" si="64"/>
        <v>5963.6508476110093</v>
      </c>
      <c r="G130" s="357">
        <f t="shared" si="64"/>
        <v>4625.3525823249047</v>
      </c>
      <c r="H130" s="357">
        <f t="shared" si="64"/>
        <v>1325.5339338098779</v>
      </c>
      <c r="I130" s="357">
        <f t="shared" si="64"/>
        <v>4277.67851284894</v>
      </c>
      <c r="J130" s="357">
        <f t="shared" si="64"/>
        <v>3151.5831685244316</v>
      </c>
      <c r="K130" s="357">
        <f t="shared" si="64"/>
        <v>5929.7045268431548</v>
      </c>
      <c r="L130" s="357">
        <f t="shared" si="63"/>
        <v>47121.052005539823</v>
      </c>
    </row>
    <row r="131" spans="1:12" outlineLevel="1" x14ac:dyDescent="0.15">
      <c r="A131" s="66"/>
      <c r="B131" s="101" t="s">
        <v>460</v>
      </c>
      <c r="C131" s="177"/>
      <c r="D131" s="177"/>
      <c r="E131" s="177"/>
      <c r="F131" s="177"/>
      <c r="G131" s="177"/>
      <c r="H131" s="177"/>
      <c r="I131" s="177"/>
      <c r="J131" s="177"/>
      <c r="K131" s="177"/>
    </row>
    <row r="132" spans="1:12" outlineLevel="1" x14ac:dyDescent="0.15">
      <c r="A132" s="66"/>
      <c r="B132" s="101"/>
      <c r="C132" s="177"/>
      <c r="D132" s="177"/>
      <c r="E132" s="177"/>
      <c r="F132" s="177"/>
      <c r="G132" s="177"/>
      <c r="H132" s="177"/>
      <c r="I132" s="177"/>
      <c r="J132" s="177"/>
      <c r="K132" s="177"/>
    </row>
    <row r="133" spans="1:12" outlineLevel="1" x14ac:dyDescent="0.15">
      <c r="A133" s="66"/>
      <c r="B133" s="82" t="s">
        <v>471</v>
      </c>
      <c r="C133" s="69"/>
      <c r="D133" s="66"/>
      <c r="E133" s="66"/>
      <c r="F133" s="66"/>
      <c r="G133" s="66"/>
      <c r="H133" s="66"/>
    </row>
    <row r="134" spans="1:12" ht="15" outlineLevel="1" x14ac:dyDescent="0.15">
      <c r="A134" s="66"/>
      <c r="B134" s="83" t="s">
        <v>459</v>
      </c>
      <c r="C134" s="83" t="s">
        <v>58</v>
      </c>
      <c r="D134" s="83" t="s">
        <v>100</v>
      </c>
      <c r="E134" s="83" t="s">
        <v>59</v>
      </c>
      <c r="F134" s="83" t="s">
        <v>60</v>
      </c>
      <c r="G134" s="83" t="s">
        <v>62</v>
      </c>
      <c r="H134" s="83" t="s">
        <v>61</v>
      </c>
      <c r="I134" s="83" t="s">
        <v>63</v>
      </c>
      <c r="J134" s="83" t="s">
        <v>64</v>
      </c>
      <c r="K134" s="83" t="s">
        <v>65</v>
      </c>
    </row>
    <row r="135" spans="1:12" outlineLevel="1" x14ac:dyDescent="0.15">
      <c r="A135" s="66"/>
      <c r="B135" s="117" t="s">
        <v>155</v>
      </c>
      <c r="C135" s="179">
        <f>C90*1000/'Constants &amp; Conversions'!$D$57</f>
        <v>0</v>
      </c>
      <c r="D135" s="179">
        <f>D90*1000/'Constants &amp; Conversions'!$D$57</f>
        <v>201091.67008480738</v>
      </c>
      <c r="E135" s="179">
        <f>E90*1000/'Constants &amp; Conversions'!$D$57</f>
        <v>201091.67008480738</v>
      </c>
      <c r="F135" s="179">
        <f>F90*1000/'Constants &amp; Conversions'!$D$57</f>
        <v>67532.015163610442</v>
      </c>
      <c r="G135" s="179">
        <f>G90*1000/'Constants &amp; Conversions'!$D$57</f>
        <v>2414106.7875747411</v>
      </c>
      <c r="H135" s="179">
        <f>H90*1000/'Constants &amp; Conversions'!$D$57</f>
        <v>2113913.2999840411</v>
      </c>
      <c r="I135" s="179">
        <f>I90*1000/'Constants &amp; Conversions'!$D$57</f>
        <v>400544.24573475163</v>
      </c>
      <c r="J135" s="179">
        <f>J90*1000/'Constants &amp; Conversions'!$D$57</f>
        <v>2722226.703434655</v>
      </c>
      <c r="K135" s="179">
        <f>K90*1000/'Constants &amp; Conversions'!$D$57</f>
        <v>3291877.5009247041</v>
      </c>
    </row>
    <row r="136" spans="1:12" outlineLevel="1" x14ac:dyDescent="0.15">
      <c r="A136" s="66"/>
      <c r="B136" s="117" t="s">
        <v>159</v>
      </c>
      <c r="C136" s="179">
        <f>C91*1000/'Constants &amp; Conversions'!$D$57</f>
        <v>3834100.2210293654</v>
      </c>
      <c r="D136" s="179">
        <f>D91*1000/'Constants &amp; Conversions'!$D$57</f>
        <v>0</v>
      </c>
      <c r="E136" s="179">
        <f>E91*1000/'Constants &amp; Conversions'!$D$57</f>
        <v>3834100.2210293654</v>
      </c>
      <c r="F136" s="179">
        <f>F91*1000/'Constants &amp; Conversions'!$D$57</f>
        <v>902.64544367451219</v>
      </c>
      <c r="G136" s="179">
        <f>G91*1000/'Constants &amp; Conversions'!$D$57</f>
        <v>411.07213896789392</v>
      </c>
      <c r="H136" s="179">
        <f>H91*1000/'Constants &amp; Conversions'!$D$57</f>
        <v>0</v>
      </c>
      <c r="I136" s="179">
        <f>I91*1000/'Constants &amp; Conversions'!$D$57</f>
        <v>453.89183753169874</v>
      </c>
      <c r="J136" s="179">
        <f>J91*1000/'Constants &amp; Conversions'!$D$57</f>
        <v>393.94399913598676</v>
      </c>
      <c r="K136" s="179">
        <f>K91*1000/'Constants &amp; Conversions'!$D$57</f>
        <v>924.91146259892002</v>
      </c>
    </row>
    <row r="137" spans="1:12" outlineLevel="1" x14ac:dyDescent="0.15">
      <c r="A137" s="66"/>
      <c r="B137" s="117" t="s">
        <v>104</v>
      </c>
      <c r="C137" s="179">
        <f>C92*1000/'Constants &amp; Conversions'!$D$57</f>
        <v>3935175.0730069736</v>
      </c>
      <c r="D137" s="179">
        <f>D92*1000/'Constants &amp; Conversions'!$D$57</f>
        <v>7609943.1768915122</v>
      </c>
      <c r="E137" s="179">
        <f>E92*1000/'Constants &amp; Conversions'!$D$57</f>
        <v>11545118.249898486</v>
      </c>
      <c r="F137" s="179">
        <f>F92*1000/'Constants &amp; Conversions'!$D$57</f>
        <v>4187299.6184762451</v>
      </c>
      <c r="G137" s="179">
        <f>G92*1000/'Constants &amp; Conversions'!$D$57</f>
        <v>1157211.2935884532</v>
      </c>
      <c r="H137" s="179">
        <f>H92*1000/'Constants &amp; Conversions'!$D$57</f>
        <v>98572.30674969453</v>
      </c>
      <c r="I137" s="179">
        <f>I92*1000/'Constants &amp; Conversions'!$D$57</f>
        <v>1970095.5176146862</v>
      </c>
      <c r="J137" s="179">
        <f>J92*1000/'Constants &amp; Conversions'!$D$57</f>
        <v>726464.31465003011</v>
      </c>
      <c r="K137" s="179">
        <f>K92*1000/'Constants &amp; Conversions'!$D$57</f>
        <v>950615.28709888982</v>
      </c>
    </row>
    <row r="138" spans="1:12" outlineLevel="1" x14ac:dyDescent="0.15">
      <c r="A138" s="66"/>
      <c r="B138" s="117" t="s">
        <v>156</v>
      </c>
      <c r="C138" s="179">
        <f>C93*1000/'Constants &amp; Conversions'!$D$57</f>
        <v>21818125.241249699</v>
      </c>
      <c r="D138" s="179">
        <f>D93*1000/'Constants &amp; Conversions'!$D$57</f>
        <v>42192454.015861884</v>
      </c>
      <c r="E138" s="179">
        <f>E93*1000/'Constants &amp; Conversions'!$D$57</f>
        <v>64010579.257111587</v>
      </c>
      <c r="F138" s="179">
        <f>F93*1000/'Constants &amp; Conversions'!$D$57</f>
        <v>16052711.744407553</v>
      </c>
      <c r="G138" s="179">
        <f>G93*1000/'Constants &amp; Conversions'!$D$57</f>
        <v>14704863.017249357</v>
      </c>
      <c r="H138" s="179">
        <f>H93*1000/'Constants &amp; Conversions'!$D$57</f>
        <v>3427670.6458720458</v>
      </c>
      <c r="I138" s="179">
        <f>I93*1000/'Constants &amp; Conversions'!$D$57</f>
        <v>11856328.804385206</v>
      </c>
      <c r="J138" s="179">
        <f>J93*1000/'Constants &amp; Conversions'!$D$57</f>
        <v>8983311.7341325115</v>
      </c>
      <c r="K138" s="179">
        <f>K93*1000/'Constants &amp; Conversions'!$D$57</f>
        <v>21060093.939059328</v>
      </c>
    </row>
    <row r="139" spans="1:12" outlineLevel="1" x14ac:dyDescent="0.15">
      <c r="A139" s="66"/>
      <c r="B139" s="117" t="s">
        <v>157</v>
      </c>
      <c r="C139" s="179">
        <f>C94*1000/'Constants &amp; Conversions'!$D$57</f>
        <v>8609895.6784552708</v>
      </c>
      <c r="D139" s="179">
        <f>D94*1000/'Constants &amp; Conversions'!$D$57</f>
        <v>16650038.602206886</v>
      </c>
      <c r="E139" s="179">
        <f>E94*1000/'Constants &amp; Conversions'!$D$57</f>
        <v>25259934.280662157</v>
      </c>
      <c r="F139" s="179">
        <f>F94*1000/'Constants &amp; Conversions'!$D$57</f>
        <v>5744122.5700302171</v>
      </c>
      <c r="G139" s="179">
        <f>G94*1000/'Constants &amp; Conversions'!$D$57</f>
        <v>2980754.5554236695</v>
      </c>
      <c r="H139" s="179">
        <f>H94*1000/'Constants &amp; Conversions'!$D$57</f>
        <v>231066.17723959597</v>
      </c>
      <c r="I139" s="179">
        <f>I94*1000/'Constants &amp; Conversions'!$D$57</f>
        <v>4322584.347723728</v>
      </c>
      <c r="J139" s="179">
        <f>J94*1000/'Constants &amp; Conversions'!$D$57</f>
        <v>2135739.4836321254</v>
      </c>
      <c r="K139" s="179">
        <f>K94*1000/'Constants &amp; Conversions'!$D$57</f>
        <v>2451965.7907723747</v>
      </c>
    </row>
    <row r="140" spans="1:12" outlineLevel="1" x14ac:dyDescent="0.15">
      <c r="A140" s="66"/>
      <c r="B140" s="117" t="s">
        <v>160</v>
      </c>
      <c r="C140" s="179">
        <f>C95*1000/'Constants &amp; Conversions'!$D$57</f>
        <v>723611.64730913332</v>
      </c>
      <c r="D140" s="179">
        <f>D95*1000/'Constants &amp; Conversions'!$D$57</f>
        <v>2289313.6095325928</v>
      </c>
      <c r="E140" s="179">
        <f>E95*1000/'Constants &amp; Conversions'!$D$57</f>
        <v>3012925.2568417257</v>
      </c>
      <c r="F140" s="179">
        <f>F95*1000/'Constants &amp; Conversions'!$D$57</f>
        <v>1922988.4031633299</v>
      </c>
      <c r="G140" s="179">
        <f>G95*1000/'Constants &amp; Conversions'!$D$57</f>
        <v>1016193.2160238069</v>
      </c>
      <c r="H140" s="179">
        <f>H95*1000/'Constants &amp; Conversions'!$D$57</f>
        <v>84277.611022681143</v>
      </c>
      <c r="I140" s="179">
        <f>I95*1000/'Constants &amp; Conversions'!$D$57</f>
        <v>1743086.823136728</v>
      </c>
      <c r="J140" s="179">
        <f>J95*1000/'Constants &amp; Conversions'!$D$57</f>
        <v>455423.04843708099</v>
      </c>
      <c r="K140" s="179">
        <f>K95*1000/'Constants &amp; Conversions'!$D$57</f>
        <v>730945.88825789827</v>
      </c>
    </row>
    <row r="141" spans="1:12" outlineLevel="1" x14ac:dyDescent="0.15">
      <c r="A141" s="66"/>
      <c r="B141" s="117" t="s">
        <v>161</v>
      </c>
      <c r="C141" s="179">
        <f>C96*1000/'Constants &amp; Conversions'!$D$57</f>
        <v>0</v>
      </c>
      <c r="D141" s="179">
        <f>D96*1000/'Constants &amp; Conversions'!$D$57</f>
        <v>97654.560467319228</v>
      </c>
      <c r="E141" s="179">
        <f>E96*1000/'Constants &amp; Conversions'!$D$57</f>
        <v>97654.560467319228</v>
      </c>
      <c r="F141" s="179">
        <f>F96*1000/'Constants &amp; Conversions'!$D$57</f>
        <v>15843.583459024976</v>
      </c>
      <c r="G141" s="179">
        <f>G96*1000/'Constants &amp; Conversions'!$D$57</f>
        <v>24013.134421940544</v>
      </c>
      <c r="H141" s="179">
        <f>H96*1000/'Constants &amp; Conversions'!$D$57</f>
        <v>42164.814380441108</v>
      </c>
      <c r="I141" s="179">
        <f>I96*1000/'Constants &amp; Conversions'!$D$57</f>
        <v>58238.517208714875</v>
      </c>
      <c r="J141" s="179">
        <f>J96*1000/'Constants &amp; Conversions'!$D$57</f>
        <v>139629.53042536849</v>
      </c>
      <c r="K141" s="179">
        <f>K96*1000/'Constants &amp; Conversions'!$D$57</f>
        <v>146304.76349857909</v>
      </c>
    </row>
    <row r="142" spans="1:12" outlineLevel="1" x14ac:dyDescent="0.15">
      <c r="A142" s="66"/>
      <c r="B142" s="117" t="s">
        <v>158</v>
      </c>
      <c r="C142" s="179">
        <f>C97*1000/'Constants &amp; Conversions'!$D$57</f>
        <v>45546.954421002069</v>
      </c>
      <c r="D142" s="179">
        <f>D97*1000/'Constants &amp; Conversions'!$D$57</f>
        <v>88079.87664941157</v>
      </c>
      <c r="E142" s="179">
        <f>E97*1000/'Constants &amp; Conversions'!$D$57</f>
        <v>133626.83107041364</v>
      </c>
      <c r="F142" s="179">
        <f>F97*1000/'Constants &amp; Conversions'!$D$57</f>
        <v>109128.70224186928</v>
      </c>
      <c r="G142" s="179">
        <f>G97*1000/'Constants &amp; Conversions'!$D$57</f>
        <v>13362.682926468267</v>
      </c>
      <c r="H142" s="179">
        <f>H97*1000/'Constants &amp; Conversions'!$D$57</f>
        <v>0</v>
      </c>
      <c r="I142" s="179">
        <f>I97*1000/'Constants &amp; Conversions'!$D$57</f>
        <v>86857.552889169558</v>
      </c>
      <c r="J142" s="179">
        <f>J97*1000/'Constants &amp; Conversions'!$D$57</f>
        <v>0</v>
      </c>
      <c r="K142" s="179">
        <f>K97*1000/'Constants &amp; Conversions'!$D$57</f>
        <v>133626.83107041364</v>
      </c>
    </row>
    <row r="143" spans="1:12" outlineLevel="1" x14ac:dyDescent="0.15">
      <c r="A143" s="66"/>
      <c r="B143" s="117" t="s">
        <v>162</v>
      </c>
      <c r="C143" s="179">
        <f>C98*1000/'Constants &amp; Conversions'!$D$57</f>
        <v>129699.93575394948</v>
      </c>
      <c r="D143" s="179">
        <f>D98*1000/'Constants &amp; Conversions'!$D$57</f>
        <v>46200.421140813378</v>
      </c>
      <c r="E143" s="179">
        <f>E98*1000/'Constants &amp; Conversions'!$D$57</f>
        <v>175900.35689476287</v>
      </c>
      <c r="F143" s="179">
        <f>F98*1000/'Constants &amp; Conversions'!$D$57</f>
        <v>72749.181740267755</v>
      </c>
      <c r="G143" s="179">
        <f>G98*1000/'Constants &amp; Conversions'!$D$57</f>
        <v>31654.593851492897</v>
      </c>
      <c r="H143" s="179">
        <f>H98*1000/'Constants &amp; Conversions'!$D$57</f>
        <v>5067.0203416968743</v>
      </c>
      <c r="I143" s="179">
        <f>I98*1000/'Constants &amp; Conversions'!$D$57</f>
        <v>23500.191191105812</v>
      </c>
      <c r="J143" s="179">
        <f>J98*1000/'Constants &amp; Conversions'!$D$57</f>
        <v>4587.9460431267762</v>
      </c>
      <c r="K143" s="179">
        <f>K98*1000/'Constants &amp; Conversions'!$D$57</f>
        <v>38876.90676169403</v>
      </c>
    </row>
    <row r="144" spans="1:12" outlineLevel="1" x14ac:dyDescent="0.15">
      <c r="A144" s="66"/>
      <c r="B144" s="117" t="s">
        <v>163</v>
      </c>
      <c r="C144" s="179">
        <f>C99*1000/'Constants &amp; Conversions'!$D$57</f>
        <v>39694.763680496239</v>
      </c>
      <c r="D144" s="179">
        <f>D99*1000/'Constants &amp; Conversions'!$D$57</f>
        <v>36548.288735038972</v>
      </c>
      <c r="E144" s="179">
        <f>E99*1000/'Constants &amp; Conversions'!$D$57</f>
        <v>76243.052415535203</v>
      </c>
      <c r="F144" s="179">
        <f>F99*1000/'Constants &amp; Conversions'!$D$57</f>
        <v>13259.675366643733</v>
      </c>
      <c r="G144" s="179">
        <f>G99*1000/'Constants &amp; Conversions'!$D$57</f>
        <v>6629.835451795705</v>
      </c>
      <c r="H144" s="179">
        <f>H99*1000/'Constants &amp; Conversions'!$D$57</f>
        <v>13259.675366643733</v>
      </c>
      <c r="I144" s="179">
        <f>I99*1000/'Constants &amp; Conversions'!$D$57</f>
        <v>39779.013893274394</v>
      </c>
      <c r="J144" s="179">
        <f>J99*1000/'Constants &amp; Conversions'!$D$57</f>
        <v>9944.7593798279449</v>
      </c>
      <c r="K144" s="179">
        <f>K99*1000/'Constants &amp; Conversions'!$D$57</f>
        <v>16574.590018719831</v>
      </c>
    </row>
    <row r="145" spans="1:21" outlineLevel="1" x14ac:dyDescent="0.15">
      <c r="A145" s="66"/>
      <c r="B145" s="171" t="s">
        <v>88</v>
      </c>
      <c r="C145" s="357">
        <f t="shared" ref="C145:K145" si="65">SUM(C135:C144)</f>
        <v>39135849.514905885</v>
      </c>
      <c r="D145" s="357">
        <f t="shared" si="65"/>
        <v>69211324.221570253</v>
      </c>
      <c r="E145" s="357">
        <f t="shared" si="65"/>
        <v>108347173.73647614</v>
      </c>
      <c r="F145" s="357">
        <f t="shared" si="65"/>
        <v>28186538.139492434</v>
      </c>
      <c r="G145" s="357">
        <f t="shared" si="65"/>
        <v>22349200.188650694</v>
      </c>
      <c r="H145" s="357">
        <f t="shared" si="65"/>
        <v>6015991.5509568397</v>
      </c>
      <c r="I145" s="357">
        <f t="shared" si="65"/>
        <v>20501468.905614894</v>
      </c>
      <c r="J145" s="357">
        <f t="shared" si="65"/>
        <v>15177721.464133862</v>
      </c>
      <c r="K145" s="357">
        <f t="shared" si="65"/>
        <v>28821806.408925198</v>
      </c>
    </row>
    <row r="146" spans="1:21" x14ac:dyDescent="0.15">
      <c r="A146" s="66"/>
      <c r="B146" s="66"/>
      <c r="C146" s="69"/>
      <c r="D146" s="66"/>
      <c r="E146" s="66"/>
      <c r="F146" s="66"/>
      <c r="G146" s="66"/>
      <c r="H146" s="66"/>
    </row>
    <row r="147" spans="1:21" ht="18" x14ac:dyDescent="0.2">
      <c r="A147" s="189" t="s">
        <v>147</v>
      </c>
      <c r="B147" s="66"/>
      <c r="C147" s="69"/>
      <c r="D147" s="66"/>
      <c r="E147" s="66"/>
      <c r="F147" s="66"/>
      <c r="G147" s="66"/>
      <c r="H147" s="66"/>
    </row>
    <row r="148" spans="1:21" outlineLevel="1" x14ac:dyDescent="0.15">
      <c r="A148" s="82"/>
      <c r="B148" s="82" t="s">
        <v>458</v>
      </c>
      <c r="C148" s="69"/>
      <c r="D148" s="66"/>
      <c r="E148" s="66"/>
      <c r="F148" s="66"/>
      <c r="G148" s="66"/>
      <c r="H148" s="66"/>
    </row>
    <row r="149" spans="1:21" ht="15" outlineLevel="1" x14ac:dyDescent="0.15">
      <c r="A149" s="82"/>
      <c r="B149" s="83" t="s">
        <v>459</v>
      </c>
      <c r="C149" s="83" t="s">
        <v>58</v>
      </c>
      <c r="D149" s="83" t="s">
        <v>100</v>
      </c>
      <c r="E149" s="83" t="s">
        <v>59</v>
      </c>
      <c r="F149" s="83" t="s">
        <v>60</v>
      </c>
      <c r="G149" s="83" t="s">
        <v>62</v>
      </c>
      <c r="H149" s="83" t="s">
        <v>61</v>
      </c>
      <c r="I149" s="83" t="s">
        <v>63</v>
      </c>
      <c r="J149" s="83" t="s">
        <v>64</v>
      </c>
      <c r="K149" s="83" t="s">
        <v>65</v>
      </c>
    </row>
    <row r="150" spans="1:21" ht="15" outlineLevel="1" x14ac:dyDescent="0.15">
      <c r="A150" s="82"/>
      <c r="B150" s="609" t="s">
        <v>472</v>
      </c>
      <c r="C150" s="609"/>
      <c r="D150" s="609"/>
      <c r="E150" s="609"/>
      <c r="F150" s="609"/>
      <c r="G150" s="609"/>
      <c r="H150" s="609"/>
      <c r="I150" s="609"/>
      <c r="J150" s="609"/>
      <c r="K150" s="609"/>
    </row>
    <row r="151" spans="1:21" outlineLevel="1" x14ac:dyDescent="0.15">
      <c r="A151" s="82"/>
      <c r="B151" s="117" t="s">
        <v>155</v>
      </c>
      <c r="C151" s="179">
        <f>E151*VLOOKUP($B151,'Offroad Allocation'!$B$4:$G$15,5,0)</f>
        <v>0</v>
      </c>
      <c r="D151" s="356">
        <f t="shared" ref="D151:D156" si="66">E151-C151</f>
        <v>74.412456627981996</v>
      </c>
      <c r="E151" s="179">
        <v>74.412456627981996</v>
      </c>
      <c r="F151" s="179">
        <v>24.989759943280902</v>
      </c>
      <c r="G151" s="179">
        <v>893.32193415178494</v>
      </c>
      <c r="H151" s="179">
        <v>782.23826560756095</v>
      </c>
      <c r="I151" s="179">
        <v>148.21837127903498</v>
      </c>
      <c r="J151" s="179">
        <v>1007.33988841029</v>
      </c>
      <c r="K151" s="179">
        <v>1218.1342405482701</v>
      </c>
    </row>
    <row r="152" spans="1:21" outlineLevel="1" x14ac:dyDescent="0.15">
      <c r="A152" s="82"/>
      <c r="B152" s="117" t="s">
        <v>104</v>
      </c>
      <c r="C152" s="179">
        <f>E152*VLOOKUP($B152,'Offroad Allocation'!$B$4:$G$15,5,0)</f>
        <v>310526.52840390109</v>
      </c>
      <c r="D152" s="356">
        <f t="shared" si="66"/>
        <v>600504.2195658593</v>
      </c>
      <c r="E152" s="179">
        <v>911030.74796976033</v>
      </c>
      <c r="F152" s="179">
        <v>330421.8472416203</v>
      </c>
      <c r="G152" s="179">
        <v>91316.342658868904</v>
      </c>
      <c r="H152" s="179">
        <v>7778.3936665333276</v>
      </c>
      <c r="I152" s="179">
        <v>155461.21288404547</v>
      </c>
      <c r="J152" s="179">
        <v>57325.711811555542</v>
      </c>
      <c r="K152" s="179">
        <v>75013.599028240715</v>
      </c>
    </row>
    <row r="153" spans="1:21" outlineLevel="1" x14ac:dyDescent="0.15">
      <c r="A153" s="82"/>
      <c r="B153" s="117" t="s">
        <v>156</v>
      </c>
      <c r="C153" s="179">
        <f>E153*VLOOKUP($B153,'Offroad Allocation'!$B$4:$G$15,5,0)</f>
        <v>258321.12258601192</v>
      </c>
      <c r="D153" s="356">
        <f t="shared" si="66"/>
        <v>499548.05765941436</v>
      </c>
      <c r="E153" s="179">
        <v>757869.18024542625</v>
      </c>
      <c r="F153" s="179">
        <v>190059.97082894429</v>
      </c>
      <c r="G153" s="179">
        <v>174101.72020890028</v>
      </c>
      <c r="H153" s="179">
        <v>40582.768561279823</v>
      </c>
      <c r="I153" s="179">
        <v>140375.89334732422</v>
      </c>
      <c r="J153" s="179">
        <v>106360.10938096662</v>
      </c>
      <c r="K153" s="179">
        <v>249346.19999830518</v>
      </c>
    </row>
    <row r="154" spans="1:21" outlineLevel="1" x14ac:dyDescent="0.15">
      <c r="A154" s="82"/>
      <c r="B154" s="117" t="s">
        <v>157</v>
      </c>
      <c r="C154" s="179">
        <f>E154*VLOOKUP($B154,'Offroad Allocation'!$B$4:$G$15,5,0)</f>
        <v>5920.3741257868896</v>
      </c>
      <c r="D154" s="356">
        <f t="shared" si="66"/>
        <v>11448.97237030683</v>
      </c>
      <c r="E154" s="179">
        <v>17369.34649609372</v>
      </c>
      <c r="F154" s="179">
        <v>4452.8118080182676</v>
      </c>
      <c r="G154" s="179">
        <v>2370.3261611851271</v>
      </c>
      <c r="H154" s="179">
        <v>137.474959200722</v>
      </c>
      <c r="I154" s="179">
        <v>3381.3153586425719</v>
      </c>
      <c r="J154" s="179">
        <v>1762.2781132420112</v>
      </c>
      <c r="K154" s="179">
        <v>1624.0866243286118</v>
      </c>
    </row>
    <row r="155" spans="1:21" outlineLevel="1" x14ac:dyDescent="0.15">
      <c r="A155" s="82"/>
      <c r="B155" s="117" t="s">
        <v>160</v>
      </c>
      <c r="C155" s="179">
        <f>E155*VLOOKUP($B155,'Offroad Allocation'!$B$4:$G$15,5,0)</f>
        <v>2264018.6806720402</v>
      </c>
      <c r="D155" s="356">
        <f t="shared" si="66"/>
        <v>7162749.2414923534</v>
      </c>
      <c r="E155" s="179">
        <v>9426767.9221643936</v>
      </c>
      <c r="F155" s="179">
        <v>4674373.8516025953</v>
      </c>
      <c r="G155" s="179">
        <v>2426488.3561247503</v>
      </c>
      <c r="H155" s="179">
        <v>214910.77763815003</v>
      </c>
      <c r="I155" s="179">
        <v>4132802.2144834418</v>
      </c>
      <c r="J155" s="179">
        <v>1131196.2988431773</v>
      </c>
      <c r="K155" s="179">
        <v>1857894.2420548028</v>
      </c>
    </row>
    <row r="156" spans="1:21" outlineLevel="1" x14ac:dyDescent="0.15">
      <c r="A156" s="82"/>
      <c r="B156" s="117" t="s">
        <v>161</v>
      </c>
      <c r="C156" s="179">
        <f>E156*VLOOKUP($B156,'Offroad Allocation'!$B$4:$G$15,5,0)</f>
        <v>0</v>
      </c>
      <c r="D156" s="356">
        <f t="shared" si="66"/>
        <v>3782.7643307756698</v>
      </c>
      <c r="E156" s="179">
        <v>3782.7643307756698</v>
      </c>
      <c r="F156" s="179">
        <v>613.71982529994398</v>
      </c>
      <c r="G156" s="179">
        <v>930.17898378208611</v>
      </c>
      <c r="H156" s="179">
        <v>1633.3030735212001</v>
      </c>
      <c r="I156" s="179">
        <v>2255.93821972656</v>
      </c>
      <c r="J156" s="179">
        <v>5408.7143295200894</v>
      </c>
      <c r="K156" s="179">
        <v>5667.3006796874997</v>
      </c>
    </row>
    <row r="157" spans="1:21" outlineLevel="1" x14ac:dyDescent="0.15">
      <c r="A157" s="82"/>
      <c r="B157" s="117" t="s">
        <v>163</v>
      </c>
      <c r="C157" s="179">
        <f>E157*VLOOKUP($B157,'Offroad Allocation'!$B$4:$G$15,5,0)</f>
        <v>529529.33167633368</v>
      </c>
      <c r="D157" s="356">
        <f t="shared" ref="D157" si="67">E157-C157</f>
        <v>487555.26203795022</v>
      </c>
      <c r="E157" s="179">
        <v>1017084.5937142839</v>
      </c>
      <c r="F157" s="179">
        <v>176884.25876953118</v>
      </c>
      <c r="G157" s="179">
        <v>88442.112744419515</v>
      </c>
      <c r="H157" s="179">
        <v>2997654.2873409516</v>
      </c>
      <c r="I157" s="179">
        <v>530652.58349330304</v>
      </c>
      <c r="J157" s="179">
        <v>132663.18502622761</v>
      </c>
      <c r="K157" s="179">
        <v>221105.19748995523</v>
      </c>
    </row>
    <row r="158" spans="1:21" ht="15" outlineLevel="1" x14ac:dyDescent="0.15">
      <c r="A158" s="82"/>
      <c r="B158" s="609" t="s">
        <v>473</v>
      </c>
      <c r="C158" s="609"/>
      <c r="D158" s="609"/>
      <c r="E158" s="609"/>
      <c r="F158" s="609"/>
      <c r="G158" s="609"/>
      <c r="H158" s="609"/>
      <c r="I158" s="609"/>
      <c r="J158" s="609"/>
      <c r="K158" s="609"/>
      <c r="M158" s="283"/>
      <c r="N158" s="283"/>
      <c r="O158" s="283"/>
      <c r="P158" s="283"/>
      <c r="Q158" s="283"/>
      <c r="R158" s="283"/>
      <c r="S158" s="283"/>
      <c r="T158" s="283"/>
      <c r="U158" s="283"/>
    </row>
    <row r="159" spans="1:21" outlineLevel="1" x14ac:dyDescent="0.15">
      <c r="A159" s="82"/>
      <c r="B159" s="117" t="s">
        <v>155</v>
      </c>
      <c r="C159" s="179">
        <f>E159*VLOOKUP($B159,'Offroad Allocation'!$B$4:$G$15,5,0)</f>
        <v>0</v>
      </c>
      <c r="D159" s="356">
        <f t="shared" ref="D159:D168" si="68">E159-C159</f>
        <v>8494.6505460138142</v>
      </c>
      <c r="E159">
        <v>8494.6505460138142</v>
      </c>
      <c r="F159">
        <v>2852.7377110138218</v>
      </c>
      <c r="G159">
        <v>101978.37600008587</v>
      </c>
      <c r="H159" s="179">
        <v>89297.433780784428</v>
      </c>
      <c r="I159" s="179">
        <v>16920.065555841142</v>
      </c>
      <c r="J159" s="179">
        <v>114994.23499412627</v>
      </c>
      <c r="K159" s="179">
        <v>139057.68803809234</v>
      </c>
    </row>
    <row r="160" spans="1:21" outlineLevel="1" x14ac:dyDescent="0.15">
      <c r="A160" s="82"/>
      <c r="B160" s="117" t="s">
        <v>159</v>
      </c>
      <c r="C160" s="179">
        <f>E160*VLOOKUP($B160,'Offroad Allocation'!$B$4:$G$15,5,0)</f>
        <v>288169.34899999999</v>
      </c>
      <c r="D160" s="356">
        <f t="shared" si="68"/>
        <v>0</v>
      </c>
      <c r="E160">
        <v>288169.34899999999</v>
      </c>
      <c r="F160">
        <v>67.842379257202111</v>
      </c>
      <c r="G160">
        <v>30.895981681823702</v>
      </c>
      <c r="H160" s="179">
        <v>0</v>
      </c>
      <c r="I160" s="179">
        <v>34.114314994811998</v>
      </c>
      <c r="J160" s="179">
        <v>29.608635154724098</v>
      </c>
      <c r="K160" s="179">
        <v>69.516012359619097</v>
      </c>
    </row>
    <row r="161" spans="1:12" outlineLevel="1" x14ac:dyDescent="0.15">
      <c r="A161" s="82"/>
      <c r="B161" s="117" t="s">
        <v>104</v>
      </c>
      <c r="C161" s="179">
        <f>E161*VLOOKUP($B161,'Offroad Allocation'!$B$4:$G$15,5,0)</f>
        <v>15690069.408783961</v>
      </c>
      <c r="D161" s="356">
        <f t="shared" si="68"/>
        <v>30341861.398073096</v>
      </c>
      <c r="E161">
        <v>46031930.806857057</v>
      </c>
      <c r="F161">
        <v>16695335.562142834</v>
      </c>
      <c r="G161">
        <v>4613962.6405066932</v>
      </c>
      <c r="H161" s="179">
        <v>393021.33824762795</v>
      </c>
      <c r="I161" s="179">
        <v>7855050.3588571325</v>
      </c>
      <c r="J161" s="179">
        <v>2896513.1681473162</v>
      </c>
      <c r="K161" s="179">
        <v>3790232.1296272269</v>
      </c>
    </row>
    <row r="162" spans="1:12" outlineLevel="1" x14ac:dyDescent="0.15">
      <c r="A162" s="82"/>
      <c r="B162" s="117" t="s">
        <v>156</v>
      </c>
      <c r="C162" s="179">
        <f>E162*VLOOKUP($B162,'Offroad Allocation'!$B$4:$G$15,5,0)</f>
        <v>1471074.2883715297</v>
      </c>
      <c r="D162" s="356">
        <f t="shared" si="68"/>
        <v>2844801.4474078324</v>
      </c>
      <c r="E162">
        <v>4315875.7357793618</v>
      </c>
      <c r="F162">
        <v>1082344.3222971854</v>
      </c>
      <c r="G162">
        <v>991466.23896647978</v>
      </c>
      <c r="H162" s="179">
        <v>231108.62926052828</v>
      </c>
      <c r="I162" s="179">
        <v>799405.92046928965</v>
      </c>
      <c r="J162" s="179">
        <v>605694.5379219834</v>
      </c>
      <c r="K162" s="179">
        <v>1419964.4535794826</v>
      </c>
    </row>
    <row r="163" spans="1:12" outlineLevel="1" x14ac:dyDescent="0.15">
      <c r="A163" s="82"/>
      <c r="B163" s="117" t="s">
        <v>157</v>
      </c>
      <c r="C163" s="179">
        <f>E163*VLOOKUP($B163,'Offroad Allocation'!$B$4:$G$15,5,0)</f>
        <v>3948327.410502858</v>
      </c>
      <c r="D163" s="356">
        <f t="shared" si="68"/>
        <v>7635377.5067828391</v>
      </c>
      <c r="E163">
        <v>11583704.917285698</v>
      </c>
      <c r="F163">
        <v>2965303.7243339797</v>
      </c>
      <c r="G163">
        <v>1578042.8442885019</v>
      </c>
      <c r="H163" s="179">
        <v>91865.544555628949</v>
      </c>
      <c r="I163" s="179">
        <v>2251523.5314319162</v>
      </c>
      <c r="J163" s="179">
        <v>1172763.227758996</v>
      </c>
      <c r="K163" s="179">
        <v>1083640.1938998313</v>
      </c>
    </row>
    <row r="164" spans="1:12" outlineLevel="1" x14ac:dyDescent="0.15">
      <c r="A164" s="82"/>
      <c r="B164" s="117" t="s">
        <v>160</v>
      </c>
      <c r="C164" s="179">
        <f>E164*VLOOKUP($B164,'Offroad Allocation'!$B$4:$G$15,5,0)</f>
        <v>21043765.940703247</v>
      </c>
      <c r="D164" s="356">
        <f>E164-C164</f>
        <v>66576844.006062925</v>
      </c>
      <c r="E164">
        <v>87620609.946766168</v>
      </c>
      <c r="F164">
        <v>39509641.739420354</v>
      </c>
      <c r="G164">
        <v>20344753.759321339</v>
      </c>
      <c r="H164" s="179">
        <v>1854463.4263208979</v>
      </c>
      <c r="I164" s="179">
        <v>34538286.115919605</v>
      </c>
      <c r="J164" s="179">
        <v>9652557.0127294734</v>
      </c>
      <c r="K164" s="179">
        <v>16010005.286893036</v>
      </c>
    </row>
    <row r="165" spans="1:12" outlineLevel="1" x14ac:dyDescent="0.15">
      <c r="A165" s="82"/>
      <c r="B165" s="117" t="s">
        <v>161</v>
      </c>
      <c r="C165" s="179">
        <f>E165*VLOOKUP($B165,'Offroad Allocation'!$B$4:$G$15,5,0)</f>
        <v>0</v>
      </c>
      <c r="D165" s="356">
        <f t="shared" si="68"/>
        <v>10978.665595589717</v>
      </c>
      <c r="E165">
        <v>10978.665595589717</v>
      </c>
      <c r="F165">
        <v>1781.1870435899998</v>
      </c>
      <c r="G165">
        <v>2699.6388572278665</v>
      </c>
      <c r="H165" s="179">
        <v>4740.3016085880799</v>
      </c>
      <c r="I165" s="179">
        <v>6547.3705111236541</v>
      </c>
      <c r="J165" s="179">
        <v>15697.623907950172</v>
      </c>
      <c r="K165" s="179">
        <v>16448.084602722134</v>
      </c>
    </row>
    <row r="166" spans="1:12" outlineLevel="1" x14ac:dyDescent="0.15">
      <c r="A166" s="82"/>
      <c r="B166" s="117" t="s">
        <v>158</v>
      </c>
      <c r="C166" s="179">
        <f>E166*VLOOKUP($B166,'Offroad Allocation'!$B$4:$G$15,5,0)</f>
        <v>31994.71531073645</v>
      </c>
      <c r="D166" s="356">
        <f t="shared" si="68"/>
        <v>61872.206689263556</v>
      </c>
      <c r="E166">
        <v>93866.922000000006</v>
      </c>
      <c r="F166">
        <v>76657.910999999993</v>
      </c>
      <c r="G166">
        <v>9386.6921738281198</v>
      </c>
      <c r="H166" s="179">
        <v>0</v>
      </c>
      <c r="I166" s="179">
        <v>61013.445</v>
      </c>
      <c r="J166" s="179">
        <v>0</v>
      </c>
      <c r="K166" s="179">
        <v>93866.922000000006</v>
      </c>
    </row>
    <row r="167" spans="1:12" outlineLevel="1" x14ac:dyDescent="0.15">
      <c r="A167" s="82"/>
      <c r="B167" s="117" t="s">
        <v>162</v>
      </c>
      <c r="C167" s="179">
        <f>E167*VLOOKUP($B167,'Offroad Allocation'!$B$4:$G$15,5,0)</f>
        <v>25046.944443954169</v>
      </c>
      <c r="D167" s="356">
        <f t="shared" si="68"/>
        <v>8921.9734371842278</v>
      </c>
      <c r="E167">
        <v>33968.917881138397</v>
      </c>
      <c r="F167">
        <v>14048.9640714285</v>
      </c>
      <c r="G167">
        <v>6112.9685047433004</v>
      </c>
      <c r="H167" s="179">
        <v>978.51848505510497</v>
      </c>
      <c r="I167" s="179">
        <v>4538.2431580636103</v>
      </c>
      <c r="J167" s="179">
        <v>886.00316085379393</v>
      </c>
      <c r="K167" s="179">
        <v>7507.7209464285697</v>
      </c>
    </row>
    <row r="168" spans="1:12" outlineLevel="1" x14ac:dyDescent="0.15">
      <c r="A168" s="82"/>
      <c r="B168" s="117" t="s">
        <v>163</v>
      </c>
      <c r="C168" s="179">
        <f>E168*VLOOKUP($B168,'Offroad Allocation'!$B$4:$G$15,5,0)</f>
        <v>2124115.0689023077</v>
      </c>
      <c r="D168" s="356">
        <f t="shared" si="68"/>
        <v>1955743.3688119696</v>
      </c>
      <c r="E168">
        <v>4079858.4377142773</v>
      </c>
      <c r="F168">
        <v>1008719.5627583694</v>
      </c>
      <c r="G168">
        <v>528419.72775390488</v>
      </c>
      <c r="H168" s="179">
        <v>431283.65931696392</v>
      </c>
      <c r="I168" s="179">
        <v>1991585.2522366045</v>
      </c>
      <c r="J168" s="179">
        <v>768569.57023995463</v>
      </c>
      <c r="K168" s="179">
        <v>936091.03453794518</v>
      </c>
    </row>
    <row r="169" spans="1:12" outlineLevel="1" x14ac:dyDescent="0.15">
      <c r="A169" s="82"/>
      <c r="B169" s="171" t="s">
        <v>88</v>
      </c>
      <c r="C169" s="357">
        <f t="shared" ref="C169:K169" si="69">SUM(C151:C168)</f>
        <v>47990879.163482673</v>
      </c>
      <c r="D169" s="357">
        <f t="shared" si="69"/>
        <v>118210558.15332001</v>
      </c>
      <c r="E169" s="357">
        <f t="shared" si="69"/>
        <v>166201437.31680265</v>
      </c>
      <c r="F169" s="357">
        <f t="shared" si="69"/>
        <v>66733585.002993971</v>
      </c>
      <c r="G169" s="357">
        <f t="shared" si="69"/>
        <v>30961396.141170539</v>
      </c>
      <c r="H169" s="357">
        <f t="shared" si="69"/>
        <v>6360238.0950813182</v>
      </c>
      <c r="I169" s="357">
        <f t="shared" si="69"/>
        <v>52489981.793612331</v>
      </c>
      <c r="J169" s="357">
        <f t="shared" si="69"/>
        <v>16663428.624888908</v>
      </c>
      <c r="K169" s="357">
        <f t="shared" si="69"/>
        <v>25908751.790252991</v>
      </c>
    </row>
    <row r="170" spans="1:12" outlineLevel="1" x14ac:dyDescent="0.15">
      <c r="A170" s="82"/>
      <c r="B170" s="101" t="s">
        <v>460</v>
      </c>
      <c r="C170" s="177"/>
      <c r="D170" s="177"/>
      <c r="E170" s="177"/>
      <c r="F170" s="177"/>
      <c r="G170" s="177"/>
      <c r="H170" s="177"/>
      <c r="I170" s="177"/>
      <c r="J170" s="177"/>
      <c r="K170" s="177"/>
    </row>
    <row r="171" spans="1:12" outlineLevel="1" x14ac:dyDescent="0.15">
      <c r="A171" s="82"/>
      <c r="B171" s="101"/>
      <c r="C171" s="177"/>
      <c r="D171" s="177"/>
      <c r="E171" s="177"/>
      <c r="F171" s="177"/>
      <c r="G171" s="177"/>
      <c r="H171" s="177"/>
      <c r="I171" s="177"/>
      <c r="J171" s="177"/>
      <c r="K171" s="177"/>
    </row>
    <row r="172" spans="1:12" outlineLevel="1" x14ac:dyDescent="0.15">
      <c r="A172" s="82"/>
      <c r="B172" s="82" t="s">
        <v>461</v>
      </c>
      <c r="C172" s="69"/>
      <c r="D172" s="66"/>
      <c r="E172" s="66"/>
      <c r="F172" s="66"/>
      <c r="G172" s="66"/>
      <c r="H172" s="66"/>
    </row>
    <row r="173" spans="1:12" ht="15" outlineLevel="1" x14ac:dyDescent="0.15">
      <c r="A173" s="82"/>
      <c r="B173" s="83" t="s">
        <v>459</v>
      </c>
      <c r="C173" s="83" t="s">
        <v>58</v>
      </c>
      <c r="D173" s="83" t="s">
        <v>100</v>
      </c>
      <c r="E173" s="83" t="s">
        <v>59</v>
      </c>
      <c r="F173" s="83" t="s">
        <v>60</v>
      </c>
      <c r="G173" s="83" t="s">
        <v>62</v>
      </c>
      <c r="H173" s="83" t="s">
        <v>61</v>
      </c>
      <c r="I173" s="83" t="s">
        <v>63</v>
      </c>
      <c r="J173" s="83" t="s">
        <v>64</v>
      </c>
      <c r="K173" s="83" t="s">
        <v>65</v>
      </c>
      <c r="L173" s="83" t="s">
        <v>66</v>
      </c>
    </row>
    <row r="174" spans="1:12" ht="15" outlineLevel="1" x14ac:dyDescent="0.15">
      <c r="A174" s="82"/>
      <c r="B174" s="609" t="s">
        <v>472</v>
      </c>
      <c r="C174" s="609"/>
      <c r="D174" s="609"/>
      <c r="E174" s="609"/>
      <c r="F174" s="609"/>
      <c r="G174" s="609"/>
      <c r="H174" s="609"/>
      <c r="I174" s="609"/>
      <c r="J174" s="609"/>
      <c r="K174" s="609"/>
      <c r="L174" s="609"/>
    </row>
    <row r="175" spans="1:12" outlineLevel="1" x14ac:dyDescent="0.15">
      <c r="A175" s="119">
        <f>$A$45</f>
        <v>2019</v>
      </c>
      <c r="B175" s="117" t="s">
        <v>155</v>
      </c>
      <c r="C175" s="179">
        <f>E175*VLOOKUP($B175,'Offroad Allocation'!$B$4:$G$15,5,0)</f>
        <v>0</v>
      </c>
      <c r="D175" s="356">
        <f t="shared" ref="D175:D180" si="70">E175-C175</f>
        <v>210.41323174176901</v>
      </c>
      <c r="E175" s="179">
        <v>210.41323174176901</v>
      </c>
      <c r="F175" s="179">
        <v>70.662539037431898</v>
      </c>
      <c r="G175" s="179">
        <v>2526.0150300292898</v>
      </c>
      <c r="H175" s="179">
        <v>2211.9029435686302</v>
      </c>
      <c r="I175" s="179">
        <v>419.11083025251099</v>
      </c>
      <c r="J175" s="179">
        <v>2848.4165971679599</v>
      </c>
      <c r="K175" s="179">
        <v>3444.4695332728697</v>
      </c>
      <c r="L175" s="577">
        <f>SUM(E175:K175)</f>
        <v>11730.990705070462</v>
      </c>
    </row>
    <row r="176" spans="1:12" outlineLevel="1" x14ac:dyDescent="0.15">
      <c r="A176" s="119">
        <f t="shared" ref="A176:A192" si="71">$A$45</f>
        <v>2019</v>
      </c>
      <c r="B176" s="117" t="s">
        <v>104</v>
      </c>
      <c r="C176" s="179">
        <f>E176*VLOOKUP($B176,'Offroad Allocation'!$B$4:$G$15,5,0)</f>
        <v>864328.98966908467</v>
      </c>
      <c r="D176" s="356">
        <f t="shared" si="70"/>
        <v>1671461.7203792525</v>
      </c>
      <c r="E176" s="179">
        <v>2535790.710048337</v>
      </c>
      <c r="F176" s="179">
        <v>919706.30565670296</v>
      </c>
      <c r="G176" s="179">
        <v>254172.09785527168</v>
      </c>
      <c r="H176" s="179">
        <v>21650.602746769728</v>
      </c>
      <c r="I176" s="179">
        <v>432715.91563507065</v>
      </c>
      <c r="J176" s="179">
        <v>159561.92593335835</v>
      </c>
      <c r="K176" s="179">
        <v>208794.83390502215</v>
      </c>
      <c r="L176" s="577">
        <f t="shared" ref="L176:L180" si="72">SUM(E176:K176)</f>
        <v>4532392.3917805329</v>
      </c>
    </row>
    <row r="177" spans="1:12" outlineLevel="1" x14ac:dyDescent="0.15">
      <c r="A177" s="119">
        <f t="shared" si="71"/>
        <v>2019</v>
      </c>
      <c r="B177" s="117" t="s">
        <v>156</v>
      </c>
      <c r="C177" s="179">
        <f>E177*VLOOKUP($B177,'Offroad Allocation'!$B$4:$G$15,5,0)</f>
        <v>653506.42897947307</v>
      </c>
      <c r="D177" s="356">
        <f t="shared" si="70"/>
        <v>1263767.6083028661</v>
      </c>
      <c r="E177" s="179">
        <v>1917274.0372823391</v>
      </c>
      <c r="F177" s="179">
        <v>480817.44172558282</v>
      </c>
      <c r="G177" s="179">
        <v>440446.43179631158</v>
      </c>
      <c r="H177" s="179">
        <v>102667.15251290721</v>
      </c>
      <c r="I177" s="179">
        <v>355126.00249165064</v>
      </c>
      <c r="J177" s="179">
        <v>269072.18555608497</v>
      </c>
      <c r="K177" s="179">
        <v>630800.97749189881</v>
      </c>
      <c r="L177" s="577">
        <f t="shared" si="72"/>
        <v>4196204.228856775</v>
      </c>
    </row>
    <row r="178" spans="1:12" outlineLevel="1" x14ac:dyDescent="0.15">
      <c r="A178" s="119">
        <f t="shared" si="71"/>
        <v>2019</v>
      </c>
      <c r="B178" s="117" t="s">
        <v>157</v>
      </c>
      <c r="C178" s="179">
        <f>E178*VLOOKUP($B178,'Offroad Allocation'!$B$4:$G$15,5,0)</f>
        <v>16424.561267362529</v>
      </c>
      <c r="D178" s="356">
        <f t="shared" si="70"/>
        <v>31762.240721476686</v>
      </c>
      <c r="E178" s="179">
        <v>48186.801988839215</v>
      </c>
      <c r="F178" s="179">
        <v>12353.175647879458</v>
      </c>
      <c r="G178" s="179">
        <v>6575.8579436383843</v>
      </c>
      <c r="H178" s="179">
        <v>381.3890539223799</v>
      </c>
      <c r="I178" s="179">
        <v>9380.5982002301862</v>
      </c>
      <c r="J178" s="179">
        <v>4888.9882182965957</v>
      </c>
      <c r="K178" s="179">
        <v>4505.6062526332253</v>
      </c>
      <c r="L178" s="577">
        <f t="shared" si="72"/>
        <v>86272.417305439449</v>
      </c>
    </row>
    <row r="179" spans="1:12" outlineLevel="1" x14ac:dyDescent="0.15">
      <c r="A179" s="119">
        <f t="shared" si="71"/>
        <v>2019</v>
      </c>
      <c r="B179" s="117" t="s">
        <v>160</v>
      </c>
      <c r="C179" s="179">
        <f>E179*VLOOKUP($B179,'Offroad Allocation'!$B$4:$G$15,5,0)</f>
        <v>5938168.5364679713</v>
      </c>
      <c r="D179" s="356">
        <f t="shared" si="70"/>
        <v>18786776.162029833</v>
      </c>
      <c r="E179" s="179">
        <v>24724944.698497802</v>
      </c>
      <c r="F179" s="179">
        <v>12142640.959974974</v>
      </c>
      <c r="G179" s="179">
        <v>6298380.4471533382</v>
      </c>
      <c r="H179" s="179">
        <v>559407.28943766397</v>
      </c>
      <c r="I179" s="179">
        <v>10724045.122961506</v>
      </c>
      <c r="J179" s="179">
        <v>2941237.5727176839</v>
      </c>
      <c r="K179" s="179">
        <v>4835403.5575626921</v>
      </c>
      <c r="L179" s="577">
        <f t="shared" si="72"/>
        <v>62226059.648305662</v>
      </c>
    </row>
    <row r="180" spans="1:12" outlineLevel="1" x14ac:dyDescent="0.15">
      <c r="A180" s="119">
        <f t="shared" si="71"/>
        <v>2019</v>
      </c>
      <c r="B180" s="117" t="s">
        <v>161</v>
      </c>
      <c r="C180" s="179">
        <f>E180*VLOOKUP($B180,'Offroad Allocation'!$B$4:$G$15,5,0)</f>
        <v>0</v>
      </c>
      <c r="D180" s="356">
        <f t="shared" si="70"/>
        <v>9409.4223203124911</v>
      </c>
      <c r="E180" s="179">
        <v>9409.4223203124911</v>
      </c>
      <c r="F180" s="179">
        <v>1526.5937298409501</v>
      </c>
      <c r="G180" s="179">
        <v>2313.76557282366</v>
      </c>
      <c r="H180" s="179">
        <v>4062.74577106584</v>
      </c>
      <c r="I180" s="179">
        <v>5611.5250016741002</v>
      </c>
      <c r="J180" s="179">
        <v>13453.8797628348</v>
      </c>
      <c r="K180" s="179">
        <v>14097.073761718701</v>
      </c>
      <c r="L180" s="577">
        <f t="shared" si="72"/>
        <v>50475.005920270545</v>
      </c>
    </row>
    <row r="181" spans="1:12" outlineLevel="1" x14ac:dyDescent="0.15">
      <c r="A181" s="119">
        <f t="shared" si="71"/>
        <v>2019</v>
      </c>
      <c r="B181" s="117" t="s">
        <v>163</v>
      </c>
      <c r="C181" s="179">
        <f>E181*VLOOKUP($B181,'Offroad Allocation'!$B$4:$G$15,5,0)</f>
        <v>1346317.5664563426</v>
      </c>
      <c r="D181" s="356">
        <f t="shared" ref="D181" si="73">E181-C181</f>
        <v>1239599.3472579424</v>
      </c>
      <c r="E181" s="179">
        <v>2585916.913714285</v>
      </c>
      <c r="F181" s="179">
        <v>449724.82149107038</v>
      </c>
      <c r="G181" s="179">
        <v>224862.35212611541</v>
      </c>
      <c r="H181" s="179">
        <v>8683410.2843482085</v>
      </c>
      <c r="I181" s="179">
        <v>1349174.7318571419</v>
      </c>
      <c r="J181" s="179">
        <v>337293.46952901752</v>
      </c>
      <c r="K181" s="179">
        <v>562155.62079464097</v>
      </c>
      <c r="L181" s="577">
        <f>SUM(E181:K181)</f>
        <v>14192538.193860479</v>
      </c>
    </row>
    <row r="182" spans="1:12" ht="15" outlineLevel="1" x14ac:dyDescent="0.15">
      <c r="A182" s="82"/>
      <c r="B182" s="609" t="s">
        <v>473</v>
      </c>
      <c r="C182" s="609"/>
      <c r="D182" s="609"/>
      <c r="E182" s="609"/>
      <c r="F182" s="609"/>
      <c r="G182" s="609"/>
      <c r="H182" s="609"/>
      <c r="I182" s="609"/>
      <c r="J182" s="609"/>
      <c r="K182" s="609"/>
      <c r="L182" s="609"/>
    </row>
    <row r="183" spans="1:12" outlineLevel="1" x14ac:dyDescent="0.15">
      <c r="A183" s="119"/>
      <c r="B183" s="117" t="s">
        <v>155</v>
      </c>
      <c r="C183" s="179">
        <f>E183*VLOOKUP($B183,'Offroad Allocation'!$B$4:$G$15,5,0)</f>
        <v>0</v>
      </c>
      <c r="D183" s="356">
        <f t="shared" ref="D183:D192" si="74">E183-C183</f>
        <v>26663.184794515579</v>
      </c>
      <c r="E183" s="179">
        <v>26663.184794515579</v>
      </c>
      <c r="F183" s="179">
        <v>8954.2277226387941</v>
      </c>
      <c r="G183" s="179">
        <v>320091.82865340012</v>
      </c>
      <c r="H183" s="179">
        <v>280288.55223980901</v>
      </c>
      <c r="I183" s="179">
        <v>53109.101733084419</v>
      </c>
      <c r="J183" s="179">
        <v>360946.10659019195</v>
      </c>
      <c r="K183" s="179">
        <v>436477.19958638167</v>
      </c>
      <c r="L183" s="577">
        <f t="shared" ref="L183:L192" si="75">SUM(E183:K183)</f>
        <v>1486530.2013200214</v>
      </c>
    </row>
    <row r="184" spans="1:12" outlineLevel="1" x14ac:dyDescent="0.15">
      <c r="A184" s="119"/>
      <c r="B184" s="117" t="s">
        <v>159</v>
      </c>
      <c r="C184" s="179">
        <f>E184*VLOOKUP($B184,'Offroad Allocation'!$B$4:$G$15,5,0)</f>
        <v>912750.67</v>
      </c>
      <c r="D184" s="356">
        <f t="shared" si="74"/>
        <v>0</v>
      </c>
      <c r="E184" s="179">
        <v>912750.67</v>
      </c>
      <c r="F184" s="179">
        <v>214.88469506835901</v>
      </c>
      <c r="G184" s="179">
        <v>97.860215515136701</v>
      </c>
      <c r="H184" s="179">
        <v>0</v>
      </c>
      <c r="I184" s="179">
        <v>108.054044158935</v>
      </c>
      <c r="J184" s="179">
        <v>93.782748046875</v>
      </c>
      <c r="K184" s="179">
        <v>220.18567749023399</v>
      </c>
      <c r="L184" s="577">
        <f t="shared" si="75"/>
        <v>913485.43738027953</v>
      </c>
    </row>
    <row r="185" spans="1:12" outlineLevel="1" x14ac:dyDescent="0.15">
      <c r="A185" s="119"/>
      <c r="B185" s="117" t="s">
        <v>104</v>
      </c>
      <c r="C185" s="179">
        <f>E185*VLOOKUP($B185,'Offroad Allocation'!$B$4:$G$15,5,0)</f>
        <v>49242914.598635927</v>
      </c>
      <c r="D185" s="356">
        <f>E185-C185</f>
        <v>95227219.884221122</v>
      </c>
      <c r="E185" s="179">
        <v>144470134.48285705</v>
      </c>
      <c r="F185" s="179">
        <v>52397873.210857131</v>
      </c>
      <c r="G185" s="179">
        <v>14480806.094142839</v>
      </c>
      <c r="H185" s="179">
        <v>1233488.0589949759</v>
      </c>
      <c r="I185" s="179">
        <v>24652844.513142768</v>
      </c>
      <c r="J185" s="179">
        <v>9090636.2581428383</v>
      </c>
      <c r="K185" s="179">
        <v>11895558.68485713</v>
      </c>
      <c r="L185" s="577">
        <f t="shared" si="75"/>
        <v>258221341.3029947</v>
      </c>
    </row>
    <row r="186" spans="1:12" outlineLevel="1" x14ac:dyDescent="0.15">
      <c r="A186" s="119"/>
      <c r="B186" s="117" t="s">
        <v>156</v>
      </c>
      <c r="C186" s="179">
        <f>E186*VLOOKUP($B186,'Offroad Allocation'!$B$4:$G$15,5,0)</f>
        <v>4620814.1039836723</v>
      </c>
      <c r="D186" s="356">
        <f t="shared" si="74"/>
        <v>8935849.6407187171</v>
      </c>
      <c r="E186" s="179">
        <v>13556663.744702389</v>
      </c>
      <c r="F186" s="179">
        <v>3399769.8702640156</v>
      </c>
      <c r="G186" s="179">
        <v>3114310.7854177901</v>
      </c>
      <c r="H186" s="179">
        <v>725939.02357546391</v>
      </c>
      <c r="I186" s="179">
        <v>2511026.875479524</v>
      </c>
      <c r="J186" s="179">
        <v>1902556.8349115469</v>
      </c>
      <c r="K186" s="179">
        <v>4460273.2088973168</v>
      </c>
      <c r="L186" s="577">
        <f t="shared" si="75"/>
        <v>29670540.343248047</v>
      </c>
    </row>
    <row r="187" spans="1:12" outlineLevel="1" x14ac:dyDescent="0.15">
      <c r="A187" s="119"/>
      <c r="B187" s="117" t="s">
        <v>157</v>
      </c>
      <c r="C187" s="179">
        <f>E187*VLOOKUP($B187,'Offroad Allocation'!$B$4:$G$15,5,0)</f>
        <v>12506308.211315168</v>
      </c>
      <c r="D187" s="356">
        <f t="shared" si="74"/>
        <v>24185021.777970463</v>
      </c>
      <c r="E187" s="179">
        <v>36691329.989285633</v>
      </c>
      <c r="F187" s="179">
        <v>9392712.8876774367</v>
      </c>
      <c r="G187" s="179">
        <v>4998523.1428526724</v>
      </c>
      <c r="H187" s="179">
        <v>290978.50112053531</v>
      </c>
      <c r="I187" s="179">
        <v>7131790.8754910622</v>
      </c>
      <c r="J187" s="179">
        <v>3714796.5256537315</v>
      </c>
      <c r="K187" s="179">
        <v>3432411.3627326884</v>
      </c>
      <c r="L187" s="577">
        <f t="shared" si="75"/>
        <v>65652543.284813762</v>
      </c>
    </row>
    <row r="188" spans="1:12" outlineLevel="1" x14ac:dyDescent="0.15">
      <c r="A188" s="119"/>
      <c r="B188" s="117" t="s">
        <v>160</v>
      </c>
      <c r="C188" s="179">
        <f>E188*VLOOKUP($B188,'Offroad Allocation'!$B$4:$G$15,5,0)</f>
        <v>65994952.328856356</v>
      </c>
      <c r="D188" s="356">
        <f t="shared" si="74"/>
        <v>208790368.54745579</v>
      </c>
      <c r="E188" s="179">
        <v>274785320.87631214</v>
      </c>
      <c r="F188" s="179">
        <v>123932133.70298055</v>
      </c>
      <c r="G188" s="179">
        <v>63817733.526685469</v>
      </c>
      <c r="H188" s="179">
        <v>5816716.9520517681</v>
      </c>
      <c r="I188" s="179">
        <v>108341175.87631397</v>
      </c>
      <c r="J188" s="179">
        <v>30277031.165246736</v>
      </c>
      <c r="K188" s="179">
        <v>50217177.84718854</v>
      </c>
      <c r="L188" s="577">
        <f t="shared" si="75"/>
        <v>657187289.94677913</v>
      </c>
    </row>
    <row r="189" spans="1:12" outlineLevel="1" x14ac:dyDescent="0.15">
      <c r="A189" s="119"/>
      <c r="B189" s="117" t="s">
        <v>161</v>
      </c>
      <c r="C189" s="179">
        <f>E189*VLOOKUP($B189,'Offroad Allocation'!$B$4:$G$15,5,0)</f>
        <v>0</v>
      </c>
      <c r="D189" s="356">
        <f t="shared" si="74"/>
        <v>34383.531390345968</v>
      </c>
      <c r="E189" s="179">
        <v>34383.531390345968</v>
      </c>
      <c r="F189" s="179">
        <v>5578.4281384626065</v>
      </c>
      <c r="G189" s="179">
        <v>8454.8889543500572</v>
      </c>
      <c r="H189" s="179">
        <v>14845.975661682107</v>
      </c>
      <c r="I189" s="179">
        <v>20505.437421561102</v>
      </c>
      <c r="J189" s="179">
        <v>49162.769498011985</v>
      </c>
      <c r="K189" s="179">
        <v>51513.177795793737</v>
      </c>
      <c r="L189" s="577">
        <f t="shared" si="75"/>
        <v>184444.20886020758</v>
      </c>
    </row>
    <row r="190" spans="1:12" outlineLevel="1" x14ac:dyDescent="0.15">
      <c r="A190" s="119"/>
      <c r="B190" s="117" t="s">
        <v>158</v>
      </c>
      <c r="C190" s="179">
        <f>E190*VLOOKUP($B190,'Offroad Allocation'!$B$4:$G$15,5,0)</f>
        <v>100076.16117834016</v>
      </c>
      <c r="D190" s="356">
        <f t="shared" si="74"/>
        <v>193529.86482165987</v>
      </c>
      <c r="E190" s="179">
        <v>293606.02600000001</v>
      </c>
      <c r="F190" s="179">
        <v>239778.19200000001</v>
      </c>
      <c r="G190" s="179">
        <v>29360.602125000001</v>
      </c>
      <c r="H190" s="179">
        <v>0</v>
      </c>
      <c r="I190" s="179">
        <v>190843.92</v>
      </c>
      <c r="J190" s="179">
        <v>0</v>
      </c>
      <c r="K190" s="179">
        <v>293606.02600000001</v>
      </c>
      <c r="L190" s="577">
        <f t="shared" si="75"/>
        <v>1047194.7661250001</v>
      </c>
    </row>
    <row r="191" spans="1:12" outlineLevel="1" x14ac:dyDescent="0.15">
      <c r="A191" s="119">
        <f t="shared" si="71"/>
        <v>2019</v>
      </c>
      <c r="B191" s="117" t="s">
        <v>162</v>
      </c>
      <c r="C191" s="179">
        <f>E191*VLOOKUP($B191,'Offroad Allocation'!$B$4:$G$15,5,0)</f>
        <v>78648.094235005861</v>
      </c>
      <c r="D191" s="356">
        <f t="shared" si="74"/>
        <v>28015.241907851145</v>
      </c>
      <c r="E191" s="179">
        <v>106663.33614285701</v>
      </c>
      <c r="F191" s="179">
        <v>44114.113851562499</v>
      </c>
      <c r="G191" s="179">
        <v>19194.879676339202</v>
      </c>
      <c r="H191" s="179">
        <v>3072.5708779994397</v>
      </c>
      <c r="I191" s="179">
        <v>14250.168517857101</v>
      </c>
      <c r="J191" s="179">
        <v>2782.0679432198599</v>
      </c>
      <c r="K191" s="179">
        <v>23574.404170758899</v>
      </c>
      <c r="L191" s="577">
        <f t="shared" si="75"/>
        <v>213651.54118059398</v>
      </c>
    </row>
    <row r="192" spans="1:12" outlineLevel="1" x14ac:dyDescent="0.15">
      <c r="A192" s="119">
        <f t="shared" si="71"/>
        <v>2019</v>
      </c>
      <c r="B192" s="117" t="s">
        <v>163</v>
      </c>
      <c r="C192" s="179">
        <f>E192*VLOOKUP($B192,'Offroad Allocation'!$B$4:$G$15,5,0)</f>
        <v>6626384.5438517807</v>
      </c>
      <c r="D192" s="356">
        <f t="shared" si="74"/>
        <v>6101132.5707196323</v>
      </c>
      <c r="E192" s="179">
        <v>12727517.114571413</v>
      </c>
      <c r="F192" s="179">
        <v>3150399.1472477643</v>
      </c>
      <c r="G192" s="179">
        <v>1650545.9070636085</v>
      </c>
      <c r="H192" s="179">
        <v>1342082.1496763381</v>
      </c>
      <c r="I192" s="179">
        <v>6211296.5294285621</v>
      </c>
      <c r="J192" s="179">
        <v>2400471.3273593672</v>
      </c>
      <c r="K192" s="179">
        <v>2920819.5657946276</v>
      </c>
      <c r="L192" s="577">
        <f t="shared" si="75"/>
        <v>30403131.741141677</v>
      </c>
    </row>
    <row r="193" spans="1:12" outlineLevel="1" x14ac:dyDescent="0.15">
      <c r="A193" s="82"/>
      <c r="B193" s="171" t="s">
        <v>88</v>
      </c>
      <c r="C193" s="357">
        <f t="shared" ref="C193:K193" si="76">SUM(C175:C192)</f>
        <v>148901594.79489651</v>
      </c>
      <c r="D193" s="357">
        <f t="shared" si="76"/>
        <v>366525171.15824354</v>
      </c>
      <c r="E193" s="357">
        <f t="shared" si="76"/>
        <v>515426765.95314002</v>
      </c>
      <c r="F193" s="357">
        <f t="shared" si="76"/>
        <v>206578368.62619972</v>
      </c>
      <c r="G193" s="357">
        <f t="shared" si="76"/>
        <v>95668396.483264521</v>
      </c>
      <c r="H193" s="357">
        <f t="shared" si="76"/>
        <v>19081203.151012678</v>
      </c>
      <c r="I193" s="357">
        <f t="shared" si="76"/>
        <v>162003424.35855007</v>
      </c>
      <c r="J193" s="357">
        <f t="shared" si="76"/>
        <v>51526833.276408136</v>
      </c>
      <c r="K193" s="357">
        <f t="shared" si="76"/>
        <v>79990833.802002594</v>
      </c>
      <c r="L193" s="357">
        <f t="shared" ref="L193" si="77">SUM(E193:K193)</f>
        <v>1130275825.6505778</v>
      </c>
    </row>
    <row r="194" spans="1:12" outlineLevel="1" x14ac:dyDescent="0.15">
      <c r="A194" s="82"/>
      <c r="B194" s="101" t="s">
        <v>460</v>
      </c>
      <c r="C194" s="177"/>
      <c r="D194" s="177"/>
      <c r="E194" s="177"/>
      <c r="F194" s="177"/>
      <c r="G194" s="177"/>
      <c r="H194" s="177"/>
      <c r="I194" s="177"/>
      <c r="J194" s="177"/>
      <c r="K194" s="177"/>
    </row>
    <row r="195" spans="1:12" outlineLevel="1" x14ac:dyDescent="0.15">
      <c r="A195" s="82"/>
      <c r="B195" s="101"/>
      <c r="C195" s="177"/>
      <c r="D195" s="177"/>
      <c r="E195" s="177"/>
      <c r="F195" s="177"/>
      <c r="G195" s="177"/>
      <c r="H195" s="177"/>
      <c r="I195" s="177"/>
      <c r="J195" s="177"/>
      <c r="K195" s="177"/>
    </row>
    <row r="196" spans="1:12" outlineLevel="1" x14ac:dyDescent="0.15">
      <c r="A196" s="82"/>
      <c r="B196" s="82" t="s">
        <v>474</v>
      </c>
      <c r="C196" s="69"/>
      <c r="D196" s="66"/>
      <c r="E196" s="66"/>
      <c r="F196" s="66"/>
      <c r="G196" s="66"/>
      <c r="H196" s="66"/>
    </row>
    <row r="197" spans="1:12" ht="15" outlineLevel="1" x14ac:dyDescent="0.15">
      <c r="A197" s="82"/>
      <c r="B197" s="83" t="s">
        <v>459</v>
      </c>
      <c r="C197" s="83" t="s">
        <v>58</v>
      </c>
      <c r="D197" s="83" t="s">
        <v>100</v>
      </c>
      <c r="E197" s="83" t="s">
        <v>59</v>
      </c>
      <c r="F197" s="83" t="s">
        <v>60</v>
      </c>
      <c r="G197" s="83" t="s">
        <v>62</v>
      </c>
      <c r="H197" s="83" t="s">
        <v>61</v>
      </c>
      <c r="I197" s="83" t="s">
        <v>63</v>
      </c>
      <c r="J197" s="83" t="s">
        <v>64</v>
      </c>
      <c r="K197" s="83" t="s">
        <v>65</v>
      </c>
      <c r="L197" s="83" t="s">
        <v>66</v>
      </c>
    </row>
    <row r="198" spans="1:12" ht="15" outlineLevel="1" x14ac:dyDescent="0.15">
      <c r="A198" s="82"/>
      <c r="B198" s="609" t="s">
        <v>472</v>
      </c>
      <c r="C198" s="609"/>
      <c r="D198" s="609"/>
      <c r="E198" s="609"/>
      <c r="F198" s="609"/>
      <c r="G198" s="609"/>
      <c r="H198" s="609"/>
      <c r="I198" s="609"/>
      <c r="J198" s="609"/>
      <c r="K198" s="609"/>
      <c r="L198" s="609"/>
    </row>
    <row r="199" spans="1:12" outlineLevel="1" x14ac:dyDescent="0.15">
      <c r="A199" s="82"/>
      <c r="B199" s="117" t="s">
        <v>155</v>
      </c>
      <c r="C199" s="179">
        <f>E199*VLOOKUP($B199,'Offroad Allocation'!$B$4:$G$15,5,0)</f>
        <v>0</v>
      </c>
      <c r="D199" s="356">
        <f t="shared" ref="D199:D205" si="78">E199-C199</f>
        <v>0.34634850032840397</v>
      </c>
      <c r="E199" s="179">
        <v>0.34634850032840397</v>
      </c>
      <c r="F199" s="179">
        <v>0.116313384911843</v>
      </c>
      <c r="G199" s="179">
        <v>4.1579163605826199</v>
      </c>
      <c r="H199" s="179">
        <v>3.64088495731353</v>
      </c>
      <c r="I199" s="179">
        <v>0.68987457299232402</v>
      </c>
      <c r="J199" s="179">
        <v>4.68860671833583</v>
      </c>
      <c r="K199" s="179">
        <v>5.6697346517017904</v>
      </c>
      <c r="L199" s="577">
        <f>SUM(E199:K199)</f>
        <v>19.309679146166342</v>
      </c>
    </row>
    <row r="200" spans="1:12" outlineLevel="1" x14ac:dyDescent="0.15">
      <c r="A200" s="82"/>
      <c r="B200" s="117" t="s">
        <v>104</v>
      </c>
      <c r="C200" s="179">
        <f>E200*VLOOKUP($B200,'Offroad Allocation'!$B$4:$G$15,5,0)</f>
        <v>1679.7961144236176</v>
      </c>
      <c r="D200" s="356">
        <f t="shared" si="78"/>
        <v>3248.4331045934714</v>
      </c>
      <c r="E200" s="179">
        <v>4928.2292190170892</v>
      </c>
      <c r="F200" s="179">
        <v>1787.4184946279463</v>
      </c>
      <c r="G200" s="179">
        <v>493.97533570751079</v>
      </c>
      <c r="H200" s="179">
        <v>42.077342076960356</v>
      </c>
      <c r="I200" s="179">
        <v>840.96845231795271</v>
      </c>
      <c r="J200" s="179">
        <v>310.10329806527398</v>
      </c>
      <c r="K200" s="179">
        <v>405.78568813551311</v>
      </c>
      <c r="L200" s="577">
        <f t="shared" ref="L200:L204" si="79">SUM(E200:K200)</f>
        <v>8808.5578299482459</v>
      </c>
    </row>
    <row r="201" spans="1:12" outlineLevel="1" x14ac:dyDescent="0.15">
      <c r="A201" s="82"/>
      <c r="B201" s="117" t="s">
        <v>156</v>
      </c>
      <c r="C201" s="179">
        <f>E201*VLOOKUP($B201,'Offroad Allocation'!$B$4:$G$15,5,0)</f>
        <v>1149.6556514549104</v>
      </c>
      <c r="D201" s="356">
        <f t="shared" si="78"/>
        <v>2223.2337871257296</v>
      </c>
      <c r="E201" s="179">
        <v>3372.8894385806398</v>
      </c>
      <c r="F201" s="179">
        <v>845.86110564970488</v>
      </c>
      <c r="G201" s="179">
        <v>774.83796131632505</v>
      </c>
      <c r="H201" s="179">
        <v>180.61322297298352</v>
      </c>
      <c r="I201" s="179">
        <v>624.74122871899067</v>
      </c>
      <c r="J201" s="179">
        <v>473.35468479385003</v>
      </c>
      <c r="K201" s="179">
        <v>1109.7135323799159</v>
      </c>
      <c r="L201" s="577">
        <f t="shared" si="79"/>
        <v>7382.0111744124097</v>
      </c>
    </row>
    <row r="202" spans="1:12" outlineLevel="1" x14ac:dyDescent="0.15">
      <c r="A202" s="82"/>
      <c r="B202" s="117" t="s">
        <v>157</v>
      </c>
      <c r="C202" s="179">
        <f>E202*VLOOKUP($B202,'Offroad Allocation'!$B$4:$G$15,5,0)</f>
        <v>36.699115586008766</v>
      </c>
      <c r="D202" s="356">
        <f t="shared" si="78"/>
        <v>70.969697426522998</v>
      </c>
      <c r="E202" s="179">
        <v>107.66881301253176</v>
      </c>
      <c r="F202" s="179">
        <v>27.60199447039188</v>
      </c>
      <c r="G202" s="179">
        <v>14.693141588279079</v>
      </c>
      <c r="H202" s="179">
        <v>0.85217758687904865</v>
      </c>
      <c r="I202" s="179">
        <v>20.960064476081271</v>
      </c>
      <c r="J202" s="179">
        <v>10.923979224749925</v>
      </c>
      <c r="K202" s="179">
        <v>10.06736010657038</v>
      </c>
      <c r="L202" s="577">
        <f t="shared" si="79"/>
        <v>192.76753046548333</v>
      </c>
    </row>
    <row r="203" spans="1:12" outlineLevel="1" x14ac:dyDescent="0.15">
      <c r="A203" s="82"/>
      <c r="B203" s="117" t="s">
        <v>160</v>
      </c>
      <c r="C203" s="179">
        <f>E203*VLOOKUP($B203,'Offroad Allocation'!$B$4:$G$15,5,0)</f>
        <v>14281.846497018591</v>
      </c>
      <c r="D203" s="356">
        <f t="shared" si="78"/>
        <v>45183.940413983117</v>
      </c>
      <c r="E203" s="179">
        <v>59465.786911001705</v>
      </c>
      <c r="F203" s="179">
        <v>29209.952867166088</v>
      </c>
      <c r="G203" s="179">
        <v>15151.414608670597</v>
      </c>
      <c r="H203" s="179">
        <v>1345.6352308723222</v>
      </c>
      <c r="I203" s="179">
        <v>25797.994589975478</v>
      </c>
      <c r="J203" s="179">
        <v>7075.2059994021765</v>
      </c>
      <c r="K203" s="179">
        <v>11631.431177700822</v>
      </c>
      <c r="L203" s="577">
        <f t="shared" si="79"/>
        <v>149677.4213847892</v>
      </c>
    </row>
    <row r="204" spans="1:12" outlineLevel="1" x14ac:dyDescent="0.15">
      <c r="A204" s="82"/>
      <c r="B204" s="117" t="s">
        <v>161</v>
      </c>
      <c r="C204" s="179">
        <f>E204*VLOOKUP($B204,'Offroad Allocation'!$B$4:$G$15,5,0)</f>
        <v>0</v>
      </c>
      <c r="D204" s="356">
        <f t="shared" si="78"/>
        <v>16.298221541813401</v>
      </c>
      <c r="E204" s="179">
        <v>16.298221541813401</v>
      </c>
      <c r="F204" s="179">
        <v>2.64423726763044</v>
      </c>
      <c r="G204" s="179">
        <v>4.00771480669294</v>
      </c>
      <c r="H204" s="179">
        <v>7.0371433560507599</v>
      </c>
      <c r="I204" s="179">
        <v>9.7198176062447601</v>
      </c>
      <c r="J204" s="179">
        <v>23.303684399196001</v>
      </c>
      <c r="K204" s="179">
        <v>24.417773882184701</v>
      </c>
      <c r="L204" s="577">
        <f t="shared" si="79"/>
        <v>87.428592859813008</v>
      </c>
    </row>
    <row r="205" spans="1:12" outlineLevel="1" x14ac:dyDescent="0.15">
      <c r="A205" s="82"/>
      <c r="B205" s="117" t="s">
        <v>163</v>
      </c>
      <c r="C205" s="179">
        <f>E205*VLOOKUP($B205,'Offroad Allocation'!$B$4:$G$15,5,0)</f>
        <v>3018.8452502086093</v>
      </c>
      <c r="D205" s="356">
        <f t="shared" si="78"/>
        <v>2779.5511956967994</v>
      </c>
      <c r="E205" s="179">
        <v>5798.3964459054087</v>
      </c>
      <c r="F205" s="179">
        <v>1008.4171711185995</v>
      </c>
      <c r="G205" s="179">
        <v>504.20831961604449</v>
      </c>
      <c r="H205" s="179">
        <v>6405.6479501364502</v>
      </c>
      <c r="I205" s="179">
        <v>3025.2491412702211</v>
      </c>
      <c r="J205" s="179">
        <v>756.31293285369759</v>
      </c>
      <c r="K205" s="179">
        <v>1260.5215130528029</v>
      </c>
      <c r="L205" s="577">
        <f>SUM(E205:K205)</f>
        <v>18758.753473953224</v>
      </c>
    </row>
    <row r="206" spans="1:12" ht="15" outlineLevel="1" x14ac:dyDescent="0.15">
      <c r="A206" s="82"/>
      <c r="B206" s="609" t="s">
        <v>473</v>
      </c>
      <c r="C206" s="609"/>
      <c r="D206" s="609"/>
      <c r="E206" s="609"/>
      <c r="F206" s="609"/>
      <c r="G206" s="609"/>
      <c r="H206" s="609"/>
      <c r="I206" s="609"/>
      <c r="J206" s="609"/>
      <c r="K206" s="609"/>
      <c r="L206" s="609"/>
    </row>
    <row r="207" spans="1:12" outlineLevel="1" x14ac:dyDescent="0.15">
      <c r="A207" s="82"/>
      <c r="B207" s="117" t="s">
        <v>155</v>
      </c>
      <c r="C207" s="179">
        <f>E207*VLOOKUP($B207,'Offroad Allocation'!$B$4:$G$15,5,0)</f>
        <v>0</v>
      </c>
      <c r="D207" s="356">
        <f t="shared" ref="D207:D216" si="80">E207-C207</f>
        <v>19.772428285835279</v>
      </c>
      <c r="E207" s="179">
        <v>19.772428285835279</v>
      </c>
      <c r="F207" s="179">
        <v>6.6401266802548502</v>
      </c>
      <c r="G207" s="179">
        <v>237.36821585481718</v>
      </c>
      <c r="H207" s="179">
        <v>207.85163206377476</v>
      </c>
      <c r="I207" s="179">
        <v>39.383729903377912</v>
      </c>
      <c r="J207" s="179">
        <v>267.66422650989688</v>
      </c>
      <c r="K207" s="179">
        <v>323.67539482221849</v>
      </c>
      <c r="L207" s="577">
        <f t="shared" ref="L207:L216" si="81">SUM(E207:K207)</f>
        <v>1102.3557541201753</v>
      </c>
    </row>
    <row r="208" spans="1:12" outlineLevel="1" x14ac:dyDescent="0.15">
      <c r="A208" s="82"/>
      <c r="B208" s="117" t="s">
        <v>159</v>
      </c>
      <c r="C208" s="179">
        <f>E208*VLOOKUP($B208,'Offroad Allocation'!$B$4:$G$15,5,0)</f>
        <v>270.13947381591697</v>
      </c>
      <c r="D208" s="356">
        <f t="shared" si="80"/>
        <v>0</v>
      </c>
      <c r="E208" s="179">
        <v>270.13947381591697</v>
      </c>
      <c r="F208" s="179">
        <v>6.3597735136747297E-2</v>
      </c>
      <c r="G208" s="179">
        <v>2.8962912298738899E-2</v>
      </c>
      <c r="H208" s="179">
        <v>0</v>
      </c>
      <c r="I208" s="179">
        <v>3.1979873783886399E-2</v>
      </c>
      <c r="J208" s="179">
        <v>2.7756114795803997E-2</v>
      </c>
      <c r="K208" s="179">
        <v>6.5166546374559403E-2</v>
      </c>
      <c r="L208" s="577">
        <f t="shared" si="81"/>
        <v>270.35693699830671</v>
      </c>
    </row>
    <row r="209" spans="1:12" outlineLevel="1" x14ac:dyDescent="0.15">
      <c r="A209" s="82"/>
      <c r="B209" s="117" t="s">
        <v>104</v>
      </c>
      <c r="C209" s="179">
        <f>E209*VLOOKUP($B209,'Offroad Allocation'!$B$4:$G$15,5,0)</f>
        <v>33548.675932683313</v>
      </c>
      <c r="D209" s="356">
        <f t="shared" si="80"/>
        <v>64877.295868969712</v>
      </c>
      <c r="E209" s="179">
        <v>98425.971801653024</v>
      </c>
      <c r="F209" s="179">
        <v>35698.123911621042</v>
      </c>
      <c r="G209" s="179">
        <v>9865.6225358363317</v>
      </c>
      <c r="H209" s="179">
        <v>840.36187425258947</v>
      </c>
      <c r="I209" s="179">
        <v>16795.734987243635</v>
      </c>
      <c r="J209" s="179">
        <v>6193.3551734946041</v>
      </c>
      <c r="K209" s="179">
        <v>8104.3164107011953</v>
      </c>
      <c r="L209" s="577">
        <f t="shared" si="81"/>
        <v>175923.48669480241</v>
      </c>
    </row>
    <row r="210" spans="1:12" outlineLevel="1" x14ac:dyDescent="0.15">
      <c r="A210" s="82"/>
      <c r="B210" s="117" t="s">
        <v>156</v>
      </c>
      <c r="C210" s="179">
        <f>E210*VLOOKUP($B210,'Offroad Allocation'!$B$4:$G$15,5,0)</f>
        <v>2995.6743541551573</v>
      </c>
      <c r="D210" s="356">
        <f t="shared" si="80"/>
        <v>5793.1124254078477</v>
      </c>
      <c r="E210" s="179">
        <v>8788.7867795630045</v>
      </c>
      <c r="F210" s="179">
        <v>2204.0705993551146</v>
      </c>
      <c r="G210" s="179">
        <v>2019.0070910502618</v>
      </c>
      <c r="H210" s="179">
        <v>470.62631357288279</v>
      </c>
      <c r="I210" s="179">
        <v>1627.8986910032415</v>
      </c>
      <c r="J210" s="179">
        <v>1233.4277265542976</v>
      </c>
      <c r="K210" s="179">
        <v>2891.5948697039335</v>
      </c>
      <c r="L210" s="577">
        <f t="shared" si="81"/>
        <v>19235.412070802737</v>
      </c>
    </row>
    <row r="211" spans="1:12" outlineLevel="1" x14ac:dyDescent="0.15">
      <c r="A211" s="82"/>
      <c r="B211" s="117" t="s">
        <v>157</v>
      </c>
      <c r="C211" s="179">
        <f>E211*VLOOKUP($B211,'Offroad Allocation'!$B$4:$G$15,5,0)</f>
        <v>3750.8355392452104</v>
      </c>
      <c r="D211" s="356">
        <f t="shared" si="80"/>
        <v>7253.462626177472</v>
      </c>
      <c r="E211" s="179">
        <v>11004.298165422682</v>
      </c>
      <c r="F211" s="179">
        <v>2811.9331071858992</v>
      </c>
      <c r="G211" s="179">
        <v>1495.8915872391271</v>
      </c>
      <c r="H211" s="179">
        <v>87.485392756972814</v>
      </c>
      <c r="I211" s="179">
        <v>2134.7983098828354</v>
      </c>
      <c r="J211" s="179">
        <v>1111.1549702914083</v>
      </c>
      <c r="K211" s="179">
        <v>1030.0588902775874</v>
      </c>
      <c r="L211" s="577">
        <f t="shared" si="81"/>
        <v>19675.620423056516</v>
      </c>
    </row>
    <row r="212" spans="1:12" outlineLevel="1" x14ac:dyDescent="0.15">
      <c r="A212" s="82"/>
      <c r="B212" s="117" t="s">
        <v>160</v>
      </c>
      <c r="C212" s="179">
        <f>E212*VLOOKUP($B212,'Offroad Allocation'!$B$4:$G$15,5,0)</f>
        <v>46481.990601030891</v>
      </c>
      <c r="D212" s="356">
        <f t="shared" si="80"/>
        <v>147056.57941910654</v>
      </c>
      <c r="E212" s="179">
        <v>193538.57002013744</v>
      </c>
      <c r="F212" s="179">
        <v>86267.687595528027</v>
      </c>
      <c r="G212" s="179">
        <v>44375.790989755536</v>
      </c>
      <c r="H212" s="179">
        <v>4059.7644153958699</v>
      </c>
      <c r="I212" s="179">
        <v>75302.716648415371</v>
      </c>
      <c r="J212" s="179">
        <v>21101.47882277707</v>
      </c>
      <c r="K212" s="179">
        <v>35042.903427932717</v>
      </c>
      <c r="L212" s="577">
        <f t="shared" si="81"/>
        <v>459688.91191994195</v>
      </c>
    </row>
    <row r="213" spans="1:12" outlineLevel="1" x14ac:dyDescent="0.15">
      <c r="A213" s="82"/>
      <c r="B213" s="117" t="s">
        <v>161</v>
      </c>
      <c r="C213" s="179">
        <f>E213*VLOOKUP($B213,'Offroad Allocation'!$B$4:$G$15,5,0)</f>
        <v>0</v>
      </c>
      <c r="D213" s="356">
        <f t="shared" si="80"/>
        <v>26.469465306605525</v>
      </c>
      <c r="E213" s="179">
        <v>26.469465306605525</v>
      </c>
      <c r="F213" s="179">
        <v>4.2944311116252623</v>
      </c>
      <c r="G213" s="179">
        <v>6.508811482912721</v>
      </c>
      <c r="H213" s="179">
        <v>11.428837057786307</v>
      </c>
      <c r="I213" s="179">
        <v>15.785650956128286</v>
      </c>
      <c r="J213" s="179">
        <v>37.846864852700826</v>
      </c>
      <c r="K213" s="179">
        <v>39.656216080035456</v>
      </c>
      <c r="L213" s="577">
        <f t="shared" si="81"/>
        <v>141.99027684779438</v>
      </c>
    </row>
    <row r="214" spans="1:12" outlineLevel="1" x14ac:dyDescent="0.15">
      <c r="A214" s="82"/>
      <c r="B214" s="117" t="s">
        <v>158</v>
      </c>
      <c r="C214" s="179">
        <f>E214*VLOOKUP($B214,'Offroad Allocation'!$B$4:$G$15,5,0)</f>
        <v>81.797444490026507</v>
      </c>
      <c r="D214" s="356">
        <f t="shared" si="80"/>
        <v>158.18201046602746</v>
      </c>
      <c r="E214" s="179">
        <v>239.97945495605398</v>
      </c>
      <c r="F214" s="179">
        <v>195.98316583251901</v>
      </c>
      <c r="G214" s="179">
        <v>23.997942142486501</v>
      </c>
      <c r="H214" s="179">
        <v>0</v>
      </c>
      <c r="I214" s="179">
        <v>155.98665438842701</v>
      </c>
      <c r="J214" s="179">
        <v>0</v>
      </c>
      <c r="K214" s="179">
        <v>239.97945495605398</v>
      </c>
      <c r="L214" s="577">
        <f t="shared" si="81"/>
        <v>855.92667227554057</v>
      </c>
    </row>
    <row r="215" spans="1:12" outlineLevel="1" x14ac:dyDescent="0.15">
      <c r="A215" s="82"/>
      <c r="B215" s="117" t="s">
        <v>162</v>
      </c>
      <c r="C215" s="179">
        <f>E215*VLOOKUP($B215,'Offroad Allocation'!$B$4:$G$15,5,0)</f>
        <v>51.961268123541686</v>
      </c>
      <c r="D215" s="356">
        <f t="shared" si="80"/>
        <v>18.509126133050117</v>
      </c>
      <c r="E215" s="179">
        <v>70.470394256591803</v>
      </c>
      <c r="F215" s="179">
        <v>29.1452671770368</v>
      </c>
      <c r="G215" s="179">
        <v>12.681678068705899</v>
      </c>
      <c r="H215" s="179">
        <v>2.0299867617062102</v>
      </c>
      <c r="I215" s="179">
        <v>9.4148156482151499</v>
      </c>
      <c r="J215" s="179">
        <v>1.83805721872193</v>
      </c>
      <c r="K215" s="179">
        <v>15.5751426955631</v>
      </c>
      <c r="L215" s="577">
        <f t="shared" si="81"/>
        <v>141.15534182654088</v>
      </c>
    </row>
    <row r="216" spans="1:12" outlineLevel="1" x14ac:dyDescent="0.15">
      <c r="A216" s="82"/>
      <c r="B216" s="117" t="s">
        <v>163</v>
      </c>
      <c r="C216" s="179">
        <f>E216*VLOOKUP($B216,'Offroad Allocation'!$B$4:$G$15,5,0)</f>
        <v>6150.1821730754382</v>
      </c>
      <c r="D216" s="356">
        <f t="shared" si="80"/>
        <v>5662.6772146547373</v>
      </c>
      <c r="E216" s="179">
        <v>11812.859387730176</v>
      </c>
      <c r="F216" s="179">
        <v>2763.5563189119512</v>
      </c>
      <c r="G216" s="179">
        <v>1438.8070795435208</v>
      </c>
      <c r="H216" s="179">
        <v>1394.8546382326349</v>
      </c>
      <c r="I216" s="179">
        <v>5838.4121447797352</v>
      </c>
      <c r="J216" s="179">
        <v>2101.1815833129849</v>
      </c>
      <c r="K216" s="179">
        <v>2684.5509785679378</v>
      </c>
      <c r="L216" s="577">
        <f t="shared" si="81"/>
        <v>28034.222131078943</v>
      </c>
    </row>
    <row r="217" spans="1:12" outlineLevel="1" x14ac:dyDescent="0.15">
      <c r="A217" s="82"/>
      <c r="B217" s="171" t="s">
        <v>88</v>
      </c>
      <c r="C217" s="357">
        <f t="shared" ref="C217:K217" si="82">SUM(C199:C216)</f>
        <v>113498.09941531124</v>
      </c>
      <c r="D217" s="357">
        <f t="shared" si="82"/>
        <v>284388.83335337561</v>
      </c>
      <c r="E217" s="357">
        <f t="shared" si="82"/>
        <v>397886.93276868685</v>
      </c>
      <c r="F217" s="357">
        <f t="shared" si="82"/>
        <v>162863.5103048239</v>
      </c>
      <c r="G217" s="357">
        <f t="shared" si="82"/>
        <v>76422.999891952029</v>
      </c>
      <c r="H217" s="357">
        <f t="shared" si="82"/>
        <v>15059.907042053177</v>
      </c>
      <c r="I217" s="357">
        <f t="shared" si="82"/>
        <v>132240.4867810327</v>
      </c>
      <c r="J217" s="357">
        <f t="shared" si="82"/>
        <v>40701.86836658376</v>
      </c>
      <c r="K217" s="357">
        <f t="shared" si="82"/>
        <v>64819.98273219313</v>
      </c>
      <c r="L217" s="357">
        <f>SUM(E217:K217)</f>
        <v>889995.68788732542</v>
      </c>
    </row>
    <row r="218" spans="1:12" outlineLevel="1" x14ac:dyDescent="0.15">
      <c r="A218" s="82"/>
      <c r="B218" s="101" t="s">
        <v>460</v>
      </c>
      <c r="C218" s="177"/>
      <c r="D218" s="177"/>
      <c r="E218" s="177"/>
      <c r="F218" s="177"/>
      <c r="G218" s="177"/>
      <c r="H218" s="177"/>
      <c r="I218" s="177"/>
      <c r="J218" s="177"/>
      <c r="K218" s="177"/>
    </row>
    <row r="219" spans="1:12" outlineLevel="1" x14ac:dyDescent="0.15">
      <c r="A219" s="82"/>
      <c r="B219" s="101"/>
      <c r="C219" s="177"/>
      <c r="D219" s="177"/>
      <c r="E219" s="177"/>
      <c r="F219" s="177"/>
      <c r="G219" s="177"/>
      <c r="H219" s="177"/>
      <c r="I219" s="177"/>
      <c r="J219" s="177"/>
      <c r="K219" s="177"/>
    </row>
    <row r="220" spans="1:12" outlineLevel="1" x14ac:dyDescent="0.15">
      <c r="A220" s="82"/>
      <c r="B220" s="82" t="s">
        <v>471</v>
      </c>
      <c r="C220" s="69"/>
      <c r="D220" s="66"/>
      <c r="E220" s="66"/>
      <c r="F220" s="66"/>
      <c r="G220" s="66"/>
      <c r="H220" s="66"/>
    </row>
    <row r="221" spans="1:12" ht="15" outlineLevel="1" x14ac:dyDescent="0.15">
      <c r="A221" s="82"/>
      <c r="B221" s="83" t="s">
        <v>459</v>
      </c>
      <c r="C221" s="83" t="s">
        <v>58</v>
      </c>
      <c r="D221" s="83" t="s">
        <v>100</v>
      </c>
      <c r="E221" s="83" t="s">
        <v>59</v>
      </c>
      <c r="F221" s="83" t="s">
        <v>60</v>
      </c>
      <c r="G221" s="83" t="s">
        <v>62</v>
      </c>
      <c r="H221" s="83" t="s">
        <v>61</v>
      </c>
      <c r="I221" s="83" t="s">
        <v>63</v>
      </c>
      <c r="J221" s="83" t="s">
        <v>64</v>
      </c>
      <c r="K221" s="83" t="s">
        <v>65</v>
      </c>
    </row>
    <row r="222" spans="1:12" ht="15" outlineLevel="1" x14ac:dyDescent="0.15">
      <c r="A222" s="82"/>
      <c r="B222" s="609" t="s">
        <v>472</v>
      </c>
      <c r="C222" s="609"/>
      <c r="D222" s="609"/>
      <c r="E222" s="609"/>
      <c r="F222" s="609"/>
      <c r="G222" s="609"/>
      <c r="H222" s="609"/>
      <c r="I222" s="609"/>
      <c r="J222" s="609"/>
      <c r="K222" s="609"/>
    </row>
    <row r="223" spans="1:12" outlineLevel="1" x14ac:dyDescent="0.15">
      <c r="A223" s="82"/>
      <c r="B223" s="117" t="s">
        <v>155</v>
      </c>
      <c r="C223" s="234">
        <f>C151*1000/'Constants &amp; Conversions'!$D$56</f>
        <v>0</v>
      </c>
      <c r="D223" s="179">
        <f>D151*1000/'Constants &amp; Conversions'!$D$56</f>
        <v>26.210798389567454</v>
      </c>
      <c r="E223" s="179">
        <f>E151*1000/'Constants &amp; Conversions'!$D$56</f>
        <v>26.210798389567454</v>
      </c>
      <c r="F223" s="179">
        <f>F151*1000/'Constants &amp; Conversions'!$D$56</f>
        <v>8.8023106527935546</v>
      </c>
      <c r="G223" s="179">
        <f>G151*1000/'Constants &amp; Conversions'!$D$56</f>
        <v>314.66077286079076</v>
      </c>
      <c r="H223" s="179">
        <f>H151*1000/'Constants &amp; Conversions'!$D$56</f>
        <v>275.53302768846811</v>
      </c>
      <c r="I223" s="179">
        <f>I151*1000/'Constants &amp; Conversions'!$D$56</f>
        <v>52.207950432911232</v>
      </c>
      <c r="J223" s="179">
        <f>J151*1000/'Constants &amp; Conversions'!$D$56</f>
        <v>354.82208115896088</v>
      </c>
      <c r="K223" s="179">
        <f>K151*1000/'Constants &amp; Conversions'!$D$56</f>
        <v>429.07158878065167</v>
      </c>
    </row>
    <row r="224" spans="1:12" outlineLevel="1" x14ac:dyDescent="0.15">
      <c r="A224" s="82"/>
      <c r="B224" s="117" t="s">
        <v>104</v>
      </c>
      <c r="C224" s="234">
        <f>C152*1000/'Constants &amp; Conversions'!$D$56</f>
        <v>109378.8405790423</v>
      </c>
      <c r="D224" s="179">
        <f>D152*1000/'Constants &amp; Conversions'!$D$56</f>
        <v>211519.62647617448</v>
      </c>
      <c r="E224" s="179">
        <f>E152*1000/'Constants &amp; Conversions'!$D$56</f>
        <v>320898.46705521672</v>
      </c>
      <c r="F224" s="179">
        <f>F152*1000/'Constants &amp; Conversions'!$D$56</f>
        <v>116386.70209285675</v>
      </c>
      <c r="G224" s="179">
        <f>G152*1000/'Constants &amp; Conversions'!$D$56</f>
        <v>32164.967474064426</v>
      </c>
      <c r="H224" s="179">
        <f>H152*1000/'Constants &amp; Conversions'!$D$56</f>
        <v>2739.8357402371707</v>
      </c>
      <c r="I224" s="179">
        <f>I152*1000/'Constants &amp; Conversions'!$D$56</f>
        <v>54759.145080678223</v>
      </c>
      <c r="J224" s="179">
        <f>J152*1000/'Constants &amp; Conversions'!$D$56</f>
        <v>20192.219729325658</v>
      </c>
      <c r="K224" s="179">
        <f>K152*1000/'Constants &amp; Conversions'!$D$56</f>
        <v>26422.542806706839</v>
      </c>
    </row>
    <row r="225" spans="1:11" outlineLevel="1" x14ac:dyDescent="0.15">
      <c r="A225" s="82"/>
      <c r="B225" s="117" t="s">
        <v>156</v>
      </c>
      <c r="C225" s="234">
        <f>C153*1000/'Constants &amp; Conversions'!$D$56</f>
        <v>90990.180551606871</v>
      </c>
      <c r="D225" s="179">
        <f>D153*1000/'Constants &amp; Conversions'!$D$56</f>
        <v>175959.16085220652</v>
      </c>
      <c r="E225" s="179">
        <f>E153*1000/'Constants &amp; Conversions'!$D$56</f>
        <v>266949.34140381339</v>
      </c>
      <c r="F225" s="179">
        <f>F153*1000/'Constants &amp; Conversions'!$D$56</f>
        <v>66946.097509314655</v>
      </c>
      <c r="G225" s="179">
        <f>G153*1000/'Constants &amp; Conversions'!$D$56</f>
        <v>61325.01592423398</v>
      </c>
      <c r="H225" s="179">
        <f>H153*1000/'Constants &amp; Conversions'!$D$56</f>
        <v>14294.740599253197</v>
      </c>
      <c r="I225" s="179">
        <f>I153*1000/'Constants &amp; Conversions'!$D$56</f>
        <v>49445.541862389655</v>
      </c>
      <c r="J225" s="179">
        <f>J153*1000/'Constants &amp; Conversions'!$D$56</f>
        <v>37463.934265926953</v>
      </c>
      <c r="K225" s="179">
        <f>K153*1000/'Constants &amp; Conversions'!$D$56</f>
        <v>87828.88340905431</v>
      </c>
    </row>
    <row r="226" spans="1:11" outlineLevel="1" x14ac:dyDescent="0.15">
      <c r="A226" s="82"/>
      <c r="B226" s="117" t="s">
        <v>157</v>
      </c>
      <c r="C226" s="234">
        <f>C154*1000/'Constants &amp; Conversions'!$D$56</f>
        <v>2085.3730629753045</v>
      </c>
      <c r="D226" s="179">
        <f>D154*1000/'Constants &amp; Conversions'!$D$56</f>
        <v>4032.7482811929663</v>
      </c>
      <c r="E226" s="179">
        <f>E154*1000/'Constants &amp; Conversions'!$D$56</f>
        <v>6118.1213441682703</v>
      </c>
      <c r="F226" s="179">
        <f>F154*1000/'Constants &amp; Conversions'!$D$56</f>
        <v>1568.4437506228485</v>
      </c>
      <c r="G226" s="179">
        <f>G154*1000/'Constants &amp; Conversions'!$D$56</f>
        <v>834.9158722032854</v>
      </c>
      <c r="H226" s="179">
        <f>H154*1000/'Constants &amp; Conversions'!$D$56</f>
        <v>48.423726382783371</v>
      </c>
      <c r="I226" s="179">
        <f>I154*1000/'Constants &amp; Conversions'!$D$56</f>
        <v>1191.0233739494795</v>
      </c>
      <c r="J226" s="179">
        <f>J154*1000/'Constants &amp; Conversions'!$D$56</f>
        <v>620.73903249102182</v>
      </c>
      <c r="K226" s="179">
        <f>K154*1000/'Constants &amp; Conversions'!$D$56</f>
        <v>572.06291804459738</v>
      </c>
    </row>
    <row r="227" spans="1:11" outlineLevel="1" x14ac:dyDescent="0.15">
      <c r="A227" s="82"/>
      <c r="B227" s="117" t="s">
        <v>160</v>
      </c>
      <c r="C227" s="234">
        <f>C155*1000/'Constants &amp; Conversions'!$D$56</f>
        <v>797470.47575626627</v>
      </c>
      <c r="D227" s="179">
        <f>D155*1000/'Constants &amp; Conversions'!$D$56</f>
        <v>2522983.1777007235</v>
      </c>
      <c r="E227" s="179">
        <f>E155*1000/'Constants &amp; Conversions'!$D$56</f>
        <v>3320453.6534569901</v>
      </c>
      <c r="F227" s="179">
        <f>F155*1000/'Constants &amp; Conversions'!$D$56</f>
        <v>1646486.0343792164</v>
      </c>
      <c r="G227" s="179">
        <f>G155*1000/'Constants &amp; Conversions'!$D$56</f>
        <v>854698.25858568167</v>
      </c>
      <c r="H227" s="179">
        <f>H155*1000/'Constants &amp; Conversions'!$D$56</f>
        <v>75699.463768281101</v>
      </c>
      <c r="I227" s="179">
        <f>I155*1000/'Constants &amp; Conversions'!$D$56</f>
        <v>1455724.626447144</v>
      </c>
      <c r="J227" s="179">
        <f>J155*1000/'Constants &amp; Conversions'!$D$56</f>
        <v>398448.85482323961</v>
      </c>
      <c r="K227" s="179">
        <f>K155*1000/'Constants &amp; Conversions'!$D$56</f>
        <v>654418.54246382636</v>
      </c>
    </row>
    <row r="228" spans="1:11" outlineLevel="1" x14ac:dyDescent="0.15">
      <c r="A228" s="82"/>
      <c r="B228" s="117" t="s">
        <v>161</v>
      </c>
      <c r="C228" s="234">
        <f>C156*1000/'Constants &amp; Conversions'!$D$56</f>
        <v>0</v>
      </c>
      <c r="D228" s="179">
        <f>D156*1000/'Constants &amp; Conversions'!$D$56</f>
        <v>1332.4284363422578</v>
      </c>
      <c r="E228" s="179">
        <f>E156*1000/'Constants &amp; Conversions'!$D$56</f>
        <v>1332.4284363422578</v>
      </c>
      <c r="F228" s="179">
        <f>F156*1000/'Constants &amp; Conversions'!$D$56</f>
        <v>216.17464786894823</v>
      </c>
      <c r="G228" s="179">
        <f>G156*1000/'Constants &amp; Conversions'!$D$56</f>
        <v>327.64317850725115</v>
      </c>
      <c r="H228" s="179">
        <f>H156*1000/'Constants &amp; Conversions'!$D$56</f>
        <v>575.30928972215577</v>
      </c>
      <c r="I228" s="179">
        <f>I156*1000/'Constants &amp; Conversions'!$D$56</f>
        <v>794.6242408335894</v>
      </c>
      <c r="J228" s="179">
        <f>J156*1000/'Constants &amp; Conversions'!$D$56</f>
        <v>1905.1477032476539</v>
      </c>
      <c r="K228" s="179">
        <f>K156*1000/'Constants &amp; Conversions'!$D$56</f>
        <v>1996.2313066880945</v>
      </c>
    </row>
    <row r="229" spans="1:11" outlineLevel="1" x14ac:dyDescent="0.15">
      <c r="A229" s="82"/>
      <c r="B229" s="117" t="s">
        <v>163</v>
      </c>
      <c r="C229" s="234">
        <f>C157*1000/'Constants &amp; Conversions'!$D$56</f>
        <v>186519.66596559834</v>
      </c>
      <c r="D229" s="179">
        <f>D157*1000/'Constants &amp; Conversions'!$D$56</f>
        <v>171734.85806197612</v>
      </c>
      <c r="E229" s="179">
        <f>E157*1000/'Constants &amp; Conversions'!$D$56</f>
        <v>358254.52402757446</v>
      </c>
      <c r="F229" s="179">
        <f>F157*1000/'Constants &amp; Conversions'!$D$56</f>
        <v>62305.128132980339</v>
      </c>
      <c r="G229" s="179">
        <f>G157*1000/'Constants &amp; Conversions'!$D$56</f>
        <v>31152.558205149529</v>
      </c>
      <c r="H229" s="179">
        <f>H157*1000/'Constants &amp; Conversions'!$D$56</f>
        <v>1055883.8631000181</v>
      </c>
      <c r="I229" s="179">
        <f>I157*1000/'Constants &amp; Conversions'!$D$56</f>
        <v>186915.3164823188</v>
      </c>
      <c r="J229" s="179">
        <f>J157*1000/'Constants &amp; Conversions'!$D$56</f>
        <v>46728.842911668762</v>
      </c>
      <c r="K229" s="179">
        <f>K157*1000/'Constants &amp; Conversions'!$D$56</f>
        <v>77881.365794277997</v>
      </c>
    </row>
    <row r="230" spans="1:11" ht="15" outlineLevel="1" x14ac:dyDescent="0.15">
      <c r="A230" s="82"/>
      <c r="B230" s="609" t="s">
        <v>473</v>
      </c>
      <c r="C230" s="609"/>
      <c r="D230" s="609"/>
      <c r="E230" s="609"/>
      <c r="F230" s="609"/>
      <c r="G230" s="609"/>
      <c r="H230" s="609"/>
      <c r="I230" s="609"/>
      <c r="J230" s="609"/>
      <c r="K230" s="609"/>
    </row>
    <row r="231" spans="1:11" outlineLevel="1" x14ac:dyDescent="0.15">
      <c r="A231" s="82"/>
      <c r="B231" s="117" t="s">
        <v>155</v>
      </c>
      <c r="C231" s="234">
        <f>C159*1000/'Constants &amp; Conversions'!$D$56</f>
        <v>0</v>
      </c>
      <c r="D231" s="179">
        <f>D159*1000/'Constants &amp; Conversions'!$D$56</f>
        <v>2992.1277020126149</v>
      </c>
      <c r="E231" s="179">
        <f>E159*1000/'Constants &amp; Conversions'!$D$56</f>
        <v>2992.1277020126149</v>
      </c>
      <c r="F231" s="179">
        <f>F159*1000/'Constants &amp; Conversions'!$D$56</f>
        <v>1004.838926035161</v>
      </c>
      <c r="G231" s="179">
        <f>G159*1000/'Constants &amp; Conversions'!$D$56</f>
        <v>35920.52694613803</v>
      </c>
      <c r="H231" s="179">
        <f>H159*1000/'Constants &amp; Conversions'!$D$56</f>
        <v>31453.833667060382</v>
      </c>
      <c r="I231" s="179">
        <f>I159*1000/'Constants &amp; Conversions'!$D$56</f>
        <v>5959.8681070240018</v>
      </c>
      <c r="J231" s="179">
        <f>J159*1000/'Constants &amp; Conversions'!$D$56</f>
        <v>40505.19020575071</v>
      </c>
      <c r="K231" s="179">
        <f>K159*1000/'Constants &amp; Conversions'!$D$56</f>
        <v>48981.221570303751</v>
      </c>
    </row>
    <row r="232" spans="1:11" outlineLevel="1" x14ac:dyDescent="0.15">
      <c r="A232" s="82"/>
      <c r="B232" s="117" t="s">
        <v>159</v>
      </c>
      <c r="C232" s="234">
        <f>C160*1000/'Constants &amp; Conversions'!$D$56</f>
        <v>101503.82141599155</v>
      </c>
      <c r="D232" s="179">
        <f>D160*1000/'Constants &amp; Conversions'!$D$56</f>
        <v>0</v>
      </c>
      <c r="E232" s="179">
        <f>E160*1000/'Constants &amp; Conversions'!$D$56</f>
        <v>101503.82141599155</v>
      </c>
      <c r="F232" s="179">
        <f>F160*1000/'Constants &amp; Conversions'!$D$56</f>
        <v>23.896575997605531</v>
      </c>
      <c r="G232" s="179">
        <f>G160*1000/'Constants &amp; Conversions'!$D$56</f>
        <v>10.882698725545509</v>
      </c>
      <c r="H232" s="179">
        <f>H160*1000/'Constants &amp; Conversions'!$D$56</f>
        <v>0</v>
      </c>
      <c r="I232" s="179">
        <f>I160*1000/'Constants &amp; Conversions'!$D$56</f>
        <v>12.016313841075025</v>
      </c>
      <c r="J232" s="179">
        <f>J160*1000/'Constants &amp; Conversions'!$D$56</f>
        <v>10.429248029138463</v>
      </c>
      <c r="K232" s="179">
        <f>K160*1000/'Constants &amp; Conversions'!$D$56</f>
        <v>24.486091003740437</v>
      </c>
    </row>
    <row r="233" spans="1:11" outlineLevel="1" x14ac:dyDescent="0.15">
      <c r="A233" s="82"/>
      <c r="B233" s="117" t="s">
        <v>104</v>
      </c>
      <c r="C233" s="234">
        <f>C161*1000/'Constants &amp; Conversions'!$D$56</f>
        <v>5526618.3194025923</v>
      </c>
      <c r="D233" s="179">
        <f>D161*1000/'Constants &amp; Conversions'!$D$56</f>
        <v>10687517.223696055</v>
      </c>
      <c r="E233" s="179">
        <f>E161*1000/'Constants &amp; Conversions'!$D$56</f>
        <v>16214135.543098645</v>
      </c>
      <c r="F233" s="179">
        <f>F161*1000/'Constants &amp; Conversions'!$D$56</f>
        <v>5880709.9549640128</v>
      </c>
      <c r="G233" s="179">
        <f>G161*1000/'Constants &amp; Conversions'!$D$56</f>
        <v>1625206.9885546647</v>
      </c>
      <c r="H233" s="179">
        <f>H161*1000/'Constants &amp; Conversions'!$D$56</f>
        <v>138436.54041832616</v>
      </c>
      <c r="I233" s="179">
        <f>I161*1000/'Constants &amp; Conversions'!$D$56</f>
        <v>2766837.0408091345</v>
      </c>
      <c r="J233" s="179">
        <f>J161*1000/'Constants &amp; Conversions'!$D$56</f>
        <v>1020258.2487310024</v>
      </c>
      <c r="K233" s="179">
        <f>K161*1000/'Constants &amp; Conversions'!$D$56</f>
        <v>1335058.8691888787</v>
      </c>
    </row>
    <row r="234" spans="1:11" outlineLevel="1" x14ac:dyDescent="0.15">
      <c r="A234" s="82"/>
      <c r="B234" s="117" t="s">
        <v>156</v>
      </c>
      <c r="C234" s="234">
        <f>C162*1000/'Constants &amp; Conversions'!$D$56</f>
        <v>518166.35729888326</v>
      </c>
      <c r="D234" s="179">
        <f>D162*1000/'Constants &amp; Conversions'!$D$56</f>
        <v>1002043.4827079367</v>
      </c>
      <c r="E234" s="179">
        <f>E162*1000/'Constants &amp; Conversions'!$D$56</f>
        <v>1520209.8400068199</v>
      </c>
      <c r="F234" s="179">
        <f>F162*1000/'Constants &amp; Conversions'!$D$56</f>
        <v>381241.39566649718</v>
      </c>
      <c r="G234" s="179">
        <f>G162*1000/'Constants &amp; Conversions'!$D$56</f>
        <v>349230.79921327223</v>
      </c>
      <c r="H234" s="179">
        <f>H162*1000/'Constants &amp; Conversions'!$D$56</f>
        <v>81404.941620474914</v>
      </c>
      <c r="I234" s="179">
        <f>I162*1000/'Constants &amp; Conversions'!$D$56</f>
        <v>281580.10583631194</v>
      </c>
      <c r="J234" s="179">
        <f>J162*1000/'Constants &amp; Conversions'!$D$56</f>
        <v>213347.84710179054</v>
      </c>
      <c r="K234" s="179">
        <f>K162*1000/'Constants &amp; Conversions'!$D$56</f>
        <v>500163.59759756341</v>
      </c>
    </row>
    <row r="235" spans="1:11" outlineLevel="1" x14ac:dyDescent="0.15">
      <c r="A235" s="82"/>
      <c r="B235" s="117" t="s">
        <v>157</v>
      </c>
      <c r="C235" s="234">
        <f>C163*1000/'Constants &amp; Conversions'!$D$56</f>
        <v>1390745.8296945607</v>
      </c>
      <c r="D235" s="179">
        <f>D163*1000/'Constants &amp; Conversions'!$D$56</f>
        <v>2689460.1996417185</v>
      </c>
      <c r="E235" s="179">
        <f>E163*1000/'Constants &amp; Conversions'!$D$56</f>
        <v>4080206.0293362797</v>
      </c>
      <c r="F235" s="179">
        <f>F163*1000/'Constants &amp; Conversions'!$D$56</f>
        <v>1044488.8074441632</v>
      </c>
      <c r="G235" s="179">
        <f>G163*1000/'Constants &amp; Conversions'!$D$56</f>
        <v>555844.60876664391</v>
      </c>
      <c r="H235" s="179">
        <f>H163*1000/'Constants &amp; Conversions'!$D$56</f>
        <v>32358.416539495935</v>
      </c>
      <c r="I235" s="179">
        <f>I163*1000/'Constants &amp; Conversions'!$D$56</f>
        <v>793069.22558362666</v>
      </c>
      <c r="J235" s="179">
        <f>J163*1000/'Constants &amp; Conversions'!$D$56</f>
        <v>413090.25282106234</v>
      </c>
      <c r="K235" s="179">
        <f>K163*1000/'Constants &amp; Conversions'!$D$56</f>
        <v>381697.84920740797</v>
      </c>
    </row>
    <row r="236" spans="1:11" outlineLevel="1" x14ac:dyDescent="0.15">
      <c r="A236" s="82"/>
      <c r="B236" s="117" t="s">
        <v>160</v>
      </c>
      <c r="C236" s="234">
        <f>C164*1000/'Constants &amp; Conversions'!$D$56</f>
        <v>7412386.7350134719</v>
      </c>
      <c r="D236" s="179">
        <f>D164*1000/'Constants &amp; Conversions'!$D$56</f>
        <v>23450808.033132415</v>
      </c>
      <c r="E236" s="179">
        <f>E164*1000/'Constants &amp; Conversions'!$D$56</f>
        <v>30863194.768145889</v>
      </c>
      <c r="F236" s="179">
        <f>F164*1000/'Constants &amp; Conversions'!$D$56</f>
        <v>13916745.945551377</v>
      </c>
      <c r="G236" s="179">
        <f>G164*1000/'Constants &amp; Conversions'!$D$56</f>
        <v>7166168.9888416128</v>
      </c>
      <c r="H236" s="179">
        <f>H164*1000/'Constants &amp; Conversions'!$D$56</f>
        <v>653210.0832408939</v>
      </c>
      <c r="I236" s="179">
        <f>I164*1000/'Constants &amp; Conversions'!$D$56</f>
        <v>12165652.03096851</v>
      </c>
      <c r="J236" s="179">
        <f>J164*1000/'Constants &amp; Conversions'!$D$56</f>
        <v>3399984.8583055558</v>
      </c>
      <c r="K236" s="179">
        <f>K164*1000/'Constants &amp; Conversions'!$D$56</f>
        <v>5639311.4782997658</v>
      </c>
    </row>
    <row r="237" spans="1:11" outlineLevel="1" x14ac:dyDescent="0.15">
      <c r="A237" s="82"/>
      <c r="B237" s="117" t="s">
        <v>161</v>
      </c>
      <c r="C237" s="234">
        <f>C165*1000/'Constants &amp; Conversions'!$D$56</f>
        <v>0</v>
      </c>
      <c r="D237" s="179">
        <f>D165*1000/'Constants &amp; Conversions'!$D$56</f>
        <v>3867.0889734377301</v>
      </c>
      <c r="E237" s="179">
        <f>E165*1000/'Constants &amp; Conversions'!$D$56</f>
        <v>3867.0889734377301</v>
      </c>
      <c r="F237" s="179">
        <f>F165*1000/'Constants &amp; Conversions'!$D$56</f>
        <v>627.39945177527295</v>
      </c>
      <c r="G237" s="179">
        <f>G165*1000/'Constants &amp; Conversions'!$D$56</f>
        <v>950.91189053464825</v>
      </c>
      <c r="H237" s="179">
        <f>H165*1000/'Constants &amp; Conversions'!$D$56</f>
        <v>1669.7082101402184</v>
      </c>
      <c r="I237" s="179">
        <f>I165*1000/'Constants &amp; Conversions'!$D$56</f>
        <v>2306.22420257966</v>
      </c>
      <c r="J237" s="179">
        <f>J165*1000/'Constants &amp; Conversions'!$D$56</f>
        <v>5529.2792912822024</v>
      </c>
      <c r="K237" s="179">
        <f>K165*1000/'Constants &amp; Conversions'!$D$56</f>
        <v>5793.6190921881416</v>
      </c>
    </row>
    <row r="238" spans="1:11" outlineLevel="1" x14ac:dyDescent="0.15">
      <c r="A238" s="82"/>
      <c r="B238" s="117" t="s">
        <v>158</v>
      </c>
      <c r="C238" s="234">
        <f>C166*1000/'Constants &amp; Conversions'!$D$56</f>
        <v>11269.713036539786</v>
      </c>
      <c r="D238" s="179">
        <f>D166*1000/'Constants &amp; Conversions'!$D$56</f>
        <v>21793.662095548978</v>
      </c>
      <c r="E238" s="179">
        <f>E166*1000/'Constants &amp; Conversions'!$D$56</f>
        <v>33063.37513208876</v>
      </c>
      <c r="F238" s="179">
        <f>F166*1000/'Constants &amp; Conversions'!$D$56</f>
        <v>27001.72983444875</v>
      </c>
      <c r="G238" s="179">
        <f>G166*1000/'Constants &amp; Conversions'!$D$56</f>
        <v>3306.3375039901794</v>
      </c>
      <c r="H238" s="179">
        <f>H166*1000/'Constants &amp; Conversions'!$D$56</f>
        <v>0</v>
      </c>
      <c r="I238" s="179">
        <f>I166*1000/'Constants &amp; Conversions'!$D$56</f>
        <v>21491.17470940472</v>
      </c>
      <c r="J238" s="179">
        <f>J166*1000/'Constants &amp; Conversions'!$D$56</f>
        <v>0</v>
      </c>
      <c r="K238" s="179">
        <f>K166*1000/'Constants &amp; Conversions'!$D$56</f>
        <v>33063.37513208876</v>
      </c>
    </row>
    <row r="239" spans="1:11" outlineLevel="1" x14ac:dyDescent="0.15">
      <c r="A239" s="82"/>
      <c r="B239" s="117" t="s">
        <v>162</v>
      </c>
      <c r="C239" s="234">
        <f>C167*1000/'Constants &amp; Conversions'!$D$56</f>
        <v>8822.4531327770947</v>
      </c>
      <c r="D239" s="179">
        <f>D167*1000/'Constants &amp; Conversions'!$D$56</f>
        <v>3142.6465083424541</v>
      </c>
      <c r="E239" s="179">
        <f>E167*1000/'Constants &amp; Conversions'!$D$56</f>
        <v>11965.099641119548</v>
      </c>
      <c r="F239" s="179">
        <f>F167*1000/'Constants &amp; Conversions'!$D$56</f>
        <v>4948.5607859910178</v>
      </c>
      <c r="G239" s="179">
        <f>G167*1000/'Constants &amp; Conversions'!$D$56</f>
        <v>2153.2118720476578</v>
      </c>
      <c r="H239" s="179">
        <f>H167*1000/'Constants &amp; Conversions'!$D$56</f>
        <v>344.67012506343957</v>
      </c>
      <c r="I239" s="179">
        <f>I167*1000/'Constants &amp; Conversions'!$D$56</f>
        <v>1598.5358077011658</v>
      </c>
      <c r="J239" s="179">
        <f>J167*1000/'Constants &amp; Conversions'!$D$56</f>
        <v>312.08283228383021</v>
      </c>
      <c r="K239" s="179">
        <f>K167*1000/'Constants &amp; Conversions'!$D$56</f>
        <v>2644.4948736979818</v>
      </c>
    </row>
    <row r="240" spans="1:11" outlineLevel="1" x14ac:dyDescent="0.15">
      <c r="A240" s="82"/>
      <c r="B240" s="117" t="s">
        <v>163</v>
      </c>
      <c r="C240" s="234">
        <f>C168*1000/'Constants &amp; Conversions'!$D$56</f>
        <v>748191.28879968566</v>
      </c>
      <c r="D240" s="179">
        <f>D168*1000/'Constants &amp; Conversions'!$D$56</f>
        <v>688884.59627050709</v>
      </c>
      <c r="E240" s="179">
        <f>E168*1000/'Constants &amp; Conversions'!$D$56</f>
        <v>1437075.8850701929</v>
      </c>
      <c r="F240" s="179">
        <f>F168*1000/'Constants &amp; Conversions'!$D$56</f>
        <v>355308.05310263095</v>
      </c>
      <c r="G240" s="179">
        <f>G168*1000/'Constants &amp; Conversions'!$D$56</f>
        <v>186128.82273825462</v>
      </c>
      <c r="H240" s="179">
        <f>H168*1000/'Constants &amp; Conversions'!$D$56</f>
        <v>151913.93424338286</v>
      </c>
      <c r="I240" s="179">
        <f>I168*1000/'Constants &amp; Conversions'!$D$56</f>
        <v>701509.42311962112</v>
      </c>
      <c r="J240" s="179">
        <f>J168*1000/'Constants &amp; Conversions'!$D$56</f>
        <v>270718.41149699001</v>
      </c>
      <c r="K240" s="179">
        <f>K168*1000/'Constants &amp; Conversions'!$D$56</f>
        <v>329725.61977384472</v>
      </c>
    </row>
    <row r="241" spans="1:25" outlineLevel="1" x14ac:dyDescent="0.15">
      <c r="A241" s="66"/>
      <c r="B241" s="171" t="s">
        <v>88</v>
      </c>
      <c r="C241" s="357">
        <f t="shared" ref="C241:K241" si="83">SUM(C223:C240)</f>
        <v>16904149.053709991</v>
      </c>
      <c r="D241" s="357">
        <f t="shared" si="83"/>
        <v>41638097.271334983</v>
      </c>
      <c r="E241" s="357">
        <f t="shared" si="83"/>
        <v>58542246.325044982</v>
      </c>
      <c r="F241" s="357">
        <f t="shared" si="83"/>
        <v>23506017.96512644</v>
      </c>
      <c r="G241" s="357">
        <f t="shared" si="83"/>
        <v>10905740.099038584</v>
      </c>
      <c r="H241" s="357">
        <f t="shared" si="83"/>
        <v>2240309.2973164208</v>
      </c>
      <c r="I241" s="357">
        <f t="shared" si="83"/>
        <v>18488898.130895503</v>
      </c>
      <c r="J241" s="357">
        <f t="shared" si="83"/>
        <v>5869471.1605808064</v>
      </c>
      <c r="K241" s="357">
        <f t="shared" si="83"/>
        <v>9126013.3111141231</v>
      </c>
    </row>
    <row r="242" spans="1:25" ht="16" outlineLevel="1" x14ac:dyDescent="0.2">
      <c r="A242" s="66"/>
      <c r="B242" s="66"/>
      <c r="C242" s="66"/>
      <c r="D242" s="66"/>
      <c r="E242" s="66"/>
      <c r="F242" s="66"/>
      <c r="G242" s="66"/>
      <c r="H242" s="66"/>
      <c r="N242" s="106"/>
      <c r="O242" s="108"/>
      <c r="P242" s="108"/>
      <c r="Q242" s="108"/>
      <c r="R242" s="108"/>
      <c r="S242" s="108"/>
      <c r="T242" s="108"/>
      <c r="U242" s="108"/>
      <c r="V242" s="108"/>
      <c r="W242" s="108"/>
      <c r="X242" s="108"/>
    </row>
    <row r="243" spans="1:25" s="108" customFormat="1" ht="16" x14ac:dyDescent="0.2">
      <c r="A243" s="89">
        <v>2015</v>
      </c>
      <c r="B243" s="90"/>
      <c r="C243" s="91"/>
      <c r="D243" s="90"/>
      <c r="E243" s="90"/>
      <c r="F243" s="90"/>
      <c r="G243" s="90"/>
      <c r="H243" s="90"/>
      <c r="I243" s="90"/>
      <c r="J243" s="90"/>
      <c r="K243" s="90"/>
      <c r="L243" s="90"/>
      <c r="M243" s="90"/>
      <c r="N243" s="66"/>
      <c r="O243" s="66"/>
      <c r="P243" s="66"/>
      <c r="Q243" s="66"/>
      <c r="R243" s="66"/>
      <c r="S243" s="66"/>
      <c r="T243" s="66"/>
      <c r="U243" s="66"/>
      <c r="V243" s="66"/>
      <c r="W243" s="66"/>
      <c r="X243" s="66"/>
    </row>
    <row r="244" spans="1:25" x14ac:dyDescent="0.15">
      <c r="A244" s="66"/>
      <c r="B244" s="66"/>
      <c r="C244" s="69"/>
      <c r="D244" s="66"/>
      <c r="E244" s="66"/>
      <c r="F244" s="66"/>
      <c r="G244" s="66"/>
      <c r="H244" s="66"/>
    </row>
    <row r="245" spans="1:25" ht="18" x14ac:dyDescent="0.2">
      <c r="A245" s="189" t="s">
        <v>154</v>
      </c>
      <c r="B245" s="66"/>
      <c r="C245" s="69"/>
      <c r="D245" s="66"/>
      <c r="E245" s="66"/>
      <c r="F245" s="66"/>
      <c r="G245" s="66"/>
      <c r="H245" s="66"/>
      <c r="N245" s="82" t="s">
        <v>475</v>
      </c>
    </row>
    <row r="246" spans="1:25" ht="15" outlineLevel="1" x14ac:dyDescent="0.15">
      <c r="A246" s="82"/>
      <c r="B246" s="82" t="s">
        <v>458</v>
      </c>
      <c r="C246" s="69"/>
      <c r="D246" s="66"/>
      <c r="E246" s="66"/>
      <c r="F246" s="66"/>
      <c r="G246" s="66"/>
      <c r="H246" s="66"/>
      <c r="N246" s="472" t="s">
        <v>152</v>
      </c>
      <c r="O246" s="472" t="s">
        <v>153</v>
      </c>
      <c r="P246" s="472" t="s">
        <v>58</v>
      </c>
      <c r="Q246" s="472" t="s">
        <v>100</v>
      </c>
      <c r="R246" s="472" t="s">
        <v>59</v>
      </c>
      <c r="S246" s="472" t="s">
        <v>60</v>
      </c>
      <c r="T246" s="472" t="s">
        <v>62</v>
      </c>
      <c r="U246" s="472" t="s">
        <v>61</v>
      </c>
      <c r="V246" s="472" t="s">
        <v>63</v>
      </c>
      <c r="W246" s="472" t="s">
        <v>64</v>
      </c>
      <c r="X246" s="472" t="s">
        <v>65</v>
      </c>
    </row>
    <row r="247" spans="1:25" ht="15" outlineLevel="1" x14ac:dyDescent="0.15">
      <c r="A247" s="66"/>
      <c r="B247" s="83" t="s">
        <v>459</v>
      </c>
      <c r="C247" s="83" t="s">
        <v>58</v>
      </c>
      <c r="D247" s="83" t="s">
        <v>100</v>
      </c>
      <c r="E247" s="83" t="s">
        <v>59</v>
      </c>
      <c r="F247" s="83" t="s">
        <v>60</v>
      </c>
      <c r="G247" s="83" t="s">
        <v>62</v>
      </c>
      <c r="H247" s="83" t="s">
        <v>61</v>
      </c>
      <c r="I247" s="83" t="s">
        <v>63</v>
      </c>
      <c r="J247" s="83" t="s">
        <v>64</v>
      </c>
      <c r="K247" s="83" t="s">
        <v>65</v>
      </c>
      <c r="N247" s="178" t="s">
        <v>154</v>
      </c>
      <c r="O247" s="178" t="s">
        <v>155</v>
      </c>
      <c r="P247" s="473">
        <f>C248</f>
        <v>0</v>
      </c>
      <c r="Q247" s="473">
        <f t="shared" ref="Q247:X251" si="84">D248</f>
        <v>1606.0734876466468</v>
      </c>
      <c r="R247" s="473">
        <f t="shared" si="84"/>
        <v>1606.0734876466468</v>
      </c>
      <c r="S247" s="473">
        <f t="shared" si="84"/>
        <v>539.36421135262015</v>
      </c>
      <c r="T247" s="473">
        <f t="shared" si="84"/>
        <v>19280.948213322172</v>
      </c>
      <c r="U247" s="473">
        <f t="shared" si="84"/>
        <v>16883.380340020238</v>
      </c>
      <c r="V247" s="473">
        <f t="shared" si="84"/>
        <v>3199.0575694607246</v>
      </c>
      <c r="W247" s="473">
        <f t="shared" si="84"/>
        <v>21741.843580592507</v>
      </c>
      <c r="X247" s="473">
        <f t="shared" si="84"/>
        <v>26291.465016100195</v>
      </c>
    </row>
    <row r="248" spans="1:25" outlineLevel="1" x14ac:dyDescent="0.15">
      <c r="A248" s="66"/>
      <c r="B248" s="117" t="s">
        <v>155</v>
      </c>
      <c r="C248" s="179">
        <f>E248*VLOOKUP($B248,'Offroad Allocation'!$B$4:$G$15,5,0)</f>
        <v>0</v>
      </c>
      <c r="D248" s="356">
        <f>E248-C248</f>
        <v>1606.0734876466468</v>
      </c>
      <c r="E248" s="117">
        <v>1606.0734876466468</v>
      </c>
      <c r="F248" s="117">
        <v>539.36421135262015</v>
      </c>
      <c r="G248" s="117">
        <v>19280.948213322172</v>
      </c>
      <c r="H248" s="117">
        <v>16883.380340020238</v>
      </c>
      <c r="I248" s="117">
        <v>3199.0575694607246</v>
      </c>
      <c r="J248" s="117">
        <v>21741.843580592507</v>
      </c>
      <c r="K248" s="117">
        <v>26291.465016100195</v>
      </c>
      <c r="N248" s="178" t="s">
        <v>154</v>
      </c>
      <c r="O248" s="178" t="s">
        <v>104</v>
      </c>
      <c r="P248" s="473">
        <f t="shared" ref="P248:P251" si="85">C249</f>
        <v>885184.67456726893</v>
      </c>
      <c r="Q248" s="473">
        <f t="shared" si="84"/>
        <v>1711792.9824059408</v>
      </c>
      <c r="R248" s="473">
        <f t="shared" si="84"/>
        <v>2596977.6569732097</v>
      </c>
      <c r="S248" s="473">
        <f t="shared" si="84"/>
        <v>941898.81078403967</v>
      </c>
      <c r="T248" s="473">
        <f t="shared" si="84"/>
        <v>260305.17742089811</v>
      </c>
      <c r="U248" s="473">
        <f t="shared" si="84"/>
        <v>22173.034467459449</v>
      </c>
      <c r="V248" s="473">
        <f t="shared" si="84"/>
        <v>443156.89552706399</v>
      </c>
      <c r="W248" s="473">
        <f t="shared" si="84"/>
        <v>163412.2485906106</v>
      </c>
      <c r="X248" s="473">
        <f t="shared" si="84"/>
        <v>213833.14174985958</v>
      </c>
    </row>
    <row r="249" spans="1:25" outlineLevel="1" x14ac:dyDescent="0.15">
      <c r="A249" s="66"/>
      <c r="B249" s="117" t="s">
        <v>104</v>
      </c>
      <c r="C249" s="179">
        <f>E249*VLOOKUP($B249,'Offroad Allocation'!$B$4:$G$15,5,0)</f>
        <v>885184.67456726893</v>
      </c>
      <c r="D249" s="356">
        <f t="shared" ref="D249:D250" si="86">E249-C249</f>
        <v>1711792.9824059408</v>
      </c>
      <c r="E249" s="117">
        <v>2596977.6569732097</v>
      </c>
      <c r="F249" s="117">
        <v>941898.81078403967</v>
      </c>
      <c r="G249" s="117">
        <v>260305.17742089811</v>
      </c>
      <c r="H249" s="117">
        <v>22173.034467459449</v>
      </c>
      <c r="I249" s="117">
        <v>443156.89552706399</v>
      </c>
      <c r="J249" s="117">
        <v>163412.2485906106</v>
      </c>
      <c r="K249" s="117">
        <v>213833.14174985958</v>
      </c>
      <c r="N249" s="178" t="s">
        <v>154</v>
      </c>
      <c r="O249" s="178" t="s">
        <v>156</v>
      </c>
      <c r="P249" s="473">
        <f t="shared" si="85"/>
        <v>488.21010388358542</v>
      </c>
      <c r="Q249" s="473">
        <f t="shared" si="84"/>
        <v>944.11330627266466</v>
      </c>
      <c r="R249" s="473">
        <f t="shared" si="84"/>
        <v>1432.32341015625</v>
      </c>
      <c r="S249" s="473">
        <f t="shared" si="84"/>
        <v>359.201262363978</v>
      </c>
      <c r="T249" s="473">
        <f t="shared" si="84"/>
        <v>329.04100329589795</v>
      </c>
      <c r="U249" s="473">
        <f t="shared" si="84"/>
        <v>76.698726824079202</v>
      </c>
      <c r="V249" s="473">
        <f t="shared" si="84"/>
        <v>265.30131839425201</v>
      </c>
      <c r="W249" s="473">
        <f t="shared" si="84"/>
        <v>201.01373046002999</v>
      </c>
      <c r="X249" s="473">
        <f t="shared" si="84"/>
        <v>471.248324619838</v>
      </c>
    </row>
    <row r="250" spans="1:25" outlineLevel="1" x14ac:dyDescent="0.15">
      <c r="A250" s="66"/>
      <c r="B250" s="117" t="s">
        <v>156</v>
      </c>
      <c r="C250" s="179">
        <f>E250*VLOOKUP($B250,'Offroad Allocation'!$B$4:$G$15,5,0)</f>
        <v>488.21010388358542</v>
      </c>
      <c r="D250" s="356">
        <f t="shared" si="86"/>
        <v>944.11330627266466</v>
      </c>
      <c r="E250" s="117">
        <v>1432.32341015625</v>
      </c>
      <c r="F250" s="117">
        <v>359.201262363978</v>
      </c>
      <c r="G250" s="117">
        <v>329.04100329589795</v>
      </c>
      <c r="H250" s="117">
        <v>76.698726824079202</v>
      </c>
      <c r="I250" s="117">
        <v>265.30131839425201</v>
      </c>
      <c r="J250" s="117">
        <v>201.01373046002999</v>
      </c>
      <c r="K250" s="117">
        <v>471.248324619838</v>
      </c>
      <c r="N250" s="178" t="s">
        <v>154</v>
      </c>
      <c r="O250" s="178" t="s">
        <v>157</v>
      </c>
      <c r="P250" s="473">
        <f t="shared" si="85"/>
        <v>1870577.7770546891</v>
      </c>
      <c r="Q250" s="473">
        <f t="shared" si="84"/>
        <v>3617371.6104744701</v>
      </c>
      <c r="R250" s="473">
        <f t="shared" si="84"/>
        <v>5487949.387529159</v>
      </c>
      <c r="S250" s="473">
        <f t="shared" si="84"/>
        <v>1405964.7401880508</v>
      </c>
      <c r="T250" s="473">
        <f t="shared" si="84"/>
        <v>748327.3657897244</v>
      </c>
      <c r="U250" s="473">
        <f t="shared" si="84"/>
        <v>43475.515893538271</v>
      </c>
      <c r="V250" s="473">
        <f t="shared" si="84"/>
        <v>1067592.7302561675</v>
      </c>
      <c r="W250" s="473">
        <f t="shared" si="84"/>
        <v>556261.06848878623</v>
      </c>
      <c r="X250" s="473">
        <f t="shared" si="84"/>
        <v>513253.61057720066</v>
      </c>
    </row>
    <row r="251" spans="1:25" outlineLevel="1" x14ac:dyDescent="0.15">
      <c r="A251" s="66"/>
      <c r="B251" s="117" t="s">
        <v>157</v>
      </c>
      <c r="C251" s="179">
        <f>E251*VLOOKUP($B251,'Offroad Allocation'!$B$4:$G$15,5,0)</f>
        <v>1870577.7770546891</v>
      </c>
      <c r="D251" s="356">
        <f>E251-C251</f>
        <v>3617371.6104744701</v>
      </c>
      <c r="E251" s="117">
        <v>5487949.387529159</v>
      </c>
      <c r="F251" s="117">
        <v>1405964.7401880508</v>
      </c>
      <c r="G251" s="117">
        <v>748327.3657897244</v>
      </c>
      <c r="H251" s="117">
        <v>43475.515893538271</v>
      </c>
      <c r="I251" s="117">
        <v>1067592.7302561675</v>
      </c>
      <c r="J251" s="117">
        <v>556261.06848878623</v>
      </c>
      <c r="K251" s="117">
        <v>513253.61057720066</v>
      </c>
      <c r="N251" s="178" t="s">
        <v>154</v>
      </c>
      <c r="O251" s="178" t="s">
        <v>158</v>
      </c>
      <c r="P251" s="473">
        <f t="shared" si="85"/>
        <v>25097.265626895991</v>
      </c>
      <c r="Q251" s="473">
        <f t="shared" si="84"/>
        <v>48533.740373104003</v>
      </c>
      <c r="R251" s="473">
        <f t="shared" si="84"/>
        <v>73631.005999999994</v>
      </c>
      <c r="S251" s="473">
        <f t="shared" si="84"/>
        <v>60132.031000000003</v>
      </c>
      <c r="T251" s="473">
        <f t="shared" si="84"/>
        <v>7363.100625</v>
      </c>
      <c r="U251" s="473">
        <f t="shared" si="84"/>
        <v>0</v>
      </c>
      <c r="V251" s="473">
        <f t="shared" si="84"/>
        <v>47860.201999999997</v>
      </c>
      <c r="W251" s="473">
        <f t="shared" si="84"/>
        <v>0</v>
      </c>
      <c r="X251" s="473">
        <f t="shared" si="84"/>
        <v>73631.005999999994</v>
      </c>
    </row>
    <row r="252" spans="1:25" outlineLevel="1" x14ac:dyDescent="0.15">
      <c r="A252" s="66"/>
      <c r="B252" s="170" t="s">
        <v>158</v>
      </c>
      <c r="C252" s="179">
        <f>E252*VLOOKUP($B252,'Offroad Allocation'!$B$4:$G$15,5,0)</f>
        <v>25097.265626895991</v>
      </c>
      <c r="D252" s="356">
        <f>E252-C252</f>
        <v>48533.740373104003</v>
      </c>
      <c r="E252" s="117">
        <v>73631.005999999994</v>
      </c>
      <c r="F252" s="117">
        <v>60132.031000000003</v>
      </c>
      <c r="G252" s="117">
        <v>7363.100625</v>
      </c>
      <c r="H252" s="117">
        <v>0</v>
      </c>
      <c r="I252" s="117">
        <v>47860.201999999997</v>
      </c>
      <c r="J252" s="117">
        <v>0</v>
      </c>
      <c r="K252" s="117">
        <v>73631.005999999994</v>
      </c>
      <c r="N252" s="178" t="s">
        <v>146</v>
      </c>
      <c r="O252" s="178" t="s">
        <v>155</v>
      </c>
      <c r="P252" s="473">
        <f>C288</f>
        <v>0</v>
      </c>
      <c r="Q252" s="473">
        <f t="shared" ref="Q252:X259" si="87">D288</f>
        <v>655845.00508672453</v>
      </c>
      <c r="R252" s="473">
        <f t="shared" si="87"/>
        <v>655845.00508672453</v>
      </c>
      <c r="S252" s="473">
        <f t="shared" si="87"/>
        <v>220250.51907213253</v>
      </c>
      <c r="T252" s="473">
        <f t="shared" si="87"/>
        <v>7873417.8620014703</v>
      </c>
      <c r="U252" s="473">
        <f t="shared" si="87"/>
        <v>6894361.6147666983</v>
      </c>
      <c r="V252" s="473">
        <f t="shared" si="87"/>
        <v>1306344.4576623905</v>
      </c>
      <c r="W252" s="473">
        <f t="shared" si="87"/>
        <v>8878330.6039117333</v>
      </c>
      <c r="X252" s="473">
        <f t="shared" si="87"/>
        <v>10736205.812444214</v>
      </c>
      <c r="Y252" s="283"/>
    </row>
    <row r="253" spans="1:25" outlineLevel="1" x14ac:dyDescent="0.15">
      <c r="A253" s="66"/>
      <c r="B253" s="171" t="s">
        <v>88</v>
      </c>
      <c r="C253" s="357">
        <f t="shared" ref="C253:K253" si="88">SUM(C248:C252)</f>
        <v>2781347.9273527376</v>
      </c>
      <c r="D253" s="357">
        <f t="shared" si="88"/>
        <v>5380248.5200474346</v>
      </c>
      <c r="E253" s="357">
        <f t="shared" si="88"/>
        <v>8161596.4474001722</v>
      </c>
      <c r="F253" s="357">
        <f t="shared" si="88"/>
        <v>2408894.1474458068</v>
      </c>
      <c r="G253" s="357">
        <f t="shared" si="88"/>
        <v>1035605.6330522406</v>
      </c>
      <c r="H253" s="357">
        <f t="shared" si="88"/>
        <v>82608.629427842039</v>
      </c>
      <c r="I253" s="357">
        <f t="shared" si="88"/>
        <v>1562074.1866710866</v>
      </c>
      <c r="J253" s="357">
        <f t="shared" si="88"/>
        <v>741616.17439044942</v>
      </c>
      <c r="K253" s="357">
        <f t="shared" si="88"/>
        <v>827480.47166778031</v>
      </c>
      <c r="N253" s="178" t="s">
        <v>146</v>
      </c>
      <c r="O253" s="178" t="s">
        <v>159</v>
      </c>
      <c r="P253" s="473">
        <f t="shared" ref="P253:P259" si="89">C289</f>
        <v>10548959.4</v>
      </c>
      <c r="Q253" s="473">
        <f t="shared" si="87"/>
        <v>0</v>
      </c>
      <c r="R253" s="473">
        <f t="shared" si="87"/>
        <v>10548959.4</v>
      </c>
      <c r="S253" s="473">
        <f t="shared" si="87"/>
        <v>2483.4936166992097</v>
      </c>
      <c r="T253" s="473">
        <f t="shared" si="87"/>
        <v>1131.00225976562</v>
      </c>
      <c r="U253" s="473">
        <f t="shared" si="87"/>
        <v>0</v>
      </c>
      <c r="V253" s="473">
        <f t="shared" si="87"/>
        <v>1248.8149870605398</v>
      </c>
      <c r="W253" s="473">
        <f t="shared" si="87"/>
        <v>1083.8776733398399</v>
      </c>
      <c r="X253" s="473">
        <f t="shared" si="87"/>
        <v>2544.7560781249999</v>
      </c>
      <c r="Y253" s="283"/>
    </row>
    <row r="254" spans="1:25" outlineLevel="1" x14ac:dyDescent="0.15">
      <c r="A254" s="66"/>
      <c r="B254" s="101" t="s">
        <v>460</v>
      </c>
      <c r="C254" s="177"/>
      <c r="D254" s="177"/>
      <c r="E254" s="176"/>
      <c r="F254" s="176"/>
      <c r="G254" s="176"/>
      <c r="H254" s="176"/>
      <c r="I254" s="176"/>
      <c r="J254" s="176"/>
      <c r="K254" s="176"/>
      <c r="N254" s="178" t="s">
        <v>146</v>
      </c>
      <c r="O254" s="178" t="s">
        <v>104</v>
      </c>
      <c r="P254" s="473">
        <f t="shared" si="89"/>
        <v>11673505.218963889</v>
      </c>
      <c r="Q254" s="473">
        <f t="shared" si="87"/>
        <v>22574525.845321722</v>
      </c>
      <c r="R254" s="473">
        <f t="shared" si="87"/>
        <v>34248031.064285614</v>
      </c>
      <c r="S254" s="473">
        <f t="shared" si="87"/>
        <v>12421419.564857118</v>
      </c>
      <c r="T254" s="473">
        <f t="shared" si="87"/>
        <v>3432811.7239419608</v>
      </c>
      <c r="U254" s="473">
        <f t="shared" si="87"/>
        <v>292409.92332672898</v>
      </c>
      <c r="V254" s="473">
        <f t="shared" si="87"/>
        <v>5844194.4772857036</v>
      </c>
      <c r="W254" s="473">
        <f t="shared" si="87"/>
        <v>2155021.1196741052</v>
      </c>
      <c r="X254" s="473">
        <f t="shared" si="87"/>
        <v>2819953.7548158406</v>
      </c>
      <c r="Y254" s="283"/>
    </row>
    <row r="255" spans="1:25" outlineLevel="1" x14ac:dyDescent="0.15">
      <c r="A255" s="66"/>
      <c r="B255" s="101"/>
      <c r="C255" s="177"/>
      <c r="D255" s="177"/>
      <c r="E255" s="176"/>
      <c r="F255" s="176"/>
      <c r="G255" s="176"/>
      <c r="H255" s="176"/>
      <c r="I255" s="176"/>
      <c r="J255" s="176"/>
      <c r="K255" s="176"/>
      <c r="N255" s="178" t="s">
        <v>146</v>
      </c>
      <c r="O255" s="178" t="s">
        <v>156</v>
      </c>
      <c r="P255" s="473">
        <f t="shared" si="89"/>
        <v>59686738.64973031</v>
      </c>
      <c r="Q255" s="473">
        <f t="shared" si="87"/>
        <v>115423756.53222106</v>
      </c>
      <c r="R255" s="473">
        <f t="shared" si="87"/>
        <v>175110495.18195137</v>
      </c>
      <c r="S255" s="473">
        <f t="shared" si="87"/>
        <v>43914563.60210745</v>
      </c>
      <c r="T255" s="473">
        <f t="shared" si="87"/>
        <v>40227321.942427464</v>
      </c>
      <c r="U255" s="473">
        <f t="shared" si="87"/>
        <v>9376902.5230150335</v>
      </c>
      <c r="V255" s="473">
        <f t="shared" si="87"/>
        <v>32434751.444384106</v>
      </c>
      <c r="W255" s="473">
        <f t="shared" si="87"/>
        <v>24575190.885872796</v>
      </c>
      <c r="X255" s="473">
        <f t="shared" si="87"/>
        <v>57613012.555701584</v>
      </c>
      <c r="Y255" s="283"/>
    </row>
    <row r="256" spans="1:25" outlineLevel="1" x14ac:dyDescent="0.15">
      <c r="A256" s="66"/>
      <c r="B256" s="82" t="s">
        <v>461</v>
      </c>
      <c r="C256" s="69"/>
      <c r="D256" s="66"/>
      <c r="E256" s="66"/>
      <c r="F256" s="66"/>
      <c r="G256" s="66"/>
      <c r="H256" s="66"/>
      <c r="N256" s="178" t="s">
        <v>146</v>
      </c>
      <c r="O256" s="178" t="s">
        <v>157</v>
      </c>
      <c r="P256" s="473">
        <f t="shared" si="89"/>
        <v>24120531.490529831</v>
      </c>
      <c r="Q256" s="473">
        <f t="shared" si="87"/>
        <v>46644906.677327156</v>
      </c>
      <c r="R256" s="473">
        <f t="shared" si="87"/>
        <v>70765438.167856991</v>
      </c>
      <c r="S256" s="473">
        <f t="shared" si="87"/>
        <v>16092089.513513368</v>
      </c>
      <c r="T256" s="473">
        <f t="shared" si="87"/>
        <v>8350553.5317834606</v>
      </c>
      <c r="U256" s="473">
        <f t="shared" si="87"/>
        <v>647329.56584165641</v>
      </c>
      <c r="V256" s="473">
        <f t="shared" si="87"/>
        <v>12109680.799198627</v>
      </c>
      <c r="W256" s="473">
        <f t="shared" si="87"/>
        <v>5983250.9024062362</v>
      </c>
      <c r="X256" s="473">
        <f t="shared" si="87"/>
        <v>6869159.3016328048</v>
      </c>
      <c r="Y256" s="283"/>
    </row>
    <row r="257" spans="1:25" ht="15" outlineLevel="1" x14ac:dyDescent="0.15">
      <c r="A257" s="66"/>
      <c r="B257" s="83" t="s">
        <v>459</v>
      </c>
      <c r="C257" s="83" t="s">
        <v>58</v>
      </c>
      <c r="D257" s="83" t="s">
        <v>100</v>
      </c>
      <c r="E257" s="83" t="s">
        <v>59</v>
      </c>
      <c r="F257" s="83" t="s">
        <v>60</v>
      </c>
      <c r="G257" s="83" t="s">
        <v>62</v>
      </c>
      <c r="H257" s="83" t="s">
        <v>61</v>
      </c>
      <c r="I257" s="83" t="s">
        <v>63</v>
      </c>
      <c r="J257" s="83" t="s">
        <v>64</v>
      </c>
      <c r="K257" s="83" t="s">
        <v>65</v>
      </c>
      <c r="L257" s="83" t="s">
        <v>66</v>
      </c>
      <c r="N257" s="178" t="s">
        <v>146</v>
      </c>
      <c r="O257" s="178" t="s">
        <v>160</v>
      </c>
      <c r="P257" s="473">
        <f t="shared" si="89"/>
        <v>2255618.6711653401</v>
      </c>
      <c r="Q257" s="473">
        <f t="shared" si="87"/>
        <v>7136173.8593030218</v>
      </c>
      <c r="R257" s="473">
        <f t="shared" si="87"/>
        <v>9391792.5304683615</v>
      </c>
      <c r="S257" s="473">
        <f t="shared" si="87"/>
        <v>5994280.8683207948</v>
      </c>
      <c r="T257" s="473">
        <f t="shared" si="87"/>
        <v>3167647.2645342769</v>
      </c>
      <c r="U257" s="473">
        <f t="shared" si="87"/>
        <v>262707.61496846617</v>
      </c>
      <c r="V257" s="473">
        <f t="shared" si="87"/>
        <v>5433500.5469927918</v>
      </c>
      <c r="W257" s="473">
        <f t="shared" si="87"/>
        <v>1419630.7341870733</v>
      </c>
      <c r="X257" s="473">
        <f t="shared" si="87"/>
        <v>2278483.4046042096</v>
      </c>
      <c r="Y257" s="283"/>
    </row>
    <row r="258" spans="1:25" outlineLevel="1" x14ac:dyDescent="0.15">
      <c r="A258" s="119">
        <f>$A$243</f>
        <v>2015</v>
      </c>
      <c r="B258" s="117" t="s">
        <v>155</v>
      </c>
      <c r="C258" s="179">
        <f>E258*VLOOKUP($B258,'Offroad Allocation'!$B$4:$G$15,5,0)</f>
        <v>0</v>
      </c>
      <c r="D258" s="356">
        <f>E258-C258</f>
        <v>4135.9192310905446</v>
      </c>
      <c r="E258" s="117">
        <v>4135.9192310905446</v>
      </c>
      <c r="F258" s="117">
        <v>1388.954083772654</v>
      </c>
      <c r="G258" s="117">
        <v>49651.784054451993</v>
      </c>
      <c r="H258" s="117">
        <v>43477.539017072362</v>
      </c>
      <c r="I258" s="117">
        <v>8238.1202904412312</v>
      </c>
      <c r="J258" s="117">
        <v>55988.95012662177</v>
      </c>
      <c r="K258" s="117">
        <v>67705.051586914065</v>
      </c>
      <c r="L258" s="577">
        <f>SUM(E258:K258)</f>
        <v>230586.31839036458</v>
      </c>
      <c r="N258" s="178" t="s">
        <v>146</v>
      </c>
      <c r="O258" s="178" t="s">
        <v>161</v>
      </c>
      <c r="P258" s="473">
        <f t="shared" si="89"/>
        <v>0</v>
      </c>
      <c r="Q258" s="473">
        <f t="shared" si="87"/>
        <v>319871.203142857</v>
      </c>
      <c r="R258" s="473">
        <f t="shared" si="87"/>
        <v>319871.203142857</v>
      </c>
      <c r="S258" s="473">
        <f t="shared" si="87"/>
        <v>51896.2908258928</v>
      </c>
      <c r="T258" s="473">
        <f t="shared" si="87"/>
        <v>78656.132857142802</v>
      </c>
      <c r="U258" s="473">
        <f t="shared" si="87"/>
        <v>138112.59357142801</v>
      </c>
      <c r="V258" s="473">
        <f t="shared" si="87"/>
        <v>190762.79642857099</v>
      </c>
      <c r="W258" s="473">
        <f t="shared" si="87"/>
        <v>457362.77742857096</v>
      </c>
      <c r="X258" s="473">
        <f t="shared" si="87"/>
        <v>479229.01657142799</v>
      </c>
      <c r="Y258" s="283"/>
    </row>
    <row r="259" spans="1:25" outlineLevel="1" x14ac:dyDescent="0.15">
      <c r="A259" s="119"/>
      <c r="B259" s="117" t="s">
        <v>104</v>
      </c>
      <c r="C259" s="179">
        <f>E259*VLOOKUP($B259,'Offroad Allocation'!$B$4:$G$15,5,0)</f>
        <v>2246187.338907287</v>
      </c>
      <c r="D259" s="356">
        <f t="shared" ref="D259:D260" si="90">E259-C259</f>
        <v>4343735.0808069948</v>
      </c>
      <c r="E259" s="117">
        <v>6589922.4197142813</v>
      </c>
      <c r="F259" s="117">
        <v>2390097.2320033461</v>
      </c>
      <c r="G259" s="117">
        <v>660534.1150633361</v>
      </c>
      <c r="H259" s="117">
        <v>56264.821543143051</v>
      </c>
      <c r="I259" s="117">
        <v>1124525.0503242174</v>
      </c>
      <c r="J259" s="117">
        <v>414663.87342187366</v>
      </c>
      <c r="K259" s="117">
        <v>542607.99553292291</v>
      </c>
      <c r="L259" s="577">
        <f t="shared" ref="L259:L260" si="91">SUM(E259:K259)</f>
        <v>11778615.50760312</v>
      </c>
      <c r="N259" s="178" t="s">
        <v>146</v>
      </c>
      <c r="O259" s="178" t="s">
        <v>158</v>
      </c>
      <c r="P259" s="473">
        <f t="shared" si="89"/>
        <v>148637.42164921091</v>
      </c>
      <c r="Q259" s="473">
        <f t="shared" si="87"/>
        <v>287438.88435078907</v>
      </c>
      <c r="R259" s="473">
        <f t="shared" si="87"/>
        <v>436076.30599999998</v>
      </c>
      <c r="S259" s="473">
        <f t="shared" si="87"/>
        <v>356128.853</v>
      </c>
      <c r="T259" s="473">
        <f t="shared" si="87"/>
        <v>43607.630890624903</v>
      </c>
      <c r="U259" s="473">
        <f t="shared" si="87"/>
        <v>0</v>
      </c>
      <c r="V259" s="473">
        <f t="shared" si="87"/>
        <v>283449.408</v>
      </c>
      <c r="W259" s="473">
        <f t="shared" si="87"/>
        <v>0</v>
      </c>
      <c r="X259" s="473">
        <f t="shared" si="87"/>
        <v>436076.30599999998</v>
      </c>
      <c r="Y259" s="283"/>
    </row>
    <row r="260" spans="1:25" outlineLevel="1" x14ac:dyDescent="0.15">
      <c r="A260" s="119"/>
      <c r="B260" s="117" t="s">
        <v>156</v>
      </c>
      <c r="C260" s="179">
        <f>E260*VLOOKUP($B260,'Offroad Allocation'!$B$4:$G$15,5,0)</f>
        <v>1104.5885964086492</v>
      </c>
      <c r="D260" s="356">
        <f t="shared" si="90"/>
        <v>2136.0819522799607</v>
      </c>
      <c r="E260" s="117">
        <v>3240.6705486886099</v>
      </c>
      <c r="F260" s="117">
        <v>812.70201656668507</v>
      </c>
      <c r="G260" s="117">
        <v>744.46385351562503</v>
      </c>
      <c r="H260" s="117">
        <v>173.53299150739298</v>
      </c>
      <c r="I260" s="117">
        <v>600.25137288992698</v>
      </c>
      <c r="J260" s="117">
        <v>454.79857580566403</v>
      </c>
      <c r="K260" s="117">
        <v>1066.21200714983</v>
      </c>
      <c r="L260" s="577">
        <f t="shared" si="91"/>
        <v>7092.6313661237327</v>
      </c>
      <c r="N260" s="178" t="s">
        <v>146</v>
      </c>
      <c r="O260" s="178" t="s">
        <v>162</v>
      </c>
      <c r="P260" s="473">
        <f t="shared" ref="P260:X261" si="92">C296</f>
        <v>393293.73610132135</v>
      </c>
      <c r="Q260" s="473">
        <f t="shared" si="92"/>
        <v>140095.18304153561</v>
      </c>
      <c r="R260" s="473">
        <f t="shared" si="92"/>
        <v>533388.91914285696</v>
      </c>
      <c r="S260" s="473">
        <f t="shared" si="92"/>
        <v>220600.18542857099</v>
      </c>
      <c r="T260" s="473">
        <f t="shared" si="92"/>
        <v>95987.478790178488</v>
      </c>
      <c r="U260" s="473">
        <f t="shared" si="92"/>
        <v>15364.9352240513</v>
      </c>
      <c r="V260" s="473">
        <f t="shared" si="92"/>
        <v>71260.49645089281</v>
      </c>
      <c r="W260" s="473">
        <f t="shared" si="92"/>
        <v>13912.236306919602</v>
      </c>
      <c r="X260" s="473">
        <f t="shared" si="92"/>
        <v>117887.970571428</v>
      </c>
      <c r="Y260" s="283"/>
    </row>
    <row r="261" spans="1:25" outlineLevel="1" x14ac:dyDescent="0.15">
      <c r="A261" s="119">
        <f t="shared" ref="A261:A262" si="93">$A$243</f>
        <v>2015</v>
      </c>
      <c r="B261" s="117" t="s">
        <v>157</v>
      </c>
      <c r="C261" s="179">
        <f>E261*VLOOKUP($B261,'Offroad Allocation'!$B$4:$G$15,5,0)</f>
        <v>4800324.7359373942</v>
      </c>
      <c r="D261" s="356">
        <f>E261-C261</f>
        <v>9282991.9364163429</v>
      </c>
      <c r="E261" s="117">
        <v>14083316.672353737</v>
      </c>
      <c r="F261" s="117">
        <v>3608017.4907423221</v>
      </c>
      <c r="G261" s="117">
        <v>1920373.9327993819</v>
      </c>
      <c r="H261" s="117">
        <v>111568.01816882443</v>
      </c>
      <c r="I261" s="117">
        <v>2739683.2881849818</v>
      </c>
      <c r="J261" s="117">
        <v>1427487.8995655286</v>
      </c>
      <c r="K261" s="117">
        <v>1317125.6144183162</v>
      </c>
      <c r="L261" s="577">
        <f>SUM(E261:K261)</f>
        <v>25207572.916233093</v>
      </c>
      <c r="N261" s="178" t="s">
        <v>146</v>
      </c>
      <c r="O261" s="178" t="s">
        <v>163</v>
      </c>
      <c r="P261" s="473">
        <f t="shared" si="92"/>
        <v>123691.55200761052</v>
      </c>
      <c r="Q261" s="473">
        <f t="shared" si="92"/>
        <v>113886.92456381749</v>
      </c>
      <c r="R261" s="473">
        <f t="shared" si="92"/>
        <v>237578.47657142801</v>
      </c>
      <c r="S261" s="473">
        <f t="shared" si="92"/>
        <v>41317.997273437402</v>
      </c>
      <c r="T261" s="473">
        <f t="shared" si="92"/>
        <v>20658.995979910702</v>
      </c>
      <c r="U261" s="473">
        <f t="shared" si="92"/>
        <v>41317.997273437402</v>
      </c>
      <c r="V261" s="473">
        <f t="shared" si="92"/>
        <v>123953.96167857099</v>
      </c>
      <c r="W261" s="473">
        <f t="shared" si="92"/>
        <v>30988.463160156203</v>
      </c>
      <c r="X261" s="473">
        <f t="shared" si="92"/>
        <v>51647.487156249997</v>
      </c>
      <c r="Y261" s="283"/>
    </row>
    <row r="262" spans="1:25" outlineLevel="1" x14ac:dyDescent="0.15">
      <c r="A262" s="119">
        <f t="shared" si="93"/>
        <v>2015</v>
      </c>
      <c r="B262" s="170" t="s">
        <v>158</v>
      </c>
      <c r="C262" s="179">
        <f>E262*VLOOKUP($B262,'Offroad Allocation'!$B$4:$G$15,5,0)</f>
        <v>65124.391317885616</v>
      </c>
      <c r="D262" s="356">
        <f>E262-C262</f>
        <v>125939.2296821144</v>
      </c>
      <c r="E262" s="117">
        <v>191063.62100000001</v>
      </c>
      <c r="F262" s="117">
        <v>156035.38699999999</v>
      </c>
      <c r="G262" s="117">
        <v>19106.362019531203</v>
      </c>
      <c r="H262" s="117">
        <v>0</v>
      </c>
      <c r="I262" s="117">
        <v>124191.36199999999</v>
      </c>
      <c r="J262" s="117">
        <v>0</v>
      </c>
      <c r="K262" s="117">
        <v>191063.62100000001</v>
      </c>
      <c r="L262" s="577">
        <f t="shared" ref="L262:L263" si="94">SUM(E262:K262)</f>
        <v>681460.35301953123</v>
      </c>
      <c r="N262" s="178" t="s">
        <v>462</v>
      </c>
      <c r="O262" s="178" t="s">
        <v>155</v>
      </c>
      <c r="P262" s="473">
        <f t="shared" ref="P262:X268" si="95">C349</f>
        <v>0</v>
      </c>
      <c r="Q262" s="473">
        <f t="shared" si="95"/>
        <v>76.631069536481505</v>
      </c>
      <c r="R262" s="473">
        <f t="shared" si="95"/>
        <v>76.631069536481505</v>
      </c>
      <c r="S262" s="473">
        <f t="shared" si="95"/>
        <v>25.7348204841613</v>
      </c>
      <c r="T262" s="473">
        <f t="shared" si="95"/>
        <v>919.95637986537304</v>
      </c>
      <c r="U262" s="473">
        <f t="shared" si="95"/>
        <v>805.56035723005004</v>
      </c>
      <c r="V262" s="473">
        <f t="shared" si="95"/>
        <v>152.637512797764</v>
      </c>
      <c r="W262" s="473">
        <f t="shared" si="95"/>
        <v>1037.3730070452</v>
      </c>
      <c r="X262" s="473">
        <f t="shared" si="95"/>
        <v>1254.4529505266401</v>
      </c>
      <c r="Y262" s="283"/>
    </row>
    <row r="263" spans="1:25" outlineLevel="1" x14ac:dyDescent="0.15">
      <c r="A263" s="66"/>
      <c r="B263" s="171" t="s">
        <v>88</v>
      </c>
      <c r="C263" s="357">
        <f t="shared" ref="C263:K263" si="96">SUM(C258:C262)</f>
        <v>7112741.0547589753</v>
      </c>
      <c r="D263" s="357">
        <f t="shared" si="96"/>
        <v>13758938.248088822</v>
      </c>
      <c r="E263" s="357">
        <f t="shared" si="96"/>
        <v>20871679.302847795</v>
      </c>
      <c r="F263" s="357">
        <f t="shared" si="96"/>
        <v>6156351.7658460084</v>
      </c>
      <c r="G263" s="357">
        <f t="shared" si="96"/>
        <v>2650410.6577902171</v>
      </c>
      <c r="H263" s="357">
        <f t="shared" si="96"/>
        <v>211483.91172054724</v>
      </c>
      <c r="I263" s="357">
        <f t="shared" si="96"/>
        <v>3997238.0721725305</v>
      </c>
      <c r="J263" s="357">
        <f t="shared" si="96"/>
        <v>1898595.5216898296</v>
      </c>
      <c r="K263" s="357">
        <f t="shared" si="96"/>
        <v>2119568.4945453028</v>
      </c>
      <c r="L263" s="357">
        <f t="shared" si="94"/>
        <v>37905327.726612233</v>
      </c>
      <c r="N263" s="178" t="s">
        <v>462</v>
      </c>
      <c r="O263" s="178" t="s">
        <v>104</v>
      </c>
      <c r="P263" s="473">
        <f t="shared" si="95"/>
        <v>291284.13943412818</v>
      </c>
      <c r="Q263" s="473">
        <f t="shared" si="95"/>
        <v>563292.79086677416</v>
      </c>
      <c r="R263" s="473">
        <f t="shared" si="95"/>
        <v>854576.93030090234</v>
      </c>
      <c r="S263" s="473">
        <f t="shared" si="95"/>
        <v>309946.43532739225</v>
      </c>
      <c r="T263" s="473">
        <f t="shared" si="95"/>
        <v>85657.616754626622</v>
      </c>
      <c r="U263" s="473">
        <f t="shared" si="95"/>
        <v>7296.3874668969383</v>
      </c>
      <c r="V263" s="473">
        <f t="shared" si="95"/>
        <v>145827.76843370459</v>
      </c>
      <c r="W263" s="473">
        <f t="shared" si="95"/>
        <v>53773.403641747565</v>
      </c>
      <c r="X263" s="473">
        <f t="shared" si="95"/>
        <v>70365.132898284821</v>
      </c>
    </row>
    <row r="264" spans="1:25" outlineLevel="1" x14ac:dyDescent="0.15">
      <c r="A264" s="66"/>
      <c r="B264" s="101" t="s">
        <v>460</v>
      </c>
      <c r="C264" s="66"/>
      <c r="D264" s="66"/>
      <c r="E264" s="66"/>
      <c r="F264" s="66"/>
      <c r="G264" s="66"/>
      <c r="H264" s="66"/>
      <c r="N264" s="178" t="s">
        <v>462</v>
      </c>
      <c r="O264" s="178" t="s">
        <v>156</v>
      </c>
      <c r="P264" s="473">
        <f t="shared" si="95"/>
        <v>206298.13648988778</v>
      </c>
      <c r="Q264" s="473">
        <f t="shared" si="95"/>
        <v>398944.66372166754</v>
      </c>
      <c r="R264" s="473">
        <f t="shared" si="95"/>
        <v>605242.80021155532</v>
      </c>
      <c r="S264" s="473">
        <f t="shared" si="95"/>
        <v>151784.08957457307</v>
      </c>
      <c r="T264" s="473">
        <f t="shared" si="95"/>
        <v>139039.67393730089</v>
      </c>
      <c r="U264" s="473">
        <f t="shared" si="95"/>
        <v>32409.83164783027</v>
      </c>
      <c r="V264" s="473">
        <f t="shared" si="95"/>
        <v>112105.76834470195</v>
      </c>
      <c r="W264" s="473">
        <f t="shared" si="95"/>
        <v>84940.427258891956</v>
      </c>
      <c r="X264" s="473">
        <f t="shared" si="95"/>
        <v>199130.68244586195</v>
      </c>
    </row>
    <row r="265" spans="1:25" outlineLevel="1" x14ac:dyDescent="0.15">
      <c r="A265" s="66"/>
      <c r="B265" s="101"/>
      <c r="C265" s="66"/>
      <c r="D265" s="66"/>
      <c r="E265" s="66"/>
      <c r="F265" s="66"/>
      <c r="G265" s="66"/>
      <c r="H265" s="66"/>
      <c r="N265" s="178" t="s">
        <v>462</v>
      </c>
      <c r="O265" s="178" t="s">
        <v>157</v>
      </c>
      <c r="P265" s="473">
        <f t="shared" si="95"/>
        <v>5239.4118908980081</v>
      </c>
      <c r="Q265" s="473">
        <f t="shared" si="95"/>
        <v>10132.110015526341</v>
      </c>
      <c r="R265" s="473">
        <f t="shared" si="95"/>
        <v>15371.52190642435</v>
      </c>
      <c r="S265" s="473">
        <f t="shared" si="95"/>
        <v>3940.6441104823489</v>
      </c>
      <c r="T265" s="473">
        <f t="shared" si="95"/>
        <v>2097.6903977530328</v>
      </c>
      <c r="U265" s="473">
        <f t="shared" si="95"/>
        <v>121.66247682435112</v>
      </c>
      <c r="V265" s="473">
        <f t="shared" si="95"/>
        <v>2992.398848153246</v>
      </c>
      <c r="W265" s="473">
        <f t="shared" si="95"/>
        <v>1559.5805360804868</v>
      </c>
      <c r="X265" s="473">
        <f t="shared" si="95"/>
        <v>1437.283394082199</v>
      </c>
    </row>
    <row r="266" spans="1:25" outlineLevel="1" x14ac:dyDescent="0.15">
      <c r="A266" s="66"/>
      <c r="B266" s="82" t="s">
        <v>463</v>
      </c>
      <c r="C266" s="69"/>
      <c r="D266" s="66"/>
      <c r="E266" s="66"/>
      <c r="F266" s="66"/>
      <c r="G266" s="66"/>
      <c r="H266" s="66"/>
      <c r="N266" s="178" t="s">
        <v>462</v>
      </c>
      <c r="O266" s="178" t="s">
        <v>160</v>
      </c>
      <c r="P266" s="473">
        <f t="shared" si="95"/>
        <v>2229271.3374950541</v>
      </c>
      <c r="Q266" s="473">
        <f t="shared" si="95"/>
        <v>7052817.946265162</v>
      </c>
      <c r="R266" s="473">
        <f t="shared" si="95"/>
        <v>9282089.2837602161</v>
      </c>
      <c r="S266" s="473">
        <f t="shared" si="95"/>
        <v>4603034.9052799428</v>
      </c>
      <c r="T266" s="473">
        <f t="shared" si="95"/>
        <v>2389473.9912227239</v>
      </c>
      <c r="U266" s="473">
        <f t="shared" si="95"/>
        <v>211627.15577330432</v>
      </c>
      <c r="V266" s="473">
        <f t="shared" si="95"/>
        <v>4069770.1647166284</v>
      </c>
      <c r="W266" s="473">
        <f t="shared" si="95"/>
        <v>1113923.2057371896</v>
      </c>
      <c r="X266" s="473">
        <f t="shared" si="95"/>
        <v>1829511.1536658427</v>
      </c>
    </row>
    <row r="267" spans="1:25" ht="15" outlineLevel="1" x14ac:dyDescent="0.15">
      <c r="A267" s="66"/>
      <c r="B267" s="83" t="s">
        <v>459</v>
      </c>
      <c r="C267" s="83" t="s">
        <v>58</v>
      </c>
      <c r="D267" s="83" t="s">
        <v>100</v>
      </c>
      <c r="E267" s="83" t="s">
        <v>59</v>
      </c>
      <c r="F267" s="83" t="s">
        <v>60</v>
      </c>
      <c r="G267" s="83" t="s">
        <v>62</v>
      </c>
      <c r="H267" s="83" t="s">
        <v>61</v>
      </c>
      <c r="I267" s="83" t="s">
        <v>63</v>
      </c>
      <c r="J267" s="83" t="s">
        <v>64</v>
      </c>
      <c r="K267" s="83" t="s">
        <v>65</v>
      </c>
      <c r="L267" s="83" t="s">
        <v>66</v>
      </c>
      <c r="N267" s="178" t="s">
        <v>462</v>
      </c>
      <c r="O267" s="178" t="s">
        <v>161</v>
      </c>
      <c r="P267" s="473">
        <f t="shared" si="95"/>
        <v>0</v>
      </c>
      <c r="Q267" s="473">
        <f t="shared" si="95"/>
        <v>3912.4084218749904</v>
      </c>
      <c r="R267" s="473">
        <f t="shared" si="95"/>
        <v>3912.4084218749904</v>
      </c>
      <c r="S267" s="473">
        <f t="shared" si="95"/>
        <v>634.75478016880504</v>
      </c>
      <c r="T267" s="473">
        <f t="shared" si="95"/>
        <v>962.05884273856009</v>
      </c>
      <c r="U267" s="473">
        <f t="shared" si="95"/>
        <v>1689.2816124441902</v>
      </c>
      <c r="V267" s="473">
        <f t="shared" si="95"/>
        <v>2333.2570245535699</v>
      </c>
      <c r="W267" s="473">
        <f t="shared" si="95"/>
        <v>5594.0897017299103</v>
      </c>
      <c r="X267" s="473">
        <f t="shared" si="95"/>
        <v>5861.5372098214202</v>
      </c>
    </row>
    <row r="268" spans="1:25" outlineLevel="1" x14ac:dyDescent="0.15">
      <c r="A268" s="66"/>
      <c r="B268" s="117" t="s">
        <v>155</v>
      </c>
      <c r="C268" s="179">
        <f>E268*VLOOKUP($B268,'Offroad Allocation'!$B$4:$G$15,5,0)</f>
        <v>0</v>
      </c>
      <c r="D268" s="356">
        <f>E268-C268</f>
        <v>30.622576703752721</v>
      </c>
      <c r="E268" s="117">
        <v>30.622576703752721</v>
      </c>
      <c r="F268" s="117">
        <v>10.283907232548508</v>
      </c>
      <c r="G268" s="117">
        <v>367.62440560776787</v>
      </c>
      <c r="H268" s="117">
        <v>321.91035433605663</v>
      </c>
      <c r="I268" s="117">
        <v>60.995618851797843</v>
      </c>
      <c r="J268" s="117">
        <v>414.54568460464435</v>
      </c>
      <c r="K268" s="117">
        <v>501.2927812183915</v>
      </c>
      <c r="L268" s="577">
        <f>SUM(E268:K268)</f>
        <v>1707.2753285549593</v>
      </c>
      <c r="N268" s="178" t="s">
        <v>462</v>
      </c>
      <c r="O268" s="178" t="s">
        <v>163</v>
      </c>
      <c r="P268" s="473">
        <f t="shared" si="95"/>
        <v>538249.22884924244</v>
      </c>
      <c r="Q268" s="473">
        <f t="shared" si="95"/>
        <v>495583.96129361342</v>
      </c>
      <c r="R268" s="473">
        <f t="shared" si="95"/>
        <v>1033833.1901428559</v>
      </c>
      <c r="S268" s="473">
        <f t="shared" si="95"/>
        <v>179797.05145424098</v>
      </c>
      <c r="T268" s="473">
        <f t="shared" si="95"/>
        <v>89898.532740792303</v>
      </c>
      <c r="U268" s="473">
        <f t="shared" si="95"/>
        <v>3089361.3085970911</v>
      </c>
      <c r="V268" s="473">
        <f t="shared" si="95"/>
        <v>539391.46652232006</v>
      </c>
      <c r="W268" s="473">
        <f t="shared" si="95"/>
        <v>134847.81857645084</v>
      </c>
      <c r="X268" s="473">
        <f t="shared" si="95"/>
        <v>224746.30375558021</v>
      </c>
    </row>
    <row r="269" spans="1:25" outlineLevel="1" x14ac:dyDescent="0.15">
      <c r="A269" s="66"/>
      <c r="B269" s="117" t="s">
        <v>104</v>
      </c>
      <c r="C269" s="179">
        <f>E269*VLOOKUP($B269,'Offroad Allocation'!$B$4:$G$15,5,0)</f>
        <v>33310.030109070482</v>
      </c>
      <c r="D269" s="356">
        <f t="shared" ref="D269:D270" si="97">E269-C269</f>
        <v>64415.796412553311</v>
      </c>
      <c r="E269" s="117">
        <v>97725.826521623792</v>
      </c>
      <c r="F269" s="117">
        <v>35444.177560337535</v>
      </c>
      <c r="G269" s="117">
        <v>9795.4523732168927</v>
      </c>
      <c r="H269" s="117">
        <v>834.38287466049144</v>
      </c>
      <c r="I269" s="117">
        <v>16676.251866184757</v>
      </c>
      <c r="J269" s="117">
        <v>6149.3034851248485</v>
      </c>
      <c r="K269" s="117">
        <v>8046.6598157217795</v>
      </c>
      <c r="L269" s="577">
        <f t="shared" ref="L269:L270" si="98">SUM(E269:K269)</f>
        <v>174672.05449687006</v>
      </c>
      <c r="N269" s="178" t="s">
        <v>464</v>
      </c>
      <c r="O269" s="178" t="s">
        <v>155</v>
      </c>
      <c r="P269" s="473">
        <f t="shared" ref="P269:P278" si="99">C357</f>
        <v>0</v>
      </c>
      <c r="Q269" s="473">
        <f t="shared" ref="Q269:Q278" si="100">D357</f>
        <v>8894.7217742154098</v>
      </c>
      <c r="R269" s="473">
        <f t="shared" ref="R269:R278" si="101">E357</f>
        <v>8894.7217742154098</v>
      </c>
      <c r="S269" s="473">
        <f t="shared" ref="S269:S278" si="102">F357</f>
        <v>2987.0916600555242</v>
      </c>
      <c r="T269" s="473">
        <f t="shared" ref="T269:T278" si="103">G357</f>
        <v>106781.18827226774</v>
      </c>
      <c r="U269" s="473">
        <f t="shared" ref="U269:U278" si="104">H357</f>
        <v>93503.012911616461</v>
      </c>
      <c r="V269" s="473">
        <f t="shared" ref="V269:V278" si="105">I357</f>
        <v>17716.951652942218</v>
      </c>
      <c r="W269" s="473">
        <f t="shared" ref="W269:W278" si="106">J357</f>
        <v>120410.00533055961</v>
      </c>
      <c r="X269" s="473">
        <f t="shared" ref="X269:X278" si="107">K357</f>
        <v>145606.87561772458</v>
      </c>
    </row>
    <row r="270" spans="1:25" outlineLevel="1" x14ac:dyDescent="0.15">
      <c r="A270" s="66"/>
      <c r="B270" s="117" t="s">
        <v>156</v>
      </c>
      <c r="C270" s="179">
        <f>E270*VLOOKUP($B270,'Offroad Allocation'!$B$4:$G$15,5,0)</f>
        <v>75.864677880952854</v>
      </c>
      <c r="D270" s="356">
        <f t="shared" si="97"/>
        <v>146.70907319152116</v>
      </c>
      <c r="E270" s="117">
        <v>222.57375107247401</v>
      </c>
      <c r="F270" s="117">
        <v>55.817566146850496</v>
      </c>
      <c r="G270" s="117">
        <v>51.130854954310799</v>
      </c>
      <c r="H270" s="117">
        <v>11.918483190264</v>
      </c>
      <c r="I270" s="117">
        <v>41.226077763148702</v>
      </c>
      <c r="J270" s="117">
        <v>31.236190149579699</v>
      </c>
      <c r="K270" s="117">
        <v>73.228861155918594</v>
      </c>
      <c r="L270" s="577">
        <f t="shared" si="98"/>
        <v>487.13178443254628</v>
      </c>
      <c r="N270" s="178" t="s">
        <v>464</v>
      </c>
      <c r="O270" s="178" t="s">
        <v>159</v>
      </c>
      <c r="P270" s="473">
        <f t="shared" si="99"/>
        <v>251341.10800000001</v>
      </c>
      <c r="Q270" s="473">
        <f t="shared" si="100"/>
        <v>0</v>
      </c>
      <c r="R270" s="473">
        <f t="shared" si="101"/>
        <v>251341.10800000001</v>
      </c>
      <c r="S270" s="473">
        <f t="shared" si="102"/>
        <v>59.172141906738204</v>
      </c>
      <c r="T270" s="473">
        <f t="shared" si="103"/>
        <v>26.9474488601684</v>
      </c>
      <c r="U270" s="473">
        <f t="shared" si="104"/>
        <v>0</v>
      </c>
      <c r="V270" s="473">
        <f t="shared" si="105"/>
        <v>29.754462486266998</v>
      </c>
      <c r="W270" s="473">
        <f t="shared" si="106"/>
        <v>25.824642013549802</v>
      </c>
      <c r="X270" s="473">
        <f t="shared" si="107"/>
        <v>60.631908187866195</v>
      </c>
    </row>
    <row r="271" spans="1:25" outlineLevel="1" x14ac:dyDescent="0.15">
      <c r="A271" s="66"/>
      <c r="B271" s="117" t="s">
        <v>157</v>
      </c>
      <c r="C271" s="179">
        <f>E271*VLOOKUP($B271,'Offroad Allocation'!$B$4:$G$15,5,0)</f>
        <v>43748.718706212196</v>
      </c>
      <c r="D271" s="356">
        <f>E271-C271</f>
        <v>84602.401987083242</v>
      </c>
      <c r="E271" s="117">
        <v>128351.12069329544</v>
      </c>
      <c r="F271" s="117">
        <v>32883.325436481435</v>
      </c>
      <c r="G271" s="117">
        <v>17502.296294466236</v>
      </c>
      <c r="H271" s="117">
        <v>1016.7587667623056</v>
      </c>
      <c r="I271" s="117">
        <v>24969.37255660407</v>
      </c>
      <c r="J271" s="117">
        <v>13010.228137920043</v>
      </c>
      <c r="K271" s="117">
        <v>12003.773963131769</v>
      </c>
      <c r="L271" s="577">
        <f>SUM(E271:K271)</f>
        <v>229736.87584866129</v>
      </c>
      <c r="N271" s="178" t="s">
        <v>464</v>
      </c>
      <c r="O271" s="178" t="s">
        <v>104</v>
      </c>
      <c r="P271" s="473">
        <f t="shared" si="99"/>
        <v>14746029.905459804</v>
      </c>
      <c r="Q271" s="473">
        <f t="shared" si="100"/>
        <v>28516253.427968688</v>
      </c>
      <c r="R271" s="473">
        <f t="shared" si="101"/>
        <v>43262283.333428495</v>
      </c>
      <c r="S271" s="473">
        <f t="shared" si="102"/>
        <v>15690809.954999976</v>
      </c>
      <c r="T271" s="473">
        <f t="shared" si="103"/>
        <v>4336350.2585401665</v>
      </c>
      <c r="U271" s="473">
        <f t="shared" si="104"/>
        <v>369373.996618303</v>
      </c>
      <c r="V271" s="473">
        <f t="shared" si="105"/>
        <v>7382416.6202857057</v>
      </c>
      <c r="W271" s="473">
        <f t="shared" si="106"/>
        <v>2722235.0196160674</v>
      </c>
      <c r="X271" s="473">
        <f t="shared" si="107"/>
        <v>3562182.7060613749</v>
      </c>
    </row>
    <row r="272" spans="1:25" outlineLevel="1" x14ac:dyDescent="0.15">
      <c r="A272" s="66"/>
      <c r="B272" s="170" t="s">
        <v>158</v>
      </c>
      <c r="C272" s="179">
        <f>E272*VLOOKUP($B272,'Offroad Allocation'!$B$4:$G$15,5,0)</f>
        <v>288.96863307154422</v>
      </c>
      <c r="D272" s="356">
        <f>E272-C272</f>
        <v>558.81500486790878</v>
      </c>
      <c r="E272" s="117">
        <v>847.783637939453</v>
      </c>
      <c r="F272" s="117">
        <v>692.35529956054597</v>
      </c>
      <c r="G272" s="117">
        <v>84.778362930297789</v>
      </c>
      <c r="H272" s="117">
        <v>0</v>
      </c>
      <c r="I272" s="117">
        <v>551.05926965331992</v>
      </c>
      <c r="J272" s="117">
        <v>0</v>
      </c>
      <c r="K272" s="117">
        <v>847.783637939453</v>
      </c>
      <c r="L272" s="577">
        <f t="shared" ref="L272:L273" si="108">SUM(E272:K272)</f>
        <v>3023.7602080230699</v>
      </c>
      <c r="N272" s="178" t="s">
        <v>464</v>
      </c>
      <c r="O272" s="178" t="s">
        <v>156</v>
      </c>
      <c r="P272" s="473">
        <f t="shared" si="99"/>
        <v>1195554.1007070225</v>
      </c>
      <c r="Q272" s="473">
        <f t="shared" si="100"/>
        <v>2311993.3935564323</v>
      </c>
      <c r="R272" s="473">
        <f t="shared" si="101"/>
        <v>3507547.4942634548</v>
      </c>
      <c r="S272" s="473">
        <f t="shared" si="102"/>
        <v>879629.92038113752</v>
      </c>
      <c r="T272" s="473">
        <f t="shared" si="103"/>
        <v>805772.79701782134</v>
      </c>
      <c r="U272" s="473">
        <f t="shared" si="104"/>
        <v>187823.87932246353</v>
      </c>
      <c r="V272" s="473">
        <f t="shared" si="105"/>
        <v>649683.78257554292</v>
      </c>
      <c r="W272" s="473">
        <f t="shared" si="106"/>
        <v>492252.8564936074</v>
      </c>
      <c r="X272" s="473">
        <f t="shared" si="107"/>
        <v>1154016.7775775294</v>
      </c>
    </row>
    <row r="273" spans="1:24" outlineLevel="1" x14ac:dyDescent="0.15">
      <c r="A273" s="66"/>
      <c r="B273" s="171" t="s">
        <v>88</v>
      </c>
      <c r="C273" s="357">
        <f t="shared" ref="C273:K273" si="109">SUM(C268:C272)</f>
        <v>77423.582126235182</v>
      </c>
      <c r="D273" s="357">
        <f t="shared" si="109"/>
        <v>149754.34505439975</v>
      </c>
      <c r="E273" s="357">
        <f>SUM(E268:E272)</f>
        <v>227177.9271806349</v>
      </c>
      <c r="F273" s="357">
        <f t="shared" si="109"/>
        <v>69085.959769758905</v>
      </c>
      <c r="G273" s="357">
        <f t="shared" si="109"/>
        <v>27801.282291175503</v>
      </c>
      <c r="H273" s="357">
        <f t="shared" si="109"/>
        <v>2184.9704789491179</v>
      </c>
      <c r="I273" s="357">
        <f t="shared" si="109"/>
        <v>42298.905389057094</v>
      </c>
      <c r="J273" s="357">
        <f t="shared" si="109"/>
        <v>19605.313497799114</v>
      </c>
      <c r="K273" s="357">
        <f t="shared" si="109"/>
        <v>21472.739059167314</v>
      </c>
      <c r="L273" s="357">
        <f t="shared" si="108"/>
        <v>409627.09766654193</v>
      </c>
      <c r="N273" s="178" t="s">
        <v>464</v>
      </c>
      <c r="O273" s="178" t="s">
        <v>157</v>
      </c>
      <c r="P273" s="473">
        <f t="shared" si="99"/>
        <v>3522679.1700828597</v>
      </c>
      <c r="Q273" s="473">
        <f t="shared" si="100"/>
        <v>6812247.9476537406</v>
      </c>
      <c r="R273" s="473">
        <f t="shared" si="101"/>
        <v>10334927.1177366</v>
      </c>
      <c r="S273" s="473">
        <f t="shared" si="102"/>
        <v>2645661.2670864905</v>
      </c>
      <c r="T273" s="473">
        <f t="shared" si="103"/>
        <v>1407941.6553489091</v>
      </c>
      <c r="U273" s="473">
        <f t="shared" si="104"/>
        <v>81960.778424944016</v>
      </c>
      <c r="V273" s="473">
        <f t="shared" si="105"/>
        <v>2008824.0109817227</v>
      </c>
      <c r="W273" s="473">
        <f t="shared" si="106"/>
        <v>1046351.3521028858</v>
      </c>
      <c r="X273" s="473">
        <f t="shared" si="107"/>
        <v>966816.13588336785</v>
      </c>
    </row>
    <row r="274" spans="1:24" outlineLevel="1" x14ac:dyDescent="0.15">
      <c r="A274" s="66"/>
      <c r="B274" s="101" t="s">
        <v>460</v>
      </c>
      <c r="C274" s="66"/>
      <c r="D274" s="66"/>
      <c r="E274" s="66"/>
      <c r="F274" s="66"/>
      <c r="G274" s="66"/>
      <c r="H274" s="66"/>
      <c r="N274" s="178" t="s">
        <v>464</v>
      </c>
      <c r="O274" s="178" t="s">
        <v>160</v>
      </c>
      <c r="P274" s="473">
        <f t="shared" si="99"/>
        <v>20745676.265624516</v>
      </c>
      <c r="Q274" s="473">
        <f t="shared" si="100"/>
        <v>65633768.044590242</v>
      </c>
      <c r="R274" s="473">
        <f t="shared" si="101"/>
        <v>86379444.310214758</v>
      </c>
      <c r="S274" s="473">
        <f t="shared" si="102"/>
        <v>38942508.750041053</v>
      </c>
      <c r="T274" s="473">
        <f t="shared" si="103"/>
        <v>20052379.517401345</v>
      </c>
      <c r="U274" s="473">
        <f t="shared" si="104"/>
        <v>1827923.2706826581</v>
      </c>
      <c r="V274" s="473">
        <f t="shared" si="105"/>
        <v>34041701.992105767</v>
      </c>
      <c r="W274" s="473">
        <f t="shared" si="106"/>
        <v>9514193.9285222366</v>
      </c>
      <c r="X274" s="473">
        <f t="shared" si="107"/>
        <v>15780837.976040566</v>
      </c>
    </row>
    <row r="275" spans="1:24" outlineLevel="1" x14ac:dyDescent="0.15">
      <c r="A275" s="66"/>
      <c r="B275" s="101"/>
      <c r="C275" s="66"/>
      <c r="D275" s="66"/>
      <c r="E275" s="66"/>
      <c r="F275" s="66"/>
      <c r="G275" s="66"/>
      <c r="H275" s="66"/>
      <c r="N275" s="178" t="s">
        <v>464</v>
      </c>
      <c r="O275" s="178" t="s">
        <v>161</v>
      </c>
      <c r="P275" s="473">
        <f t="shared" si="99"/>
        <v>0</v>
      </c>
      <c r="Q275" s="473">
        <f t="shared" si="100"/>
        <v>11421.072845737981</v>
      </c>
      <c r="R275" s="473">
        <f t="shared" si="101"/>
        <v>11421.072845737981</v>
      </c>
      <c r="S275" s="473">
        <f t="shared" si="102"/>
        <v>1852.9638559864563</v>
      </c>
      <c r="T275" s="473">
        <f t="shared" si="103"/>
        <v>2808.427167799804</v>
      </c>
      <c r="U275" s="473">
        <f t="shared" si="104"/>
        <v>4931.3314913613394</v>
      </c>
      <c r="V275" s="473">
        <f t="shared" si="105"/>
        <v>6811.2111127537255</v>
      </c>
      <c r="W275" s="473">
        <f t="shared" si="106"/>
        <v>16330.197691772453</v>
      </c>
      <c r="X275" s="473">
        <f t="shared" si="107"/>
        <v>17110.904745657728</v>
      </c>
    </row>
    <row r="276" spans="1:24" outlineLevel="1" x14ac:dyDescent="0.15">
      <c r="A276" s="66"/>
      <c r="B276" s="82" t="s">
        <v>465</v>
      </c>
      <c r="C276" s="66"/>
      <c r="D276" s="66"/>
      <c r="E276" s="66"/>
      <c r="F276" s="66"/>
      <c r="G276" s="66"/>
      <c r="H276" s="66"/>
      <c r="N276" s="178" t="s">
        <v>464</v>
      </c>
      <c r="O276" s="178" t="s">
        <v>158</v>
      </c>
      <c r="P276" s="473">
        <f t="shared" si="99"/>
        <v>30738.376243077051</v>
      </c>
      <c r="Q276" s="473">
        <f t="shared" si="100"/>
        <v>59442.66575692295</v>
      </c>
      <c r="R276" s="473">
        <f t="shared" si="101"/>
        <v>90181.042000000001</v>
      </c>
      <c r="S276" s="473">
        <f t="shared" si="102"/>
        <v>73647.923999999999</v>
      </c>
      <c r="T276" s="473">
        <f t="shared" si="103"/>
        <v>9018.10421484375</v>
      </c>
      <c r="U276" s="473">
        <f t="shared" si="104"/>
        <v>0</v>
      </c>
      <c r="V276" s="473">
        <f t="shared" si="105"/>
        <v>58617.709999999905</v>
      </c>
      <c r="W276" s="473">
        <f t="shared" si="106"/>
        <v>0</v>
      </c>
      <c r="X276" s="473">
        <f t="shared" si="107"/>
        <v>90181.042000000001</v>
      </c>
    </row>
    <row r="277" spans="1:24" ht="14.5" customHeight="1" outlineLevel="1" x14ac:dyDescent="0.15">
      <c r="A277" s="66"/>
      <c r="B277" s="83" t="s">
        <v>459</v>
      </c>
      <c r="C277" s="83" t="s">
        <v>58</v>
      </c>
      <c r="D277" s="83" t="s">
        <v>100</v>
      </c>
      <c r="E277" s="83" t="s">
        <v>59</v>
      </c>
      <c r="F277" s="83" t="s">
        <v>60</v>
      </c>
      <c r="G277" s="83" t="s">
        <v>62</v>
      </c>
      <c r="H277" s="83" t="s">
        <v>61</v>
      </c>
      <c r="I277" s="83" t="s">
        <v>63</v>
      </c>
      <c r="J277" s="83" t="s">
        <v>64</v>
      </c>
      <c r="K277" s="83" t="s">
        <v>65</v>
      </c>
      <c r="N277" s="178" t="s">
        <v>464</v>
      </c>
      <c r="O277" s="178" t="s">
        <v>162</v>
      </c>
      <c r="P277" s="473">
        <f t="shared" si="99"/>
        <v>24033.376881769975</v>
      </c>
      <c r="Q277" s="473">
        <f t="shared" si="100"/>
        <v>8560.9304809532259</v>
      </c>
      <c r="R277" s="473">
        <f t="shared" si="101"/>
        <v>32594.307362723201</v>
      </c>
      <c r="S277" s="473">
        <f t="shared" si="102"/>
        <v>13480.4532837611</v>
      </c>
      <c r="T277" s="473">
        <f t="shared" si="103"/>
        <v>5865.60787011718</v>
      </c>
      <c r="U277" s="473">
        <f t="shared" si="104"/>
        <v>938.92229361397801</v>
      </c>
      <c r="V277" s="473">
        <f t="shared" si="105"/>
        <v>4354.5900994698604</v>
      </c>
      <c r="W277" s="473">
        <f t="shared" si="106"/>
        <v>850.14936519949697</v>
      </c>
      <c r="X277" s="473">
        <f t="shared" si="107"/>
        <v>7203.9056090959803</v>
      </c>
    </row>
    <row r="278" spans="1:24" outlineLevel="1" x14ac:dyDescent="0.15">
      <c r="A278" s="66"/>
      <c r="B278" s="117" t="s">
        <v>155</v>
      </c>
      <c r="C278" s="234">
        <f>C248*'Constants &amp; Conversions'!$D$58/'Constants &amp; Conversions'!$D$59/1000000*'Constants &amp; Conversions'!$D$38</f>
        <v>0</v>
      </c>
      <c r="D278" s="234">
        <f>D248*'Constants &amp; Conversions'!$D$58/'Constants &amp; Conversions'!$D$59/1000000*'Constants &amp; Conversions'!$D$38</f>
        <v>740.23046267175891</v>
      </c>
      <c r="E278" s="234">
        <f>E248*'Constants &amp; Conversions'!$D$58/'Constants &amp; Conversions'!$D$59/1000000*'Constants &amp; Conversions'!$D$38</f>
        <v>740.23046267175891</v>
      </c>
      <c r="F278" s="234">
        <f>F248*'Constants &amp; Conversions'!$D$58/'Constants &amp; Conversions'!$D$59/1000000*'Constants &amp; Conversions'!$D$38</f>
        <v>248.59000711303597</v>
      </c>
      <c r="G278" s="234">
        <f>G248*'Constants &amp; Conversions'!$D$58/'Constants &amp; Conversions'!$D$59/1000000*'Constants &amp; Conversions'!$D$38</f>
        <v>8886.4832938689069</v>
      </c>
      <c r="H278" s="234">
        <f>H248*'Constants &amp; Conversions'!$D$58/'Constants &amp; Conversions'!$D$59/1000000*'Constants &amp; Conversions'!$D$38</f>
        <v>7781.457409442065</v>
      </c>
      <c r="I278" s="234">
        <f>I248*'Constants &amp; Conversions'!$D$58/'Constants &amp; Conversions'!$D$59/1000000*'Constants &amp; Conversions'!$D$38</f>
        <v>1474.4280899782207</v>
      </c>
      <c r="J278" s="234">
        <f>J248*'Constants &amp; Conversions'!$D$58/'Constants &amp; Conversions'!$D$59/1000000*'Constants &amp; Conversions'!$D$38</f>
        <v>10020.696472974747</v>
      </c>
      <c r="K278" s="234">
        <f>K248*'Constants &amp; Conversions'!$D$58/'Constants &amp; Conversions'!$D$59/1000000*'Constants &amp; Conversions'!$D$38</f>
        <v>12117.592042256538</v>
      </c>
      <c r="N278" s="178" t="s">
        <v>464</v>
      </c>
      <c r="O278" s="178" t="s">
        <v>163</v>
      </c>
      <c r="P278" s="473">
        <f t="shared" si="99"/>
        <v>2094096.5805245573</v>
      </c>
      <c r="Q278" s="473">
        <f t="shared" si="100"/>
        <v>1928104.3484754283</v>
      </c>
      <c r="R278" s="473">
        <f t="shared" si="101"/>
        <v>4022200.9289999856</v>
      </c>
      <c r="S278" s="473">
        <f t="shared" si="102"/>
        <v>993964.97930524463</v>
      </c>
      <c r="T278" s="473">
        <f t="shared" si="103"/>
        <v>520662.514474608</v>
      </c>
      <c r="U278" s="473">
        <f t="shared" si="104"/>
        <v>425651.83133203042</v>
      </c>
      <c r="V278" s="473">
        <f t="shared" si="105"/>
        <v>1963668.1107187488</v>
      </c>
      <c r="W278" s="473">
        <f t="shared" si="106"/>
        <v>757313.80435156112</v>
      </c>
      <c r="X278" s="473">
        <f t="shared" si="107"/>
        <v>922780.74417131662</v>
      </c>
    </row>
    <row r="279" spans="1:24" outlineLevel="1" x14ac:dyDescent="0.15">
      <c r="A279" s="66"/>
      <c r="B279" s="117" t="s">
        <v>104</v>
      </c>
      <c r="C279" s="234">
        <f>C249*'Constants &amp; Conversions'!$D$58/'Constants &amp; Conversions'!$D$59/1000000*'Constants &amp; Conversions'!$D$38</f>
        <v>407976.76211254403</v>
      </c>
      <c r="D279" s="234">
        <f>D249*'Constants &amp; Conversions'!$D$58/'Constants &amp; Conversions'!$D$59/1000000*'Constants &amp; Conversions'!$D$38</f>
        <v>788955.99803550204</v>
      </c>
      <c r="E279" s="234">
        <f>E249*'Constants &amp; Conversions'!$D$58/'Constants &amp; Conversions'!$D$59/1000000*'Constants &amp; Conversions'!$D$38</f>
        <v>1196932.7601480461</v>
      </c>
      <c r="F279" s="234">
        <f>F249*'Constants &amp; Conversions'!$D$58/'Constants &amp; Conversions'!$D$59/1000000*'Constants &amp; Conversions'!$D$38</f>
        <v>434115.99647179135</v>
      </c>
      <c r="G279" s="234">
        <f>G249*'Constants &amp; Conversions'!$D$58/'Constants &amp; Conversions'!$D$59/1000000*'Constants &amp; Conversions'!$D$38</f>
        <v>119973.22874712606</v>
      </c>
      <c r="H279" s="234">
        <f>H249*'Constants &amp; Conversions'!$D$58/'Constants &amp; Conversions'!$D$59/1000000*'Constants &amp; Conversions'!$D$38</f>
        <v>10219.42998806007</v>
      </c>
      <c r="I279" s="234">
        <f>I249*'Constants &amp; Conversions'!$D$58/'Constants &amp; Conversions'!$D$59/1000000*'Constants &amp; Conversions'!$D$38</f>
        <v>204248.58285460403</v>
      </c>
      <c r="J279" s="234">
        <f>J249*'Constants &amp; Conversions'!$D$58/'Constants &amp; Conversions'!$D$59/1000000*'Constants &amp; Conversions'!$D$38</f>
        <v>75315.809214748253</v>
      </c>
      <c r="K279" s="234">
        <f>K249*'Constants &amp; Conversions'!$D$58/'Constants &amp; Conversions'!$D$59/1000000*'Constants &amp; Conversions'!$D$38</f>
        <v>98554.522361232652</v>
      </c>
    </row>
    <row r="280" spans="1:24" outlineLevel="1" x14ac:dyDescent="0.15">
      <c r="A280" s="66"/>
      <c r="B280" s="117" t="s">
        <v>156</v>
      </c>
      <c r="C280" s="234">
        <f>C250*'Constants &amp; Conversions'!$D$58/'Constants &amp; Conversions'!$D$59/1000000*'Constants &amp; Conversions'!$D$38</f>
        <v>225.01335951215401</v>
      </c>
      <c r="D280" s="234">
        <f>D250*'Constants &amp; Conversions'!$D$58/'Constants &amp; Conversions'!$D$59/1000000*'Constants &amp; Conversions'!$D$38</f>
        <v>435.1366452980983</v>
      </c>
      <c r="E280" s="234">
        <f>E250*'Constants &amp; Conversions'!$D$58/'Constants &amp; Conversions'!$D$59/1000000*'Constants &amp; Conversions'!$D$38</f>
        <v>660.15000481025243</v>
      </c>
      <c r="F280" s="234">
        <f>F250*'Constants &amp; Conversions'!$D$58/'Constants &amp; Conversions'!$D$59/1000000*'Constants &amp; Conversions'!$D$38</f>
        <v>165.55389194648507</v>
      </c>
      <c r="G280" s="234">
        <f>G250*'Constants &amp; Conversions'!$D$58/'Constants &amp; Conversions'!$D$59/1000000*'Constants &amp; Conversions'!$D$38</f>
        <v>151.65319394232441</v>
      </c>
      <c r="H280" s="234">
        <f>H250*'Constants &amp; Conversions'!$D$58/'Constants &amp; Conversions'!$D$59/1000000*'Constants &amp; Conversions'!$D$38</f>
        <v>35.350022573695611</v>
      </c>
      <c r="I280" s="234">
        <f>I250*'Constants &amp; Conversions'!$D$58/'Constants &amp; Conversions'!$D$59/1000000*'Constants &amp; Conversions'!$D$38</f>
        <v>122.27592272266646</v>
      </c>
      <c r="J280" s="234">
        <f>J250*'Constants &amp; Conversions'!$D$58/'Constants &amp; Conversions'!$D$59/1000000*'Constants &amp; Conversions'!$D$38</f>
        <v>92.646126000020885</v>
      </c>
      <c r="K280" s="234">
        <f>K250*'Constants &amp; Conversions'!$D$58/'Constants &amp; Conversions'!$D$59/1000000*'Constants &amp; Conversions'!$D$38</f>
        <v>217.19576846870953</v>
      </c>
    </row>
    <row r="281" spans="1:24" outlineLevel="1" x14ac:dyDescent="0.15">
      <c r="A281" s="66"/>
      <c r="B281" s="117" t="s">
        <v>157</v>
      </c>
      <c r="C281" s="234">
        <f>C251*'Constants &amp; Conversions'!$D$58/'Constants &amp; Conversions'!$D$59/1000000*'Constants &amp; Conversions'!$D$38</f>
        <v>862139.03910562687</v>
      </c>
      <c r="D281" s="234">
        <f>D251*'Constants &amp; Conversions'!$D$58/'Constants &amp; Conversions'!$D$59/1000000*'Constants &amp; Conversions'!$D$38</f>
        <v>1667226.7374270505</v>
      </c>
      <c r="E281" s="234">
        <f>E251*'Constants &amp; Conversions'!$D$58/'Constants &amp; Conversions'!$D$59/1000000*'Constants &amp; Conversions'!$D$38</f>
        <v>2529365.776532677</v>
      </c>
      <c r="F281" s="234">
        <f>F251*'Constants &amp; Conversions'!$D$58/'Constants &amp; Conversions'!$D$59/1000000*'Constants &amp; Conversions'!$D$38</f>
        <v>648001.43837412854</v>
      </c>
      <c r="G281" s="234">
        <f>G251*'Constants &amp; Conversions'!$D$58/'Constants &amp; Conversions'!$D$59/1000000*'Constants &amp; Conversions'!$D$38</f>
        <v>344899.97902906535</v>
      </c>
      <c r="H281" s="234">
        <f>H251*'Constants &amp; Conversions'!$D$58/'Constants &amp; Conversions'!$D$59/1000000*'Constants &amp; Conversions'!$D$38</f>
        <v>20037.626853502738</v>
      </c>
      <c r="I281" s="234">
        <f>I251*'Constants &amp; Conversions'!$D$58/'Constants &amp; Conversions'!$D$59/1000000*'Constants &amp; Conversions'!$D$38</f>
        <v>492047.63464496954</v>
      </c>
      <c r="J281" s="234">
        <f>J251*'Constants &amp; Conversions'!$D$58/'Constants &amp; Conversions'!$D$59/1000000*'Constants &amp; Conversions'!$D$38</f>
        <v>256377.67590391423</v>
      </c>
      <c r="K281" s="234">
        <f>K251*'Constants &amp; Conversions'!$D$58/'Constants &amp; Conversions'!$D$59/1000000*'Constants &amp; Conversions'!$D$38</f>
        <v>236555.77440744094</v>
      </c>
    </row>
    <row r="282" spans="1:24" outlineLevel="1" x14ac:dyDescent="0.15">
      <c r="A282" s="66"/>
      <c r="B282" s="170" t="s">
        <v>158</v>
      </c>
      <c r="C282" s="234">
        <f>C252*'Constants &amp; Conversions'!$D$58/'Constants &amp; Conversions'!$D$59/1000000*'Constants &amp; Conversions'!$D$38</f>
        <v>11567.192092819452</v>
      </c>
      <c r="D282" s="234">
        <f>D252*'Constants &amp; Conversions'!$D$58/'Constants &amp; Conversions'!$D$59/1000000*'Constants &amp; Conversions'!$D$38</f>
        <v>22368.934776587223</v>
      </c>
      <c r="E282" s="234">
        <f>E252*'Constants &amp; Conversions'!$D$58/'Constants &amp; Conversions'!$D$59/1000000*'Constants &amp; Conversions'!$D$38</f>
        <v>33936.126869406668</v>
      </c>
      <c r="F282" s="234">
        <f>F252*'Constants &amp; Conversions'!$D$58/'Constants &amp; Conversions'!$D$59/1000000*'Constants &amp; Conversions'!$D$38</f>
        <v>27714.523320937587</v>
      </c>
      <c r="G282" s="234">
        <f>G252*'Constants &amp; Conversions'!$D$58/'Constants &amp; Conversions'!$D$59/1000000*'Constants &amp; Conversions'!$D$38</f>
        <v>3393.6126984630305</v>
      </c>
      <c r="H282" s="234">
        <f>H252*'Constants &amp; Conversions'!$D$58/'Constants &amp; Conversions'!$D$59/1000000*'Constants &amp; Conversions'!$D$38</f>
        <v>0</v>
      </c>
      <c r="I282" s="234">
        <f>I252*'Constants &amp; Conversions'!$D$58/'Constants &amp; Conversions'!$D$59/1000000*'Constants &amp; Conversions'!$D$38</f>
        <v>22058.504634140558</v>
      </c>
      <c r="J282" s="234">
        <f>J252*'Constants &amp; Conversions'!$D$58/'Constants &amp; Conversions'!$D$59/1000000*'Constants &amp; Conversions'!$D$38</f>
        <v>0</v>
      </c>
      <c r="K282" s="234">
        <f>K252*'Constants &amp; Conversions'!$D$58/'Constants &amp; Conversions'!$D$59/1000000*'Constants &amp; Conversions'!$D$38</f>
        <v>33936.126869406668</v>
      </c>
      <c r="P282" s="283"/>
      <c r="Q282" s="283"/>
      <c r="R282" s="283"/>
      <c r="S282" s="283"/>
      <c r="T282" s="283"/>
      <c r="U282" s="283"/>
      <c r="V282" s="283"/>
      <c r="W282" s="283"/>
      <c r="X282" s="283"/>
    </row>
    <row r="283" spans="1:24" ht="15" outlineLevel="1" x14ac:dyDescent="0.15">
      <c r="A283" s="66"/>
      <c r="B283" s="171" t="s">
        <v>88</v>
      </c>
      <c r="C283" s="357">
        <f t="shared" ref="C283:K283" si="110">SUM(C278:C282)</f>
        <v>1281908.0066705025</v>
      </c>
      <c r="D283" s="357">
        <f t="shared" si="110"/>
        <v>2479727.03734711</v>
      </c>
      <c r="E283" s="357">
        <f t="shared" si="110"/>
        <v>3761635.0440176115</v>
      </c>
      <c r="F283" s="357">
        <f t="shared" si="110"/>
        <v>1110246.1020659171</v>
      </c>
      <c r="G283" s="357">
        <f t="shared" si="110"/>
        <v>477304.95696246566</v>
      </c>
      <c r="H283" s="357">
        <f t="shared" si="110"/>
        <v>38073.864273578569</v>
      </c>
      <c r="I283" s="357">
        <f t="shared" si="110"/>
        <v>719951.42614641506</v>
      </c>
      <c r="J283" s="357">
        <f t="shared" si="110"/>
        <v>341806.82771763724</v>
      </c>
      <c r="K283" s="357">
        <f t="shared" si="110"/>
        <v>381381.21144880552</v>
      </c>
      <c r="P283" s="472" t="s">
        <v>466</v>
      </c>
      <c r="Q283" s="472" t="s">
        <v>467</v>
      </c>
      <c r="R283" s="472" t="s">
        <v>468</v>
      </c>
      <c r="S283" s="472" t="s">
        <v>469</v>
      </c>
      <c r="T283" s="472" t="s">
        <v>470</v>
      </c>
      <c r="U283" s="283"/>
      <c r="V283" s="283"/>
      <c r="W283" s="283"/>
      <c r="X283" s="283"/>
    </row>
    <row r="284" spans="1:24" x14ac:dyDescent="0.15">
      <c r="A284" s="66"/>
      <c r="B284" s="66"/>
      <c r="C284" s="69"/>
      <c r="D284" s="66"/>
      <c r="E284" s="66"/>
      <c r="F284" s="66"/>
      <c r="G284" s="66"/>
      <c r="H284" s="66"/>
      <c r="O284" s="178" t="s">
        <v>155</v>
      </c>
      <c r="P284" s="473">
        <f>(SUMIF($B$258:$B$262,O284,$L$258:$L$262)+SUMIF($B$303:$B$312,O284,$L$303:$L$312)+SUMIF($B$373:$B$390,O284,$L$373:$L$390))/'Constants &amp; Conversions'!$D$32</f>
        <v>118224.37369263209</v>
      </c>
      <c r="Q284" s="473">
        <f t="shared" ref="Q284:Q291" si="111">SUMIF($B$268:$B$272,O284,$L$268:$L$272)+SUMIF($B$318:$B$327,O284,$L$318:$L$327)+SUMIF($B$397:$B$414,O284,$L$397:$L$414)</f>
        <v>6441.189547802257</v>
      </c>
      <c r="R284" s="473">
        <f>Q284/'Constants &amp; Conversions'!$D$32*CH4_GWP</f>
        <v>180.3533073384632</v>
      </c>
      <c r="S284" s="473">
        <f>SUMIF('Off-road'!$C$132:$C$163,'Offroad Data'!O284,'Off-road'!$M$132:$M$163)*Global_Warming_Potential_N2O</f>
        <v>2818.2626955229825</v>
      </c>
      <c r="T284" s="610">
        <f t="shared" ref="T284:T291" si="112">P284+R284+S284</f>
        <v>121222.98969549352</v>
      </c>
      <c r="U284" s="283"/>
      <c r="V284" s="283"/>
      <c r="W284" s="283"/>
      <c r="X284" s="283"/>
    </row>
    <row r="285" spans="1:24" ht="18" x14ac:dyDescent="0.2">
      <c r="A285" s="189" t="s">
        <v>146</v>
      </c>
      <c r="B285" s="66"/>
      <c r="C285" s="69"/>
      <c r="D285" s="66"/>
      <c r="E285" s="66"/>
      <c r="F285" s="66"/>
      <c r="G285" s="66"/>
      <c r="H285" s="66"/>
      <c r="O285" s="178" t="s">
        <v>159</v>
      </c>
      <c r="P285" s="473">
        <f>(SUMIF($B$258:$B$262,O285,$L$258:$L$262)+SUMIF($B$303:$B$312,O285,$L$303:$L$312)+SUMIF($B$373:$B$390,O285,$L$373:$L$390))/'Constants &amp; Conversions'!$D$32</f>
        <v>34437.37419858529</v>
      </c>
      <c r="Q285" s="473">
        <f t="shared" si="111"/>
        <v>1109.7016288543334</v>
      </c>
      <c r="R285" s="473">
        <f>Q285/'Constants &amp; Conversions'!$D$32*CH4_GWP</f>
        <v>31.071645607921333</v>
      </c>
      <c r="S285" s="473">
        <f>SUMIF('Off-road'!$C$132:$C$163,'Offroad Data'!O285,'Off-road'!$M$132:$M$163)*Global_Warming_Potential_N2O</f>
        <v>848.14567935924265</v>
      </c>
      <c r="T285" s="610">
        <f t="shared" si="112"/>
        <v>35316.591523552459</v>
      </c>
      <c r="U285" s="283"/>
      <c r="V285" s="283"/>
      <c r="W285" s="283"/>
      <c r="X285" s="283"/>
    </row>
    <row r="286" spans="1:24" outlineLevel="1" x14ac:dyDescent="0.15">
      <c r="A286" s="82"/>
      <c r="B286" s="82" t="s">
        <v>458</v>
      </c>
      <c r="C286" s="69"/>
      <c r="D286" s="66"/>
      <c r="E286" s="66"/>
      <c r="F286" s="66"/>
      <c r="G286" s="66"/>
      <c r="H286" s="66"/>
      <c r="O286" s="178" t="s">
        <v>104</v>
      </c>
      <c r="P286" s="473">
        <f>(SUMIF($B$258:$B$262,O286,$L$258:$L$262)+SUMIF($B$303:$B$312,O286,$L$303:$L$312)+SUMIF($B$373:$B$390,O286,$L$373:$L$390))/'Constants &amp; Conversions'!$D$32</f>
        <v>453017.11702679895</v>
      </c>
      <c r="Q286" s="473">
        <f t="shared" si="111"/>
        <v>372357.23632790713</v>
      </c>
      <c r="R286" s="473">
        <f>Q286/'Constants &amp; Conversions'!$D$32*CH4_GWP</f>
        <v>10426.002617181399</v>
      </c>
      <c r="S286" s="473">
        <f>SUMIF('Off-road'!$C$132:$C$163,'Offroad Data'!O286,'Off-road'!$M$132:$M$163)*Global_Warming_Potential_N2O</f>
        <v>16695.451718244618</v>
      </c>
      <c r="T286" s="610">
        <f t="shared" si="112"/>
        <v>480138.57136222499</v>
      </c>
      <c r="U286" s="283"/>
      <c r="V286" s="283"/>
      <c r="W286" s="283"/>
      <c r="X286" s="283"/>
    </row>
    <row r="287" spans="1:24" ht="15" outlineLevel="1" x14ac:dyDescent="0.15">
      <c r="A287" s="66"/>
      <c r="B287" s="83" t="s">
        <v>459</v>
      </c>
      <c r="C287" s="83" t="s">
        <v>58</v>
      </c>
      <c r="D287" s="83" t="s">
        <v>100</v>
      </c>
      <c r="E287" s="83" t="s">
        <v>59</v>
      </c>
      <c r="F287" s="83" t="s">
        <v>60</v>
      </c>
      <c r="G287" s="83" t="s">
        <v>62</v>
      </c>
      <c r="H287" s="83" t="s">
        <v>61</v>
      </c>
      <c r="I287" s="83" t="s">
        <v>63</v>
      </c>
      <c r="J287" s="83" t="s">
        <v>64</v>
      </c>
      <c r="K287" s="83" t="s">
        <v>65</v>
      </c>
      <c r="O287" s="178" t="s">
        <v>156</v>
      </c>
      <c r="P287" s="473">
        <f>(SUMIF($B$258:$B$262,O287,$L$258:$L$262)+SUMIF($B$303:$B$312,O287,$L$303:$L$312)+SUMIF($B$373:$B$390,O287,$L$373:$L$390))/'Constants &amp; Conversions'!$D$32</f>
        <v>1247424.9053937548</v>
      </c>
      <c r="Q287" s="473">
        <f t="shared" si="111"/>
        <v>61489.804917248388</v>
      </c>
      <c r="R287" s="473">
        <f>Q287/'Constants &amp; Conversions'!$D$32*CH4_GWP</f>
        <v>1721.7145376829549</v>
      </c>
      <c r="S287" s="473">
        <f>SUMIF('Off-road'!$C$132:$C$163,'Offroad Data'!O287,'Off-road'!$M$132:$M$163)*Global_Warming_Potential_N2O</f>
        <v>29078.846924378689</v>
      </c>
      <c r="T287" s="610">
        <f t="shared" si="112"/>
        <v>1278225.4668558165</v>
      </c>
      <c r="U287" s="283"/>
      <c r="V287" s="283"/>
      <c r="W287" s="283"/>
      <c r="X287" s="283"/>
    </row>
    <row r="288" spans="1:24" outlineLevel="1" x14ac:dyDescent="0.15">
      <c r="A288" s="66"/>
      <c r="B288" s="117" t="s">
        <v>155</v>
      </c>
      <c r="C288" s="179">
        <f>E288*VLOOKUP($B288,'Offroad Allocation'!$B$4:$G$15,5,0)</f>
        <v>0</v>
      </c>
      <c r="D288" s="356">
        <f t="shared" ref="D288:D297" si="113">E288-C288</f>
        <v>655845.00508672453</v>
      </c>
      <c r="E288" s="117">
        <v>655845.00508672453</v>
      </c>
      <c r="F288" s="117">
        <v>220250.51907213253</v>
      </c>
      <c r="G288" s="117">
        <v>7873417.8620014703</v>
      </c>
      <c r="H288" s="117">
        <v>6894361.6147666983</v>
      </c>
      <c r="I288" s="117">
        <v>1306344.4576623905</v>
      </c>
      <c r="J288" s="117">
        <v>8878330.6039117333</v>
      </c>
      <c r="K288" s="117">
        <v>10736205.812444214</v>
      </c>
      <c r="O288" s="178" t="s">
        <v>157</v>
      </c>
      <c r="P288" s="473">
        <f>(SUMIF($B$258:$B$262,O288,$L$258:$L$262)+SUMIF($B$303:$B$312,O288,$L$303:$L$312)+SUMIF($B$373:$B$390,O288,$L$373:$L$390))/'Constants &amp; Conversions'!$D$32</f>
        <v>468806.5506527882</v>
      </c>
      <c r="Q288" s="473">
        <f t="shared" si="111"/>
        <v>261995.44728192221</v>
      </c>
      <c r="R288" s="473">
        <f>Q288/'Constants &amp; Conversions'!$D$32*CH4_GWP</f>
        <v>7335.8725238938223</v>
      </c>
      <c r="S288" s="473">
        <f>SUMIF('Off-road'!$C$132:$C$163,'Offroad Data'!O288,'Off-road'!$M$132:$M$163)*Global_Warming_Potential_N2O</f>
        <v>11776.449913051278</v>
      </c>
      <c r="T288" s="610">
        <f t="shared" si="112"/>
        <v>487918.8730897333</v>
      </c>
      <c r="U288" s="283"/>
      <c r="V288" s="283"/>
      <c r="W288" s="283"/>
      <c r="X288" s="283"/>
    </row>
    <row r="289" spans="1:20" outlineLevel="1" x14ac:dyDescent="0.15">
      <c r="A289" s="66"/>
      <c r="B289" s="117" t="s">
        <v>159</v>
      </c>
      <c r="C289" s="179">
        <f>E289*VLOOKUP($B289,'Offroad Allocation'!$B$4:$G$15,5,0)</f>
        <v>10548959.4</v>
      </c>
      <c r="D289" s="356">
        <f t="shared" si="113"/>
        <v>0</v>
      </c>
      <c r="E289" s="117">
        <v>10548959.4</v>
      </c>
      <c r="F289" s="117">
        <v>2483.4936166992097</v>
      </c>
      <c r="G289" s="117">
        <v>1131.00225976562</v>
      </c>
      <c r="H289" s="117">
        <v>0</v>
      </c>
      <c r="I289" s="117">
        <v>1248.8149870605398</v>
      </c>
      <c r="J289" s="117">
        <v>1083.8776733398399</v>
      </c>
      <c r="K289" s="117">
        <v>2544.7560781249999</v>
      </c>
      <c r="O289" s="178" t="s">
        <v>160</v>
      </c>
      <c r="P289" s="473">
        <f>(SUMIF($B$258:$B$262,O289,$L$258:$L$262)+SUMIF($B$303:$B$312,O289,$L$303:$L$312)+SUMIF($B$373:$B$390,O289,$L$373:$L$390))/'Constants &amp; Conversions'!$D$32</f>
        <v>796435.17997249984</v>
      </c>
      <c r="Q289" s="473">
        <f t="shared" si="111"/>
        <v>668678.96765313239</v>
      </c>
      <c r="R289" s="473">
        <f>Q289/'Constants &amp; Conversions'!$D$32*CH4_GWP</f>
        <v>18723.011094287707</v>
      </c>
      <c r="S289" s="473">
        <f>SUMIF('Off-road'!$C$132:$C$163,'Offroad Data'!O289,'Off-road'!$M$132:$M$163)*Global_Warming_Potential_N2O</f>
        <v>33175.792476794042</v>
      </c>
      <c r="T289" s="610">
        <f t="shared" si="112"/>
        <v>848333.98354358156</v>
      </c>
    </row>
    <row r="290" spans="1:20" outlineLevel="1" x14ac:dyDescent="0.15">
      <c r="A290" s="66"/>
      <c r="B290" s="117" t="s">
        <v>104</v>
      </c>
      <c r="C290" s="179">
        <f>E290*VLOOKUP($B290,'Offroad Allocation'!$B$4:$G$15,5,0)</f>
        <v>11673505.218963889</v>
      </c>
      <c r="D290" s="356">
        <f t="shared" si="113"/>
        <v>22574525.845321722</v>
      </c>
      <c r="E290" s="117">
        <v>34248031.064285614</v>
      </c>
      <c r="F290" s="117">
        <v>12421419.564857118</v>
      </c>
      <c r="G290" s="117">
        <v>3432811.7239419608</v>
      </c>
      <c r="H290" s="117">
        <v>292409.92332672898</v>
      </c>
      <c r="I290" s="117">
        <v>5844194.4772857036</v>
      </c>
      <c r="J290" s="117">
        <v>2155021.1196741052</v>
      </c>
      <c r="K290" s="117">
        <v>2819953.7548158406</v>
      </c>
      <c r="O290" s="178" t="s">
        <v>161</v>
      </c>
      <c r="P290" s="473">
        <f>(SUMIF($B$258:$B$262,O290,$L$258:$L$262)+SUMIF($B$303:$B$312,O290,$L$303:$L$312)+SUMIF($B$373:$B$390,O290,$L$373:$L$390))/'Constants &amp; Conversions'!$D$32</f>
        <v>5713.5347341187935</v>
      </c>
      <c r="Q290" s="473">
        <f t="shared" si="111"/>
        <v>382.37468970920264</v>
      </c>
      <c r="R290" s="473">
        <f>Q290/'Constants &amp; Conversions'!$D$32*CH4_GWP</f>
        <v>10.706491311857674</v>
      </c>
      <c r="S290" s="473">
        <f>SUMIF('Off-road'!$C$132:$C$163,'Offroad Data'!O290,'Off-road'!$M$132:$M$163)*Global_Warming_Potential_N2O</f>
        <v>140.18619862291408</v>
      </c>
      <c r="T290" s="610">
        <f t="shared" si="112"/>
        <v>5864.4274240535651</v>
      </c>
    </row>
    <row r="291" spans="1:20" outlineLevel="1" x14ac:dyDescent="0.15">
      <c r="A291" s="66"/>
      <c r="B291" s="117" t="s">
        <v>156</v>
      </c>
      <c r="C291" s="179">
        <f>E291*VLOOKUP($B291,'Offroad Allocation'!$B$4:$G$15,5,0)</f>
        <v>59686738.64973031</v>
      </c>
      <c r="D291" s="356">
        <f t="shared" si="113"/>
        <v>115423756.53222106</v>
      </c>
      <c r="E291" s="117">
        <v>175110495.18195137</v>
      </c>
      <c r="F291" s="117">
        <v>43914563.60210745</v>
      </c>
      <c r="G291" s="117">
        <v>40227321.942427464</v>
      </c>
      <c r="H291" s="117">
        <v>9376902.5230150335</v>
      </c>
      <c r="I291" s="117">
        <v>32434751.444384106</v>
      </c>
      <c r="J291" s="117">
        <v>24575190.885872796</v>
      </c>
      <c r="K291" s="117">
        <v>57613012.555701584</v>
      </c>
      <c r="O291" s="178" t="s">
        <v>158</v>
      </c>
      <c r="P291" s="473">
        <f>(SUMIF($B$258:$B$262,O291,$L$258:$L$262)+SUMIF($B$303:$B$312,O291,$L$303:$L$312)+SUMIF($B$373:$B$390,O291,$L$373:$L$390))/'Constants &amp; Conversions'!$D$32</f>
        <v>6644.5209975468733</v>
      </c>
      <c r="Q291" s="473">
        <f t="shared" si="111"/>
        <v>3983.644231136318</v>
      </c>
      <c r="R291" s="473">
        <f>Q291/'Constants &amp; Conversions'!$D$32*CH4_GWP</f>
        <v>111.54203847181691</v>
      </c>
      <c r="S291" s="473">
        <f>SUMIF('Off-road'!$C$132:$C$163,'Offroad Data'!O291,'Off-road'!$M$132:$M$163)*Global_Warming_Potential_N2O</f>
        <v>166.34714150596182</v>
      </c>
      <c r="T291" s="610">
        <f t="shared" si="112"/>
        <v>6922.4101775246527</v>
      </c>
    </row>
    <row r="292" spans="1:20" outlineLevel="1" x14ac:dyDescent="0.15">
      <c r="A292" s="66"/>
      <c r="B292" s="117" t="s">
        <v>157</v>
      </c>
      <c r="C292" s="179">
        <f>E292*VLOOKUP($B292,'Offroad Allocation'!$B$4:$G$15,5,0)</f>
        <v>24120531.490529831</v>
      </c>
      <c r="D292" s="356">
        <f t="shared" si="113"/>
        <v>46644906.677327156</v>
      </c>
      <c r="E292" s="117">
        <v>70765438.167856991</v>
      </c>
      <c r="F292" s="117">
        <v>16092089.513513368</v>
      </c>
      <c r="G292" s="117">
        <v>8350553.5317834606</v>
      </c>
      <c r="H292" s="117">
        <v>647329.56584165641</v>
      </c>
      <c r="I292" s="117">
        <v>12109680.799198627</v>
      </c>
      <c r="J292" s="117">
        <v>5983250.9024062362</v>
      </c>
      <c r="K292" s="117">
        <v>6869159.3016328048</v>
      </c>
      <c r="O292" s="178" t="s">
        <v>162</v>
      </c>
      <c r="P292" s="473">
        <f>(SUMIF($B$258:$B$262,O292,$L$258:$L$262)+SUMIF($B$303:$B$312,O292,$L$303:$L$312)+SUMIF($B$373:$B$390,O292,$L$373:$L$390))/'Constants &amp; Conversions'!$D$32</f>
        <v>3598.2653189133594</v>
      </c>
      <c r="Q292" s="473">
        <f>SUMIF($B$268:$B$272,O292,$L$268:$L$272)+SUMIF($B$318:$B$327,O292,$L$318:$L$327)+SUMIF($B$397:$B$414,O292,$L$397:$L$414)</f>
        <v>304.23664412191886</v>
      </c>
      <c r="R292" s="473">
        <f>Q292/'Constants &amp; Conversions'!$D$32*CH4_GWP</f>
        <v>8.5186260354137282</v>
      </c>
      <c r="S292" s="473">
        <f>SUMIF('Off-road'!$C$132:$C$163,'Offroad Data'!O292,'Off-road'!$M$132:$M$163)*Global_Warming_Potential_N2O</f>
        <v>78.609599886457417</v>
      </c>
      <c r="T292" s="610">
        <f>P292+R292+S292</f>
        <v>3685.3935448352308</v>
      </c>
    </row>
    <row r="293" spans="1:20" outlineLevel="1" x14ac:dyDescent="0.15">
      <c r="A293" s="66"/>
      <c r="B293" s="117" t="s">
        <v>160</v>
      </c>
      <c r="C293" s="179">
        <f>E293*VLOOKUP($B293,'Offroad Allocation'!$B$4:$G$15,5,0)</f>
        <v>2255618.6711653401</v>
      </c>
      <c r="D293" s="356">
        <f t="shared" ref="D293:D295" si="114">E293-C293</f>
        <v>7136173.8593030218</v>
      </c>
      <c r="E293" s="117">
        <v>9391792.5304683615</v>
      </c>
      <c r="F293" s="117">
        <v>5994280.8683207948</v>
      </c>
      <c r="G293" s="117">
        <v>3167647.2645342769</v>
      </c>
      <c r="H293" s="117">
        <v>262707.61496846617</v>
      </c>
      <c r="I293" s="117">
        <v>5433500.5469927918</v>
      </c>
      <c r="J293" s="117">
        <v>1419630.7341870733</v>
      </c>
      <c r="K293" s="117">
        <v>2278483.4046042096</v>
      </c>
      <c r="O293" s="178" t="s">
        <v>163</v>
      </c>
      <c r="P293" s="473">
        <f>(SUMIF($B$258:$B$262,O293,$L$258:$L$262)+SUMIF($B$303:$B$312,O293,$L$303:$L$312)+SUMIF($B$373:$B$390,O293,$L$373:$L$390))/'Constants &amp; Conversions'!$D$32</f>
        <v>45487.739499266121</v>
      </c>
      <c r="Q293" s="473">
        <f>SUMIF($B$268:$B$272,O293,$L$268:$L$272)+SUMIF($B$318:$B$327,O293,$L$318:$L$327)+SUMIF($B$397:$B$414,O293,$L$397:$L$414)</f>
        <v>52654.552368301556</v>
      </c>
      <c r="R293" s="473">
        <f>Q293/'Constants &amp; Conversions'!$D$32*CH4_GWP</f>
        <v>1474.3274663124437</v>
      </c>
      <c r="S293" s="473">
        <f>SUMIF('Off-road'!$C$132:$C$163,'Offroad Data'!O293,'Off-road'!$M$132:$M$163)*Global_Warming_Potential_N2O</f>
        <v>2150.8475307328408</v>
      </c>
      <c r="T293" s="610">
        <f>P293+R293+S293</f>
        <v>49112.914496311409</v>
      </c>
    </row>
    <row r="294" spans="1:20" outlineLevel="1" x14ac:dyDescent="0.15">
      <c r="A294" s="66"/>
      <c r="B294" s="117" t="s">
        <v>161</v>
      </c>
      <c r="C294" s="179">
        <f>E294*VLOOKUP($B294,'Offroad Allocation'!$B$4:$G$15,5,0)</f>
        <v>0</v>
      </c>
      <c r="D294" s="356">
        <f t="shared" si="114"/>
        <v>319871.203142857</v>
      </c>
      <c r="E294" s="117">
        <v>319871.203142857</v>
      </c>
      <c r="F294" s="117">
        <v>51896.2908258928</v>
      </c>
      <c r="G294" s="117">
        <v>78656.132857142802</v>
      </c>
      <c r="H294" s="117">
        <v>138112.59357142801</v>
      </c>
      <c r="I294" s="117">
        <v>190762.79642857099</v>
      </c>
      <c r="J294" s="117">
        <v>457362.77742857096</v>
      </c>
      <c r="K294" s="117">
        <v>479229.01657142799</v>
      </c>
      <c r="T294" s="283">
        <f>SUM(T284:T293)-'Off-road'!K178</f>
        <v>0</v>
      </c>
    </row>
    <row r="295" spans="1:20" outlineLevel="1" x14ac:dyDescent="0.15">
      <c r="A295" s="66"/>
      <c r="B295" s="117" t="s">
        <v>158</v>
      </c>
      <c r="C295" s="179">
        <f>E295*VLOOKUP($B295,'Offroad Allocation'!$B$4:$G$15,5,0)</f>
        <v>148637.42164921091</v>
      </c>
      <c r="D295" s="356">
        <f t="shared" si="114"/>
        <v>287438.88435078907</v>
      </c>
      <c r="E295" s="117">
        <v>436076.30599999998</v>
      </c>
      <c r="F295" s="117">
        <v>356128.853</v>
      </c>
      <c r="G295" s="117">
        <v>43607.630890624903</v>
      </c>
      <c r="H295" s="117">
        <v>0</v>
      </c>
      <c r="I295" s="117">
        <v>283449.408</v>
      </c>
      <c r="J295" s="117">
        <v>0</v>
      </c>
      <c r="K295" s="117">
        <v>436076.30599999998</v>
      </c>
    </row>
    <row r="296" spans="1:20" outlineLevel="1" x14ac:dyDescent="0.15">
      <c r="A296" s="66"/>
      <c r="B296" s="117" t="s">
        <v>162</v>
      </c>
      <c r="C296" s="179">
        <f>E296*VLOOKUP($B296,'Offroad Allocation'!$B$4:$G$15,5,0)</f>
        <v>393293.73610132135</v>
      </c>
      <c r="D296" s="356">
        <f t="shared" si="113"/>
        <v>140095.18304153561</v>
      </c>
      <c r="E296" s="117">
        <v>533388.91914285696</v>
      </c>
      <c r="F296" s="117">
        <v>220600.18542857099</v>
      </c>
      <c r="G296" s="117">
        <v>95987.478790178488</v>
      </c>
      <c r="H296" s="117">
        <v>15364.9352240513</v>
      </c>
      <c r="I296" s="117">
        <v>71260.49645089281</v>
      </c>
      <c r="J296" s="117">
        <v>13912.236306919602</v>
      </c>
      <c r="K296" s="117">
        <v>117887.970571428</v>
      </c>
    </row>
    <row r="297" spans="1:20" outlineLevel="1" x14ac:dyDescent="0.15">
      <c r="A297" s="66"/>
      <c r="B297" s="117" t="s">
        <v>163</v>
      </c>
      <c r="C297" s="179">
        <f>E297*VLOOKUP($B297,'Offroad Allocation'!$B$4:$G$15,5,0)</f>
        <v>123691.55200761052</v>
      </c>
      <c r="D297" s="356">
        <f t="shared" si="113"/>
        <v>113886.92456381749</v>
      </c>
      <c r="E297" s="117">
        <v>237578.47657142801</v>
      </c>
      <c r="F297" s="117">
        <v>41317.997273437402</v>
      </c>
      <c r="G297" s="117">
        <v>20658.995979910702</v>
      </c>
      <c r="H297" s="117">
        <v>41317.997273437402</v>
      </c>
      <c r="I297" s="117">
        <v>123953.96167857099</v>
      </c>
      <c r="J297" s="117">
        <v>30988.463160156203</v>
      </c>
      <c r="K297" s="117">
        <v>51647.487156249997</v>
      </c>
    </row>
    <row r="298" spans="1:20" outlineLevel="1" x14ac:dyDescent="0.15">
      <c r="A298" s="66"/>
      <c r="B298" s="171" t="s">
        <v>88</v>
      </c>
      <c r="C298" s="357">
        <f t="shared" ref="C298:K298" si="115">SUM(C288:C297)</f>
        <v>108950976.14014752</v>
      </c>
      <c r="D298" s="357">
        <f t="shared" si="115"/>
        <v>193296500.11435869</v>
      </c>
      <c r="E298" s="357">
        <f t="shared" si="115"/>
        <v>302247476.25450623</v>
      </c>
      <c r="F298" s="357">
        <f t="shared" si="115"/>
        <v>79315030.888015449</v>
      </c>
      <c r="G298" s="357">
        <f t="shared" si="115"/>
        <v>63291793.565466262</v>
      </c>
      <c r="H298" s="357">
        <f t="shared" si="115"/>
        <v>17668506.767987505</v>
      </c>
      <c r="I298" s="357">
        <f t="shared" si="115"/>
        <v>57799147.203068718</v>
      </c>
      <c r="J298" s="357">
        <f t="shared" si="115"/>
        <v>43514771.600620933</v>
      </c>
      <c r="K298" s="357">
        <f t="shared" si="115"/>
        <v>81404200.365575895</v>
      </c>
    </row>
    <row r="299" spans="1:20" outlineLevel="1" x14ac:dyDescent="0.15">
      <c r="A299" s="66"/>
      <c r="B299" s="101" t="s">
        <v>460</v>
      </c>
      <c r="C299" s="177"/>
      <c r="D299" s="177"/>
      <c r="E299" s="177"/>
      <c r="F299" s="177"/>
      <c r="G299" s="177"/>
      <c r="H299" s="177"/>
      <c r="I299" s="177"/>
      <c r="J299" s="177"/>
      <c r="K299" s="177"/>
    </row>
    <row r="300" spans="1:20" outlineLevel="1" x14ac:dyDescent="0.15">
      <c r="A300" s="66"/>
      <c r="B300" s="101"/>
      <c r="C300" s="177"/>
      <c r="D300" s="177"/>
      <c r="E300" s="177"/>
      <c r="F300" s="177"/>
      <c r="G300" s="177"/>
      <c r="H300" s="177"/>
      <c r="I300" s="177"/>
      <c r="J300" s="177"/>
      <c r="K300" s="177"/>
    </row>
    <row r="301" spans="1:20" outlineLevel="1" x14ac:dyDescent="0.15">
      <c r="A301" s="66"/>
      <c r="B301" s="82" t="s">
        <v>461</v>
      </c>
      <c r="C301" s="69"/>
      <c r="D301" s="66"/>
      <c r="E301" s="66"/>
      <c r="F301" s="66"/>
      <c r="G301" s="66"/>
      <c r="H301" s="66"/>
    </row>
    <row r="302" spans="1:20" ht="15" outlineLevel="1" x14ac:dyDescent="0.15">
      <c r="A302" s="66"/>
      <c r="B302" s="83" t="s">
        <v>459</v>
      </c>
      <c r="C302" s="83" t="s">
        <v>58</v>
      </c>
      <c r="D302" s="83" t="s">
        <v>100</v>
      </c>
      <c r="E302" s="83" t="s">
        <v>59</v>
      </c>
      <c r="F302" s="83" t="s">
        <v>60</v>
      </c>
      <c r="G302" s="83" t="s">
        <v>62</v>
      </c>
      <c r="H302" s="83" t="s">
        <v>61</v>
      </c>
      <c r="I302" s="83" t="s">
        <v>63</v>
      </c>
      <c r="J302" s="83" t="s">
        <v>64</v>
      </c>
      <c r="K302" s="83" t="s">
        <v>65</v>
      </c>
      <c r="L302" s="83" t="s">
        <v>66</v>
      </c>
    </row>
    <row r="303" spans="1:20" outlineLevel="1" x14ac:dyDescent="0.15">
      <c r="A303" s="119">
        <f>$A$243</f>
        <v>2015</v>
      </c>
      <c r="B303" s="117" t="s">
        <v>155</v>
      </c>
      <c r="C303" s="179">
        <f>E303*VLOOKUP($B303,'Offroad Allocation'!$B$4:$G$15,5,0)</f>
        <v>0</v>
      </c>
      <c r="D303" s="356">
        <f t="shared" ref="D303:D312" si="116">E303-C303</f>
        <v>2088323.3274239972</v>
      </c>
      <c r="E303" s="117">
        <v>2088323.3274239972</v>
      </c>
      <c r="F303" s="117">
        <v>701315.59462441434</v>
      </c>
      <c r="G303" s="117">
        <v>25070364.887451567</v>
      </c>
      <c r="H303" s="117">
        <v>21952839.579572171</v>
      </c>
      <c r="I303" s="117">
        <v>4159622.194563122</v>
      </c>
      <c r="J303" s="117">
        <v>28270152.407350905</v>
      </c>
      <c r="K303" s="117">
        <v>34185908.626457728</v>
      </c>
      <c r="L303" s="577">
        <f>SUM(E303:K303)</f>
        <v>116428526.61744389</v>
      </c>
    </row>
    <row r="304" spans="1:20" outlineLevel="1" x14ac:dyDescent="0.15">
      <c r="A304" s="119">
        <f t="shared" ref="A304:A312" si="117">$A$243</f>
        <v>2015</v>
      </c>
      <c r="B304" s="117" t="s">
        <v>159</v>
      </c>
      <c r="C304" s="179">
        <f>E304*VLOOKUP($B304,'Offroad Allocation'!$B$4:$G$15,5,0)</f>
        <v>33614070.799999997</v>
      </c>
      <c r="D304" s="356">
        <f t="shared" si="116"/>
        <v>0</v>
      </c>
      <c r="E304" s="117">
        <v>33614070.799999997</v>
      </c>
      <c r="F304" s="117">
        <v>7913.5937324218703</v>
      </c>
      <c r="G304" s="117">
        <v>3603.9233583984301</v>
      </c>
      <c r="H304" s="117">
        <v>0</v>
      </c>
      <c r="I304" s="117">
        <v>3979.3242441406201</v>
      </c>
      <c r="J304" s="117">
        <v>3453.7552822265602</v>
      </c>
      <c r="K304" s="117">
        <v>8108.8195957031203</v>
      </c>
      <c r="L304" s="577">
        <f>SUM(E304:K304)</f>
        <v>33641130.216212884</v>
      </c>
    </row>
    <row r="305" spans="1:12" outlineLevel="1" x14ac:dyDescent="0.15">
      <c r="A305" s="119">
        <f t="shared" si="117"/>
        <v>2015</v>
      </c>
      <c r="B305" s="117" t="s">
        <v>104</v>
      </c>
      <c r="C305" s="179">
        <f>E305*VLOOKUP($B305,'Offroad Allocation'!$B$4:$G$15,5,0)</f>
        <v>37132963.942861505</v>
      </c>
      <c r="D305" s="356">
        <f t="shared" si="116"/>
        <v>71808684.582566917</v>
      </c>
      <c r="E305" s="117">
        <v>108941648.52542841</v>
      </c>
      <c r="F305" s="117">
        <v>39512084.491142847</v>
      </c>
      <c r="G305" s="117">
        <v>10919651.459428554</v>
      </c>
      <c r="H305" s="117">
        <v>930144.66124218563</v>
      </c>
      <c r="I305" s="117">
        <v>18590169.975142848</v>
      </c>
      <c r="J305" s="117">
        <v>6855044.4808571404</v>
      </c>
      <c r="K305" s="117">
        <v>8970174.4645714145</v>
      </c>
      <c r="L305" s="577">
        <f>SUM(E305:K305)</f>
        <v>194718918.05781338</v>
      </c>
    </row>
    <row r="306" spans="1:12" outlineLevel="1" x14ac:dyDescent="0.15">
      <c r="A306" s="119">
        <f t="shared" si="117"/>
        <v>2015</v>
      </c>
      <c r="B306" s="117" t="s">
        <v>156</v>
      </c>
      <c r="C306" s="179">
        <f>E306*VLOOKUP($B306,'Offroad Allocation'!$B$4:$G$15,5,0)</f>
        <v>189998386.01595709</v>
      </c>
      <c r="D306" s="356">
        <f t="shared" si="116"/>
        <v>367423785.33560359</v>
      </c>
      <c r="E306" s="117">
        <v>557422171.35156071</v>
      </c>
      <c r="F306" s="117">
        <v>139791471.56446293</v>
      </c>
      <c r="G306" s="117">
        <v>128054001.85118462</v>
      </c>
      <c r="H306" s="117">
        <v>29849113.692623578</v>
      </c>
      <c r="I306" s="117">
        <v>103248212.92505033</v>
      </c>
      <c r="J306" s="117">
        <v>78229215.001210526</v>
      </c>
      <c r="K306" s="117">
        <v>183397223.1550599</v>
      </c>
      <c r="L306" s="577">
        <f t="shared" ref="L306:L313" si="118">SUM(E306:K306)</f>
        <v>1219991409.5411527</v>
      </c>
    </row>
    <row r="307" spans="1:12" outlineLevel="1" x14ac:dyDescent="0.15">
      <c r="A307" s="119"/>
      <c r="B307" s="117" t="s">
        <v>157</v>
      </c>
      <c r="C307" s="179">
        <f>E307*VLOOKUP($B307,'Offroad Allocation'!$B$4:$G$15,5,0)</f>
        <v>76864327.726214528</v>
      </c>
      <c r="D307" s="356">
        <f t="shared" ref="D307:D309" si="119">E307-C307</f>
        <v>148642221.87692812</v>
      </c>
      <c r="E307" s="117">
        <v>225506549.60314265</v>
      </c>
      <c r="F307" s="117">
        <v>51281746.732999921</v>
      </c>
      <c r="G307" s="117">
        <v>26611443.523428537</v>
      </c>
      <c r="H307" s="117">
        <v>2062768.9971693628</v>
      </c>
      <c r="I307" s="117">
        <v>38590782.377285607</v>
      </c>
      <c r="J307" s="117">
        <v>19067521.251999982</v>
      </c>
      <c r="K307" s="117">
        <v>21889614.816857129</v>
      </c>
      <c r="L307" s="577">
        <f t="shared" si="118"/>
        <v>385010427.30288315</v>
      </c>
    </row>
    <row r="308" spans="1:12" outlineLevel="1" x14ac:dyDescent="0.15">
      <c r="A308" s="119"/>
      <c r="B308" s="117" t="s">
        <v>160</v>
      </c>
      <c r="C308" s="179">
        <f>E308*VLOOKUP($B308,'Offroad Allocation'!$B$4:$G$15,5,0)</f>
        <v>7179464.9986637663</v>
      </c>
      <c r="D308" s="356">
        <f t="shared" si="119"/>
        <v>22713905.990490824</v>
      </c>
      <c r="E308" s="117">
        <v>29893370.989154592</v>
      </c>
      <c r="F308" s="117">
        <v>19079330.851230409</v>
      </c>
      <c r="G308" s="117">
        <v>10082373.958522215</v>
      </c>
      <c r="H308" s="117">
        <v>836178.91056254297</v>
      </c>
      <c r="I308" s="117">
        <v>17294413.562548038</v>
      </c>
      <c r="J308" s="117">
        <v>4518579.8888744591</v>
      </c>
      <c r="K308" s="117">
        <v>7252234.8004754065</v>
      </c>
      <c r="L308" s="577">
        <f t="shared" si="118"/>
        <v>88956482.961367667</v>
      </c>
    </row>
    <row r="309" spans="1:12" outlineLevel="1" x14ac:dyDescent="0.15">
      <c r="A309" s="119"/>
      <c r="B309" s="117" t="s">
        <v>161</v>
      </c>
      <c r="C309" s="179">
        <f>E309*VLOOKUP($B309,'Offroad Allocation'!$B$4:$G$15,5,0)</f>
        <v>0</v>
      </c>
      <c r="D309" s="356">
        <f t="shared" si="119"/>
        <v>1019746.48142857</v>
      </c>
      <c r="E309" s="117">
        <v>1019746.48142857</v>
      </c>
      <c r="F309" s="117">
        <v>165444.51885714201</v>
      </c>
      <c r="G309" s="117">
        <v>250754.16342857099</v>
      </c>
      <c r="H309" s="117">
        <v>440300.00199999998</v>
      </c>
      <c r="I309" s="117">
        <v>608148.49257142795</v>
      </c>
      <c r="J309" s="117">
        <v>1458062.9457142798</v>
      </c>
      <c r="K309" s="117">
        <v>1527770.4542857101</v>
      </c>
      <c r="L309" s="577">
        <f t="shared" si="118"/>
        <v>5470227.0582857011</v>
      </c>
    </row>
    <row r="310" spans="1:12" outlineLevel="1" x14ac:dyDescent="0.15">
      <c r="A310" s="119">
        <f t="shared" si="117"/>
        <v>2015</v>
      </c>
      <c r="B310" s="117" t="s">
        <v>158</v>
      </c>
      <c r="C310" s="179">
        <f>E310*VLOOKUP($B310,'Offroad Allocation'!$B$4:$G$15,5,0)</f>
        <v>473725.87315208424</v>
      </c>
      <c r="D310" s="356">
        <f t="shared" si="116"/>
        <v>916103.32684791577</v>
      </c>
      <c r="E310" s="117">
        <v>1389829.2</v>
      </c>
      <c r="F310" s="117">
        <v>1135026.95</v>
      </c>
      <c r="G310" s="117">
        <v>138982.92000000001</v>
      </c>
      <c r="H310" s="117">
        <v>0</v>
      </c>
      <c r="I310" s="117">
        <v>903388.95999999903</v>
      </c>
      <c r="J310" s="117">
        <v>0</v>
      </c>
      <c r="K310" s="117">
        <v>1389829.2</v>
      </c>
      <c r="L310" s="577">
        <f t="shared" si="118"/>
        <v>4957057.2299999986</v>
      </c>
    </row>
    <row r="311" spans="1:12" outlineLevel="1" x14ac:dyDescent="0.15">
      <c r="A311" s="119">
        <f t="shared" si="117"/>
        <v>2015</v>
      </c>
      <c r="B311" s="117" t="s">
        <v>162</v>
      </c>
      <c r="C311" s="179">
        <f>E311*VLOOKUP($B311,'Offroad Allocation'!$B$4:$G$15,5,0)</f>
        <v>1249203.6006129328</v>
      </c>
      <c r="D311" s="356">
        <f t="shared" si="116"/>
        <v>444978.8822442072</v>
      </c>
      <c r="E311" s="117">
        <v>1694182.48285714</v>
      </c>
      <c r="F311" s="117">
        <v>700682.79342857096</v>
      </c>
      <c r="G311" s="117">
        <v>304880.36914285703</v>
      </c>
      <c r="H311" s="117">
        <v>48803.119452008905</v>
      </c>
      <c r="I311" s="117">
        <v>226341.968857142</v>
      </c>
      <c r="J311" s="117">
        <v>44188.860374999902</v>
      </c>
      <c r="K311" s="117">
        <v>374442.18314285704</v>
      </c>
      <c r="L311" s="577">
        <f t="shared" si="118"/>
        <v>3393521.7772555756</v>
      </c>
    </row>
    <row r="312" spans="1:12" outlineLevel="1" x14ac:dyDescent="0.15">
      <c r="A312" s="119">
        <f t="shared" si="117"/>
        <v>2015</v>
      </c>
      <c r="B312" s="117" t="s">
        <v>163</v>
      </c>
      <c r="C312" s="179">
        <f>E312*VLOOKUP($B312,'Offroad Allocation'!$B$4:$G$15,5,0)</f>
        <v>391991.69398473564</v>
      </c>
      <c r="D312" s="356">
        <f t="shared" si="116"/>
        <v>360919.78601526341</v>
      </c>
      <c r="E312" s="117">
        <v>752911.47999999905</v>
      </c>
      <c r="F312" s="117">
        <v>130941.05450892801</v>
      </c>
      <c r="G312" s="117">
        <v>65470.552486607099</v>
      </c>
      <c r="H312" s="117">
        <v>130941.05450892801</v>
      </c>
      <c r="I312" s="117">
        <v>392822.98200000002</v>
      </c>
      <c r="J312" s="117">
        <v>98205.80067857141</v>
      </c>
      <c r="K312" s="117">
        <v>163676.26957142801</v>
      </c>
      <c r="L312" s="577">
        <f t="shared" si="118"/>
        <v>1734969.1937544616</v>
      </c>
    </row>
    <row r="313" spans="1:12" outlineLevel="1" x14ac:dyDescent="0.15">
      <c r="A313" s="66"/>
      <c r="B313" s="171" t="s">
        <v>88</v>
      </c>
      <c r="C313" s="357">
        <f t="shared" ref="C313:K313" si="120">SUM(C303:C312)</f>
        <v>346904134.6514467</v>
      </c>
      <c r="D313" s="357">
        <f t="shared" si="120"/>
        <v>615418669.58954942</v>
      </c>
      <c r="E313" s="357">
        <f t="shared" si="120"/>
        <v>962322804.24099612</v>
      </c>
      <c r="F313" s="357">
        <f t="shared" si="120"/>
        <v>252505958.14498758</v>
      </c>
      <c r="G313" s="357">
        <f t="shared" si="120"/>
        <v>201501527.60843191</v>
      </c>
      <c r="H313" s="357">
        <f t="shared" si="120"/>
        <v>56251090.01713077</v>
      </c>
      <c r="I313" s="357">
        <f t="shared" si="120"/>
        <v>184017882.76226264</v>
      </c>
      <c r="J313" s="357">
        <f t="shared" si="120"/>
        <v>138544424.39234307</v>
      </c>
      <c r="K313" s="357">
        <f t="shared" si="120"/>
        <v>259158982.79001728</v>
      </c>
      <c r="L313" s="357">
        <f t="shared" si="118"/>
        <v>2054302669.9561694</v>
      </c>
    </row>
    <row r="314" spans="1:12" outlineLevel="1" x14ac:dyDescent="0.15">
      <c r="A314" s="66"/>
      <c r="B314" s="101" t="s">
        <v>460</v>
      </c>
      <c r="C314" s="66"/>
      <c r="D314" s="66"/>
      <c r="E314" s="66"/>
      <c r="F314" s="66"/>
      <c r="G314" s="66"/>
      <c r="H314" s="66"/>
    </row>
    <row r="315" spans="1:12" outlineLevel="1" x14ac:dyDescent="0.15">
      <c r="A315" s="66"/>
      <c r="B315" s="101"/>
      <c r="C315" s="177"/>
      <c r="D315" s="177"/>
      <c r="E315" s="177"/>
      <c r="F315" s="177"/>
      <c r="G315" s="177"/>
      <c r="H315" s="177"/>
      <c r="I315" s="177"/>
      <c r="J315" s="177"/>
      <c r="K315" s="177"/>
    </row>
    <row r="316" spans="1:12" outlineLevel="1" x14ac:dyDescent="0.15">
      <c r="A316" s="66"/>
      <c r="B316" s="82" t="s">
        <v>463</v>
      </c>
      <c r="C316" s="69"/>
      <c r="D316" s="66"/>
      <c r="E316" s="66"/>
      <c r="F316" s="66"/>
      <c r="G316" s="66"/>
      <c r="H316" s="66"/>
    </row>
    <row r="317" spans="1:12" ht="15" outlineLevel="1" x14ac:dyDescent="0.15">
      <c r="A317" s="66"/>
      <c r="B317" s="83" t="s">
        <v>459</v>
      </c>
      <c r="C317" s="83" t="s">
        <v>58</v>
      </c>
      <c r="D317" s="83" t="s">
        <v>100</v>
      </c>
      <c r="E317" s="83" t="s">
        <v>59</v>
      </c>
      <c r="F317" s="83" t="s">
        <v>60</v>
      </c>
      <c r="G317" s="83" t="s">
        <v>62</v>
      </c>
      <c r="H317" s="83" t="s">
        <v>61</v>
      </c>
      <c r="I317" s="83" t="s">
        <v>63</v>
      </c>
      <c r="J317" s="83" t="s">
        <v>64</v>
      </c>
      <c r="K317" s="83" t="s">
        <v>65</v>
      </c>
      <c r="L317" s="83" t="s">
        <v>66</v>
      </c>
    </row>
    <row r="318" spans="1:12" outlineLevel="1" x14ac:dyDescent="0.15">
      <c r="A318" s="119">
        <f>$A$243</f>
        <v>2015</v>
      </c>
      <c r="B318" s="117" t="s">
        <v>155</v>
      </c>
      <c r="C318" s="179">
        <f>E318*VLOOKUP($B318,'Offroad Allocation'!$B$4:$G$15,5,0)</f>
        <v>0</v>
      </c>
      <c r="D318" s="356">
        <f t="shared" ref="D318:D321" si="121">E318-C318</f>
        <v>60.342610203743753</v>
      </c>
      <c r="E318" s="117">
        <v>60.342610203743753</v>
      </c>
      <c r="F318" s="117">
        <v>20.264682891347075</v>
      </c>
      <c r="G318" s="117">
        <v>724.41371324873433</v>
      </c>
      <c r="H318" s="117">
        <v>634.33316272587592</v>
      </c>
      <c r="I318" s="117">
        <v>120.19346149177601</v>
      </c>
      <c r="J318" s="117">
        <v>816.87224068329726</v>
      </c>
      <c r="K318" s="117">
        <v>987.81126916128972</v>
      </c>
      <c r="L318" s="577">
        <f>SUM(E318:K318)</f>
        <v>3364.2311404060638</v>
      </c>
    </row>
    <row r="319" spans="1:12" outlineLevel="1" x14ac:dyDescent="0.15">
      <c r="A319" s="119">
        <f t="shared" ref="A319:A327" si="122">$A$243</f>
        <v>2015</v>
      </c>
      <c r="B319" s="117" t="s">
        <v>159</v>
      </c>
      <c r="C319" s="179">
        <f>E319*VLOOKUP($B319,'Offroad Allocation'!$B$4:$G$15,5,0)</f>
        <v>847.83255761718704</v>
      </c>
      <c r="D319" s="356">
        <f t="shared" si="121"/>
        <v>0</v>
      </c>
      <c r="E319" s="117">
        <v>847.83255761718704</v>
      </c>
      <c r="F319" s="117">
        <v>0.19960150557756401</v>
      </c>
      <c r="G319" s="117">
        <v>9.090004137158389E-2</v>
      </c>
      <c r="H319" s="117">
        <v>0</v>
      </c>
      <c r="I319" s="117">
        <v>0.100368871331214</v>
      </c>
      <c r="J319" s="117">
        <v>8.7112629756331397E-2</v>
      </c>
      <c r="K319" s="117">
        <v>0.204525279104709</v>
      </c>
      <c r="L319" s="577">
        <f>SUM(E319:K319)</f>
        <v>848.5150659443284</v>
      </c>
    </row>
    <row r="320" spans="1:12" outlineLevel="1" x14ac:dyDescent="0.15">
      <c r="A320" s="119">
        <f t="shared" si="122"/>
        <v>2015</v>
      </c>
      <c r="B320" s="117" t="s">
        <v>104</v>
      </c>
      <c r="C320" s="179">
        <f>E320*VLOOKUP($B320,'Offroad Allocation'!$B$4:$G$15,5,0)</f>
        <v>1258.4068854984741</v>
      </c>
      <c r="D320" s="356">
        <f t="shared" si="121"/>
        <v>2433.5397318764835</v>
      </c>
      <c r="E320" s="117">
        <v>3691.9466173749579</v>
      </c>
      <c r="F320" s="117">
        <v>1339.0318711160919</v>
      </c>
      <c r="G320" s="117">
        <v>370.05840562547843</v>
      </c>
      <c r="H320" s="117">
        <v>31.521881548779319</v>
      </c>
      <c r="I320" s="117">
        <v>630.00547776794281</v>
      </c>
      <c r="J320" s="117">
        <v>232.31200777816738</v>
      </c>
      <c r="K320" s="117">
        <v>303.9917156673153</v>
      </c>
      <c r="L320" s="577">
        <f>SUM(E320:K320)</f>
        <v>6598.8679768787333</v>
      </c>
    </row>
    <row r="321" spans="1:12" outlineLevel="1" x14ac:dyDescent="0.15">
      <c r="A321" s="119">
        <f t="shared" si="122"/>
        <v>2015</v>
      </c>
      <c r="B321" s="117" t="s">
        <v>156</v>
      </c>
      <c r="C321" s="179">
        <f>E321*VLOOKUP($B321,'Offroad Allocation'!$B$4:$G$15,5,0)</f>
        <v>5862.8823327122373</v>
      </c>
      <c r="D321" s="356">
        <f t="shared" si="121"/>
        <v>11337.793256209272</v>
      </c>
      <c r="E321" s="117">
        <v>17200.675588921509</v>
      </c>
      <c r="F321" s="117">
        <v>4313.619408298362</v>
      </c>
      <c r="G321" s="117">
        <v>3951.4315676504457</v>
      </c>
      <c r="H321" s="117">
        <v>921.06999532843054</v>
      </c>
      <c r="I321" s="117">
        <v>3185.9858456397324</v>
      </c>
      <c r="J321" s="117">
        <v>2413.9606085649693</v>
      </c>
      <c r="K321" s="117">
        <v>5659.185585318668</v>
      </c>
      <c r="L321" s="577">
        <f t="shared" ref="L321:L324" si="123">SUM(E321:K321)</f>
        <v>37645.928599722116</v>
      </c>
    </row>
    <row r="322" spans="1:12" outlineLevel="1" x14ac:dyDescent="0.15">
      <c r="A322" s="119"/>
      <c r="B322" s="117" t="s">
        <v>157</v>
      </c>
      <c r="C322" s="179">
        <f>E322*VLOOKUP($B322,'Offroad Allocation'!$B$4:$G$15,5,0)</f>
        <v>2256.0105870729199</v>
      </c>
      <c r="D322" s="356">
        <f t="shared" ref="D322:D324" si="124">E322-C322</f>
        <v>4362.731531782134</v>
      </c>
      <c r="E322" s="117">
        <v>6618.7421188550543</v>
      </c>
      <c r="F322" s="117">
        <v>1442.0200740383668</v>
      </c>
      <c r="G322" s="117">
        <v>740.81483650452526</v>
      </c>
      <c r="H322" s="117">
        <v>63.230544509972816</v>
      </c>
      <c r="I322" s="117">
        <v>1081.331701027731</v>
      </c>
      <c r="J322" s="117">
        <v>522.78473584420249</v>
      </c>
      <c r="K322" s="117">
        <v>650.24586393110894</v>
      </c>
      <c r="L322" s="577">
        <f t="shared" si="123"/>
        <v>11119.169874710962</v>
      </c>
    </row>
    <row r="323" spans="1:12" outlineLevel="1" x14ac:dyDescent="0.15">
      <c r="A323" s="119"/>
      <c r="B323" s="117" t="s">
        <v>160</v>
      </c>
      <c r="C323" s="179">
        <f>E323*VLOOKUP($B323,'Offroad Allocation'!$B$4:$G$15,5,0)</f>
        <v>250.27406643498816</v>
      </c>
      <c r="D323" s="356">
        <f t="shared" si="124"/>
        <v>791.80017145012982</v>
      </c>
      <c r="E323" s="117">
        <v>1042.074237885118</v>
      </c>
      <c r="F323" s="117">
        <v>665.10032652461746</v>
      </c>
      <c r="G323" s="117">
        <v>351.46886980056581</v>
      </c>
      <c r="H323" s="117">
        <v>29.148924746408944</v>
      </c>
      <c r="I323" s="117">
        <v>602.87864063845086</v>
      </c>
      <c r="J323" s="117">
        <v>157.51634586652813</v>
      </c>
      <c r="K323" s="117">
        <v>252.81087053147212</v>
      </c>
      <c r="L323" s="577">
        <f t="shared" si="123"/>
        <v>3100.998215993161</v>
      </c>
    </row>
    <row r="324" spans="1:12" outlineLevel="1" x14ac:dyDescent="0.15">
      <c r="A324" s="119"/>
      <c r="B324" s="117" t="s">
        <v>161</v>
      </c>
      <c r="C324" s="179">
        <f>E324*VLOOKUP($B324,'Offroad Allocation'!$B$4:$G$15,5,0)</f>
        <v>0</v>
      </c>
      <c r="D324" s="356">
        <f t="shared" si="124"/>
        <v>20.8923900669642</v>
      </c>
      <c r="E324" s="117">
        <v>20.8923900669642</v>
      </c>
      <c r="F324" s="117">
        <v>3.3896024919237404</v>
      </c>
      <c r="G324" s="117">
        <v>5.1374122807638898</v>
      </c>
      <c r="H324" s="117">
        <v>9.0208035362788603</v>
      </c>
      <c r="I324" s="117">
        <v>12.4596302773611</v>
      </c>
      <c r="J324" s="117">
        <v>29.872552214486202</v>
      </c>
      <c r="K324" s="117">
        <v>31.300741058349598</v>
      </c>
      <c r="L324" s="577">
        <f t="shared" si="123"/>
        <v>112.07313192612759</v>
      </c>
    </row>
    <row r="325" spans="1:12" outlineLevel="1" x14ac:dyDescent="0.15">
      <c r="A325" s="119">
        <f t="shared" si="122"/>
        <v>2015</v>
      </c>
      <c r="B325" s="117" t="s">
        <v>158</v>
      </c>
      <c r="C325" s="179">
        <f>E325*VLOOKUP($B325,'Offroad Allocation'!$B$4:$G$15,5,0)</f>
        <v>12.86612744331004</v>
      </c>
      <c r="D325" s="356">
        <f t="shared" ref="D325:D327" si="125">E325-C325</f>
        <v>24.880849500659657</v>
      </c>
      <c r="E325" s="117">
        <v>37.746976943969699</v>
      </c>
      <c r="F325" s="117">
        <v>30.826701408386203</v>
      </c>
      <c r="G325" s="117">
        <v>3.7746976661682101</v>
      </c>
      <c r="H325" s="117">
        <v>0</v>
      </c>
      <c r="I325" s="117">
        <v>24.535540073394699</v>
      </c>
      <c r="J325" s="117">
        <v>0</v>
      </c>
      <c r="K325" s="117">
        <v>37.746976943969699</v>
      </c>
      <c r="L325" s="577">
        <f t="shared" ref="L325:L328" si="126">SUM(E325:K325)</f>
        <v>134.6308930358885</v>
      </c>
    </row>
    <row r="326" spans="1:12" outlineLevel="1" x14ac:dyDescent="0.15">
      <c r="A326" s="119">
        <f t="shared" si="122"/>
        <v>2015</v>
      </c>
      <c r="B326" s="117" t="s">
        <v>162</v>
      </c>
      <c r="C326" s="179">
        <f>E326*VLOOKUP($B326,'Offroad Allocation'!$B$4:$G$15,5,0)</f>
        <v>57.98049492859252</v>
      </c>
      <c r="D326" s="356">
        <f t="shared" si="125"/>
        <v>20.653235239341271</v>
      </c>
      <c r="E326" s="117">
        <v>78.633730167933791</v>
      </c>
      <c r="F326" s="117">
        <v>32.5215685244968</v>
      </c>
      <c r="G326" s="117">
        <v>14.1507402452741</v>
      </c>
      <c r="H326" s="117">
        <v>2.2651427293504898</v>
      </c>
      <c r="I326" s="117">
        <v>10.5054291915893</v>
      </c>
      <c r="J326" s="117">
        <v>2.05097997382709</v>
      </c>
      <c r="K326" s="117">
        <v>17.3793967056274</v>
      </c>
      <c r="L326" s="577">
        <f t="shared" si="126"/>
        <v>157.50698753809894</v>
      </c>
    </row>
    <row r="327" spans="1:12" outlineLevel="1" x14ac:dyDescent="0.15">
      <c r="A327" s="119">
        <f t="shared" si="122"/>
        <v>2015</v>
      </c>
      <c r="B327" s="117" t="s">
        <v>163</v>
      </c>
      <c r="C327" s="179">
        <f>E327*VLOOKUP($B327,'Offroad Allocation'!$B$4:$G$15,5,0)</f>
        <v>16.272714917239714</v>
      </c>
      <c r="D327" s="356">
        <f t="shared" si="125"/>
        <v>14.982829677116186</v>
      </c>
      <c r="E327" s="117">
        <v>31.2555445943559</v>
      </c>
      <c r="F327" s="117">
        <v>5.4357495371954805</v>
      </c>
      <c r="G327" s="117">
        <v>2.7178755025863603</v>
      </c>
      <c r="H327" s="117">
        <v>5.4357495371954805</v>
      </c>
      <c r="I327" s="117">
        <v>16.307253964015398</v>
      </c>
      <c r="J327" s="117">
        <v>4.0768133813313003</v>
      </c>
      <c r="K327" s="117">
        <v>6.79468311446053</v>
      </c>
      <c r="L327" s="577">
        <f t="shared" si="126"/>
        <v>72.02366963114045</v>
      </c>
    </row>
    <row r="328" spans="1:12" outlineLevel="1" x14ac:dyDescent="0.15">
      <c r="A328" s="66"/>
      <c r="B328" s="171" t="s">
        <v>88</v>
      </c>
      <c r="C328" s="357">
        <f t="shared" ref="C328:K328" si="127">SUM(C318:C327)</f>
        <v>10562.525766624949</v>
      </c>
      <c r="D328" s="357">
        <f t="shared" si="127"/>
        <v>19067.616606005842</v>
      </c>
      <c r="E328" s="357">
        <f t="shared" si="127"/>
        <v>29630.142372630795</v>
      </c>
      <c r="F328" s="357">
        <f t="shared" si="127"/>
        <v>7852.4095863363646</v>
      </c>
      <c r="G328" s="357">
        <f t="shared" si="127"/>
        <v>6164.0590185659139</v>
      </c>
      <c r="H328" s="357">
        <f t="shared" si="127"/>
        <v>1696.0262046622925</v>
      </c>
      <c r="I328" s="357">
        <f t="shared" si="127"/>
        <v>5684.3033489433237</v>
      </c>
      <c r="J328" s="357">
        <f t="shared" si="127"/>
        <v>4179.5333969365665</v>
      </c>
      <c r="K328" s="357">
        <f t="shared" si="127"/>
        <v>7947.4716277113657</v>
      </c>
      <c r="L328" s="357">
        <f t="shared" si="126"/>
        <v>63153.945555786631</v>
      </c>
    </row>
    <row r="329" spans="1:12" outlineLevel="1" x14ac:dyDescent="0.15">
      <c r="A329" s="66"/>
      <c r="B329" s="101" t="s">
        <v>460</v>
      </c>
      <c r="C329" s="66"/>
      <c r="D329" s="66"/>
      <c r="E329" s="66"/>
      <c r="F329" s="66"/>
      <c r="G329" s="66"/>
      <c r="H329" s="66"/>
    </row>
    <row r="330" spans="1:12" outlineLevel="1" x14ac:dyDescent="0.15">
      <c r="A330" s="66"/>
      <c r="B330" s="101"/>
      <c r="C330" s="66"/>
      <c r="D330" s="66"/>
      <c r="E330" s="66"/>
      <c r="F330" s="66"/>
      <c r="G330" s="66"/>
      <c r="H330" s="66"/>
    </row>
    <row r="331" spans="1:12" outlineLevel="1" x14ac:dyDescent="0.15">
      <c r="A331" s="66"/>
      <c r="B331" s="82" t="s">
        <v>471</v>
      </c>
      <c r="C331" s="69"/>
      <c r="D331" s="66"/>
      <c r="E331" s="66"/>
      <c r="F331" s="66"/>
      <c r="G331" s="66"/>
      <c r="H331" s="66"/>
    </row>
    <row r="332" spans="1:12" ht="15" outlineLevel="1" x14ac:dyDescent="0.15">
      <c r="A332" s="66"/>
      <c r="B332" s="83" t="s">
        <v>459</v>
      </c>
      <c r="C332" s="83" t="s">
        <v>58</v>
      </c>
      <c r="D332" s="83" t="s">
        <v>100</v>
      </c>
      <c r="E332" s="83" t="s">
        <v>59</v>
      </c>
      <c r="F332" s="83" t="s">
        <v>60</v>
      </c>
      <c r="G332" s="83" t="s">
        <v>62</v>
      </c>
      <c r="H332" s="83" t="s">
        <v>61</v>
      </c>
      <c r="I332" s="83" t="s">
        <v>63</v>
      </c>
      <c r="J332" s="83" t="s">
        <v>64</v>
      </c>
      <c r="K332" s="83" t="s">
        <v>65</v>
      </c>
    </row>
    <row r="333" spans="1:12" outlineLevel="1" x14ac:dyDescent="0.15">
      <c r="A333" s="66"/>
      <c r="B333" s="117" t="s">
        <v>155</v>
      </c>
      <c r="C333" s="179">
        <f>C288*1000/'Constants &amp; Conversions'!$D$57</f>
        <v>0</v>
      </c>
      <c r="D333" s="179">
        <f>D288*1000/'Constants &amp; Conversions'!$D$57</f>
        <v>207087.15032735222</v>
      </c>
      <c r="E333" s="179">
        <f>E288*1000/'Constants &amp; Conversions'!$D$57</f>
        <v>207087.15032735222</v>
      </c>
      <c r="F333" s="179">
        <f>F288*1000/'Constants &amp; Conversions'!$D$57</f>
        <v>69545.474920155524</v>
      </c>
      <c r="G333" s="179">
        <f>G288*1000/'Constants &amp; Conversions'!$D$57</f>
        <v>2486080.7900225674</v>
      </c>
      <c r="H333" s="179">
        <f>H288*1000/'Constants &amp; Conversions'!$D$57</f>
        <v>2176937.6743816538</v>
      </c>
      <c r="I333" s="179">
        <f>I288*1000/'Constants &amp; Conversions'!$D$57</f>
        <v>412486.40911347978</v>
      </c>
      <c r="J333" s="179">
        <f>J288*1000/'Constants &amp; Conversions'!$D$57</f>
        <v>2803388.2551031681</v>
      </c>
      <c r="K333" s="179">
        <f>K288*1000/'Constants &amp; Conversions'!$D$57</f>
        <v>3390023.9382520411</v>
      </c>
    </row>
    <row r="334" spans="1:12" outlineLevel="1" x14ac:dyDescent="0.15">
      <c r="A334" s="66"/>
      <c r="B334" s="117" t="s">
        <v>159</v>
      </c>
      <c r="C334" s="179">
        <f>C289*1000/'Constants &amp; Conversions'!$D$57</f>
        <v>3330899.7158193872</v>
      </c>
      <c r="D334" s="179">
        <f>D289*1000/'Constants &amp; Conversions'!$D$57</f>
        <v>0</v>
      </c>
      <c r="E334" s="179">
        <f>E289*1000/'Constants &amp; Conversions'!$D$57</f>
        <v>3330899.7158193872</v>
      </c>
      <c r="F334" s="179">
        <f>F289*1000/'Constants &amp; Conversions'!$D$57</f>
        <v>784.17859700006625</v>
      </c>
      <c r="G334" s="179">
        <f>G289*1000/'Constants &amp; Conversions'!$D$57</f>
        <v>357.12101666107361</v>
      </c>
      <c r="H334" s="179">
        <f>H289*1000/'Constants &amp; Conversions'!$D$57</f>
        <v>0</v>
      </c>
      <c r="I334" s="179">
        <f>I289*1000/'Constants &amp; Conversions'!$D$57</f>
        <v>394.32112000648561</v>
      </c>
      <c r="J334" s="179">
        <f>J289*1000/'Constants &amp; Conversions'!$D$57</f>
        <v>342.2411346194632</v>
      </c>
      <c r="K334" s="179">
        <f>K289*1000/'Constants &amp; Conversions'!$D$57</f>
        <v>803.5226012393432</v>
      </c>
    </row>
    <row r="335" spans="1:12" outlineLevel="1" x14ac:dyDescent="0.15">
      <c r="A335" s="66"/>
      <c r="B335" s="117" t="s">
        <v>104</v>
      </c>
      <c r="C335" s="179">
        <f>C290*1000/'Constants &amp; Conversions'!$D$57</f>
        <v>3685982.0710337511</v>
      </c>
      <c r="D335" s="179">
        <f>D290*1000/'Constants &amp; Conversions'!$D$57</f>
        <v>7128047.3145947978</v>
      </c>
      <c r="E335" s="179">
        <f>E290*1000/'Constants &amp; Conversions'!$D$57</f>
        <v>10814029.385628549</v>
      </c>
      <c r="F335" s="179">
        <f>F290*1000/'Constants &amp; Conversions'!$D$57</f>
        <v>3922140.6898822603</v>
      </c>
      <c r="G335" s="179">
        <f>G290*1000/'Constants &amp; Conversions'!$D$57</f>
        <v>1083931.7094859364</v>
      </c>
      <c r="H335" s="179">
        <f>H290*1000/'Constants &amp; Conversions'!$D$57</f>
        <v>92330.256812986743</v>
      </c>
      <c r="I335" s="179">
        <f>I290*1000/'Constants &amp; Conversions'!$D$57</f>
        <v>1845340.8516847817</v>
      </c>
      <c r="J335" s="179">
        <f>J290*1000/'Constants &amp; Conversions'!$D$57</f>
        <v>680461.35764891224</v>
      </c>
      <c r="K335" s="179">
        <f>K290*1000/'Constants &amp; Conversions'!$D$57</f>
        <v>890417.98383828253</v>
      </c>
    </row>
    <row r="336" spans="1:12" outlineLevel="1" x14ac:dyDescent="0.15">
      <c r="A336" s="66"/>
      <c r="B336" s="117" t="s">
        <v>156</v>
      </c>
      <c r="C336" s="179">
        <f>C291*1000/'Constants &amp; Conversions'!$D$57</f>
        <v>18846459.946236283</v>
      </c>
      <c r="D336" s="179">
        <f>D291*1000/'Constants &amp; Conversions'!$D$57</f>
        <v>36445770.929024652</v>
      </c>
      <c r="E336" s="179">
        <f>E291*1000/'Constants &amp; Conversions'!$D$57</f>
        <v>55292230.875260934</v>
      </c>
      <c r="F336" s="179">
        <f>F291*1000/'Constants &amp; Conversions'!$D$57</f>
        <v>13866297.316737434</v>
      </c>
      <c r="G336" s="179">
        <f>G291*1000/'Constants &amp; Conversions'!$D$57</f>
        <v>12702027.768369898</v>
      </c>
      <c r="H336" s="179">
        <f>H291*1000/'Constants &amp; Conversions'!$D$57</f>
        <v>2960815.4477470899</v>
      </c>
      <c r="I336" s="179">
        <f>I291*1000/'Constants &amp; Conversions'!$D$57</f>
        <v>10241475.037696276</v>
      </c>
      <c r="J336" s="179">
        <f>J291*1000/'Constants &amp; Conversions'!$D$57</f>
        <v>7759769.7776674442</v>
      </c>
      <c r="K336" s="179">
        <f>K291*1000/'Constants &amp; Conversions'!$D$57</f>
        <v>18191667.999905773</v>
      </c>
    </row>
    <row r="337" spans="1:11" outlineLevel="1" x14ac:dyDescent="0.15">
      <c r="A337" s="66"/>
      <c r="B337" s="117" t="s">
        <v>157</v>
      </c>
      <c r="C337" s="179">
        <f>C292*1000/'Constants &amp; Conversions'!$D$57</f>
        <v>7616208.2382474998</v>
      </c>
      <c r="D337" s="179">
        <f>D292*1000/'Constants &amp; Conversions'!$D$57</f>
        <v>14728420.1696644</v>
      </c>
      <c r="E337" s="179">
        <f>E292*1000/'Constants &amp; Conversions'!$D$57</f>
        <v>22344628.407911904</v>
      </c>
      <c r="F337" s="179">
        <f>F292*1000/'Constants &amp; Conversions'!$D$57</f>
        <v>5081177.6171497842</v>
      </c>
      <c r="G337" s="179">
        <f>G292*1000/'Constants &amp; Conversions'!$D$57</f>
        <v>2636739.3532628547</v>
      </c>
      <c r="H337" s="179">
        <f>H292*1000/'Constants &amp; Conversions'!$D$57</f>
        <v>204398.34728186185</v>
      </c>
      <c r="I337" s="179">
        <f>I292*1000/'Constants &amp; Conversions'!$D$57</f>
        <v>3823707.2305647703</v>
      </c>
      <c r="J337" s="179">
        <f>J292*1000/'Constants &amp; Conversions'!$D$57</f>
        <v>1889248.7850982747</v>
      </c>
      <c r="K337" s="179">
        <f>K292*1000/'Constants &amp; Conversions'!$D$57</f>
        <v>2168979.8868433232</v>
      </c>
    </row>
    <row r="338" spans="1:11" outlineLevel="1" x14ac:dyDescent="0.15">
      <c r="A338" s="66"/>
      <c r="B338" s="117" t="s">
        <v>160</v>
      </c>
      <c r="C338" s="179">
        <f>C293*1000/'Constants &amp; Conversions'!$D$57</f>
        <v>712225.66187727812</v>
      </c>
      <c r="D338" s="179">
        <f>D293*1000/'Constants &amp; Conversions'!$D$57</f>
        <v>2253291.398580051</v>
      </c>
      <c r="E338" s="179">
        <f>E293*1000/'Constants &amp; Conversions'!$D$57</f>
        <v>2965517.0604573288</v>
      </c>
      <c r="F338" s="179">
        <f>F293*1000/'Constants &amp; Conversions'!$D$57</f>
        <v>1892731.565620712</v>
      </c>
      <c r="G338" s="179">
        <f>G293*1000/'Constants &amp; Conversions'!$D$57</f>
        <v>1000204.3778131597</v>
      </c>
      <c r="H338" s="179">
        <f>H293*1000/'Constants &amp; Conversions'!$D$57</f>
        <v>82951.567719755651</v>
      </c>
      <c r="I338" s="179">
        <f>I293*1000/'Constants &amp; Conversions'!$D$57</f>
        <v>1715661.6820311942</v>
      </c>
      <c r="J338" s="179">
        <f>J293*1000/'Constants &amp; Conversions'!$D$57</f>
        <v>448257.25740040204</v>
      </c>
      <c r="K338" s="179">
        <f>K293*1000/'Constants &amp; Conversions'!$D$57</f>
        <v>719445.34404932405</v>
      </c>
    </row>
    <row r="339" spans="1:11" outlineLevel="1" x14ac:dyDescent="0.15">
      <c r="A339" s="66"/>
      <c r="B339" s="117" t="s">
        <v>161</v>
      </c>
      <c r="C339" s="179">
        <f>C294*1000/'Constants &amp; Conversions'!$D$57</f>
        <v>0</v>
      </c>
      <c r="D339" s="179">
        <f>D294*1000/'Constants &amp; Conversions'!$D$57</f>
        <v>101001.32716856868</v>
      </c>
      <c r="E339" s="179">
        <f>E294*1000/'Constants &amp; Conversions'!$D$57</f>
        <v>101001.32716856868</v>
      </c>
      <c r="F339" s="179">
        <f>F294*1000/'Constants &amp; Conversions'!$D$57</f>
        <v>16386.577463180551</v>
      </c>
      <c r="G339" s="179">
        <f>G294*1000/'Constants &amp; Conversions'!$D$57</f>
        <v>24836.164463891004</v>
      </c>
      <c r="H339" s="179">
        <f>H294*1000/'Constants &amp; Conversions'!$D$57</f>
        <v>43609.912715954531</v>
      </c>
      <c r="I339" s="179">
        <f>I294*1000/'Constants &amp; Conversions'!$D$57</f>
        <v>60234.542604537732</v>
      </c>
      <c r="J339" s="179">
        <f>J294*1000/'Constants &amp; Conversions'!$D$57</f>
        <v>144415.14917226744</v>
      </c>
      <c r="K339" s="179">
        <f>K294*1000/'Constants &amp; Conversions'!$D$57</f>
        <v>151319.55054355162</v>
      </c>
    </row>
    <row r="340" spans="1:11" outlineLevel="1" x14ac:dyDescent="0.15">
      <c r="A340" s="66"/>
      <c r="B340" s="117" t="s">
        <v>158</v>
      </c>
      <c r="C340" s="179">
        <f>C295*1000/'Constants &amp; Conversions'!$D$57</f>
        <v>46933.192816296461</v>
      </c>
      <c r="D340" s="179">
        <f>D295*1000/'Constants &amp; Conversions'!$D$57</f>
        <v>90760.620256011709</v>
      </c>
      <c r="E340" s="179">
        <f>E295*1000/'Constants &amp; Conversions'!$D$57</f>
        <v>137693.81307230817</v>
      </c>
      <c r="F340" s="179">
        <f>F295*1000/'Constants &amp; Conversions'!$D$57</f>
        <v>112449.90622039785</v>
      </c>
      <c r="G340" s="179">
        <f>G295*1000/'Constants &amp; Conversions'!$D$57</f>
        <v>13769.381398997444</v>
      </c>
      <c r="H340" s="179">
        <f>H295*1000/'Constants &amp; Conversions'!$D$57</f>
        <v>0</v>
      </c>
      <c r="I340" s="179">
        <f>I295*1000/'Constants &amp; Conversions'!$D$57</f>
        <v>89500.918219134823</v>
      </c>
      <c r="J340" s="179">
        <f>J295*1000/'Constants &amp; Conversions'!$D$57</f>
        <v>0</v>
      </c>
      <c r="K340" s="179">
        <f>K295*1000/'Constants &amp; Conversions'!$D$57</f>
        <v>137693.81307230817</v>
      </c>
    </row>
    <row r="341" spans="1:11" outlineLevel="1" x14ac:dyDescent="0.15">
      <c r="A341" s="66"/>
      <c r="B341" s="117" t="s">
        <v>162</v>
      </c>
      <c r="C341" s="179">
        <f>C296*1000/'Constants &amp; Conversions'!$D$57</f>
        <v>124184.9498267513</v>
      </c>
      <c r="D341" s="179">
        <f>D296*1000/'Constants &amp; Conversions'!$D$57</f>
        <v>44235.927704937043</v>
      </c>
      <c r="E341" s="179">
        <f>E296*1000/'Constants &amp; Conversions'!$D$57</f>
        <v>168420.87753168834</v>
      </c>
      <c r="F341" s="179">
        <f>F296*1000/'Constants &amp; Conversions'!$D$57</f>
        <v>69655.884252785283</v>
      </c>
      <c r="G341" s="179">
        <f>G296*1000/'Constants &amp; Conversions'!$D$57</f>
        <v>30308.645023738078</v>
      </c>
      <c r="H341" s="179">
        <f>H296*1000/'Constants &amp; Conversions'!$D$57</f>
        <v>4851.574115582981</v>
      </c>
      <c r="I341" s="179">
        <f>I296*1000/'Constants &amp; Conversions'!$D$57</f>
        <v>22500.946148055828</v>
      </c>
      <c r="J341" s="179">
        <f>J296*1000/'Constants &amp; Conversions'!$D$57</f>
        <v>4392.8753731984843</v>
      </c>
      <c r="K341" s="179">
        <f>K296*1000/'Constants &amp; Conversions'!$D$57</f>
        <v>37223.861879200507</v>
      </c>
    </row>
    <row r="342" spans="1:11" outlineLevel="1" x14ac:dyDescent="0.15">
      <c r="A342" s="66"/>
      <c r="B342" s="117" t="s">
        <v>163</v>
      </c>
      <c r="C342" s="179">
        <f>C297*1000/'Constants &amp; Conversions'!$D$57</f>
        <v>39056.378909886487</v>
      </c>
      <c r="D342" s="179">
        <f>D297*1000/'Constants &amp; Conversions'!$D$57</f>
        <v>35960.506651031727</v>
      </c>
      <c r="E342" s="179">
        <f>E297*1000/'Constants &amp; Conversions'!$D$57</f>
        <v>75016.885560918221</v>
      </c>
      <c r="F342" s="179">
        <f>F297*1000/'Constants &amp; Conversions'!$D$57</f>
        <v>13046.415305790149</v>
      </c>
      <c r="G342" s="179">
        <f>G297*1000/'Constants &amp; Conversions'!$D$57</f>
        <v>6523.2068139913799</v>
      </c>
      <c r="H342" s="179">
        <f>H297*1000/'Constants &amp; Conversions'!$D$57</f>
        <v>13046.415305790149</v>
      </c>
      <c r="I342" s="179">
        <f>I297*1000/'Constants &amp; Conversions'!$D$57</f>
        <v>39139.236399927693</v>
      </c>
      <c r="J342" s="179">
        <f>J297*1000/'Constants &amp; Conversions'!$D$57</f>
        <v>9784.8004926290505</v>
      </c>
      <c r="K342" s="179">
        <f>K297*1000/'Constants &amp; Conversions'!$D$57</f>
        <v>16308.016152904956</v>
      </c>
    </row>
    <row r="343" spans="1:11" outlineLevel="1" x14ac:dyDescent="0.15">
      <c r="A343" s="66"/>
      <c r="B343" s="171" t="s">
        <v>88</v>
      </c>
      <c r="C343" s="357">
        <f t="shared" ref="C343:K343" si="128">SUM(C333:C342)</f>
        <v>34401950.154767133</v>
      </c>
      <c r="D343" s="357">
        <f t="shared" si="128"/>
        <v>61034575.343971804</v>
      </c>
      <c r="E343" s="357">
        <f t="shared" si="128"/>
        <v>95436525.498738959</v>
      </c>
      <c r="F343" s="357">
        <f t="shared" si="128"/>
        <v>25044215.626149502</v>
      </c>
      <c r="G343" s="357">
        <f t="shared" si="128"/>
        <v>19984778.517671697</v>
      </c>
      <c r="H343" s="357">
        <f t="shared" si="128"/>
        <v>5578941.1960806763</v>
      </c>
      <c r="I343" s="357">
        <f t="shared" si="128"/>
        <v>18250441.175582167</v>
      </c>
      <c r="J343" s="357">
        <f t="shared" si="128"/>
        <v>13740060.499090916</v>
      </c>
      <c r="K343" s="357">
        <f t="shared" si="128"/>
        <v>25703883.917137943</v>
      </c>
    </row>
    <row r="344" spans="1:11" x14ac:dyDescent="0.15">
      <c r="A344" s="66"/>
      <c r="B344" s="66"/>
      <c r="C344" s="69"/>
      <c r="D344" s="66"/>
      <c r="E344" s="66"/>
      <c r="F344" s="66"/>
      <c r="G344" s="66"/>
      <c r="H344" s="66"/>
    </row>
    <row r="345" spans="1:11" ht="18" x14ac:dyDescent="0.2">
      <c r="A345" s="189" t="s">
        <v>147</v>
      </c>
      <c r="B345" s="66"/>
      <c r="C345" s="69"/>
      <c r="D345" s="66"/>
      <c r="E345" s="66"/>
      <c r="F345" s="66"/>
      <c r="G345" s="66"/>
      <c r="H345" s="66"/>
    </row>
    <row r="346" spans="1:11" outlineLevel="1" x14ac:dyDescent="0.15">
      <c r="A346" s="82"/>
      <c r="B346" s="82" t="s">
        <v>458</v>
      </c>
      <c r="C346" s="69"/>
      <c r="D346" s="66"/>
      <c r="E346" s="66"/>
      <c r="F346" s="66"/>
      <c r="G346" s="66"/>
      <c r="H346" s="66"/>
    </row>
    <row r="347" spans="1:11" ht="15" outlineLevel="1" x14ac:dyDescent="0.15">
      <c r="A347" s="82"/>
      <c r="B347" s="83" t="s">
        <v>459</v>
      </c>
      <c r="C347" s="83" t="s">
        <v>58</v>
      </c>
      <c r="D347" s="83" t="s">
        <v>100</v>
      </c>
      <c r="E347" s="83" t="s">
        <v>59</v>
      </c>
      <c r="F347" s="83" t="s">
        <v>60</v>
      </c>
      <c r="G347" s="83" t="s">
        <v>62</v>
      </c>
      <c r="H347" s="83" t="s">
        <v>61</v>
      </c>
      <c r="I347" s="83" t="s">
        <v>63</v>
      </c>
      <c r="J347" s="83" t="s">
        <v>64</v>
      </c>
      <c r="K347" s="83" t="s">
        <v>65</v>
      </c>
    </row>
    <row r="348" spans="1:11" ht="15" outlineLevel="1" x14ac:dyDescent="0.15">
      <c r="A348" s="82"/>
      <c r="B348" s="609" t="s">
        <v>476</v>
      </c>
      <c r="C348" s="609"/>
      <c r="D348" s="609"/>
      <c r="E348" s="609"/>
      <c r="F348" s="609"/>
      <c r="G348" s="609"/>
      <c r="H348" s="609"/>
      <c r="I348" s="609"/>
      <c r="J348" s="609"/>
      <c r="K348" s="609"/>
    </row>
    <row r="349" spans="1:11" outlineLevel="1" x14ac:dyDescent="0.15">
      <c r="A349" s="82"/>
      <c r="B349" s="117" t="s">
        <v>155</v>
      </c>
      <c r="C349" s="179">
        <f>E349*VLOOKUP($B349,'Offroad Allocation'!$B$4:$G$15,5,0)</f>
        <v>0</v>
      </c>
      <c r="D349" s="356">
        <f t="shared" ref="D349:D354" si="129">E349-C349</f>
        <v>76.631069536481505</v>
      </c>
      <c r="E349" s="117">
        <v>76.631069536481505</v>
      </c>
      <c r="F349" s="117">
        <v>25.7348204841613</v>
      </c>
      <c r="G349" s="117">
        <v>919.95637986537304</v>
      </c>
      <c r="H349" s="117">
        <v>805.56035723005004</v>
      </c>
      <c r="I349" s="117">
        <v>152.637512797764</v>
      </c>
      <c r="J349" s="117">
        <v>1037.3730070452</v>
      </c>
      <c r="K349" s="117">
        <v>1254.4529505266401</v>
      </c>
    </row>
    <row r="350" spans="1:11" outlineLevel="1" x14ac:dyDescent="0.15">
      <c r="A350" s="82"/>
      <c r="B350" s="117" t="s">
        <v>104</v>
      </c>
      <c r="C350" s="179">
        <f>E350*VLOOKUP($B350,'Offroad Allocation'!$B$4:$G$15,5,0)</f>
        <v>291284.13943412818</v>
      </c>
      <c r="D350" s="356">
        <f t="shared" si="129"/>
        <v>563292.79086677416</v>
      </c>
      <c r="E350" s="117">
        <v>854576.93030090234</v>
      </c>
      <c r="F350" s="117">
        <v>309946.43532739225</v>
      </c>
      <c r="G350" s="117">
        <v>85657.616754626622</v>
      </c>
      <c r="H350" s="117">
        <v>7296.3874668969383</v>
      </c>
      <c r="I350" s="117">
        <v>145827.76843370459</v>
      </c>
      <c r="J350" s="117">
        <v>53773.403641747565</v>
      </c>
      <c r="K350" s="117">
        <v>70365.132898284821</v>
      </c>
    </row>
    <row r="351" spans="1:11" outlineLevel="1" x14ac:dyDescent="0.15">
      <c r="A351" s="82"/>
      <c r="B351" s="117" t="s">
        <v>156</v>
      </c>
      <c r="C351" s="179">
        <f>E351*VLOOKUP($B351,'Offroad Allocation'!$B$4:$G$15,5,0)</f>
        <v>206298.13648988778</v>
      </c>
      <c r="D351" s="356">
        <f t="shared" si="129"/>
        <v>398944.66372166754</v>
      </c>
      <c r="E351" s="117">
        <v>605242.80021155532</v>
      </c>
      <c r="F351" s="117">
        <v>151784.08957457307</v>
      </c>
      <c r="G351" s="117">
        <v>139039.67393730089</v>
      </c>
      <c r="H351" s="117">
        <v>32409.83164783027</v>
      </c>
      <c r="I351" s="117">
        <v>112105.76834470195</v>
      </c>
      <c r="J351" s="117">
        <v>84940.427258891956</v>
      </c>
      <c r="K351" s="117">
        <v>199130.68244586195</v>
      </c>
    </row>
    <row r="352" spans="1:11" outlineLevel="1" x14ac:dyDescent="0.15">
      <c r="A352" s="82"/>
      <c r="B352" s="117" t="s">
        <v>157</v>
      </c>
      <c r="C352" s="179">
        <f>E352*VLOOKUP($B352,'Offroad Allocation'!$B$4:$G$15,5,0)</f>
        <v>5239.4118908980081</v>
      </c>
      <c r="D352" s="356">
        <f t="shared" si="129"/>
        <v>10132.110015526341</v>
      </c>
      <c r="E352" s="117">
        <v>15371.52190642435</v>
      </c>
      <c r="F352" s="117">
        <v>3940.6441104823489</v>
      </c>
      <c r="G352" s="117">
        <v>2097.6903977530328</v>
      </c>
      <c r="H352" s="117">
        <v>121.66247682435112</v>
      </c>
      <c r="I352" s="117">
        <v>2992.398848153246</v>
      </c>
      <c r="J352" s="117">
        <v>1559.5805360804868</v>
      </c>
      <c r="K352" s="117">
        <v>1437.283394082199</v>
      </c>
    </row>
    <row r="353" spans="1:11" outlineLevel="1" x14ac:dyDescent="0.15">
      <c r="A353" s="82"/>
      <c r="B353" s="117" t="s">
        <v>160</v>
      </c>
      <c r="C353" s="179">
        <f>E353*VLOOKUP($B353,'Offroad Allocation'!$B$4:$G$15,5,0)</f>
        <v>2229271.3374950541</v>
      </c>
      <c r="D353" s="356">
        <f t="shared" si="129"/>
        <v>7052817.946265162</v>
      </c>
      <c r="E353" s="117">
        <v>9282089.2837602161</v>
      </c>
      <c r="F353" s="117">
        <v>4603034.9052799428</v>
      </c>
      <c r="G353" s="117">
        <v>2389473.9912227239</v>
      </c>
      <c r="H353" s="117">
        <v>211627.15577330432</v>
      </c>
      <c r="I353" s="117">
        <v>4069770.1647166284</v>
      </c>
      <c r="J353" s="117">
        <v>1113923.2057371896</v>
      </c>
      <c r="K353" s="117">
        <v>1829511.1536658427</v>
      </c>
    </row>
    <row r="354" spans="1:11" outlineLevel="1" x14ac:dyDescent="0.15">
      <c r="A354" s="82"/>
      <c r="B354" s="117" t="s">
        <v>161</v>
      </c>
      <c r="C354" s="179">
        <f>E354*VLOOKUP($B354,'Offroad Allocation'!$B$4:$G$15,5,0)</f>
        <v>0</v>
      </c>
      <c r="D354" s="356">
        <f t="shared" si="129"/>
        <v>3912.4084218749904</v>
      </c>
      <c r="E354" s="117">
        <v>3912.4084218749904</v>
      </c>
      <c r="F354" s="117">
        <v>634.75478016880504</v>
      </c>
      <c r="G354" s="117">
        <v>962.05884273856009</v>
      </c>
      <c r="H354" s="117">
        <v>1689.2816124441902</v>
      </c>
      <c r="I354" s="117">
        <v>2333.2570245535699</v>
      </c>
      <c r="J354" s="117">
        <v>5594.0897017299103</v>
      </c>
      <c r="K354" s="117">
        <v>5861.5372098214202</v>
      </c>
    </row>
    <row r="355" spans="1:11" outlineLevel="1" x14ac:dyDescent="0.15">
      <c r="A355" s="82"/>
      <c r="B355" s="117" t="s">
        <v>163</v>
      </c>
      <c r="C355" s="179">
        <f>E355*VLOOKUP($B355,'Offroad Allocation'!$B$4:$G$15,5,0)</f>
        <v>538249.22884924244</v>
      </c>
      <c r="D355" s="356">
        <f t="shared" ref="D355" si="130">E355-C355</f>
        <v>495583.96129361342</v>
      </c>
      <c r="E355" s="117">
        <v>1033833.1901428559</v>
      </c>
      <c r="F355" s="117">
        <v>179797.05145424098</v>
      </c>
      <c r="G355" s="117">
        <v>89898.532740792303</v>
      </c>
      <c r="H355" s="117">
        <v>3089361.3085970911</v>
      </c>
      <c r="I355" s="117">
        <v>539391.46652232006</v>
      </c>
      <c r="J355" s="117">
        <v>134847.81857645084</v>
      </c>
      <c r="K355" s="117">
        <v>224746.30375558021</v>
      </c>
    </row>
    <row r="356" spans="1:11" ht="15" outlineLevel="1" x14ac:dyDescent="0.15">
      <c r="A356" s="82"/>
      <c r="B356" s="609" t="s">
        <v>477</v>
      </c>
      <c r="C356" s="609"/>
      <c r="D356" s="609"/>
      <c r="E356" s="609"/>
      <c r="F356" s="609"/>
      <c r="G356" s="609"/>
      <c r="H356" s="609"/>
      <c r="I356" s="609"/>
      <c r="J356" s="609"/>
      <c r="K356" s="609"/>
    </row>
    <row r="357" spans="1:11" outlineLevel="1" x14ac:dyDescent="0.15">
      <c r="A357" s="82"/>
      <c r="B357" s="117" t="s">
        <v>155</v>
      </c>
      <c r="C357" s="179">
        <f>E357*VLOOKUP($B357,'Offroad Allocation'!$B$4:$G$15,5,0)</f>
        <v>0</v>
      </c>
      <c r="D357" s="356">
        <f t="shared" ref="D357:D364" si="131">E357-C357</f>
        <v>8894.7217742154098</v>
      </c>
      <c r="E357" s="117">
        <v>8894.7217742154098</v>
      </c>
      <c r="F357" s="117">
        <v>2987.0916600555242</v>
      </c>
      <c r="G357" s="117">
        <v>106781.18827226774</v>
      </c>
      <c r="H357" s="117">
        <v>93503.012911616461</v>
      </c>
      <c r="I357" s="117">
        <v>17716.951652942218</v>
      </c>
      <c r="J357" s="117">
        <v>120410.00533055961</v>
      </c>
      <c r="K357" s="117">
        <v>145606.87561772458</v>
      </c>
    </row>
    <row r="358" spans="1:11" outlineLevel="1" x14ac:dyDescent="0.15">
      <c r="A358" s="82"/>
      <c r="B358" s="117" t="s">
        <v>159</v>
      </c>
      <c r="C358" s="179">
        <f>E358*VLOOKUP($B358,'Offroad Allocation'!$B$4:$G$15,5,0)</f>
        <v>251341.10800000001</v>
      </c>
      <c r="D358" s="356">
        <f t="shared" si="131"/>
        <v>0</v>
      </c>
      <c r="E358" s="117">
        <v>251341.10800000001</v>
      </c>
      <c r="F358" s="117">
        <v>59.172141906738204</v>
      </c>
      <c r="G358" s="117">
        <v>26.9474488601684</v>
      </c>
      <c r="H358" s="117">
        <v>0</v>
      </c>
      <c r="I358" s="117">
        <v>29.754462486266998</v>
      </c>
      <c r="J358" s="117">
        <v>25.824642013549802</v>
      </c>
      <c r="K358" s="117">
        <v>60.631908187866195</v>
      </c>
    </row>
    <row r="359" spans="1:11" outlineLevel="1" x14ac:dyDescent="0.15">
      <c r="A359" s="82"/>
      <c r="B359" s="117" t="s">
        <v>104</v>
      </c>
      <c r="C359" s="179">
        <f>E359*VLOOKUP($B359,'Offroad Allocation'!$B$4:$G$15,5,0)</f>
        <v>14746029.905459804</v>
      </c>
      <c r="D359" s="356">
        <f t="shared" si="131"/>
        <v>28516253.427968688</v>
      </c>
      <c r="E359" s="117">
        <v>43262283.333428495</v>
      </c>
      <c r="F359" s="117">
        <v>15690809.954999976</v>
      </c>
      <c r="G359" s="117">
        <v>4336350.2585401665</v>
      </c>
      <c r="H359" s="117">
        <v>369373.996618303</v>
      </c>
      <c r="I359" s="117">
        <v>7382416.6202857057</v>
      </c>
      <c r="J359" s="117">
        <v>2722235.0196160674</v>
      </c>
      <c r="K359" s="117">
        <v>3562182.7060613749</v>
      </c>
    </row>
    <row r="360" spans="1:11" outlineLevel="1" x14ac:dyDescent="0.15">
      <c r="A360" s="82"/>
      <c r="B360" s="117" t="s">
        <v>156</v>
      </c>
      <c r="C360" s="179">
        <f>E360*VLOOKUP($B360,'Offroad Allocation'!$B$4:$G$15,5,0)</f>
        <v>1195554.1007070225</v>
      </c>
      <c r="D360" s="356">
        <f t="shared" si="131"/>
        <v>2311993.3935564323</v>
      </c>
      <c r="E360" s="117">
        <v>3507547.4942634548</v>
      </c>
      <c r="F360" s="117">
        <v>879629.92038113752</v>
      </c>
      <c r="G360" s="117">
        <v>805772.79701782134</v>
      </c>
      <c r="H360" s="117">
        <v>187823.87932246353</v>
      </c>
      <c r="I360" s="117">
        <v>649683.78257554292</v>
      </c>
      <c r="J360" s="117">
        <v>492252.8564936074</v>
      </c>
      <c r="K360" s="117">
        <v>1154016.7775775294</v>
      </c>
    </row>
    <row r="361" spans="1:11" outlineLevel="1" x14ac:dyDescent="0.15">
      <c r="A361" s="82"/>
      <c r="B361" s="117" t="s">
        <v>157</v>
      </c>
      <c r="C361" s="179">
        <f>E361*VLOOKUP($B361,'Offroad Allocation'!$B$4:$G$15,5,0)</f>
        <v>3522679.1700828597</v>
      </c>
      <c r="D361" s="356">
        <f t="shared" si="131"/>
        <v>6812247.9476537406</v>
      </c>
      <c r="E361" s="117">
        <v>10334927.1177366</v>
      </c>
      <c r="F361" s="117">
        <v>2645661.2670864905</v>
      </c>
      <c r="G361" s="117">
        <v>1407941.6553489091</v>
      </c>
      <c r="H361" s="117">
        <v>81960.778424944016</v>
      </c>
      <c r="I361" s="117">
        <v>2008824.0109817227</v>
      </c>
      <c r="J361" s="117">
        <v>1046351.3521028858</v>
      </c>
      <c r="K361" s="117">
        <v>966816.13588336785</v>
      </c>
    </row>
    <row r="362" spans="1:11" outlineLevel="1" x14ac:dyDescent="0.15">
      <c r="A362" s="82"/>
      <c r="B362" s="117" t="s">
        <v>160</v>
      </c>
      <c r="C362" s="179">
        <f>E362*VLOOKUP($B362,'Offroad Allocation'!$B$4:$G$15,5,0)</f>
        <v>20745676.265624516</v>
      </c>
      <c r="D362" s="356">
        <f t="shared" si="131"/>
        <v>65633768.044590242</v>
      </c>
      <c r="E362" s="117">
        <v>86379444.310214758</v>
      </c>
      <c r="F362" s="117">
        <v>38942508.750041053</v>
      </c>
      <c r="G362" s="117">
        <v>20052379.517401345</v>
      </c>
      <c r="H362" s="117">
        <v>1827923.2706826581</v>
      </c>
      <c r="I362" s="117">
        <v>34041701.992105767</v>
      </c>
      <c r="J362" s="117">
        <v>9514193.9285222366</v>
      </c>
      <c r="K362" s="117">
        <v>15780837.976040566</v>
      </c>
    </row>
    <row r="363" spans="1:11" outlineLevel="1" x14ac:dyDescent="0.15">
      <c r="A363" s="82"/>
      <c r="B363" s="117" t="s">
        <v>161</v>
      </c>
      <c r="C363" s="179">
        <f>E363*VLOOKUP($B363,'Offroad Allocation'!$B$4:$G$15,5,0)</f>
        <v>0</v>
      </c>
      <c r="D363" s="356">
        <f t="shared" si="131"/>
        <v>11421.072845737981</v>
      </c>
      <c r="E363" s="117">
        <v>11421.072845737981</v>
      </c>
      <c r="F363" s="117">
        <v>1852.9638559864563</v>
      </c>
      <c r="G363" s="117">
        <v>2808.427167799804</v>
      </c>
      <c r="H363" s="117">
        <v>4931.3314913613394</v>
      </c>
      <c r="I363" s="117">
        <v>6811.2111127537255</v>
      </c>
      <c r="J363" s="117">
        <v>16330.197691772453</v>
      </c>
      <c r="K363" s="117">
        <v>17110.904745657728</v>
      </c>
    </row>
    <row r="364" spans="1:11" outlineLevel="1" x14ac:dyDescent="0.15">
      <c r="A364" s="82"/>
      <c r="B364" s="117" t="s">
        <v>158</v>
      </c>
      <c r="C364" s="179">
        <f>E364*VLOOKUP($B364,'Offroad Allocation'!$B$4:$G$15,5,0)</f>
        <v>30738.376243077051</v>
      </c>
      <c r="D364" s="356">
        <f t="shared" si="131"/>
        <v>59442.66575692295</v>
      </c>
      <c r="E364" s="117">
        <v>90181.042000000001</v>
      </c>
      <c r="F364" s="117">
        <v>73647.923999999999</v>
      </c>
      <c r="G364" s="117">
        <v>9018.10421484375</v>
      </c>
      <c r="H364" s="117">
        <v>0</v>
      </c>
      <c r="I364" s="117">
        <v>58617.709999999905</v>
      </c>
      <c r="J364" s="117">
        <v>0</v>
      </c>
      <c r="K364" s="117">
        <v>90181.042000000001</v>
      </c>
    </row>
    <row r="365" spans="1:11" outlineLevel="1" x14ac:dyDescent="0.15">
      <c r="A365" s="82"/>
      <c r="B365" s="117" t="s">
        <v>162</v>
      </c>
      <c r="C365" s="179">
        <f>E365*VLOOKUP($B365,'Offroad Allocation'!$B$4:$G$15,5,0)</f>
        <v>24033.376881769975</v>
      </c>
      <c r="D365" s="356">
        <f t="shared" ref="D365:D366" si="132">E365-C365</f>
        <v>8560.9304809532259</v>
      </c>
      <c r="E365" s="117">
        <v>32594.307362723201</v>
      </c>
      <c r="F365" s="117">
        <v>13480.4532837611</v>
      </c>
      <c r="G365" s="117">
        <v>5865.60787011718</v>
      </c>
      <c r="H365" s="117">
        <v>938.92229361397801</v>
      </c>
      <c r="I365" s="117">
        <v>4354.5900994698604</v>
      </c>
      <c r="J365" s="117">
        <v>850.14936519949697</v>
      </c>
      <c r="K365" s="117">
        <v>7203.9056090959803</v>
      </c>
    </row>
    <row r="366" spans="1:11" outlineLevel="1" x14ac:dyDescent="0.15">
      <c r="A366" s="82"/>
      <c r="B366" s="117" t="s">
        <v>163</v>
      </c>
      <c r="C366" s="179">
        <f>E366*VLOOKUP($B366,'Offroad Allocation'!$B$4:$G$15,5,0)</f>
        <v>2094096.5805245573</v>
      </c>
      <c r="D366" s="356">
        <f t="shared" si="132"/>
        <v>1928104.3484754283</v>
      </c>
      <c r="E366" s="117">
        <v>4022200.9289999856</v>
      </c>
      <c r="F366" s="117">
        <v>993964.97930524463</v>
      </c>
      <c r="G366" s="117">
        <v>520662.514474608</v>
      </c>
      <c r="H366" s="117">
        <v>425651.83133203042</v>
      </c>
      <c r="I366" s="117">
        <v>1963668.1107187488</v>
      </c>
      <c r="J366" s="117">
        <v>757313.80435156112</v>
      </c>
      <c r="K366" s="117">
        <v>922780.74417131662</v>
      </c>
    </row>
    <row r="367" spans="1:11" outlineLevel="1" x14ac:dyDescent="0.15">
      <c r="A367" s="82"/>
      <c r="B367" s="171" t="s">
        <v>88</v>
      </c>
      <c r="C367" s="357">
        <f t="shared" ref="C367:K367" si="133">SUM(C349:C366)</f>
        <v>45880491.137682818</v>
      </c>
      <c r="D367" s="357">
        <f t="shared" si="133"/>
        <v>113815447.06475651</v>
      </c>
      <c r="E367" s="357">
        <f t="shared" si="133"/>
        <v>159695938.20243934</v>
      </c>
      <c r="F367" s="357">
        <f t="shared" si="133"/>
        <v>64493766.0921029</v>
      </c>
      <c r="G367" s="357">
        <f t="shared" si="133"/>
        <v>29955656.538032539</v>
      </c>
      <c r="H367" s="357">
        <f t="shared" si="133"/>
        <v>6335418.2110086121</v>
      </c>
      <c r="I367" s="357">
        <f t="shared" si="133"/>
        <v>51006398.195397995</v>
      </c>
      <c r="J367" s="357">
        <f t="shared" si="133"/>
        <v>16065639.03657504</v>
      </c>
      <c r="K367" s="357">
        <f t="shared" si="133"/>
        <v>24979104.245934822</v>
      </c>
    </row>
    <row r="368" spans="1:11" outlineLevel="1" x14ac:dyDescent="0.15">
      <c r="A368" s="82"/>
      <c r="B368" s="101" t="s">
        <v>460</v>
      </c>
      <c r="C368" s="177"/>
      <c r="D368" s="177"/>
      <c r="E368" s="177"/>
      <c r="F368" s="177"/>
      <c r="G368" s="177"/>
      <c r="H368" s="177"/>
      <c r="I368" s="177"/>
      <c r="J368" s="177"/>
      <c r="K368" s="177"/>
    </row>
    <row r="369" spans="1:12" outlineLevel="1" x14ac:dyDescent="0.15">
      <c r="A369" s="82"/>
      <c r="B369" s="101"/>
      <c r="C369" s="177"/>
      <c r="D369" s="177"/>
      <c r="E369" s="177"/>
      <c r="F369" s="177"/>
      <c r="G369" s="177"/>
      <c r="H369" s="177"/>
      <c r="I369" s="177"/>
      <c r="J369" s="177"/>
      <c r="K369" s="177"/>
    </row>
    <row r="370" spans="1:12" outlineLevel="1" x14ac:dyDescent="0.15">
      <c r="A370" s="82"/>
      <c r="B370" s="82" t="s">
        <v>461</v>
      </c>
      <c r="C370" s="69"/>
      <c r="D370" s="66"/>
      <c r="E370" s="66"/>
      <c r="F370" s="66"/>
      <c r="G370" s="66"/>
      <c r="H370" s="66"/>
    </row>
    <row r="371" spans="1:12" ht="15" outlineLevel="1" x14ac:dyDescent="0.15">
      <c r="A371" s="82"/>
      <c r="B371" s="83" t="s">
        <v>459</v>
      </c>
      <c r="C371" s="83" t="s">
        <v>58</v>
      </c>
      <c r="D371" s="83" t="s">
        <v>100</v>
      </c>
      <c r="E371" s="83" t="s">
        <v>59</v>
      </c>
      <c r="F371" s="83" t="s">
        <v>60</v>
      </c>
      <c r="G371" s="83" t="s">
        <v>62</v>
      </c>
      <c r="H371" s="83" t="s">
        <v>61</v>
      </c>
      <c r="I371" s="83" t="s">
        <v>63</v>
      </c>
      <c r="J371" s="83" t="s">
        <v>64</v>
      </c>
      <c r="K371" s="83" t="s">
        <v>65</v>
      </c>
      <c r="L371" s="83" t="s">
        <v>66</v>
      </c>
    </row>
    <row r="372" spans="1:12" ht="15" outlineLevel="1" x14ac:dyDescent="0.15">
      <c r="A372" s="82"/>
      <c r="B372" s="609" t="s">
        <v>476</v>
      </c>
      <c r="C372" s="609"/>
      <c r="D372" s="609"/>
      <c r="E372" s="609"/>
      <c r="F372" s="609"/>
      <c r="G372" s="609"/>
      <c r="H372" s="609"/>
      <c r="I372" s="609"/>
      <c r="J372" s="609"/>
      <c r="K372" s="609"/>
      <c r="L372" s="609"/>
    </row>
    <row r="373" spans="1:12" outlineLevel="1" x14ac:dyDescent="0.15">
      <c r="A373" s="119">
        <f>$A$243</f>
        <v>2015</v>
      </c>
      <c r="B373" s="117" t="s">
        <v>155</v>
      </c>
      <c r="C373" s="179">
        <f>E373*VLOOKUP($B373,'Offroad Allocation'!$B$4:$G$15,5,0)</f>
        <v>0</v>
      </c>
      <c r="D373" s="356">
        <f t="shared" ref="D373:D378" si="134">E373-C373</f>
        <v>216.581702157156</v>
      </c>
      <c r="E373" s="117">
        <v>216.581702157156</v>
      </c>
      <c r="F373" s="117">
        <v>72.733992073058999</v>
      </c>
      <c r="G373" s="117">
        <v>2600.0614797363201</v>
      </c>
      <c r="H373" s="117">
        <v>2276.74701552036</v>
      </c>
      <c r="I373" s="117">
        <v>431.39801042829197</v>
      </c>
      <c r="J373" s="117">
        <v>2931.9147942243303</v>
      </c>
      <c r="K373" s="117">
        <v>3545.44730671037</v>
      </c>
      <c r="L373" s="577">
        <f>SUM(E373:K373)</f>
        <v>12074.884300849886</v>
      </c>
    </row>
    <row r="374" spans="1:12" outlineLevel="1" x14ac:dyDescent="0.15">
      <c r="A374" s="119">
        <f t="shared" ref="A374:A390" si="135">$A$243</f>
        <v>2015</v>
      </c>
      <c r="B374" s="117" t="s">
        <v>104</v>
      </c>
      <c r="C374" s="179">
        <f>E374*VLOOKUP($B374,'Offroad Allocation'!$B$4:$G$15,5,0)</f>
        <v>810210.02338914829</v>
      </c>
      <c r="D374" s="356">
        <f t="shared" si="134"/>
        <v>1566805.0658361234</v>
      </c>
      <c r="E374" s="117">
        <v>2377015.0892252717</v>
      </c>
      <c r="F374" s="117">
        <v>862119.10245861718</v>
      </c>
      <c r="G374" s="117">
        <v>238257.63462785541</v>
      </c>
      <c r="H374" s="117">
        <v>20294.986583485424</v>
      </c>
      <c r="I374" s="117">
        <v>405622.18725554907</v>
      </c>
      <c r="J374" s="117">
        <v>149571.23143063288</v>
      </c>
      <c r="K374" s="117">
        <v>195721.56003871973</v>
      </c>
      <c r="L374" s="577">
        <f t="shared" ref="L374:L378" si="136">SUM(E374:K374)</f>
        <v>4248601.7916201316</v>
      </c>
    </row>
    <row r="375" spans="1:12" outlineLevel="1" x14ac:dyDescent="0.15">
      <c r="A375" s="119">
        <f t="shared" si="135"/>
        <v>2015</v>
      </c>
      <c r="B375" s="117" t="s">
        <v>156</v>
      </c>
      <c r="C375" s="179">
        <f>E375*VLOOKUP($B375,'Offroad Allocation'!$B$4:$G$15,5,0)</f>
        <v>521852.97553245927</v>
      </c>
      <c r="D375" s="356">
        <f t="shared" si="134"/>
        <v>1009172.7602500836</v>
      </c>
      <c r="E375" s="117">
        <v>1531025.735782543</v>
      </c>
      <c r="F375" s="117">
        <v>383953.80255077849</v>
      </c>
      <c r="G375" s="117">
        <v>351715.53112574929</v>
      </c>
      <c r="H375" s="117">
        <v>81984.12142040515</v>
      </c>
      <c r="I375" s="117">
        <v>283583.56052239682</v>
      </c>
      <c r="J375" s="117">
        <v>214865.73370479856</v>
      </c>
      <c r="K375" s="117">
        <v>503721.98263538786</v>
      </c>
      <c r="L375" s="577">
        <f t="shared" si="136"/>
        <v>3350850.4677420594</v>
      </c>
    </row>
    <row r="376" spans="1:12" outlineLevel="1" x14ac:dyDescent="0.15">
      <c r="A376" s="119">
        <f t="shared" si="135"/>
        <v>2015</v>
      </c>
      <c r="B376" s="117" t="s">
        <v>157</v>
      </c>
      <c r="C376" s="179">
        <f>E376*VLOOKUP($B376,'Offroad Allocation'!$B$4:$G$15,5,0)</f>
        <v>14535.420047477972</v>
      </c>
      <c r="D376" s="356">
        <f t="shared" si="134"/>
        <v>28108.970645881374</v>
      </c>
      <c r="E376" s="117">
        <v>42644.390693359346</v>
      </c>
      <c r="F376" s="117">
        <v>10932.314550746283</v>
      </c>
      <c r="G376" s="117">
        <v>5819.5073038504443</v>
      </c>
      <c r="H376" s="117">
        <v>337.52154980904629</v>
      </c>
      <c r="I376" s="117">
        <v>8301.6319114815833</v>
      </c>
      <c r="J376" s="117">
        <v>4326.6543691929382</v>
      </c>
      <c r="K376" s="117">
        <v>3987.3708425641689</v>
      </c>
      <c r="L376" s="577">
        <f t="shared" si="136"/>
        <v>76349.391221003811</v>
      </c>
    </row>
    <row r="377" spans="1:12" outlineLevel="1" x14ac:dyDescent="0.15">
      <c r="A377" s="119">
        <f t="shared" si="135"/>
        <v>2015</v>
      </c>
      <c r="B377" s="117" t="s">
        <v>160</v>
      </c>
      <c r="C377" s="179">
        <f>E377*VLOOKUP($B377,'Offroad Allocation'!$B$4:$G$15,5,0)</f>
        <v>5847279.488617654</v>
      </c>
      <c r="D377" s="356">
        <f t="shared" si="134"/>
        <v>18499227.537052684</v>
      </c>
      <c r="E377" s="117">
        <v>24346507.025670338</v>
      </c>
      <c r="F377" s="117">
        <v>11957913.571902085</v>
      </c>
      <c r="G377" s="117">
        <v>6202616.0183920357</v>
      </c>
      <c r="H377" s="117">
        <v>550886.26622607012</v>
      </c>
      <c r="I377" s="117">
        <v>10561027.603654884</v>
      </c>
      <c r="J377" s="117">
        <v>2896468.5677081007</v>
      </c>
      <c r="K377" s="117">
        <v>4761755.7397560654</v>
      </c>
      <c r="L377" s="577">
        <f t="shared" si="136"/>
        <v>61277174.793309569</v>
      </c>
    </row>
    <row r="378" spans="1:12" outlineLevel="1" x14ac:dyDescent="0.15">
      <c r="A378" s="119">
        <f t="shared" si="135"/>
        <v>2015</v>
      </c>
      <c r="B378" s="117" t="s">
        <v>161</v>
      </c>
      <c r="C378" s="179">
        <f>E378*VLOOKUP($B378,'Offroad Allocation'!$B$4:$G$15,5,0)</f>
        <v>0</v>
      </c>
      <c r="D378" s="356">
        <f t="shared" si="134"/>
        <v>9731.9269308035709</v>
      </c>
      <c r="E378" s="117">
        <v>9731.9269308035709</v>
      </c>
      <c r="F378" s="117">
        <v>1578.91566706194</v>
      </c>
      <c r="G378" s="117">
        <v>2393.0679601004399</v>
      </c>
      <c r="H378" s="117">
        <v>4201.9947294921803</v>
      </c>
      <c r="I378" s="117">
        <v>5803.8423685825892</v>
      </c>
      <c r="J378" s="117">
        <v>13914.997145647301</v>
      </c>
      <c r="K378" s="117">
        <v>14580.2409196428</v>
      </c>
      <c r="L378" s="577">
        <f t="shared" si="136"/>
        <v>52204.985721330821</v>
      </c>
    </row>
    <row r="379" spans="1:12" outlineLevel="1" x14ac:dyDescent="0.15">
      <c r="A379" s="119">
        <f t="shared" si="135"/>
        <v>2015</v>
      </c>
      <c r="B379" s="117" t="s">
        <v>163</v>
      </c>
      <c r="C379" s="179">
        <f>E379*VLOOKUP($B379,'Offroad Allocation'!$B$4:$G$15,5,0)</f>
        <v>1256675.3181433389</v>
      </c>
      <c r="D379" s="356">
        <f t="shared" ref="D379" si="137">E379-C379</f>
        <v>1157062.7487138002</v>
      </c>
      <c r="E379" s="117">
        <v>2413738.0668571391</v>
      </c>
      <c r="F379" s="117">
        <v>419780.46978682961</v>
      </c>
      <c r="G379" s="117">
        <v>209890.21260658422</v>
      </c>
      <c r="H379" s="117">
        <v>8682580.3897868302</v>
      </c>
      <c r="I379" s="117">
        <v>1259341.6437142852</v>
      </c>
      <c r="J379" s="117">
        <v>314835.41421093681</v>
      </c>
      <c r="K379" s="117">
        <v>524725.49663392699</v>
      </c>
      <c r="L379" s="577">
        <f>SUM(E379:K379)</f>
        <v>13824891.693596531</v>
      </c>
    </row>
    <row r="380" spans="1:12" ht="15" outlineLevel="1" x14ac:dyDescent="0.15">
      <c r="A380" s="82"/>
      <c r="B380" s="609" t="s">
        <v>477</v>
      </c>
      <c r="C380" s="609"/>
      <c r="D380" s="609"/>
      <c r="E380" s="609"/>
      <c r="F380" s="609"/>
      <c r="G380" s="609"/>
      <c r="H380" s="609"/>
      <c r="I380" s="609"/>
      <c r="J380" s="609"/>
      <c r="K380" s="609"/>
      <c r="L380" s="609"/>
    </row>
    <row r="381" spans="1:12" outlineLevel="1" x14ac:dyDescent="0.15">
      <c r="A381" s="119"/>
      <c r="B381" s="117" t="s">
        <v>155</v>
      </c>
      <c r="C381" s="179">
        <f>E381*VLOOKUP($B381,'Offroad Allocation'!$B$4:$G$15,5,0)</f>
        <v>0</v>
      </c>
      <c r="D381" s="356">
        <f t="shared" ref="D381:D390" si="138">E381-C381</f>
        <v>27858.761579618684</v>
      </c>
      <c r="E381" s="117">
        <v>27858.761579618684</v>
      </c>
      <c r="F381" s="117">
        <v>9355.7354211583679</v>
      </c>
      <c r="G381" s="117">
        <v>334444.72036940994</v>
      </c>
      <c r="H381" s="117">
        <v>292856.66541848483</v>
      </c>
      <c r="I381" s="117">
        <v>55490.486060776704</v>
      </c>
      <c r="J381" s="117">
        <v>377130.79565399542</v>
      </c>
      <c r="K381" s="117">
        <v>456048.70799353358</v>
      </c>
      <c r="L381" s="577">
        <f t="shared" ref="L381:L390" si="139">SUM(E381:K381)</f>
        <v>1553185.8724969774</v>
      </c>
    </row>
    <row r="382" spans="1:12" outlineLevel="1" x14ac:dyDescent="0.15">
      <c r="A382" s="119"/>
      <c r="B382" s="117" t="s">
        <v>159</v>
      </c>
      <c r="C382" s="179">
        <f>E382*VLOOKUP($B382,'Offroad Allocation'!$B$4:$G$15,5,0)</f>
        <v>795603.52</v>
      </c>
      <c r="D382" s="356">
        <f t="shared" si="138"/>
        <v>0</v>
      </c>
      <c r="E382" s="117">
        <v>795603.52</v>
      </c>
      <c r="F382" s="117">
        <v>187.305041931152</v>
      </c>
      <c r="G382" s="117">
        <v>85.300295166015601</v>
      </c>
      <c r="H382" s="117">
        <v>0</v>
      </c>
      <c r="I382" s="117">
        <v>94.185611801147402</v>
      </c>
      <c r="J382" s="117">
        <v>81.745914657592706</v>
      </c>
      <c r="K382" s="117">
        <v>191.92550885009697</v>
      </c>
      <c r="L382" s="577">
        <f t="shared" si="139"/>
        <v>796243.98237240594</v>
      </c>
    </row>
    <row r="383" spans="1:12" outlineLevel="1" x14ac:dyDescent="0.15">
      <c r="A383" s="119"/>
      <c r="B383" s="117" t="s">
        <v>104</v>
      </c>
      <c r="C383" s="179">
        <f>E383*VLOOKUP($B383,'Offroad Allocation'!$B$4:$G$15,5,0)</f>
        <v>46201157.571453609</v>
      </c>
      <c r="D383" s="356">
        <f t="shared" si="138"/>
        <v>89344991.595689058</v>
      </c>
      <c r="E383" s="117">
        <v>135546149.16714266</v>
      </c>
      <c r="F383" s="117">
        <v>49161287.56828557</v>
      </c>
      <c r="G383" s="117">
        <v>13586321.251142835</v>
      </c>
      <c r="H383" s="117">
        <v>1157294.5903342625</v>
      </c>
      <c r="I383" s="117">
        <v>23130057.937142804</v>
      </c>
      <c r="J383" s="117">
        <v>8529105.0897142701</v>
      </c>
      <c r="K383" s="117">
        <v>11160766.065999994</v>
      </c>
      <c r="L383" s="577">
        <f t="shared" si="139"/>
        <v>242270981.66976234</v>
      </c>
    </row>
    <row r="384" spans="1:12" outlineLevel="1" x14ac:dyDescent="0.15">
      <c r="A384" s="119"/>
      <c r="B384" s="117" t="s">
        <v>156</v>
      </c>
      <c r="C384" s="179">
        <f>E384*VLOOKUP($B384,'Offroad Allocation'!$B$4:$G$15,5,0)</f>
        <v>3749465.7907709526</v>
      </c>
      <c r="D384" s="356">
        <f t="shared" si="138"/>
        <v>7250813.7712060036</v>
      </c>
      <c r="E384" s="117">
        <v>11000279.561976956</v>
      </c>
      <c r="F384" s="117">
        <v>2758673.3983336301</v>
      </c>
      <c r="G384" s="117">
        <v>2527043.5708288862</v>
      </c>
      <c r="H384" s="117">
        <v>589048.34995704284</v>
      </c>
      <c r="I384" s="117">
        <v>2037521.1197949869</v>
      </c>
      <c r="J384" s="117">
        <v>1543790.8354460939</v>
      </c>
      <c r="K384" s="117">
        <v>3619195.9171562796</v>
      </c>
      <c r="L384" s="577">
        <f t="shared" si="139"/>
        <v>24075552.753493875</v>
      </c>
    </row>
    <row r="385" spans="1:12" outlineLevel="1" x14ac:dyDescent="0.15">
      <c r="A385" s="119"/>
      <c r="B385" s="117" t="s">
        <v>157</v>
      </c>
      <c r="C385" s="179">
        <f>E385*VLOOKUP($B385,'Offroad Allocation'!$B$4:$G$15,5,0)</f>
        <v>11146077.318771733</v>
      </c>
      <c r="D385" s="356">
        <f t="shared" si="138"/>
        <v>21554572.151799634</v>
      </c>
      <c r="E385" s="117">
        <v>32700649.470571365</v>
      </c>
      <c r="F385" s="117">
        <v>8371220.160799088</v>
      </c>
      <c r="G385" s="117">
        <v>4454922.7703537866</v>
      </c>
      <c r="H385" s="117">
        <v>259326.88895417092</v>
      </c>
      <c r="I385" s="117">
        <v>6356189.083789615</v>
      </c>
      <c r="J385" s="117">
        <v>3310813.027080629</v>
      </c>
      <c r="K385" s="117">
        <v>3059079.6409023367</v>
      </c>
      <c r="L385" s="577">
        <f t="shared" si="139"/>
        <v>58512201.042450994</v>
      </c>
    </row>
    <row r="386" spans="1:12" outlineLevel="1" x14ac:dyDescent="0.15">
      <c r="A386" s="119"/>
      <c r="B386" s="117" t="s">
        <v>160</v>
      </c>
      <c r="C386" s="179">
        <f>E386*VLOOKUP($B386,'Offroad Allocation'!$B$4:$G$15,5,0)</f>
        <v>64854779.706358939</v>
      </c>
      <c r="D386" s="356">
        <f t="shared" si="138"/>
        <v>205183167.48649123</v>
      </c>
      <c r="E386" s="117">
        <v>270037947.19285017</v>
      </c>
      <c r="F386" s="117">
        <v>121909079.49951065</v>
      </c>
      <c r="G386" s="117">
        <v>62781418.737506025</v>
      </c>
      <c r="H386" s="117">
        <v>5720515.0913031111</v>
      </c>
      <c r="I386" s="117">
        <v>106585472.73504512</v>
      </c>
      <c r="J386" s="117">
        <v>29779764.852650609</v>
      </c>
      <c r="K386" s="117">
        <v>49387324.108956955</v>
      </c>
      <c r="L386" s="577">
        <f t="shared" si="139"/>
        <v>646201522.21782267</v>
      </c>
    </row>
    <row r="387" spans="1:12" outlineLevel="1" x14ac:dyDescent="0.15">
      <c r="A387" s="119"/>
      <c r="B387" s="117" t="s">
        <v>161</v>
      </c>
      <c r="C387" s="179">
        <f>E387*VLOOKUP($B387,'Offroad Allocation'!$B$4:$G$15,5,0)</f>
        <v>0</v>
      </c>
      <c r="D387" s="356">
        <f t="shared" si="138"/>
        <v>35624.963924316391</v>
      </c>
      <c r="E387" s="117">
        <v>35624.963924316391</v>
      </c>
      <c r="F387" s="117">
        <v>5779.8171144692478</v>
      </c>
      <c r="G387" s="117">
        <v>8760.1074780404142</v>
      </c>
      <c r="H387" s="117">
        <v>15381.912823399098</v>
      </c>
      <c r="I387" s="117">
        <v>21245.685475149901</v>
      </c>
      <c r="J387" s="117">
        <v>50937.503922153992</v>
      </c>
      <c r="K387" s="117">
        <v>53372.699374232645</v>
      </c>
      <c r="L387" s="577">
        <f t="shared" si="139"/>
        <v>191102.69011176171</v>
      </c>
    </row>
    <row r="388" spans="1:12" outlineLevel="1" x14ac:dyDescent="0.15">
      <c r="A388" s="119"/>
      <c r="B388" s="117" t="s">
        <v>158</v>
      </c>
      <c r="C388" s="179">
        <f>E388*VLOOKUP($B388,'Offroad Allocation'!$B$4:$G$15,5,0)</f>
        <v>96139.638462242176</v>
      </c>
      <c r="D388" s="356">
        <f t="shared" si="138"/>
        <v>185917.31553775785</v>
      </c>
      <c r="E388" s="117">
        <v>282056.95400000003</v>
      </c>
      <c r="F388" s="117">
        <v>230346.663</v>
      </c>
      <c r="G388" s="117">
        <v>28205.692527343701</v>
      </c>
      <c r="H388" s="117">
        <v>0</v>
      </c>
      <c r="I388" s="117">
        <v>183337.15100000001</v>
      </c>
      <c r="J388" s="117">
        <v>0</v>
      </c>
      <c r="K388" s="117">
        <v>282056.95400000003</v>
      </c>
      <c r="L388" s="577">
        <f t="shared" si="139"/>
        <v>1006003.4145273437</v>
      </c>
    </row>
    <row r="389" spans="1:12" outlineLevel="1" x14ac:dyDescent="0.15">
      <c r="A389" s="119">
        <f t="shared" si="135"/>
        <v>2015</v>
      </c>
      <c r="B389" s="117" t="s">
        <v>162</v>
      </c>
      <c r="C389" s="179">
        <f>E389*VLOOKUP($B389,'Offroad Allocation'!$B$4:$G$15,5,0)</f>
        <v>75368.92419197195</v>
      </c>
      <c r="D389" s="356">
        <f t="shared" si="138"/>
        <v>26847.168569188056</v>
      </c>
      <c r="E389" s="117">
        <v>102216.09276116001</v>
      </c>
      <c r="F389" s="117">
        <v>42274.827033482099</v>
      </c>
      <c r="G389" s="117">
        <v>18394.569676897299</v>
      </c>
      <c r="H389" s="117">
        <v>2944.4603119419598</v>
      </c>
      <c r="I389" s="117">
        <v>13656.029331473199</v>
      </c>
      <c r="J389" s="117">
        <v>2666.07104338727</v>
      </c>
      <c r="K389" s="117">
        <v>22591.491499441898</v>
      </c>
      <c r="L389" s="577">
        <f t="shared" si="139"/>
        <v>204743.5416577837</v>
      </c>
    </row>
    <row r="390" spans="1:12" outlineLevel="1" x14ac:dyDescent="0.15">
      <c r="A390" s="119">
        <f t="shared" si="135"/>
        <v>2015</v>
      </c>
      <c r="B390" s="117" t="s">
        <v>163</v>
      </c>
      <c r="C390" s="179">
        <f>E390*VLOOKUP($B390,'Offroad Allocation'!$B$4:$G$15,5,0)</f>
        <v>6522874.6872707102</v>
      </c>
      <c r="D390" s="356">
        <f t="shared" si="138"/>
        <v>6005827.6041578539</v>
      </c>
      <c r="E390" s="117">
        <v>12528702.291428564</v>
      </c>
      <c r="F390" s="117">
        <v>3100900.9889888288</v>
      </c>
      <c r="G390" s="117">
        <v>1624596.6485781251</v>
      </c>
      <c r="H390" s="117">
        <v>1321383.739703123</v>
      </c>
      <c r="I390" s="117">
        <v>6114399.7819999829</v>
      </c>
      <c r="J390" s="117">
        <v>2362748.8172232108</v>
      </c>
      <c r="K390" s="117">
        <v>2875146.343993288</v>
      </c>
      <c r="L390" s="577">
        <f t="shared" si="139"/>
        <v>29927878.611915123</v>
      </c>
    </row>
    <row r="391" spans="1:12" outlineLevel="1" x14ac:dyDescent="0.15">
      <c r="A391" s="82"/>
      <c r="B391" s="171" t="s">
        <v>88</v>
      </c>
      <c r="C391" s="357">
        <f t="shared" ref="C391:K391" si="140">SUM(C373:C390)</f>
        <v>141892020.38301024</v>
      </c>
      <c r="D391" s="357">
        <f t="shared" si="140"/>
        <v>351885946.41008615</v>
      </c>
      <c r="E391" s="357">
        <f t="shared" si="140"/>
        <v>493777966.79309642</v>
      </c>
      <c r="F391" s="357">
        <f t="shared" si="140"/>
        <v>199225456.874437</v>
      </c>
      <c r="G391" s="357">
        <f t="shared" si="140"/>
        <v>92377485.402252406</v>
      </c>
      <c r="H391" s="357">
        <f t="shared" si="140"/>
        <v>18701313.726117145</v>
      </c>
      <c r="I391" s="357">
        <f t="shared" si="140"/>
        <v>157021576.0626893</v>
      </c>
      <c r="J391" s="357">
        <f t="shared" si="140"/>
        <v>49553953.252012551</v>
      </c>
      <c r="K391" s="357">
        <f t="shared" si="140"/>
        <v>76923811.693517923</v>
      </c>
      <c r="L391" s="357">
        <f t="shared" ref="L391" si="141">SUM(E391:K391)</f>
        <v>1087581563.8041227</v>
      </c>
    </row>
    <row r="392" spans="1:12" outlineLevel="1" x14ac:dyDescent="0.15">
      <c r="A392" s="82"/>
      <c r="B392" s="101" t="s">
        <v>460</v>
      </c>
      <c r="C392" s="177"/>
      <c r="D392" s="177"/>
      <c r="E392" s="177"/>
      <c r="F392" s="177"/>
      <c r="G392" s="177"/>
      <c r="H392" s="177"/>
      <c r="I392" s="177"/>
      <c r="J392" s="177"/>
      <c r="K392" s="177"/>
    </row>
    <row r="393" spans="1:12" outlineLevel="1" x14ac:dyDescent="0.15">
      <c r="A393" s="82"/>
      <c r="B393" s="101"/>
      <c r="C393" s="177"/>
      <c r="D393" s="177"/>
      <c r="E393" s="177"/>
      <c r="F393" s="177"/>
      <c r="G393" s="177"/>
      <c r="H393" s="177"/>
      <c r="I393" s="177"/>
      <c r="J393" s="177"/>
      <c r="K393" s="177"/>
    </row>
    <row r="394" spans="1:12" outlineLevel="1" x14ac:dyDescent="0.15">
      <c r="A394" s="82"/>
      <c r="B394" s="82" t="s">
        <v>463</v>
      </c>
      <c r="C394" s="69"/>
      <c r="D394" s="66"/>
      <c r="E394" s="66"/>
      <c r="F394" s="66"/>
      <c r="G394" s="66"/>
      <c r="H394" s="66"/>
    </row>
    <row r="395" spans="1:12" ht="15" outlineLevel="1" x14ac:dyDescent="0.15">
      <c r="A395" s="82"/>
      <c r="B395" s="83" t="s">
        <v>459</v>
      </c>
      <c r="C395" s="83" t="s">
        <v>58</v>
      </c>
      <c r="D395" s="83" t="s">
        <v>100</v>
      </c>
      <c r="E395" s="83" t="s">
        <v>59</v>
      </c>
      <c r="F395" s="83" t="s">
        <v>60</v>
      </c>
      <c r="G395" s="83" t="s">
        <v>62</v>
      </c>
      <c r="H395" s="83" t="s">
        <v>61</v>
      </c>
      <c r="I395" s="83" t="s">
        <v>63</v>
      </c>
      <c r="J395" s="83" t="s">
        <v>64</v>
      </c>
      <c r="K395" s="83" t="s">
        <v>65</v>
      </c>
      <c r="L395" s="83" t="s">
        <v>66</v>
      </c>
    </row>
    <row r="396" spans="1:12" ht="15" outlineLevel="1" x14ac:dyDescent="0.15">
      <c r="A396" s="82"/>
      <c r="B396" s="609" t="s">
        <v>476</v>
      </c>
      <c r="C396" s="609"/>
      <c r="D396" s="609"/>
      <c r="E396" s="609"/>
      <c r="F396" s="609"/>
      <c r="G396" s="609"/>
      <c r="H396" s="609"/>
      <c r="I396" s="609"/>
      <c r="J396" s="609"/>
      <c r="K396" s="609"/>
      <c r="L396" s="609"/>
    </row>
    <row r="397" spans="1:12" outlineLevel="1" x14ac:dyDescent="0.15">
      <c r="A397" s="119">
        <f>$A$243</f>
        <v>2015</v>
      </c>
      <c r="B397" s="117" t="s">
        <v>155</v>
      </c>
      <c r="C397" s="179">
        <f>E397*VLOOKUP($B397,'Offroad Allocation'!$B$4:$G$15,5,0)</f>
        <v>0</v>
      </c>
      <c r="D397" s="356">
        <f t="shared" ref="D397:D403" si="142">E397-C397</f>
        <v>0.35790099935020697</v>
      </c>
      <c r="E397" s="117">
        <v>0.35790099935020697</v>
      </c>
      <c r="F397" s="117">
        <v>0.120193020775914</v>
      </c>
      <c r="G397" s="117">
        <v>4.2966013093675803</v>
      </c>
      <c r="H397" s="117">
        <v>3.7623212877001002</v>
      </c>
      <c r="I397" s="117">
        <v>0.71288489142486</v>
      </c>
      <c r="J397" s="117">
        <v>4.84499038778032</v>
      </c>
      <c r="K397" s="117">
        <v>5.8588522299357804</v>
      </c>
      <c r="L397" s="577">
        <f>SUM(E397:K397)</f>
        <v>19.953744126334762</v>
      </c>
    </row>
    <row r="398" spans="1:12" outlineLevel="1" x14ac:dyDescent="0.15">
      <c r="A398" s="119">
        <f t="shared" ref="A398:A414" si="143">$A$243</f>
        <v>2015</v>
      </c>
      <c r="B398" s="117" t="s">
        <v>104</v>
      </c>
      <c r="C398" s="179">
        <f>E398*VLOOKUP($B398,'Offroad Allocation'!$B$4:$G$15,5,0)</f>
        <v>1578.3983497161682</v>
      </c>
      <c r="D398" s="356">
        <f t="shared" si="142"/>
        <v>3052.347488738551</v>
      </c>
      <c r="E398" s="117">
        <v>4630.745838454719</v>
      </c>
      <c r="F398" s="117">
        <v>1679.5252794834478</v>
      </c>
      <c r="G398" s="117">
        <v>464.15841907320635</v>
      </c>
      <c r="H398" s="117">
        <v>39.537247547992571</v>
      </c>
      <c r="I398" s="117">
        <v>790.20414445353265</v>
      </c>
      <c r="J398" s="117">
        <v>291.38454512054108</v>
      </c>
      <c r="K398" s="117">
        <v>381.29132849049063</v>
      </c>
      <c r="L398" s="577">
        <f t="shared" ref="L398:L402" si="144">SUM(E398:K398)</f>
        <v>8276.8468026239298</v>
      </c>
    </row>
    <row r="399" spans="1:12" outlineLevel="1" x14ac:dyDescent="0.15">
      <c r="A399" s="119">
        <f t="shared" si="143"/>
        <v>2015</v>
      </c>
      <c r="B399" s="117" t="s">
        <v>156</v>
      </c>
      <c r="C399" s="179">
        <f>E399*VLOOKUP($B399,'Offroad Allocation'!$B$4:$G$15,5,0)</f>
        <v>918.4971940024343</v>
      </c>
      <c r="D399" s="356">
        <f t="shared" si="142"/>
        <v>1776.2135927415798</v>
      </c>
      <c r="E399" s="117">
        <v>2694.7107867440141</v>
      </c>
      <c r="F399" s="117">
        <v>675.78431675112915</v>
      </c>
      <c r="G399" s="117">
        <v>619.04331461255777</v>
      </c>
      <c r="H399" s="117">
        <v>144.29771484522971</v>
      </c>
      <c r="I399" s="117">
        <v>499.1259623706664</v>
      </c>
      <c r="J399" s="117">
        <v>378.17822627854031</v>
      </c>
      <c r="K399" s="117">
        <v>886.58505283056797</v>
      </c>
      <c r="L399" s="577">
        <f t="shared" si="144"/>
        <v>5897.7253744327054</v>
      </c>
    </row>
    <row r="400" spans="1:12" outlineLevel="1" x14ac:dyDescent="0.15">
      <c r="A400" s="119">
        <f t="shared" si="143"/>
        <v>2015</v>
      </c>
      <c r="B400" s="117" t="s">
        <v>157</v>
      </c>
      <c r="C400" s="179">
        <f>E400*VLOOKUP($B400,'Offroad Allocation'!$B$4:$G$15,5,0)</f>
        <v>32.478016309605458</v>
      </c>
      <c r="D400" s="356">
        <f t="shared" si="142"/>
        <v>62.806826641487866</v>
      </c>
      <c r="E400" s="117">
        <v>95.284842951093324</v>
      </c>
      <c r="F400" s="117">
        <v>24.42720799125939</v>
      </c>
      <c r="G400" s="117">
        <v>13.003126110996517</v>
      </c>
      <c r="H400" s="117">
        <v>0.75415890840973143</v>
      </c>
      <c r="I400" s="117">
        <v>18.549222384793406</v>
      </c>
      <c r="J400" s="117">
        <v>9.6675063190119577</v>
      </c>
      <c r="K400" s="117">
        <v>8.9094139764308906</v>
      </c>
      <c r="L400" s="577">
        <f t="shared" si="144"/>
        <v>170.59547864199521</v>
      </c>
    </row>
    <row r="401" spans="1:12" outlineLevel="1" x14ac:dyDescent="0.15">
      <c r="A401" s="119">
        <f t="shared" si="143"/>
        <v>2015</v>
      </c>
      <c r="B401" s="117" t="s">
        <v>160</v>
      </c>
      <c r="C401" s="179">
        <f>E401*VLOOKUP($B401,'Offroad Allocation'!$B$4:$G$15,5,0)</f>
        <v>14058.520691738517</v>
      </c>
      <c r="D401" s="356">
        <f t="shared" si="142"/>
        <v>44477.397329320629</v>
      </c>
      <c r="E401" s="117">
        <v>58535.918021059144</v>
      </c>
      <c r="F401" s="117">
        <v>28755.294060991942</v>
      </c>
      <c r="G401" s="117">
        <v>14915.676564774116</v>
      </c>
      <c r="H401" s="117">
        <v>1324.6706596561671</v>
      </c>
      <c r="I401" s="117">
        <v>25396.66841692547</v>
      </c>
      <c r="J401" s="117">
        <v>6965.0375454491814</v>
      </c>
      <c r="K401" s="117">
        <v>11450.221297392392</v>
      </c>
      <c r="L401" s="577">
        <f t="shared" si="144"/>
        <v>147343.48656624841</v>
      </c>
    </row>
    <row r="402" spans="1:12" outlineLevel="1" x14ac:dyDescent="0.15">
      <c r="A402" s="119">
        <f t="shared" si="143"/>
        <v>2015</v>
      </c>
      <c r="B402" s="117" t="s">
        <v>161</v>
      </c>
      <c r="C402" s="179">
        <f>E402*VLOOKUP($B402,'Offroad Allocation'!$B$4:$G$15,5,0)</f>
        <v>0</v>
      </c>
      <c r="D402" s="356">
        <f t="shared" si="142"/>
        <v>16.856803762708299</v>
      </c>
      <c r="E402" s="117">
        <v>16.856803762708299</v>
      </c>
      <c r="F402" s="117">
        <v>2.7348653841018598</v>
      </c>
      <c r="G402" s="117">
        <v>4.1450706927435705</v>
      </c>
      <c r="H402" s="117">
        <v>7.2783435328347297</v>
      </c>
      <c r="I402" s="117">
        <v>10.0529351302555</v>
      </c>
      <c r="J402" s="117">
        <v>24.102358137948102</v>
      </c>
      <c r="K402" s="117">
        <v>25.254665160042801</v>
      </c>
      <c r="L402" s="577">
        <f t="shared" si="144"/>
        <v>90.425041800634858</v>
      </c>
    </row>
    <row r="403" spans="1:12" outlineLevel="1" x14ac:dyDescent="0.15">
      <c r="A403" s="119">
        <f t="shared" si="143"/>
        <v>2015</v>
      </c>
      <c r="B403" s="117" t="s">
        <v>163</v>
      </c>
      <c r="C403" s="179">
        <f>E403*VLOOKUP($B403,'Offroad Allocation'!$B$4:$G$15,5,0)</f>
        <v>3596.2293215416476</v>
      </c>
      <c r="D403" s="356">
        <f t="shared" si="142"/>
        <v>3311.1679076627843</v>
      </c>
      <c r="E403" s="117">
        <v>6907.3972292044318</v>
      </c>
      <c r="F403" s="117">
        <v>1201.2858175114209</v>
      </c>
      <c r="G403" s="117">
        <v>600.6427578146787</v>
      </c>
      <c r="H403" s="117">
        <v>7936.8652460828407</v>
      </c>
      <c r="I403" s="117">
        <v>3603.8609798017224</v>
      </c>
      <c r="J403" s="117">
        <v>900.965178958347</v>
      </c>
      <c r="K403" s="117">
        <v>1501.6078170776259</v>
      </c>
      <c r="L403" s="577">
        <f>SUM(E403:K403)</f>
        <v>22652.625026451067</v>
      </c>
    </row>
    <row r="404" spans="1:12" ht="15" outlineLevel="1" x14ac:dyDescent="0.15">
      <c r="A404" s="82"/>
      <c r="B404" s="609" t="s">
        <v>477</v>
      </c>
      <c r="C404" s="609"/>
      <c r="D404" s="609"/>
      <c r="E404" s="609"/>
      <c r="F404" s="609"/>
      <c r="G404" s="609"/>
      <c r="H404" s="609"/>
      <c r="I404" s="609"/>
      <c r="J404" s="609"/>
      <c r="K404" s="609"/>
      <c r="L404" s="609"/>
    </row>
    <row r="405" spans="1:12" outlineLevel="1" x14ac:dyDescent="0.15">
      <c r="A405" s="119"/>
      <c r="B405" s="117" t="s">
        <v>155</v>
      </c>
      <c r="C405" s="179">
        <f>E405*VLOOKUP($B405,'Offroad Allocation'!$B$4:$G$15,5,0)</f>
        <v>0</v>
      </c>
      <c r="D405" s="356">
        <f t="shared" ref="D405:D414" si="145">E405-C405</f>
        <v>24.209453138392249</v>
      </c>
      <c r="E405" s="117">
        <v>24.209453138392249</v>
      </c>
      <c r="F405" s="117">
        <v>8.1301984430507819</v>
      </c>
      <c r="G405" s="117">
        <v>290.63491409629734</v>
      </c>
      <c r="H405" s="117">
        <v>254.4944703149348</v>
      </c>
      <c r="I405" s="117">
        <v>48.221589192677911</v>
      </c>
      <c r="J405" s="117">
        <v>327.72931725091962</v>
      </c>
      <c r="K405" s="117">
        <v>396.30939227862672</v>
      </c>
      <c r="L405" s="577">
        <f t="shared" ref="L405:L414" si="146">SUM(E405:K405)</f>
        <v>1349.7293347148993</v>
      </c>
    </row>
    <row r="406" spans="1:12" outlineLevel="1" x14ac:dyDescent="0.15">
      <c r="A406" s="119"/>
      <c r="B406" s="117" t="s">
        <v>159</v>
      </c>
      <c r="C406" s="179">
        <f>E406*VLOOKUP($B406,'Offroad Allocation'!$B$4:$G$15,5,0)</f>
        <v>260.97647595214801</v>
      </c>
      <c r="D406" s="356">
        <f t="shared" si="145"/>
        <v>0</v>
      </c>
      <c r="E406" s="117">
        <v>260.97647595214801</v>
      </c>
      <c r="F406" s="117">
        <v>6.1440508380532201E-2</v>
      </c>
      <c r="G406" s="117">
        <v>2.79805028811097E-2</v>
      </c>
      <c r="H406" s="117">
        <v>0</v>
      </c>
      <c r="I406" s="117">
        <v>3.0895137652754697E-2</v>
      </c>
      <c r="J406" s="117">
        <v>2.6814648114144798E-2</v>
      </c>
      <c r="K406" s="117">
        <v>6.2956160828471094E-2</v>
      </c>
      <c r="L406" s="577">
        <f t="shared" si="146"/>
        <v>261.18656291000508</v>
      </c>
    </row>
    <row r="407" spans="1:12" outlineLevel="1" x14ac:dyDescent="0.15">
      <c r="A407" s="119"/>
      <c r="B407" s="117" t="s">
        <v>104</v>
      </c>
      <c r="C407" s="179">
        <f>E407*VLOOKUP($B407,'Offroad Allocation'!$B$4:$G$15,5,0)</f>
        <v>34861.840571803419</v>
      </c>
      <c r="D407" s="356">
        <f t="shared" si="145"/>
        <v>67416.727558846542</v>
      </c>
      <c r="E407" s="117">
        <v>102278.56813064996</v>
      </c>
      <c r="F407" s="117">
        <v>37095.414010131812</v>
      </c>
      <c r="G407" s="117">
        <v>10251.779270054376</v>
      </c>
      <c r="H407" s="117">
        <v>873.25526357732372</v>
      </c>
      <c r="I407" s="117">
        <v>17453.140488935176</v>
      </c>
      <c r="J407" s="117">
        <v>6435.7751748112196</v>
      </c>
      <c r="K407" s="117">
        <v>8421.534713374529</v>
      </c>
      <c r="L407" s="577">
        <f t="shared" si="146"/>
        <v>182809.46705153439</v>
      </c>
    </row>
    <row r="408" spans="1:12" outlineLevel="1" x14ac:dyDescent="0.15">
      <c r="A408" s="119"/>
      <c r="B408" s="117" t="s">
        <v>156</v>
      </c>
      <c r="C408" s="179">
        <f>E408*VLOOKUP($B408,'Offroad Allocation'!$B$4:$G$15,5,0)</f>
        <v>2719.0234749268006</v>
      </c>
      <c r="D408" s="356">
        <f t="shared" si="145"/>
        <v>5258.1178110116562</v>
      </c>
      <c r="E408" s="117">
        <v>7977.1412859384563</v>
      </c>
      <c r="F408" s="117">
        <v>2000.5240603858192</v>
      </c>
      <c r="G408" s="117">
        <v>1832.5518771688555</v>
      </c>
      <c r="H408" s="117">
        <v>427.16382698845393</v>
      </c>
      <c r="I408" s="117">
        <v>1477.5618691065017</v>
      </c>
      <c r="J408" s="117">
        <v>1119.5202740203028</v>
      </c>
      <c r="K408" s="117">
        <v>2624.5559650526338</v>
      </c>
      <c r="L408" s="577">
        <f t="shared" si="146"/>
        <v>17459.019158661024</v>
      </c>
    </row>
    <row r="409" spans="1:12" outlineLevel="1" x14ac:dyDescent="0.15">
      <c r="A409" s="119"/>
      <c r="B409" s="117" t="s">
        <v>157</v>
      </c>
      <c r="C409" s="179">
        <f>E409*VLOOKUP($B409,'Offroad Allocation'!$B$4:$G$15,5,0)</f>
        <v>3996.6744003033377</v>
      </c>
      <c r="D409" s="356">
        <f t="shared" si="145"/>
        <v>7728.8721641563079</v>
      </c>
      <c r="E409" s="117">
        <v>11725.546564459646</v>
      </c>
      <c r="F409" s="117">
        <v>2997.4875419267855</v>
      </c>
      <c r="G409" s="117">
        <v>1594.7349516527968</v>
      </c>
      <c r="H409" s="117">
        <v>93.166180154561843</v>
      </c>
      <c r="I409" s="117">
        <v>2275.7385559654222</v>
      </c>
      <c r="J409" s="117">
        <v>1184.7141691985796</v>
      </c>
      <c r="K409" s="117">
        <v>1097.4181165501709</v>
      </c>
      <c r="L409" s="577">
        <f t="shared" si="146"/>
        <v>20968.806079907965</v>
      </c>
    </row>
    <row r="410" spans="1:12" outlineLevel="1" x14ac:dyDescent="0.15">
      <c r="A410" s="119"/>
      <c r="B410" s="117" t="s">
        <v>160</v>
      </c>
      <c r="C410" s="179">
        <f>E410*VLOOKUP($B410,'Offroad Allocation'!$B$4:$G$15,5,0)</f>
        <v>54149.42823640725</v>
      </c>
      <c r="D410" s="356">
        <f t="shared" si="145"/>
        <v>171314.30024792926</v>
      </c>
      <c r="E410" s="117">
        <v>225463.72848433652</v>
      </c>
      <c r="F410" s="117">
        <v>94958.638484407464</v>
      </c>
      <c r="G410" s="117">
        <v>48588.368005636374</v>
      </c>
      <c r="H410" s="117">
        <v>4528.1501353225294</v>
      </c>
      <c r="I410" s="117">
        <v>82272.84046601654</v>
      </c>
      <c r="J410" s="117">
        <v>23370.105446564256</v>
      </c>
      <c r="K410" s="117">
        <v>39052.651848607093</v>
      </c>
      <c r="L410" s="577">
        <f t="shared" si="146"/>
        <v>518234.48287089082</v>
      </c>
    </row>
    <row r="411" spans="1:12" outlineLevel="1" x14ac:dyDescent="0.15">
      <c r="A411" s="119"/>
      <c r="B411" s="117" t="s">
        <v>161</v>
      </c>
      <c r="C411" s="179">
        <f>E411*VLOOKUP($B411,'Offroad Allocation'!$B$4:$G$15,5,0)</f>
        <v>0</v>
      </c>
      <c r="D411" s="356">
        <f t="shared" si="145"/>
        <v>33.532120829462926</v>
      </c>
      <c r="E411" s="117">
        <v>33.532120829462926</v>
      </c>
      <c r="F411" s="117">
        <v>5.4402794088593494</v>
      </c>
      <c r="G411" s="117">
        <v>8.2455020963421877</v>
      </c>
      <c r="H411" s="117">
        <v>14.478314034870635</v>
      </c>
      <c r="I411" s="117">
        <v>19.997623889028969</v>
      </c>
      <c r="J411" s="117">
        <v>47.945222837822762</v>
      </c>
      <c r="K411" s="117">
        <v>50.237452886053404</v>
      </c>
      <c r="L411" s="577">
        <f t="shared" si="146"/>
        <v>179.87651598244022</v>
      </c>
    </row>
    <row r="412" spans="1:12" outlineLevel="1" x14ac:dyDescent="0.15">
      <c r="A412" s="119"/>
      <c r="B412" s="117" t="s">
        <v>158</v>
      </c>
      <c r="C412" s="179">
        <f>E412*VLOOKUP($B412,'Offroad Allocation'!$B$4:$G$15,5,0)</f>
        <v>78.866076541589138</v>
      </c>
      <c r="D412" s="356">
        <f t="shared" si="145"/>
        <v>152.51325542862486</v>
      </c>
      <c r="E412" s="117">
        <v>231.379331970214</v>
      </c>
      <c r="F412" s="117">
        <v>188.95988162231399</v>
      </c>
      <c r="G412" s="117">
        <v>23.137932872772197</v>
      </c>
      <c r="H412" s="117">
        <v>0</v>
      </c>
      <c r="I412" s="117">
        <v>150.39665164184501</v>
      </c>
      <c r="J412" s="117">
        <v>0</v>
      </c>
      <c r="K412" s="117">
        <v>231.379331970214</v>
      </c>
      <c r="L412" s="577">
        <f t="shared" si="146"/>
        <v>825.25313007735917</v>
      </c>
    </row>
    <row r="413" spans="1:12" outlineLevel="1" x14ac:dyDescent="0.15">
      <c r="A413" s="119">
        <f t="shared" si="143"/>
        <v>2015</v>
      </c>
      <c r="B413" s="117" t="s">
        <v>162</v>
      </c>
      <c r="C413" s="179">
        <f>E413*VLOOKUP($B413,'Offroad Allocation'!$B$4:$G$15,5,0)</f>
        <v>54.013226831492339</v>
      </c>
      <c r="D413" s="356">
        <f t="shared" si="145"/>
        <v>19.240054455564668</v>
      </c>
      <c r="E413" s="117">
        <v>73.253281287057007</v>
      </c>
      <c r="F413" s="117">
        <v>30.296279549734901</v>
      </c>
      <c r="G413" s="117">
        <v>13.1824867867061</v>
      </c>
      <c r="H413" s="117">
        <v>2.1101511417116399</v>
      </c>
      <c r="I413" s="117">
        <v>9.786603812626419</v>
      </c>
      <c r="J413" s="117">
        <v>1.9106421306133199</v>
      </c>
      <c r="K413" s="117">
        <v>16.190211875370501</v>
      </c>
      <c r="L413" s="577">
        <f t="shared" si="146"/>
        <v>146.72965658381989</v>
      </c>
    </row>
    <row r="414" spans="1:12" outlineLevel="1" x14ac:dyDescent="0.15">
      <c r="A414" s="119">
        <f t="shared" si="143"/>
        <v>2015</v>
      </c>
      <c r="B414" s="117" t="s">
        <v>163</v>
      </c>
      <c r="C414" s="179">
        <f>E414*VLOOKUP($B414,'Offroad Allocation'!$B$4:$G$15,5,0)</f>
        <v>6580.1283759471798</v>
      </c>
      <c r="D414" s="356">
        <f t="shared" si="145"/>
        <v>6058.5429789548007</v>
      </c>
      <c r="E414" s="117">
        <v>12638.671354901981</v>
      </c>
      <c r="F414" s="117">
        <v>2900.8338747863622</v>
      </c>
      <c r="G414" s="117">
        <v>1506.9359347806655</v>
      </c>
      <c r="H414" s="117">
        <v>1544.3721544134862</v>
      </c>
      <c r="I414" s="117">
        <v>6272.1740727931274</v>
      </c>
      <c r="J414" s="117">
        <v>2203.8842148938829</v>
      </c>
      <c r="K414" s="117">
        <v>2863.0320656498429</v>
      </c>
      <c r="L414" s="577">
        <f t="shared" si="146"/>
        <v>29929.903672219349</v>
      </c>
    </row>
    <row r="415" spans="1:12" outlineLevel="1" x14ac:dyDescent="0.15">
      <c r="A415" s="82"/>
      <c r="B415" s="171" t="s">
        <v>88</v>
      </c>
      <c r="C415" s="357">
        <f t="shared" ref="C415:K415" si="147">SUM(C397:C414)</f>
        <v>122885.07441202158</v>
      </c>
      <c r="D415" s="357">
        <f t="shared" si="147"/>
        <v>310703.20349461772</v>
      </c>
      <c r="E415" s="357">
        <f t="shared" si="147"/>
        <v>433588.27790663927</v>
      </c>
      <c r="F415" s="357">
        <f t="shared" si="147"/>
        <v>172524.95779230469</v>
      </c>
      <c r="G415" s="357">
        <f t="shared" si="147"/>
        <v>80730.564710035731</v>
      </c>
      <c r="H415" s="357">
        <f t="shared" si="147"/>
        <v>17194.356187809044</v>
      </c>
      <c r="I415" s="357">
        <f t="shared" si="147"/>
        <v>140299.06336244848</v>
      </c>
      <c r="J415" s="357">
        <f t="shared" si="147"/>
        <v>43265.791627007064</v>
      </c>
      <c r="K415" s="357">
        <f t="shared" si="147"/>
        <v>69013.100481562826</v>
      </c>
      <c r="L415" s="357">
        <f t="shared" ref="L415" si="148">SUM(E415:K415)</f>
        <v>956616.112067807</v>
      </c>
    </row>
    <row r="416" spans="1:12" outlineLevel="1" x14ac:dyDescent="0.15">
      <c r="A416" s="82"/>
      <c r="B416" s="101" t="s">
        <v>460</v>
      </c>
      <c r="C416" s="177"/>
      <c r="D416" s="177"/>
      <c r="E416" s="177"/>
      <c r="F416" s="177"/>
      <c r="G416" s="177"/>
      <c r="H416" s="177"/>
      <c r="I416" s="177"/>
      <c r="J416" s="177"/>
      <c r="K416" s="177"/>
    </row>
    <row r="417" spans="1:11" outlineLevel="1" x14ac:dyDescent="0.15">
      <c r="A417" s="82"/>
      <c r="B417" s="101"/>
      <c r="C417" s="177"/>
      <c r="D417" s="177"/>
      <c r="E417" s="177"/>
      <c r="F417" s="177"/>
      <c r="G417" s="177"/>
      <c r="H417" s="177"/>
      <c r="I417" s="177"/>
      <c r="J417" s="177"/>
      <c r="K417" s="177"/>
    </row>
    <row r="418" spans="1:11" outlineLevel="1" x14ac:dyDescent="0.15">
      <c r="A418" s="82"/>
      <c r="B418" s="82" t="s">
        <v>471</v>
      </c>
      <c r="C418" s="69"/>
      <c r="D418" s="66"/>
      <c r="E418" s="66"/>
      <c r="F418" s="66"/>
      <c r="G418" s="66"/>
      <c r="H418" s="66"/>
    </row>
    <row r="419" spans="1:11" ht="15" outlineLevel="1" x14ac:dyDescent="0.15">
      <c r="A419" s="82"/>
      <c r="B419" s="83" t="s">
        <v>459</v>
      </c>
      <c r="C419" s="83" t="s">
        <v>58</v>
      </c>
      <c r="D419" s="83" t="s">
        <v>100</v>
      </c>
      <c r="E419" s="83" t="s">
        <v>59</v>
      </c>
      <c r="F419" s="83" t="s">
        <v>60</v>
      </c>
      <c r="G419" s="83" t="s">
        <v>62</v>
      </c>
      <c r="H419" s="83" t="s">
        <v>61</v>
      </c>
      <c r="I419" s="83" t="s">
        <v>63</v>
      </c>
      <c r="J419" s="83" t="s">
        <v>64</v>
      </c>
      <c r="K419" s="83" t="s">
        <v>65</v>
      </c>
    </row>
    <row r="420" spans="1:11" ht="15" outlineLevel="1" x14ac:dyDescent="0.15">
      <c r="A420" s="82"/>
      <c r="B420" s="609" t="s">
        <v>476</v>
      </c>
      <c r="C420" s="609"/>
      <c r="D420" s="609"/>
      <c r="E420" s="609"/>
      <c r="F420" s="609"/>
      <c r="G420" s="609"/>
      <c r="H420" s="609"/>
      <c r="I420" s="609"/>
      <c r="J420" s="609"/>
      <c r="K420" s="609"/>
    </row>
    <row r="421" spans="1:11" outlineLevel="1" x14ac:dyDescent="0.15">
      <c r="A421" s="82"/>
      <c r="B421" s="117" t="s">
        <v>155</v>
      </c>
      <c r="C421" s="234">
        <f>C349*1000/'Constants &amp; Conversions'!$D$56</f>
        <v>0</v>
      </c>
      <c r="D421" s="179">
        <f>D349*1000/'Constants &amp; Conversions'!$D$56</f>
        <v>26.992275285833568</v>
      </c>
      <c r="E421" s="179">
        <f>E349*1000/'Constants &amp; Conversions'!$D$56</f>
        <v>26.992275285833568</v>
      </c>
      <c r="F421" s="179">
        <f>F349*1000/'Constants &amp; Conversions'!$D$56</f>
        <v>9.0647483212966886</v>
      </c>
      <c r="G421" s="179">
        <f>G349*1000/'Constants &amp; Conversions'!$D$56</f>
        <v>324.04240220689434</v>
      </c>
      <c r="H421" s="179">
        <f>H349*1000/'Constants &amp; Conversions'!$D$56</f>
        <v>283.74792435014092</v>
      </c>
      <c r="I421" s="179">
        <f>I349*1000/'Constants &amp; Conversions'!$D$56</f>
        <v>53.764534271843608</v>
      </c>
      <c r="J421" s="179">
        <f>J349*1000/'Constants &amp; Conversions'!$D$56</f>
        <v>365.40084784966535</v>
      </c>
      <c r="K421" s="179">
        <f>K349*1000/'Constants &amp; Conversions'!$D$56</f>
        <v>441.86437144298696</v>
      </c>
    </row>
    <row r="422" spans="1:11" outlineLevel="1" x14ac:dyDescent="0.15">
      <c r="A422" s="82"/>
      <c r="B422" s="117" t="s">
        <v>104</v>
      </c>
      <c r="C422" s="234">
        <f>C350*1000/'Constants &amp; Conversions'!$D$56</f>
        <v>102600.96492924557</v>
      </c>
      <c r="D422" s="179">
        <f>D350*1000/'Constants &amp; Conversions'!$D$56</f>
        <v>198412.39551489052</v>
      </c>
      <c r="E422" s="179">
        <f>E350*1000/'Constants &amp; Conversions'!$D$56</f>
        <v>301013.36044413608</v>
      </c>
      <c r="F422" s="179">
        <f>F350*1000/'Constants &amp; Conversions'!$D$56</f>
        <v>109174.51050630229</v>
      </c>
      <c r="G422" s="179">
        <f>G350*1000/'Constants &amp; Conversions'!$D$56</f>
        <v>30171.756518008671</v>
      </c>
      <c r="H422" s="179">
        <f>H350*1000/'Constants &amp; Conversions'!$D$56</f>
        <v>2570.0554656206191</v>
      </c>
      <c r="I422" s="179">
        <f>I350*1000/'Constants &amp; Conversions'!$D$56</f>
        <v>51365.892368335539</v>
      </c>
      <c r="J422" s="179">
        <f>J350*1000/'Constants &amp; Conversions'!$D$56</f>
        <v>18940.966411323552</v>
      </c>
      <c r="K422" s="179">
        <f>K350*1000/'Constants &amp; Conversions'!$D$56</f>
        <v>24785.182422784368</v>
      </c>
    </row>
    <row r="423" spans="1:11" outlineLevel="1" x14ac:dyDescent="0.15">
      <c r="A423" s="82"/>
      <c r="B423" s="117" t="s">
        <v>156</v>
      </c>
      <c r="C423" s="234">
        <f>C351*1000/'Constants &amp; Conversions'!$D$56</f>
        <v>72665.775445539897</v>
      </c>
      <c r="D423" s="179">
        <f>D351*1000/'Constants &amp; Conversions'!$D$56</f>
        <v>140522.95305447959</v>
      </c>
      <c r="E423" s="179">
        <f>E351*1000/'Constants &amp; Conversions'!$D$56</f>
        <v>213188.7285000195</v>
      </c>
      <c r="F423" s="179">
        <f>F351*1000/'Constants &amp; Conversions'!$D$56</f>
        <v>53463.927289388186</v>
      </c>
      <c r="G423" s="179">
        <f>G351*1000/'Constants &amp; Conversions'!$D$56</f>
        <v>48974.8763428323</v>
      </c>
      <c r="H423" s="179">
        <f>H351*1000/'Constants &amp; Conversions'!$D$56</f>
        <v>11415.932246505907</v>
      </c>
      <c r="I423" s="179">
        <f>I351*1000/'Constants &amp; Conversions'!$D$56</f>
        <v>39487.766236245843</v>
      </c>
      <c r="J423" s="179">
        <f>J351*1000/'Constants &amp; Conversions'!$D$56</f>
        <v>29919.136054558632</v>
      </c>
      <c r="K423" s="179">
        <f>K351*1000/'Constants &amp; Conversions'!$D$56</f>
        <v>70141.135063706228</v>
      </c>
    </row>
    <row r="424" spans="1:11" outlineLevel="1" x14ac:dyDescent="0.15">
      <c r="A424" s="82"/>
      <c r="B424" s="117" t="s">
        <v>157</v>
      </c>
      <c r="C424" s="234">
        <f>C352*1000/'Constants &amp; Conversions'!$D$56</f>
        <v>1845.5131704466389</v>
      </c>
      <c r="D424" s="179">
        <f>D352*1000/'Constants &amp; Conversions'!$D$56</f>
        <v>3568.901026955386</v>
      </c>
      <c r="E424" s="179">
        <f>E352*1000/'Constants &amp; Conversions'!$D$56</f>
        <v>5414.4141974020258</v>
      </c>
      <c r="F424" s="179">
        <f>F352*1000/'Constants &amp; Conversions'!$D$56</f>
        <v>1388.0394894266817</v>
      </c>
      <c r="G424" s="179">
        <f>G352*1000/'Constants &amp; Conversions'!$D$56</f>
        <v>738.88354975450261</v>
      </c>
      <c r="H424" s="179">
        <f>H352*1000/'Constants &amp; Conversions'!$D$56</f>
        <v>42.853989723265627</v>
      </c>
      <c r="I424" s="179">
        <f>I352*1000/'Constants &amp; Conversions'!$D$56</f>
        <v>1054.032704527385</v>
      </c>
      <c r="J424" s="179">
        <f>J352*1000/'Constants &amp; Conversions'!$D$56</f>
        <v>549.34150619249272</v>
      </c>
      <c r="K424" s="179">
        <f>K352*1000/'Constants &amp; Conversions'!$D$56</f>
        <v>506.2639641008098</v>
      </c>
    </row>
    <row r="425" spans="1:11" outlineLevel="1" x14ac:dyDescent="0.15">
      <c r="A425" s="82"/>
      <c r="B425" s="117" t="s">
        <v>160</v>
      </c>
      <c r="C425" s="234">
        <f>C353*1000/'Constants &amp; Conversions'!$D$56</f>
        <v>785231.18615535554</v>
      </c>
      <c r="D425" s="179">
        <f>D353*1000/'Constants &amp; Conversions'!$D$56</f>
        <v>2484261.3407062916</v>
      </c>
      <c r="E425" s="179">
        <f>E353*1000/'Constants &amp; Conversions'!$D$56</f>
        <v>3269492.5268616471</v>
      </c>
      <c r="F425" s="179">
        <f>F353*1000/'Constants &amp; Conversions'!$D$56</f>
        <v>1621357.8391264328</v>
      </c>
      <c r="G425" s="179">
        <f>G353*1000/'Constants &amp; Conversions'!$D$56</f>
        <v>841660.44072656706</v>
      </c>
      <c r="H425" s="179">
        <f>H353*1000/'Constants &amp; Conversions'!$D$56</f>
        <v>74542.851628497476</v>
      </c>
      <c r="I425" s="179">
        <f>I353*1000/'Constants &amp; Conversions'!$D$56</f>
        <v>1433522.4250498868</v>
      </c>
      <c r="J425" s="179">
        <f>J353*1000/'Constants &amp; Conversions'!$D$56</f>
        <v>392364.63745586103</v>
      </c>
      <c r="K425" s="179">
        <f>K353*1000/'Constants &amp; Conversions'!$D$56</f>
        <v>644420.97698691185</v>
      </c>
    </row>
    <row r="426" spans="1:11" outlineLevel="1" x14ac:dyDescent="0.15">
      <c r="A426" s="82"/>
      <c r="B426" s="117" t="s">
        <v>161</v>
      </c>
      <c r="C426" s="234">
        <f>C354*1000/'Constants &amp; Conversions'!$D$56</f>
        <v>0</v>
      </c>
      <c r="D426" s="179">
        <f>D354*1000/'Constants &amp; Conversions'!$D$56</f>
        <v>1378.0938435628709</v>
      </c>
      <c r="E426" s="179">
        <f>E354*1000/'Constants &amp; Conversions'!$D$56</f>
        <v>1378.0938435628709</v>
      </c>
      <c r="F426" s="179">
        <f>F354*1000/'Constants &amp; Conversions'!$D$56</f>
        <v>223.58393102106552</v>
      </c>
      <c r="G426" s="179">
        <f>G354*1000/'Constants &amp; Conversions'!$D$56</f>
        <v>338.87243492023953</v>
      </c>
      <c r="H426" s="179">
        <f>H354*1000/'Constants &amp; Conversions'!$D$56</f>
        <v>595.02698571475526</v>
      </c>
      <c r="I426" s="179">
        <f>I354*1000/'Constants &amp; Conversions'!$D$56</f>
        <v>821.85876173073973</v>
      </c>
      <c r="J426" s="179">
        <f>J354*1000/'Constants &amp; Conversions'!$D$56</f>
        <v>1970.4437131841883</v>
      </c>
      <c r="K426" s="179">
        <f>K354*1000/'Constants &amp; Conversions'!$D$56</f>
        <v>2064.648541677147</v>
      </c>
    </row>
    <row r="427" spans="1:11" outlineLevel="1" x14ac:dyDescent="0.15">
      <c r="A427" s="82"/>
      <c r="B427" s="117" t="s">
        <v>163</v>
      </c>
      <c r="C427" s="234">
        <f>C355*1000/'Constants &amp; Conversions'!$D$56</f>
        <v>189591.13379684484</v>
      </c>
      <c r="D427" s="179">
        <f>D355*1000/'Constants &amp; Conversions'!$D$56</f>
        <v>174562.86061768702</v>
      </c>
      <c r="E427" s="179">
        <f>E355*1000/'Constants &amp; Conversions'!$D$56</f>
        <v>364153.99441453186</v>
      </c>
      <c r="F427" s="179">
        <f>F355*1000/'Constants &amp; Conversions'!$D$56</f>
        <v>63331.12062495279</v>
      </c>
      <c r="G427" s="179">
        <f>G355*1000/'Constants &amp; Conversions'!$D$56</f>
        <v>31665.562782949033</v>
      </c>
      <c r="H427" s="179">
        <f>H355*1000/'Constants &amp; Conversions'!$D$56</f>
        <v>1088186.441915143</v>
      </c>
      <c r="I427" s="179">
        <f>I355*1000/'Constants &amp; Conversions'!$D$56</f>
        <v>189993.47182892569</v>
      </c>
      <c r="J427" s="179">
        <f>J355*1000/'Constants &amp; Conversions'!$D$56</f>
        <v>47498.351030803387</v>
      </c>
      <c r="K427" s="179">
        <f>K355*1000/'Constants &amp; Conversions'!$D$56</f>
        <v>79163.897060789081</v>
      </c>
    </row>
    <row r="428" spans="1:11" ht="15" outlineLevel="1" x14ac:dyDescent="0.15">
      <c r="A428" s="82"/>
      <c r="B428" s="609" t="s">
        <v>477</v>
      </c>
      <c r="C428" s="609"/>
      <c r="D428" s="609"/>
      <c r="E428" s="609"/>
      <c r="F428" s="609"/>
      <c r="G428" s="609"/>
      <c r="H428" s="609"/>
      <c r="I428" s="609"/>
      <c r="J428" s="609"/>
      <c r="K428" s="609"/>
    </row>
    <row r="429" spans="1:11" outlineLevel="1" x14ac:dyDescent="0.15">
      <c r="A429" s="82"/>
      <c r="B429" s="117" t="s">
        <v>155</v>
      </c>
      <c r="C429" s="234">
        <f>C357*1000/'Constants &amp; Conversions'!$D$56</f>
        <v>0</v>
      </c>
      <c r="D429" s="179">
        <f>D357*1000/'Constants &amp; Conversions'!$D$56</f>
        <v>3133.047472425294</v>
      </c>
      <c r="E429" s="179">
        <f>E357*1000/'Constants &amp; Conversions'!$D$56</f>
        <v>3133.047472425294</v>
      </c>
      <c r="F429" s="179">
        <f>F357*1000/'Constants &amp; Conversions'!$D$56</f>
        <v>1052.1633180893004</v>
      </c>
      <c r="G429" s="179">
        <f>G357*1000/'Constants &amp; Conversions'!$D$56</f>
        <v>37612.253706328898</v>
      </c>
      <c r="H429" s="179">
        <f>H357*1000/'Constants &amp; Conversions'!$D$56</f>
        <v>32935.192994581354</v>
      </c>
      <c r="I429" s="179">
        <f>I357*1000/'Constants &amp; Conversions'!$D$56</f>
        <v>6240.5606385847896</v>
      </c>
      <c r="J429" s="179">
        <f>J357*1000/'Constants &amp; Conversions'!$D$56</f>
        <v>42412.823293610287</v>
      </c>
      <c r="K429" s="179">
        <f>K357*1000/'Constants &amp; Conversions'!$D$56</f>
        <v>51288.085811104109</v>
      </c>
    </row>
    <row r="430" spans="1:11" outlineLevel="1" x14ac:dyDescent="0.15">
      <c r="A430" s="82"/>
      <c r="B430" s="117" t="s">
        <v>159</v>
      </c>
      <c r="C430" s="234">
        <f>C358*1000/'Constants &amp; Conversions'!$D$56</f>
        <v>88531.563226488201</v>
      </c>
      <c r="D430" s="179">
        <f>D358*1000/'Constants &amp; Conversions'!$D$56</f>
        <v>0</v>
      </c>
      <c r="E430" s="179">
        <f>E358*1000/'Constants &amp; Conversions'!$D$56</f>
        <v>88531.563226488201</v>
      </c>
      <c r="F430" s="179">
        <f>F358*1000/'Constants &amp; Conversions'!$D$56</f>
        <v>20.842600178491793</v>
      </c>
      <c r="G430" s="179">
        <f>G358*1000/'Constants &amp; Conversions'!$D$56</f>
        <v>9.4918805425038393</v>
      </c>
      <c r="H430" s="179">
        <f>H358*1000/'Constants &amp; Conversions'!$D$56</f>
        <v>0</v>
      </c>
      <c r="I430" s="179">
        <f>I358*1000/'Constants &amp; Conversions'!$D$56</f>
        <v>10.480613767617823</v>
      </c>
      <c r="J430" s="179">
        <f>J358*1000/'Constants &amp; Conversions'!$D$56</f>
        <v>9.0963867606727025</v>
      </c>
      <c r="K430" s="179">
        <f>K358*1000/'Constants &amp; Conversions'!$D$56</f>
        <v>21.356783440600985</v>
      </c>
    </row>
    <row r="431" spans="1:11" outlineLevel="1" x14ac:dyDescent="0.15">
      <c r="A431" s="82"/>
      <c r="B431" s="117" t="s">
        <v>104</v>
      </c>
      <c r="C431" s="234">
        <f>C359*1000/'Constants &amp; Conversions'!$D$56</f>
        <v>5194092.9571890822</v>
      </c>
      <c r="D431" s="179">
        <f>D359*1000/'Constants &amp; Conversions'!$D$56</f>
        <v>10044471.091218278</v>
      </c>
      <c r="E431" s="179">
        <f>E359*1000/'Constants &amp; Conversions'!$D$56</f>
        <v>15238564.048407361</v>
      </c>
      <c r="F431" s="179">
        <f>F359*1000/'Constants &amp; Conversions'!$D$56</f>
        <v>5526879.1669601882</v>
      </c>
      <c r="G431" s="179">
        <f>G359*1000/'Constants &amp; Conversions'!$D$56</f>
        <v>1527421.7184009042</v>
      </c>
      <c r="H431" s="179">
        <f>H359*1000/'Constants &amp; Conversions'!$D$56</f>
        <v>130107.07876657379</v>
      </c>
      <c r="I431" s="179">
        <f>I359*1000/'Constants &amp; Conversions'!$D$56</f>
        <v>2600358.0909777055</v>
      </c>
      <c r="J431" s="179">
        <f>J359*1000/'Constants &amp; Conversions'!$D$56</f>
        <v>958871.0882761773</v>
      </c>
      <c r="K431" s="179">
        <f>K359*1000/'Constants &amp; Conversions'!$D$56</f>
        <v>1254731.4920962926</v>
      </c>
    </row>
    <row r="432" spans="1:11" outlineLevel="1" x14ac:dyDescent="0.15">
      <c r="A432" s="82"/>
      <c r="B432" s="117" t="s">
        <v>156</v>
      </c>
      <c r="C432" s="234">
        <f>C360*1000/'Constants &amp; Conversions'!$D$56</f>
        <v>421118.03476823616</v>
      </c>
      <c r="D432" s="179">
        <f>D360*1000/'Constants &amp; Conversions'!$D$56</f>
        <v>814368.93045312865</v>
      </c>
      <c r="E432" s="179">
        <f>E360*1000/'Constants &amp; Conversions'!$D$56</f>
        <v>1235486.965221365</v>
      </c>
      <c r="F432" s="179">
        <f>F360*1000/'Constants &amp; Conversions'!$D$56</f>
        <v>309837.94307190471</v>
      </c>
      <c r="G432" s="179">
        <f>G360*1000/'Constants &amp; Conversions'!$D$56</f>
        <v>283822.75344058516</v>
      </c>
      <c r="H432" s="179">
        <f>H360*1000/'Constants &amp; Conversions'!$D$56</f>
        <v>66158.464009321426</v>
      </c>
      <c r="I432" s="179">
        <f>I360*1000/'Constants &amp; Conversions'!$D$56</f>
        <v>228842.47360885626</v>
      </c>
      <c r="J432" s="179">
        <f>J360*1000/'Constants &amp; Conversions'!$D$56</f>
        <v>173389.52324537068</v>
      </c>
      <c r="K432" s="179">
        <f>K360*1000/'Constants &amp; Conversions'!$D$56</f>
        <v>406487.06501498044</v>
      </c>
    </row>
    <row r="433" spans="1:24" outlineLevel="1" x14ac:dyDescent="0.15">
      <c r="A433" s="82"/>
      <c r="B433" s="117" t="s">
        <v>157</v>
      </c>
      <c r="C433" s="234">
        <f>C361*1000/'Constants &amp; Conversions'!$D$56</f>
        <v>1240816.8968238321</v>
      </c>
      <c r="D433" s="179">
        <f>D361*1000/'Constants &amp; Conversions'!$D$56</f>
        <v>2399523.7575391829</v>
      </c>
      <c r="E433" s="179">
        <f>E361*1000/'Constants &amp; Conversions'!$D$56</f>
        <v>3640340.6543630157</v>
      </c>
      <c r="F433" s="179">
        <f>F361*1000/'Constants &amp; Conversions'!$D$56</f>
        <v>931899.00214388536</v>
      </c>
      <c r="G433" s="179">
        <f>G361*1000/'Constants &amp; Conversions'!$D$56</f>
        <v>495928.72678721702</v>
      </c>
      <c r="H433" s="179">
        <f>H361*1000/'Constants &amp; Conversions'!$D$56</f>
        <v>28869.594372998949</v>
      </c>
      <c r="I433" s="179">
        <f>I361*1000/'Constants &amp; Conversions'!$D$56</f>
        <v>707581.54666492529</v>
      </c>
      <c r="J433" s="179">
        <f>J361*1000/'Constants &amp; Conversions'!$D$56</f>
        <v>368563.35051175969</v>
      </c>
      <c r="K433" s="179">
        <f>K361*1000/'Constants &amp; Conversions'!$D$56</f>
        <v>340548.12817307783</v>
      </c>
    </row>
    <row r="434" spans="1:24" outlineLevel="1" x14ac:dyDescent="0.15">
      <c r="A434" s="82"/>
      <c r="B434" s="117" t="s">
        <v>160</v>
      </c>
      <c r="C434" s="234">
        <f>C362*1000/'Constants &amp; Conversions'!$D$56</f>
        <v>7307388.6106461836</v>
      </c>
      <c r="D434" s="179">
        <f>D362*1000/'Constants &amp; Conversions'!$D$56</f>
        <v>23118622.06572393</v>
      </c>
      <c r="E434" s="179">
        <f>E362*1000/'Constants &amp; Conversions'!$D$56</f>
        <v>30426010.676370114</v>
      </c>
      <c r="F434" s="179">
        <f>F362*1000/'Constants &amp; Conversions'!$D$56</f>
        <v>13716980.89117332</v>
      </c>
      <c r="G434" s="179">
        <f>G362*1000/'Constants &amp; Conversions'!$D$56</f>
        <v>7063184.0498067429</v>
      </c>
      <c r="H434" s="179">
        <f>H362*1000/'Constants &amp; Conversions'!$D$56</f>
        <v>643861.66632006271</v>
      </c>
      <c r="I434" s="179">
        <f>I362*1000/'Constants &amp; Conversions'!$D$56</f>
        <v>11990736.876402171</v>
      </c>
      <c r="J434" s="179">
        <f>J362*1000/'Constants &amp; Conversions'!$D$56</f>
        <v>3351248.3016985683</v>
      </c>
      <c r="K434" s="179">
        <f>K362*1000/'Constants &amp; Conversions'!$D$56</f>
        <v>5558590.340274944</v>
      </c>
    </row>
    <row r="435" spans="1:24" outlineLevel="1" x14ac:dyDescent="0.15">
      <c r="A435" s="82"/>
      <c r="B435" s="117" t="s">
        <v>161</v>
      </c>
      <c r="C435" s="234">
        <f>C363*1000/'Constants &amp; Conversions'!$D$56</f>
        <v>0</v>
      </c>
      <c r="D435" s="179">
        <f>D363*1000/'Constants &amp; Conversions'!$D$56</f>
        <v>4022.9210446417683</v>
      </c>
      <c r="E435" s="179">
        <f>E363*1000/'Constants &amp; Conversions'!$D$56</f>
        <v>4022.9210446417683</v>
      </c>
      <c r="F435" s="179">
        <f>F363*1000/'Constants &amp; Conversions'!$D$56</f>
        <v>652.681879530277</v>
      </c>
      <c r="G435" s="179">
        <f>G363*1000/'Constants &amp; Conversions'!$D$56</f>
        <v>989.23112638245993</v>
      </c>
      <c r="H435" s="179">
        <f>H363*1000/'Constants &amp; Conversions'!$D$56</f>
        <v>1736.9959462350614</v>
      </c>
      <c r="I435" s="179">
        <f>I363*1000/'Constants &amp; Conversions'!$D$56</f>
        <v>2399.1585462323796</v>
      </c>
      <c r="J435" s="179">
        <f>J363*1000/'Constants &amp; Conversions'!$D$56</f>
        <v>5752.0949953407726</v>
      </c>
      <c r="K435" s="179">
        <f>K363*1000/'Constants &amp; Conversions'!$D$56</f>
        <v>6027.0886740604883</v>
      </c>
    </row>
    <row r="436" spans="1:24" outlineLevel="1" x14ac:dyDescent="0.15">
      <c r="A436" s="82"/>
      <c r="B436" s="117" t="s">
        <v>158</v>
      </c>
      <c r="C436" s="234">
        <f>C364*1000/'Constants &amp; Conversions'!$D$56</f>
        <v>10827.184305416362</v>
      </c>
      <c r="D436" s="179">
        <f>D364*1000/'Constants &amp; Conversions'!$D$56</f>
        <v>20937.888607581175</v>
      </c>
      <c r="E436" s="179">
        <f>E364*1000/'Constants &amp; Conversions'!$D$56</f>
        <v>31765.072912997533</v>
      </c>
      <c r="F436" s="179">
        <f>F364*1000/'Constants &amp; Conversions'!$D$56</f>
        <v>25941.501937301866</v>
      </c>
      <c r="G436" s="179">
        <f>G364*1000/'Constants &amp; Conversions'!$D$56</f>
        <v>3176.507296528267</v>
      </c>
      <c r="H436" s="179">
        <f>H364*1000/'Constants &amp; Conversions'!$D$56</f>
        <v>0</v>
      </c>
      <c r="I436" s="179">
        <f>I364*1000/'Constants &amp; Conversions'!$D$56</f>
        <v>20647.308911588552</v>
      </c>
      <c r="J436" s="179">
        <f>J364*1000/'Constants &amp; Conversions'!$D$56</f>
        <v>0</v>
      </c>
      <c r="K436" s="179">
        <f>K364*1000/'Constants &amp; Conversions'!$D$56</f>
        <v>31765.072912997533</v>
      </c>
    </row>
    <row r="437" spans="1:24" outlineLevel="1" x14ac:dyDescent="0.15">
      <c r="A437" s="82"/>
      <c r="B437" s="117" t="s">
        <v>162</v>
      </c>
      <c r="C437" s="234">
        <f>C365*1000/'Constants &amp; Conversions'!$D$56</f>
        <v>8465.4374363402512</v>
      </c>
      <c r="D437" s="179">
        <f>D365*1000/'Constants &amp; Conversions'!$D$56</f>
        <v>3015.4739277750004</v>
      </c>
      <c r="E437" s="179">
        <f>E365*1000/'Constants &amp; Conversions'!$D$56</f>
        <v>11480.911364115253</v>
      </c>
      <c r="F437" s="179">
        <f>F365*1000/'Constants &amp; Conversions'!$D$56</f>
        <v>4748.310420486474</v>
      </c>
      <c r="G437" s="179">
        <f>G365*1000/'Constants &amp; Conversions'!$D$56</f>
        <v>2066.0823776390207</v>
      </c>
      <c r="H437" s="179">
        <f>H365*1000/'Constants &amp; Conversions'!$D$56</f>
        <v>330.72289313630785</v>
      </c>
      <c r="I437" s="179">
        <f>I365*1000/'Constants &amp; Conversions'!$D$56</f>
        <v>1533.8464598343994</v>
      </c>
      <c r="J437" s="179">
        <f>J365*1000/'Constants &amp; Conversions'!$D$56</f>
        <v>299.45380951021377</v>
      </c>
      <c r="K437" s="179">
        <f>K365*1000/'Constants &amp; Conversions'!$D$56</f>
        <v>2537.4799609355337</v>
      </c>
    </row>
    <row r="438" spans="1:24" outlineLevel="1" x14ac:dyDescent="0.15">
      <c r="A438" s="82"/>
      <c r="B438" s="117" t="s">
        <v>163</v>
      </c>
      <c r="C438" s="234">
        <f>C366*1000/'Constants &amp; Conversions'!$D$56</f>
        <v>737617.67542252818</v>
      </c>
      <c r="D438" s="179">
        <f>D366*1000/'Constants &amp; Conversions'!$D$56</f>
        <v>679149.11887123226</v>
      </c>
      <c r="E438" s="179">
        <f>E366*1000/'Constants &amp; Conversions'!$D$56</f>
        <v>1416766.7942937603</v>
      </c>
      <c r="F438" s="179">
        <f>F366*1000/'Constants &amp; Conversions'!$D$56</f>
        <v>350110.94727201294</v>
      </c>
      <c r="G438" s="179">
        <f>G366*1000/'Constants &amp; Conversions'!$D$56</f>
        <v>183396.44750778726</v>
      </c>
      <c r="H438" s="179">
        <f>H366*1000/'Constants &amp; Conversions'!$D$56</f>
        <v>149930.19772174372</v>
      </c>
      <c r="I438" s="179">
        <f>I366*1000/'Constants &amp; Conversions'!$D$56</f>
        <v>691675.98123238771</v>
      </c>
      <c r="J438" s="179">
        <f>J366*1000/'Constants &amp; Conversions'!$D$56</f>
        <v>266753.71762999683</v>
      </c>
      <c r="K438" s="179">
        <f>K366*1000/'Constants &amp; Conversions'!$D$56</f>
        <v>325037.24697827286</v>
      </c>
    </row>
    <row r="439" spans="1:24" ht="16" outlineLevel="1" x14ac:dyDescent="0.2">
      <c r="A439" s="66"/>
      <c r="B439" s="171" t="s">
        <v>88</v>
      </c>
      <c r="C439" s="357">
        <f t="shared" ref="C439:K439" si="149">SUM(C421:C438)</f>
        <v>16160792.93331554</v>
      </c>
      <c r="D439" s="357">
        <f t="shared" si="149"/>
        <v>40089977.831897333</v>
      </c>
      <c r="E439" s="357">
        <f t="shared" si="149"/>
        <v>56250770.765212871</v>
      </c>
      <c r="F439" s="357">
        <f t="shared" si="149"/>
        <v>22717071.536492746</v>
      </c>
      <c r="G439" s="357">
        <f t="shared" si="149"/>
        <v>10551481.697087897</v>
      </c>
      <c r="H439" s="357">
        <f t="shared" si="149"/>
        <v>2231566.8231802084</v>
      </c>
      <c r="I439" s="357">
        <f t="shared" si="149"/>
        <v>17966325.535539977</v>
      </c>
      <c r="J439" s="357">
        <f t="shared" si="149"/>
        <v>5658907.7268668674</v>
      </c>
      <c r="K439" s="357">
        <f t="shared" si="149"/>
        <v>8798557.3250915185</v>
      </c>
      <c r="N439" s="106"/>
      <c r="O439" s="108"/>
      <c r="P439" s="108"/>
      <c r="Q439" s="108"/>
      <c r="R439" s="108"/>
      <c r="S439" s="108"/>
      <c r="T439" s="108"/>
      <c r="U439" s="108"/>
      <c r="V439" s="108"/>
      <c r="W439" s="108"/>
      <c r="X439" s="108"/>
    </row>
    <row r="440" spans="1:24" x14ac:dyDescent="0.15">
      <c r="A440" s="66"/>
      <c r="B440" s="176"/>
      <c r="C440" s="177"/>
      <c r="D440" s="177"/>
      <c r="E440" s="176"/>
      <c r="F440" s="176"/>
      <c r="G440" s="176"/>
      <c r="H440" s="176"/>
      <c r="I440" s="176"/>
      <c r="J440" s="176"/>
      <c r="K440" s="176"/>
    </row>
    <row r="441" spans="1:24" s="108" customFormat="1" ht="16" x14ac:dyDescent="0.2">
      <c r="A441" s="89">
        <v>2010</v>
      </c>
      <c r="B441" s="90"/>
      <c r="C441" s="91"/>
      <c r="D441" s="90"/>
      <c r="E441" s="90"/>
      <c r="F441" s="90"/>
      <c r="G441" s="90"/>
      <c r="H441" s="90"/>
      <c r="I441" s="90"/>
      <c r="J441" s="90"/>
      <c r="K441" s="90"/>
      <c r="L441" s="90"/>
      <c r="M441" s="90"/>
      <c r="N441" s="66"/>
      <c r="O441" s="66"/>
      <c r="P441" s="66"/>
      <c r="Q441" s="66"/>
      <c r="R441" s="66"/>
      <c r="S441" s="66"/>
      <c r="T441" s="66"/>
      <c r="U441" s="66"/>
      <c r="V441" s="66"/>
      <c r="W441" s="66"/>
      <c r="X441" s="66"/>
    </row>
    <row r="442" spans="1:24" x14ac:dyDescent="0.15">
      <c r="A442" s="66"/>
      <c r="B442" s="66"/>
      <c r="C442" s="69"/>
      <c r="D442" s="66"/>
      <c r="E442" s="66"/>
      <c r="F442" s="66"/>
      <c r="G442" s="66"/>
      <c r="H442" s="66"/>
    </row>
    <row r="443" spans="1:24" ht="18" x14ac:dyDescent="0.2">
      <c r="A443" s="189" t="s">
        <v>154</v>
      </c>
      <c r="B443" s="66"/>
      <c r="C443" s="600"/>
      <c r="D443" s="549"/>
      <c r="E443" s="549"/>
      <c r="F443" s="66"/>
      <c r="G443" s="66"/>
      <c r="H443" s="66"/>
      <c r="N443" s="82" t="s">
        <v>478</v>
      </c>
    </row>
    <row r="444" spans="1:24" ht="15" outlineLevel="1" x14ac:dyDescent="0.15">
      <c r="A444" s="82"/>
      <c r="B444" s="82" t="s">
        <v>458</v>
      </c>
      <c r="C444" s="69"/>
      <c r="D444" s="66"/>
      <c r="E444" s="66"/>
      <c r="F444" s="66"/>
      <c r="G444" s="66"/>
      <c r="H444" s="66"/>
      <c r="N444" s="472" t="s">
        <v>152</v>
      </c>
      <c r="O444" s="472" t="s">
        <v>153</v>
      </c>
      <c r="P444" s="472" t="s">
        <v>58</v>
      </c>
      <c r="Q444" s="472" t="s">
        <v>100</v>
      </c>
      <c r="R444" s="472" t="s">
        <v>59</v>
      </c>
      <c r="S444" s="472" t="s">
        <v>60</v>
      </c>
      <c r="T444" s="472" t="s">
        <v>62</v>
      </c>
      <c r="U444" s="472" t="s">
        <v>61</v>
      </c>
      <c r="V444" s="472" t="s">
        <v>63</v>
      </c>
      <c r="W444" s="472" t="s">
        <v>64</v>
      </c>
      <c r="X444" s="472" t="s">
        <v>65</v>
      </c>
    </row>
    <row r="445" spans="1:24" ht="15" outlineLevel="1" x14ac:dyDescent="0.15">
      <c r="A445" s="66"/>
      <c r="B445" s="83" t="s">
        <v>459</v>
      </c>
      <c r="C445" s="83" t="s">
        <v>58</v>
      </c>
      <c r="D445" s="83" t="s">
        <v>100</v>
      </c>
      <c r="E445" s="83" t="s">
        <v>59</v>
      </c>
      <c r="F445" s="83" t="s">
        <v>60</v>
      </c>
      <c r="G445" s="83" t="s">
        <v>62</v>
      </c>
      <c r="H445" s="83" t="s">
        <v>61</v>
      </c>
      <c r="I445" s="83" t="s">
        <v>63</v>
      </c>
      <c r="J445" s="83" t="s">
        <v>64</v>
      </c>
      <c r="K445" s="83" t="s">
        <v>65</v>
      </c>
      <c r="N445" s="178" t="s">
        <v>154</v>
      </c>
      <c r="O445" s="178" t="s">
        <v>155</v>
      </c>
      <c r="P445" s="473">
        <f>C446</f>
        <v>0</v>
      </c>
      <c r="Q445" s="473">
        <f t="shared" ref="Q445:Q449" si="150">D446</f>
        <v>1466.0907974365682</v>
      </c>
      <c r="R445" s="473">
        <f t="shared" ref="R445:R449" si="151">E446</f>
        <v>1466.0907974365682</v>
      </c>
      <c r="S445" s="473">
        <f t="shared" ref="S445:S449" si="152">F446</f>
        <v>492.35296495199111</v>
      </c>
      <c r="T445" s="473">
        <f t="shared" ref="T445:T449" si="153">G446</f>
        <v>17600.436461807221</v>
      </c>
      <c r="U445" s="473">
        <f t="shared" ref="U445:U449" si="154">H446</f>
        <v>15411.826503808143</v>
      </c>
      <c r="V445" s="473">
        <f t="shared" ref="V445:V449" si="155">I446</f>
        <v>2920.2346758428243</v>
      </c>
      <c r="W445" s="473">
        <f t="shared" ref="W445:W449" si="156">J446</f>
        <v>19846.820521732861</v>
      </c>
      <c r="X445" s="473">
        <f t="shared" ref="X445:X448" si="157">K446</f>
        <v>23999.954877406464</v>
      </c>
    </row>
    <row r="446" spans="1:24" outlineLevel="1" x14ac:dyDescent="0.15">
      <c r="A446" s="66"/>
      <c r="B446" s="117" t="s">
        <v>155</v>
      </c>
      <c r="C446" s="179">
        <f>E446*VLOOKUP($B446,'Offroad Allocation'!$B$4:$G$15,5,0)</f>
        <v>0</v>
      </c>
      <c r="D446" s="356">
        <f>E446-C446</f>
        <v>1466.0907974365682</v>
      </c>
      <c r="E446" s="117">
        <v>1466.0907974365682</v>
      </c>
      <c r="F446" s="117">
        <v>492.35296495199111</v>
      </c>
      <c r="G446" s="117">
        <v>17600.436461807221</v>
      </c>
      <c r="H446" s="117">
        <v>15411.826503808143</v>
      </c>
      <c r="I446" s="117">
        <v>2920.2346758428243</v>
      </c>
      <c r="J446" s="117">
        <v>19846.820521732861</v>
      </c>
      <c r="K446" s="117">
        <v>23999.954877406464</v>
      </c>
      <c r="N446" s="178" t="s">
        <v>154</v>
      </c>
      <c r="O446" s="178" t="s">
        <v>104</v>
      </c>
      <c r="P446" s="473">
        <f t="shared" ref="P446:P449" si="158">C447</f>
        <v>828715.32244903932</v>
      </c>
      <c r="Q446" s="473">
        <f t="shared" si="150"/>
        <v>1602591.0910331034</v>
      </c>
      <c r="R446" s="473">
        <f t="shared" si="151"/>
        <v>2431306.4134821426</v>
      </c>
      <c r="S446" s="473">
        <f t="shared" si="152"/>
        <v>881811.15680747724</v>
      </c>
      <c r="T446" s="473">
        <f t="shared" si="153"/>
        <v>243699.45648967585</v>
      </c>
      <c r="U446" s="473">
        <f t="shared" si="154"/>
        <v>20758.538088509642</v>
      </c>
      <c r="V446" s="473">
        <f t="shared" si="155"/>
        <v>414886.46189620486</v>
      </c>
      <c r="W446" s="473">
        <f t="shared" si="156"/>
        <v>152987.62342187439</v>
      </c>
      <c r="X446" s="473">
        <f t="shared" si="157"/>
        <v>200191.83541978127</v>
      </c>
    </row>
    <row r="447" spans="1:24" outlineLevel="1" x14ac:dyDescent="0.15">
      <c r="A447" s="66"/>
      <c r="B447" s="117" t="s">
        <v>104</v>
      </c>
      <c r="C447" s="179">
        <f>E447*VLOOKUP($B447,'Offroad Allocation'!$B$4:$G$15,5,0)</f>
        <v>828715.32244903932</v>
      </c>
      <c r="D447" s="356">
        <f t="shared" ref="D447:D448" si="159">E447-C447</f>
        <v>1602591.0910331034</v>
      </c>
      <c r="E447" s="117">
        <v>2431306.4134821426</v>
      </c>
      <c r="F447" s="117">
        <v>881811.15680747724</v>
      </c>
      <c r="G447" s="117">
        <v>243699.45648967585</v>
      </c>
      <c r="H447" s="117">
        <v>20758.538088509642</v>
      </c>
      <c r="I447" s="117">
        <v>414886.46189620486</v>
      </c>
      <c r="J447" s="117">
        <v>152987.62342187439</v>
      </c>
      <c r="K447" s="117">
        <v>200191.83541978127</v>
      </c>
      <c r="N447" s="178" t="s">
        <v>154</v>
      </c>
      <c r="O447" s="178" t="s">
        <v>156</v>
      </c>
      <c r="P447" s="473">
        <f t="shared" si="158"/>
        <v>660.35957640295442</v>
      </c>
      <c r="Q447" s="473">
        <f t="shared" si="150"/>
        <v>1277.0204017638957</v>
      </c>
      <c r="R447" s="473">
        <f t="shared" si="151"/>
        <v>1937.3799781668502</v>
      </c>
      <c r="S447" s="473">
        <f t="shared" si="152"/>
        <v>485.85995819963699</v>
      </c>
      <c r="T447" s="473">
        <f t="shared" si="153"/>
        <v>445.06484395926299</v>
      </c>
      <c r="U447" s="473">
        <f t="shared" si="154"/>
        <v>103.74372141374801</v>
      </c>
      <c r="V447" s="473">
        <f t="shared" si="155"/>
        <v>358.850170898437</v>
      </c>
      <c r="W447" s="473">
        <f t="shared" si="156"/>
        <v>271.89353067452504</v>
      </c>
      <c r="X447" s="473">
        <f t="shared" si="157"/>
        <v>637.41622649274495</v>
      </c>
    </row>
    <row r="448" spans="1:24" outlineLevel="1" x14ac:dyDescent="0.15">
      <c r="A448" s="66"/>
      <c r="B448" s="117" t="s">
        <v>156</v>
      </c>
      <c r="C448" s="179">
        <f>E448*VLOOKUP($B448,'Offroad Allocation'!$B$4:$G$15,5,0)</f>
        <v>660.35957640295442</v>
      </c>
      <c r="D448" s="356">
        <f t="shared" si="159"/>
        <v>1277.0204017638957</v>
      </c>
      <c r="E448" s="117">
        <v>1937.3799781668502</v>
      </c>
      <c r="F448" s="117">
        <v>485.85995819963699</v>
      </c>
      <c r="G448" s="117">
        <v>445.06484395926299</v>
      </c>
      <c r="H448" s="117">
        <v>103.74372141374801</v>
      </c>
      <c r="I448" s="117">
        <v>358.850170898437</v>
      </c>
      <c r="J448" s="117">
        <v>271.89353067452504</v>
      </c>
      <c r="K448" s="117">
        <v>637.41622649274495</v>
      </c>
      <c r="N448" s="178" t="s">
        <v>154</v>
      </c>
      <c r="O448" s="178" t="s">
        <v>157</v>
      </c>
      <c r="P448" s="473">
        <f t="shared" si="158"/>
        <v>1848593.3497919457</v>
      </c>
      <c r="Q448" s="473">
        <f t="shared" si="150"/>
        <v>3574857.5573149128</v>
      </c>
      <c r="R448" s="473">
        <f t="shared" si="151"/>
        <v>5423450.9071068587</v>
      </c>
      <c r="S448" s="473">
        <f t="shared" si="152"/>
        <v>1389462.3017516739</v>
      </c>
      <c r="T448" s="473">
        <f t="shared" si="153"/>
        <v>739545.46373229893</v>
      </c>
      <c r="U448" s="473">
        <f t="shared" si="154"/>
        <v>42963.726327317367</v>
      </c>
      <c r="V448" s="473">
        <f t="shared" si="155"/>
        <v>1055063.1413167855</v>
      </c>
      <c r="W448" s="473">
        <f t="shared" si="156"/>
        <v>549735.59747579508</v>
      </c>
      <c r="X448" s="473">
        <f t="shared" si="157"/>
        <v>507220.19274532597</v>
      </c>
    </row>
    <row r="449" spans="1:25" outlineLevel="1" x14ac:dyDescent="0.15">
      <c r="A449" s="66"/>
      <c r="B449" s="117" t="s">
        <v>157</v>
      </c>
      <c r="C449" s="179">
        <f>E449*VLOOKUP($B449,'Offroad Allocation'!$B$4:$G$15,5,0)</f>
        <v>1848593.3497919457</v>
      </c>
      <c r="D449" s="356">
        <f>E449-C449</f>
        <v>3574857.5573149128</v>
      </c>
      <c r="E449" s="117">
        <v>5423450.9071068587</v>
      </c>
      <c r="F449" s="117">
        <v>1389462.3017516739</v>
      </c>
      <c r="G449" s="117">
        <v>739545.46373229893</v>
      </c>
      <c r="H449" s="117">
        <v>42963.726327317367</v>
      </c>
      <c r="I449" s="117">
        <v>1055063.1413167855</v>
      </c>
      <c r="J449" s="117">
        <v>549735.59747579508</v>
      </c>
      <c r="K449" s="117">
        <v>507220.19274532597</v>
      </c>
      <c r="N449" s="178" t="s">
        <v>154</v>
      </c>
      <c r="O449" s="178" t="s">
        <v>158</v>
      </c>
      <c r="P449" s="473">
        <f t="shared" si="158"/>
        <v>22463.250022554173</v>
      </c>
      <c r="Q449" s="473">
        <f t="shared" si="150"/>
        <v>43440.012977445833</v>
      </c>
      <c r="R449" s="473">
        <f t="shared" si="151"/>
        <v>65903.263000000006</v>
      </c>
      <c r="S449" s="473">
        <f t="shared" si="152"/>
        <v>53821.074999999997</v>
      </c>
      <c r="T449" s="473">
        <f t="shared" si="153"/>
        <v>6590.3262978515595</v>
      </c>
      <c r="U449" s="473">
        <f t="shared" si="154"/>
        <v>0</v>
      </c>
      <c r="V449" s="473">
        <f t="shared" si="155"/>
        <v>42837.102859375002</v>
      </c>
      <c r="W449" s="473">
        <f t="shared" si="156"/>
        <v>0</v>
      </c>
      <c r="X449" s="473">
        <f>K450</f>
        <v>65903.263000000006</v>
      </c>
    </row>
    <row r="450" spans="1:25" outlineLevel="1" x14ac:dyDescent="0.15">
      <c r="A450" s="66"/>
      <c r="B450" s="170" t="s">
        <v>158</v>
      </c>
      <c r="C450" s="179">
        <f>E450*VLOOKUP($B450,'Offroad Allocation'!$B$4:$G$15,5,0)</f>
        <v>22463.250022554173</v>
      </c>
      <c r="D450" s="356">
        <f>E450-C450</f>
        <v>43440.012977445833</v>
      </c>
      <c r="E450" s="117">
        <v>65903.263000000006</v>
      </c>
      <c r="F450" s="117">
        <v>53821.074999999997</v>
      </c>
      <c r="G450" s="117">
        <v>6590.3262978515595</v>
      </c>
      <c r="H450" s="117">
        <v>0</v>
      </c>
      <c r="I450" s="117">
        <v>42837.102859375002</v>
      </c>
      <c r="J450" s="117">
        <v>0</v>
      </c>
      <c r="K450" s="117">
        <v>65903.263000000006</v>
      </c>
      <c r="N450" s="178" t="s">
        <v>146</v>
      </c>
      <c r="O450" s="178" t="s">
        <v>155</v>
      </c>
      <c r="P450" s="473">
        <f>C486</f>
        <v>0</v>
      </c>
      <c r="Q450" s="473">
        <f t="shared" ref="Q450:X457" si="160">D486</f>
        <v>587999.83620244917</v>
      </c>
      <c r="R450" s="473">
        <f t="shared" si="160"/>
        <v>587999.83620244917</v>
      </c>
      <c r="S450" s="473">
        <f t="shared" si="160"/>
        <v>197466.57523650193</v>
      </c>
      <c r="T450" s="473">
        <f t="shared" si="160"/>
        <v>7058948.6235971954</v>
      </c>
      <c r="U450" s="473">
        <f t="shared" si="160"/>
        <v>6181166.6556519903</v>
      </c>
      <c r="V450" s="473">
        <f t="shared" si="160"/>
        <v>1171208.2738977699</v>
      </c>
      <c r="W450" s="473">
        <f t="shared" si="160"/>
        <v>7959906.5593713839</v>
      </c>
      <c r="X450" s="473">
        <f t="shared" si="160"/>
        <v>9625591.4929185528</v>
      </c>
      <c r="Y450" s="283"/>
    </row>
    <row r="451" spans="1:25" outlineLevel="1" x14ac:dyDescent="0.15">
      <c r="A451" s="66"/>
      <c r="B451" s="171" t="s">
        <v>88</v>
      </c>
      <c r="C451" s="357">
        <f t="shared" ref="C451:K451" si="161">SUM(C446:C450)</f>
        <v>2700432.2818399421</v>
      </c>
      <c r="D451" s="357">
        <f t="shared" si="161"/>
        <v>5223631.7725246623</v>
      </c>
      <c r="E451" s="357">
        <f t="shared" si="161"/>
        <v>7924064.0543646049</v>
      </c>
      <c r="F451" s="357">
        <f t="shared" si="161"/>
        <v>2326072.7464823029</v>
      </c>
      <c r="G451" s="357">
        <f t="shared" si="161"/>
        <v>1007880.7478255928</v>
      </c>
      <c r="H451" s="357">
        <f t="shared" si="161"/>
        <v>79237.834641048888</v>
      </c>
      <c r="I451" s="357">
        <f t="shared" si="161"/>
        <v>1516065.7909191067</v>
      </c>
      <c r="J451" s="357">
        <f t="shared" si="161"/>
        <v>722841.93495007686</v>
      </c>
      <c r="K451" s="357">
        <f t="shared" si="161"/>
        <v>797952.66226900648</v>
      </c>
      <c r="N451" s="178" t="s">
        <v>146</v>
      </c>
      <c r="O451" s="178" t="s">
        <v>159</v>
      </c>
      <c r="P451" s="473">
        <f t="shared" ref="P451:P457" si="162">C487</f>
        <v>9882965.5</v>
      </c>
      <c r="Q451" s="473">
        <f t="shared" si="160"/>
        <v>0</v>
      </c>
      <c r="R451" s="473">
        <f t="shared" si="160"/>
        <v>9882965.5</v>
      </c>
      <c r="S451" s="473">
        <f t="shared" si="160"/>
        <v>2326.7004643554601</v>
      </c>
      <c r="T451" s="473">
        <f t="shared" si="160"/>
        <v>1059.59772558593</v>
      </c>
      <c r="U451" s="473">
        <f t="shared" si="160"/>
        <v>0</v>
      </c>
      <c r="V451" s="473">
        <f t="shared" si="160"/>
        <v>1169.9726213378899</v>
      </c>
      <c r="W451" s="473">
        <f t="shared" si="160"/>
        <v>1015.44844018554</v>
      </c>
      <c r="X451" s="473">
        <f t="shared" si="160"/>
        <v>2384.0959790039001</v>
      </c>
      <c r="Y451" s="283"/>
    </row>
    <row r="452" spans="1:25" outlineLevel="1" x14ac:dyDescent="0.15">
      <c r="A452" s="66"/>
      <c r="B452" s="101" t="s">
        <v>460</v>
      </c>
      <c r="C452" s="177"/>
      <c r="D452" s="177"/>
      <c r="E452" s="176"/>
      <c r="F452" s="176"/>
      <c r="G452" s="176"/>
      <c r="H452" s="176"/>
      <c r="I452" s="176"/>
      <c r="J452" s="176"/>
      <c r="K452" s="176"/>
      <c r="N452" s="178" t="s">
        <v>146</v>
      </c>
      <c r="O452" s="178" t="s">
        <v>104</v>
      </c>
      <c r="P452" s="473">
        <f t="shared" si="162"/>
        <v>10741815.90727362</v>
      </c>
      <c r="Q452" s="473">
        <f t="shared" si="160"/>
        <v>20772800.994726352</v>
      </c>
      <c r="R452" s="473">
        <f t="shared" si="160"/>
        <v>31514616.901999973</v>
      </c>
      <c r="S452" s="473">
        <f t="shared" si="160"/>
        <v>11430044.695285704</v>
      </c>
      <c r="T452" s="473">
        <f t="shared" si="160"/>
        <v>3158833.5814363789</v>
      </c>
      <c r="U452" s="473">
        <f t="shared" si="160"/>
        <v>269072.09926381032</v>
      </c>
      <c r="V452" s="473">
        <f t="shared" si="160"/>
        <v>5377753.6864285637</v>
      </c>
      <c r="W452" s="473">
        <f t="shared" si="160"/>
        <v>1983024.878515623</v>
      </c>
      <c r="X452" s="473">
        <f t="shared" si="160"/>
        <v>2594887.1816741051</v>
      </c>
      <c r="Y452" s="283"/>
    </row>
    <row r="453" spans="1:25" outlineLevel="1" x14ac:dyDescent="0.15">
      <c r="A453" s="66"/>
      <c r="B453" s="101"/>
      <c r="C453" s="177"/>
      <c r="D453" s="177"/>
      <c r="E453" s="176"/>
      <c r="F453" s="176"/>
      <c r="G453" s="176"/>
      <c r="H453" s="176"/>
      <c r="I453" s="176"/>
      <c r="J453" s="176"/>
      <c r="K453" s="176"/>
      <c r="N453" s="178" t="s">
        <v>146</v>
      </c>
      <c r="O453" s="178" t="s">
        <v>156</v>
      </c>
      <c r="P453" s="473">
        <f t="shared" si="162"/>
        <v>76670460.42559956</v>
      </c>
      <c r="Q453" s="473">
        <f t="shared" si="160"/>
        <v>148267316.28463131</v>
      </c>
      <c r="R453" s="473">
        <f t="shared" si="160"/>
        <v>224937776.71023089</v>
      </c>
      <c r="S453" s="473">
        <f t="shared" si="160"/>
        <v>56410330.018743522</v>
      </c>
      <c r="T453" s="473">
        <f t="shared" si="160"/>
        <v>51673907.62287607</v>
      </c>
      <c r="U453" s="473">
        <f t="shared" si="160"/>
        <v>12045074.836128134</v>
      </c>
      <c r="V453" s="473">
        <f t="shared" si="160"/>
        <v>41663967.191626877</v>
      </c>
      <c r="W453" s="473">
        <f t="shared" si="160"/>
        <v>31568001.082726743</v>
      </c>
      <c r="X453" s="473">
        <f t="shared" si="160"/>
        <v>74006665.737955078</v>
      </c>
      <c r="Y453" s="283"/>
    </row>
    <row r="454" spans="1:25" outlineLevel="1" x14ac:dyDescent="0.15">
      <c r="A454" s="66"/>
      <c r="B454" s="82" t="s">
        <v>461</v>
      </c>
      <c r="C454" s="69"/>
      <c r="D454" s="66"/>
      <c r="E454" s="66"/>
      <c r="F454" s="66"/>
      <c r="G454" s="66"/>
      <c r="H454" s="66"/>
      <c r="N454" s="178" t="s">
        <v>146</v>
      </c>
      <c r="O454" s="178" t="s">
        <v>157</v>
      </c>
      <c r="P454" s="473">
        <f t="shared" si="162"/>
        <v>22498164.841881365</v>
      </c>
      <c r="Q454" s="473">
        <f t="shared" si="160"/>
        <v>43507532.156689949</v>
      </c>
      <c r="R454" s="473">
        <f t="shared" si="160"/>
        <v>66005696.998571314</v>
      </c>
      <c r="S454" s="473">
        <f t="shared" si="160"/>
        <v>15009725.167428551</v>
      </c>
      <c r="T454" s="473">
        <f t="shared" si="160"/>
        <v>7788886.0972656058</v>
      </c>
      <c r="U454" s="473">
        <f t="shared" si="160"/>
        <v>603789.57145835564</v>
      </c>
      <c r="V454" s="473">
        <f t="shared" si="160"/>
        <v>11295168.805395074</v>
      </c>
      <c r="W454" s="473">
        <f t="shared" si="160"/>
        <v>5580812.3213794576</v>
      </c>
      <c r="X454" s="473">
        <f t="shared" si="160"/>
        <v>6407129.8270490989</v>
      </c>
      <c r="Y454" s="283"/>
    </row>
    <row r="455" spans="1:25" ht="15" outlineLevel="1" x14ac:dyDescent="0.15">
      <c r="A455" s="66"/>
      <c r="B455" s="83" t="s">
        <v>459</v>
      </c>
      <c r="C455" s="83" t="s">
        <v>58</v>
      </c>
      <c r="D455" s="83" t="s">
        <v>100</v>
      </c>
      <c r="E455" s="83" t="s">
        <v>59</v>
      </c>
      <c r="F455" s="83" t="s">
        <v>60</v>
      </c>
      <c r="G455" s="83" t="s">
        <v>62</v>
      </c>
      <c r="H455" s="83" t="s">
        <v>61</v>
      </c>
      <c r="I455" s="83" t="s">
        <v>63</v>
      </c>
      <c r="J455" s="83" t="s">
        <v>64</v>
      </c>
      <c r="K455" s="83" t="s">
        <v>65</v>
      </c>
      <c r="L455" s="83" t="s">
        <v>66</v>
      </c>
      <c r="N455" s="178" t="s">
        <v>146</v>
      </c>
      <c r="O455" s="178" t="s">
        <v>160</v>
      </c>
      <c r="P455" s="473">
        <f t="shared" si="162"/>
        <v>2108717.2118052705</v>
      </c>
      <c r="Q455" s="473">
        <f t="shared" si="160"/>
        <v>6671416.9535459001</v>
      </c>
      <c r="R455" s="473">
        <f t="shared" si="160"/>
        <v>8780134.165351171</v>
      </c>
      <c r="S455" s="473">
        <f t="shared" si="160"/>
        <v>5603884.8376762178</v>
      </c>
      <c r="T455" s="473">
        <f t="shared" si="160"/>
        <v>2961346.9066791995</v>
      </c>
      <c r="U455" s="473">
        <f t="shared" si="160"/>
        <v>245598.25354397041</v>
      </c>
      <c r="V455" s="473">
        <f t="shared" si="160"/>
        <v>5079632.7790675489</v>
      </c>
      <c r="W455" s="473">
        <f t="shared" si="160"/>
        <v>1327174.4743728775</v>
      </c>
      <c r="X455" s="473">
        <f t="shared" si="160"/>
        <v>2130091.8687677933</v>
      </c>
      <c r="Y455" s="283"/>
    </row>
    <row r="456" spans="1:25" outlineLevel="1" x14ac:dyDescent="0.15">
      <c r="A456" s="119">
        <f>$A$243</f>
        <v>2015</v>
      </c>
      <c r="B456" s="117" t="s">
        <v>155</v>
      </c>
      <c r="C456" s="179">
        <f>E456*VLOOKUP($B456,'Offroad Allocation'!$B$4:$G$15,5,0)</f>
        <v>0</v>
      </c>
      <c r="D456" s="356">
        <f>E456-C456</f>
        <v>3541.4975401453194</v>
      </c>
      <c r="E456" s="117">
        <v>3541.4975401453194</v>
      </c>
      <c r="F456" s="117">
        <v>1189.3327134819017</v>
      </c>
      <c r="G456" s="117">
        <v>42515.777969037656</v>
      </c>
      <c r="H456" s="117">
        <v>37228.910662322916</v>
      </c>
      <c r="I456" s="117">
        <v>7054.1338141446713</v>
      </c>
      <c r="J456" s="117">
        <v>47942.155256565558</v>
      </c>
      <c r="K456" s="117">
        <v>57974.466271990023</v>
      </c>
      <c r="L456" s="577">
        <f>SUM(E456:K456)</f>
        <v>197446.27422768809</v>
      </c>
      <c r="N456" s="178" t="s">
        <v>146</v>
      </c>
      <c r="O456" s="178" t="s">
        <v>161</v>
      </c>
      <c r="P456" s="473">
        <f t="shared" si="162"/>
        <v>0</v>
      </c>
      <c r="Q456" s="473">
        <f t="shared" si="160"/>
        <v>325279.49228571396</v>
      </c>
      <c r="R456" s="473">
        <f t="shared" si="160"/>
        <v>325279.49228571396</v>
      </c>
      <c r="S456" s="473">
        <f t="shared" si="160"/>
        <v>52773.686975446406</v>
      </c>
      <c r="T456" s="473">
        <f t="shared" si="160"/>
        <v>79985.879142857098</v>
      </c>
      <c r="U456" s="473">
        <f t="shared" si="160"/>
        <v>140447.752428571</v>
      </c>
      <c r="V456" s="473">
        <f t="shared" si="160"/>
        <v>193988.05600000001</v>
      </c>
      <c r="W456" s="473">
        <f t="shared" si="160"/>
        <v>465095.30514285702</v>
      </c>
      <c r="X456" s="473">
        <f t="shared" si="160"/>
        <v>487330.56942857098</v>
      </c>
      <c r="Y456" s="283"/>
    </row>
    <row r="457" spans="1:25" outlineLevel="1" x14ac:dyDescent="0.15">
      <c r="A457" s="119"/>
      <c r="B457" s="117" t="s">
        <v>104</v>
      </c>
      <c r="C457" s="179">
        <f>E457*VLOOKUP($B457,'Offroad Allocation'!$B$4:$G$15,5,0)</f>
        <v>2083514.1770275338</v>
      </c>
      <c r="D457" s="356">
        <f t="shared" ref="D457:D458" si="163">E457-C457</f>
        <v>4029153.5195438862</v>
      </c>
      <c r="E457" s="117">
        <v>6112667.6965714199</v>
      </c>
      <c r="F457" s="117">
        <v>2217001.341290175</v>
      </c>
      <c r="G457" s="117">
        <v>612695.56131975353</v>
      </c>
      <c r="H457" s="117">
        <v>52190.035667515287</v>
      </c>
      <c r="I457" s="117">
        <v>1043084.1098454231</v>
      </c>
      <c r="J457" s="117">
        <v>384632.9334285704</v>
      </c>
      <c r="K457" s="117">
        <v>503312.23328403931</v>
      </c>
      <c r="L457" s="577">
        <f t="shared" ref="L457:L458" si="164">SUM(E457:K457)</f>
        <v>10925583.911406895</v>
      </c>
      <c r="N457" s="178" t="s">
        <v>146</v>
      </c>
      <c r="O457" s="178" t="s">
        <v>158</v>
      </c>
      <c r="P457" s="473">
        <f t="shared" si="162"/>
        <v>124034.86705399347</v>
      </c>
      <c r="Q457" s="473">
        <f t="shared" si="160"/>
        <v>239861.82894600555</v>
      </c>
      <c r="R457" s="473">
        <f t="shared" si="160"/>
        <v>363896.69599999901</v>
      </c>
      <c r="S457" s="473">
        <f t="shared" si="160"/>
        <v>297182.20199999999</v>
      </c>
      <c r="T457" s="473">
        <f t="shared" si="160"/>
        <v>36389.669328124997</v>
      </c>
      <c r="U457" s="473">
        <f t="shared" si="160"/>
        <v>0</v>
      </c>
      <c r="V457" s="473">
        <f t="shared" si="160"/>
        <v>236532.92600000001</v>
      </c>
      <c r="W457" s="473">
        <f t="shared" si="160"/>
        <v>0</v>
      </c>
      <c r="X457" s="473">
        <f t="shared" si="160"/>
        <v>363896.69599999901</v>
      </c>
      <c r="Y457" s="283"/>
    </row>
    <row r="458" spans="1:25" outlineLevel="1" x14ac:dyDescent="0.15">
      <c r="A458" s="119"/>
      <c r="B458" s="117" t="s">
        <v>156</v>
      </c>
      <c r="C458" s="179">
        <f>E458*VLOOKUP($B458,'Offroad Allocation'!$B$4:$G$15,5,0)</f>
        <v>1496.5856605733493</v>
      </c>
      <c r="D458" s="356">
        <f t="shared" si="163"/>
        <v>2894.1359977692805</v>
      </c>
      <c r="E458" s="117">
        <v>4390.7216583426298</v>
      </c>
      <c r="F458" s="117">
        <v>1101.1149086216499</v>
      </c>
      <c r="G458" s="117">
        <v>1008.66088682338</v>
      </c>
      <c r="H458" s="117">
        <v>235.11665314592599</v>
      </c>
      <c r="I458" s="117">
        <v>813.27022276088098</v>
      </c>
      <c r="J458" s="117">
        <v>616.19886437988202</v>
      </c>
      <c r="K458" s="117">
        <v>1444.5902142857099</v>
      </c>
      <c r="L458" s="577">
        <f t="shared" si="164"/>
        <v>9609.6734083600586</v>
      </c>
      <c r="N458" s="178" t="s">
        <v>146</v>
      </c>
      <c r="O458" s="178" t="s">
        <v>162</v>
      </c>
      <c r="P458" s="473">
        <f t="shared" ref="P458:X459" si="165">C494</f>
        <v>386645.02583217225</v>
      </c>
      <c r="Q458" s="473">
        <f t="shared" si="165"/>
        <v>137726.84559639869</v>
      </c>
      <c r="R458" s="473">
        <f t="shared" si="165"/>
        <v>524371.87142857094</v>
      </c>
      <c r="S458" s="473">
        <f t="shared" si="165"/>
        <v>216870.633142857</v>
      </c>
      <c r="T458" s="473">
        <f t="shared" si="165"/>
        <v>94364.583078124997</v>
      </c>
      <c r="U458" s="473">
        <f t="shared" si="165"/>
        <v>15105.1788035714</v>
      </c>
      <c r="V458" s="473">
        <f t="shared" si="165"/>
        <v>70055.803290178592</v>
      </c>
      <c r="W458" s="473">
        <f t="shared" si="165"/>
        <v>13677.0256520647</v>
      </c>
      <c r="X458" s="473">
        <f t="shared" si="165"/>
        <v>115894.873285714</v>
      </c>
      <c r="Y458" s="283"/>
    </row>
    <row r="459" spans="1:25" outlineLevel="1" x14ac:dyDescent="0.15">
      <c r="A459" s="119">
        <f t="shared" ref="A459:A460" si="166">$A$243</f>
        <v>2015</v>
      </c>
      <c r="B459" s="117" t="s">
        <v>157</v>
      </c>
      <c r="C459" s="179">
        <f>E459*VLOOKUP($B459,'Offroad Allocation'!$B$4:$G$15,5,0)</f>
        <v>4452357.9414240131</v>
      </c>
      <c r="D459" s="356">
        <f>E459-C459</f>
        <v>8610084.7634024359</v>
      </c>
      <c r="E459" s="117">
        <v>13062442.70482645</v>
      </c>
      <c r="F459" s="117">
        <v>3346486.9384757155</v>
      </c>
      <c r="G459" s="117">
        <v>1781175.9904788996</v>
      </c>
      <c r="H459" s="117">
        <v>103480.43600125937</v>
      </c>
      <c r="I459" s="117">
        <v>2541095.0940130381</v>
      </c>
      <c r="J459" s="117">
        <v>1324018.5977960003</v>
      </c>
      <c r="K459" s="117">
        <v>1221649.9056527549</v>
      </c>
      <c r="L459" s="577">
        <f>SUM(E459:K459)</f>
        <v>23380349.667244118</v>
      </c>
      <c r="N459" s="178" t="s">
        <v>146</v>
      </c>
      <c r="O459" s="178" t="s">
        <v>163</v>
      </c>
      <c r="P459" s="473">
        <f t="shared" si="165"/>
        <v>122859.0129606938</v>
      </c>
      <c r="Q459" s="473">
        <f t="shared" si="165"/>
        <v>113120.3781821632</v>
      </c>
      <c r="R459" s="473">
        <f t="shared" si="165"/>
        <v>235979.391142857</v>
      </c>
      <c r="S459" s="473">
        <f t="shared" si="165"/>
        <v>41039.868931919598</v>
      </c>
      <c r="T459" s="473">
        <f t="shared" si="165"/>
        <v>20519.947258370499</v>
      </c>
      <c r="U459" s="473">
        <f t="shared" si="165"/>
        <v>41039.868931919598</v>
      </c>
      <c r="V459" s="473">
        <f t="shared" si="165"/>
        <v>123119.636678571</v>
      </c>
      <c r="W459" s="473">
        <f t="shared" si="165"/>
        <v>30779.899670758899</v>
      </c>
      <c r="X459" s="473">
        <f t="shared" si="165"/>
        <v>51299.823133928498</v>
      </c>
      <c r="Y459" s="283"/>
    </row>
    <row r="460" spans="1:25" outlineLevel="1" x14ac:dyDescent="0.15">
      <c r="A460" s="119">
        <f t="shared" si="166"/>
        <v>2015</v>
      </c>
      <c r="B460" s="170" t="s">
        <v>158</v>
      </c>
      <c r="C460" s="179">
        <f>E460*VLOOKUP($B460,'Offroad Allocation'!$B$4:$G$15,5,0)</f>
        <v>58289.704732833641</v>
      </c>
      <c r="D460" s="356">
        <f>E460-C460</f>
        <v>112722.13626716635</v>
      </c>
      <c r="E460" s="117">
        <v>171011.84099999999</v>
      </c>
      <c r="F460" s="117">
        <v>139659.693</v>
      </c>
      <c r="G460" s="117">
        <v>17101.1841015625</v>
      </c>
      <c r="H460" s="117">
        <v>0</v>
      </c>
      <c r="I460" s="117">
        <v>111157.704</v>
      </c>
      <c r="J460" s="117">
        <v>0</v>
      </c>
      <c r="K460" s="117">
        <v>171011.84099999999</v>
      </c>
      <c r="L460" s="577">
        <f t="shared" ref="L460:L461" si="167">SUM(E460:K460)</f>
        <v>609942.26310156251</v>
      </c>
      <c r="N460" s="178" t="s">
        <v>462</v>
      </c>
      <c r="O460" s="178" t="s">
        <v>155</v>
      </c>
      <c r="P460" s="473">
        <f t="shared" ref="P460:X466" si="168">C547</f>
        <v>0</v>
      </c>
      <c r="Q460" s="473">
        <f t="shared" si="168"/>
        <v>67.636882182530002</v>
      </c>
      <c r="R460" s="473">
        <f t="shared" si="168"/>
        <v>67.636882182530002</v>
      </c>
      <c r="S460" s="473">
        <f t="shared" si="168"/>
        <v>22.7142978172302</v>
      </c>
      <c r="T460" s="473">
        <f t="shared" si="168"/>
        <v>811.98064449637195</v>
      </c>
      <c r="U460" s="473">
        <f t="shared" si="168"/>
        <v>711.01103302873798</v>
      </c>
      <c r="V460" s="473">
        <f t="shared" si="168"/>
        <v>134.722335987636</v>
      </c>
      <c r="W460" s="473">
        <f t="shared" si="168"/>
        <v>915.61574661690804</v>
      </c>
      <c r="X460" s="473">
        <f t="shared" si="168"/>
        <v>1107.2164729701399</v>
      </c>
      <c r="Y460" s="283"/>
    </row>
    <row r="461" spans="1:25" outlineLevel="1" x14ac:dyDescent="0.15">
      <c r="A461" s="66"/>
      <c r="B461" s="171" t="s">
        <v>88</v>
      </c>
      <c r="C461" s="357">
        <f t="shared" ref="C461:K461" si="169">SUM(C456:C460)</f>
        <v>6595658.4088449534</v>
      </c>
      <c r="D461" s="357">
        <f t="shared" si="169"/>
        <v>12758396.052751403</v>
      </c>
      <c r="E461" s="357">
        <f t="shared" si="169"/>
        <v>19354054.461596355</v>
      </c>
      <c r="F461" s="357">
        <f t="shared" si="169"/>
        <v>5705438.4203879945</v>
      </c>
      <c r="G461" s="357">
        <f t="shared" si="169"/>
        <v>2454497.1747560767</v>
      </c>
      <c r="H461" s="357">
        <f t="shared" si="169"/>
        <v>193134.49898424349</v>
      </c>
      <c r="I461" s="357">
        <f t="shared" si="169"/>
        <v>3703204.3118953668</v>
      </c>
      <c r="J461" s="357">
        <f t="shared" si="169"/>
        <v>1757209.8853455163</v>
      </c>
      <c r="K461" s="357">
        <f t="shared" si="169"/>
        <v>1955393.0364230699</v>
      </c>
      <c r="L461" s="357">
        <f t="shared" si="167"/>
        <v>35122931.789388619</v>
      </c>
      <c r="N461" s="178" t="s">
        <v>462</v>
      </c>
      <c r="O461" s="178" t="s">
        <v>104</v>
      </c>
      <c r="P461" s="473">
        <f t="shared" si="168"/>
        <v>268890.91073037504</v>
      </c>
      <c r="Q461" s="473">
        <f t="shared" si="168"/>
        <v>519988.18692383409</v>
      </c>
      <c r="R461" s="473">
        <f t="shared" si="168"/>
        <v>788879.09765420912</v>
      </c>
      <c r="S461" s="473">
        <f t="shared" si="168"/>
        <v>286118.76355038799</v>
      </c>
      <c r="T461" s="473">
        <f t="shared" si="168"/>
        <v>79072.52495573202</v>
      </c>
      <c r="U461" s="473">
        <f t="shared" si="168"/>
        <v>6735.467327982351</v>
      </c>
      <c r="V461" s="473">
        <f t="shared" si="168"/>
        <v>134616.99158337835</v>
      </c>
      <c r="W461" s="473">
        <f t="shared" si="168"/>
        <v>49639.377239762915</v>
      </c>
      <c r="X461" s="473">
        <f t="shared" si="168"/>
        <v>64955.759582218663</v>
      </c>
    </row>
    <row r="462" spans="1:25" outlineLevel="1" x14ac:dyDescent="0.15">
      <c r="A462" s="66"/>
      <c r="B462" s="101" t="s">
        <v>460</v>
      </c>
      <c r="C462" s="66"/>
      <c r="D462" s="66"/>
      <c r="E462" s="66"/>
      <c r="F462" s="66"/>
      <c r="G462" s="66"/>
      <c r="H462" s="66"/>
      <c r="N462" s="178" t="s">
        <v>462</v>
      </c>
      <c r="O462" s="178" t="s">
        <v>156</v>
      </c>
      <c r="P462" s="473">
        <f t="shared" si="168"/>
        <v>207746.58405879757</v>
      </c>
      <c r="Q462" s="473">
        <f t="shared" si="168"/>
        <v>401745.70903467503</v>
      </c>
      <c r="R462" s="473">
        <f t="shared" si="168"/>
        <v>609492.2930934726</v>
      </c>
      <c r="S462" s="473">
        <f t="shared" si="168"/>
        <v>152849.75879174058</v>
      </c>
      <c r="T462" s="473">
        <f t="shared" si="168"/>
        <v>140015.96233247203</v>
      </c>
      <c r="U462" s="473">
        <f t="shared" si="168"/>
        <v>32637.404865379569</v>
      </c>
      <c r="V462" s="473">
        <f t="shared" si="168"/>
        <v>112892.91209606001</v>
      </c>
      <c r="W462" s="473">
        <f t="shared" si="168"/>
        <v>85536.807852558602</v>
      </c>
      <c r="X462" s="473">
        <f t="shared" si="168"/>
        <v>200528.75543216727</v>
      </c>
    </row>
    <row r="463" spans="1:25" outlineLevel="1" x14ac:dyDescent="0.15">
      <c r="A463" s="66"/>
      <c r="B463" s="101"/>
      <c r="C463" s="66"/>
      <c r="D463" s="66"/>
      <c r="E463" s="66"/>
      <c r="F463" s="66"/>
      <c r="G463" s="66"/>
      <c r="H463" s="66"/>
      <c r="N463" s="178" t="s">
        <v>462</v>
      </c>
      <c r="O463" s="178" t="s">
        <v>157</v>
      </c>
      <c r="P463" s="473">
        <f t="shared" si="168"/>
        <v>4882.9074452006507</v>
      </c>
      <c r="Q463" s="473">
        <f t="shared" si="168"/>
        <v>9442.6925121792701</v>
      </c>
      <c r="R463" s="473">
        <f t="shared" si="168"/>
        <v>14325.59995737992</v>
      </c>
      <c r="S463" s="473">
        <f t="shared" si="168"/>
        <v>3672.5150475986948</v>
      </c>
      <c r="T463" s="473">
        <f t="shared" si="168"/>
        <v>1954.9569320286298</v>
      </c>
      <c r="U463" s="473">
        <f t="shared" si="168"/>
        <v>113.38432805742451</v>
      </c>
      <c r="V463" s="473">
        <f t="shared" si="168"/>
        <v>2788.7848802315752</v>
      </c>
      <c r="W463" s="473">
        <f t="shared" si="168"/>
        <v>1453.462337873184</v>
      </c>
      <c r="X463" s="473">
        <f t="shared" si="168"/>
        <v>1339.4867906886486</v>
      </c>
    </row>
    <row r="464" spans="1:25" outlineLevel="1" x14ac:dyDescent="0.15">
      <c r="A464" s="66"/>
      <c r="B464" s="82" t="s">
        <v>463</v>
      </c>
      <c r="C464" s="69"/>
      <c r="D464" s="66"/>
      <c r="E464" s="66"/>
      <c r="F464" s="66"/>
      <c r="G464" s="66"/>
      <c r="H464" s="66"/>
      <c r="N464" s="178" t="s">
        <v>462</v>
      </c>
      <c r="O464" s="178" t="s">
        <v>160</v>
      </c>
      <c r="P464" s="473">
        <f t="shared" si="168"/>
        <v>2128277.998500519</v>
      </c>
      <c r="Q464" s="473">
        <f t="shared" si="168"/>
        <v>6733302.0480729453</v>
      </c>
      <c r="R464" s="473">
        <f t="shared" si="168"/>
        <v>8861580.0465734638</v>
      </c>
      <c r="S464" s="473">
        <f t="shared" si="168"/>
        <v>4335043.1960172895</v>
      </c>
      <c r="T464" s="473">
        <f t="shared" si="168"/>
        <v>2247867.2316612098</v>
      </c>
      <c r="U464" s="473">
        <f t="shared" si="168"/>
        <v>199878.95127146176</v>
      </c>
      <c r="V464" s="473">
        <f t="shared" si="168"/>
        <v>3826878.8606437882</v>
      </c>
      <c r="W464" s="473">
        <f t="shared" si="168"/>
        <v>1050446.6330349578</v>
      </c>
      <c r="X464" s="473">
        <f t="shared" si="168"/>
        <v>1727618.8503917691</v>
      </c>
    </row>
    <row r="465" spans="1:24" ht="15" outlineLevel="1" x14ac:dyDescent="0.15">
      <c r="A465" s="66"/>
      <c r="B465" s="83" t="s">
        <v>459</v>
      </c>
      <c r="C465" s="83" t="s">
        <v>58</v>
      </c>
      <c r="D465" s="83" t="s">
        <v>100</v>
      </c>
      <c r="E465" s="83" t="s">
        <v>59</v>
      </c>
      <c r="F465" s="83" t="s">
        <v>60</v>
      </c>
      <c r="G465" s="83" t="s">
        <v>62</v>
      </c>
      <c r="H465" s="83" t="s">
        <v>61</v>
      </c>
      <c r="I465" s="83" t="s">
        <v>63</v>
      </c>
      <c r="J465" s="83" t="s">
        <v>64</v>
      </c>
      <c r="K465" s="83" t="s">
        <v>65</v>
      </c>
      <c r="L465" s="83" t="s">
        <v>66</v>
      </c>
      <c r="N465" s="178" t="s">
        <v>462</v>
      </c>
      <c r="O465" s="178" t="s">
        <v>161</v>
      </c>
      <c r="P465" s="473">
        <f t="shared" si="168"/>
        <v>0</v>
      </c>
      <c r="Q465" s="473">
        <f t="shared" si="168"/>
        <v>3978.5661967075898</v>
      </c>
      <c r="R465" s="473">
        <f t="shared" si="168"/>
        <v>3978.5661967075898</v>
      </c>
      <c r="S465" s="473">
        <f t="shared" si="168"/>
        <v>645.48691144670693</v>
      </c>
      <c r="T465" s="473">
        <f t="shared" si="168"/>
        <v>978.32503267996594</v>
      </c>
      <c r="U465" s="473">
        <f t="shared" si="168"/>
        <v>1717.84394328962</v>
      </c>
      <c r="V465" s="473">
        <f t="shared" si="168"/>
        <v>2372.7055478515604</v>
      </c>
      <c r="W465" s="473">
        <f t="shared" si="168"/>
        <v>5688.6658563057999</v>
      </c>
      <c r="X465" s="473">
        <f t="shared" si="168"/>
        <v>5960.64244419642</v>
      </c>
    </row>
    <row r="466" spans="1:24" outlineLevel="1" x14ac:dyDescent="0.15">
      <c r="A466" s="66"/>
      <c r="B466" s="117" t="s">
        <v>155</v>
      </c>
      <c r="C466" s="179">
        <f>E466*VLOOKUP($B466,'Offroad Allocation'!$B$4:$G$15,5,0)</f>
        <v>0</v>
      </c>
      <c r="D466" s="356">
        <f>E466-C466</f>
        <v>119.11093994099687</v>
      </c>
      <c r="E466" s="117">
        <v>119.11093994099687</v>
      </c>
      <c r="F466" s="117">
        <v>40.000724478210643</v>
      </c>
      <c r="G466" s="117">
        <v>1429.9283219233866</v>
      </c>
      <c r="H466" s="117">
        <v>1252.1171938558291</v>
      </c>
      <c r="I466" s="117">
        <v>237.25095829207493</v>
      </c>
      <c r="J466" s="117">
        <v>1612.433431308197</v>
      </c>
      <c r="K466" s="117">
        <v>1949.8494112314468</v>
      </c>
      <c r="L466" s="577">
        <f>SUM(E466:K466)</f>
        <v>6640.6909810301413</v>
      </c>
      <c r="N466" s="178" t="s">
        <v>462</v>
      </c>
      <c r="O466" s="178" t="s">
        <v>163</v>
      </c>
      <c r="P466" s="473">
        <f t="shared" si="168"/>
        <v>562540.97756078234</v>
      </c>
      <c r="Q466" s="473">
        <f t="shared" si="168"/>
        <v>517950.18201064458</v>
      </c>
      <c r="R466" s="473">
        <f t="shared" si="168"/>
        <v>1080491.1595714269</v>
      </c>
      <c r="S466" s="473">
        <f t="shared" si="168"/>
        <v>187911.42904464231</v>
      </c>
      <c r="T466" s="473">
        <f t="shared" si="168"/>
        <v>93955.775458147196</v>
      </c>
      <c r="U466" s="473">
        <f t="shared" si="168"/>
        <v>3255290.3719017827</v>
      </c>
      <c r="V466" s="473">
        <f t="shared" si="168"/>
        <v>563734.10125446296</v>
      </c>
      <c r="W466" s="473">
        <f t="shared" si="168"/>
        <v>140933.5983353793</v>
      </c>
      <c r="X466" s="473">
        <f t="shared" si="168"/>
        <v>234889.16950781213</v>
      </c>
    </row>
    <row r="467" spans="1:24" outlineLevel="1" x14ac:dyDescent="0.15">
      <c r="A467" s="66"/>
      <c r="B467" s="117" t="s">
        <v>104</v>
      </c>
      <c r="C467" s="179">
        <f>E467*VLOOKUP($B467,'Offroad Allocation'!$B$4:$G$15,5,0)</f>
        <v>40083.345248509679</v>
      </c>
      <c r="D467" s="356">
        <f t="shared" ref="D467:D468" si="170">E467-C467</f>
        <v>77514.208141138675</v>
      </c>
      <c r="E467" s="117">
        <v>117597.55338964835</v>
      </c>
      <c r="F467" s="117">
        <v>42651.361878766656</v>
      </c>
      <c r="G467" s="117">
        <v>11787.254680629176</v>
      </c>
      <c r="H467" s="117">
        <v>1004.0490953292831</v>
      </c>
      <c r="I467" s="117">
        <v>20067.225332658938</v>
      </c>
      <c r="J467" s="117">
        <v>7399.7118608572691</v>
      </c>
      <c r="K467" s="117">
        <v>9682.8820918404672</v>
      </c>
      <c r="L467" s="577">
        <f t="shared" ref="L467:L468" si="171">SUM(E467:K467)</f>
        <v>210190.03832973013</v>
      </c>
      <c r="N467" s="178" t="s">
        <v>464</v>
      </c>
      <c r="O467" s="178" t="s">
        <v>155</v>
      </c>
      <c r="P467" s="473">
        <f t="shared" ref="P467:P476" si="172">C555</f>
        <v>0</v>
      </c>
      <c r="Q467" s="473">
        <f t="shared" ref="Q467:Q476" si="173">D555</f>
        <v>8366.2972627036143</v>
      </c>
      <c r="R467" s="473">
        <f t="shared" ref="R467:R476" si="174">E555</f>
        <v>8366.2972627036143</v>
      </c>
      <c r="S467" s="473">
        <f t="shared" ref="S467:S476" si="175">F555</f>
        <v>2809.6300839070832</v>
      </c>
      <c r="T467" s="473">
        <f t="shared" ref="T467:T476" si="176">G555</f>
        <v>100437.39520805237</v>
      </c>
      <c r="U467" s="473">
        <f t="shared" ref="U467:U476" si="177">H555</f>
        <v>87948.091735951952</v>
      </c>
      <c r="V467" s="473">
        <f t="shared" ref="V467:V476" si="178">I555</f>
        <v>16664.399943857705</v>
      </c>
      <c r="W467" s="473">
        <f t="shared" ref="W467:W476" si="179">J555</f>
        <v>113256.58129339901</v>
      </c>
      <c r="X467" s="473">
        <f t="shared" ref="X467:X476" si="180">K555</f>
        <v>136956.47629654122</v>
      </c>
    </row>
    <row r="468" spans="1:24" outlineLevel="1" x14ac:dyDescent="0.15">
      <c r="A468" s="66"/>
      <c r="B468" s="117" t="s">
        <v>156</v>
      </c>
      <c r="C468" s="179">
        <f>E468*VLOOKUP($B468,'Offroad Allocation'!$B$4:$G$15,5,0)</f>
        <v>103.26797572193632</v>
      </c>
      <c r="D468" s="356">
        <f t="shared" si="170"/>
        <v>199.70227821047067</v>
      </c>
      <c r="E468" s="117">
        <v>302.97025393240699</v>
      </c>
      <c r="F468" s="117">
        <v>75.979555836268801</v>
      </c>
      <c r="G468" s="117">
        <v>69.599963171822594</v>
      </c>
      <c r="H468" s="117">
        <v>16.223606385912202</v>
      </c>
      <c r="I468" s="117">
        <v>56.117530083792502</v>
      </c>
      <c r="J468" s="117">
        <v>42.519167988368395</v>
      </c>
      <c r="K468" s="117">
        <v>99.680187251499689</v>
      </c>
      <c r="L468" s="577">
        <f t="shared" si="171"/>
        <v>663.09026465007116</v>
      </c>
      <c r="N468" s="178" t="s">
        <v>464</v>
      </c>
      <c r="O468" s="178" t="s">
        <v>159</v>
      </c>
      <c r="P468" s="473">
        <f t="shared" si="172"/>
        <v>242894.69899999999</v>
      </c>
      <c r="Q468" s="473">
        <f t="shared" si="173"/>
        <v>0</v>
      </c>
      <c r="R468" s="473">
        <f t="shared" si="174"/>
        <v>242894.69899999999</v>
      </c>
      <c r="S468" s="473">
        <f t="shared" si="175"/>
        <v>57.183473876953101</v>
      </c>
      <c r="T468" s="473">
        <f t="shared" si="176"/>
        <v>26.041861320495599</v>
      </c>
      <c r="U468" s="473">
        <f t="shared" si="177"/>
        <v>0</v>
      </c>
      <c r="V468" s="473">
        <f t="shared" si="178"/>
        <v>28.754561393737699</v>
      </c>
      <c r="W468" s="473">
        <f t="shared" si="179"/>
        <v>24.9567787704467</v>
      </c>
      <c r="X468" s="473">
        <f t="shared" si="180"/>
        <v>58.594190567016604</v>
      </c>
    </row>
    <row r="469" spans="1:24" outlineLevel="1" x14ac:dyDescent="0.15">
      <c r="A469" s="66"/>
      <c r="B469" s="117" t="s">
        <v>157</v>
      </c>
      <c r="C469" s="179">
        <f>E469*VLOOKUP($B469,'Offroad Allocation'!$B$4:$G$15,5,0)</f>
        <v>168279.00614063494</v>
      </c>
      <c r="D469" s="356">
        <f>E469-C469</f>
        <v>325422.2876583414</v>
      </c>
      <c r="E469" s="117">
        <v>493701.29379897634</v>
      </c>
      <c r="F469" s="117">
        <v>126503.56020562744</v>
      </c>
      <c r="G469" s="117">
        <v>67334.088701132569</v>
      </c>
      <c r="H469" s="117">
        <v>3910.1738707579125</v>
      </c>
      <c r="I469" s="117">
        <v>96059.295806795286</v>
      </c>
      <c r="J469" s="117">
        <v>50054.463745913883</v>
      </c>
      <c r="K469" s="117">
        <v>46170.164691527156</v>
      </c>
      <c r="L469" s="577">
        <f>SUM(E469:K469)</f>
        <v>883733.04082073062</v>
      </c>
      <c r="N469" s="178" t="s">
        <v>464</v>
      </c>
      <c r="O469" s="178" t="s">
        <v>104</v>
      </c>
      <c r="P469" s="473">
        <f t="shared" si="172"/>
        <v>13760335.561303655</v>
      </c>
      <c r="Q469" s="473">
        <f t="shared" si="173"/>
        <v>26610092.250982001</v>
      </c>
      <c r="R469" s="473">
        <f t="shared" si="174"/>
        <v>40370427.812285654</v>
      </c>
      <c r="S469" s="473">
        <f t="shared" si="175"/>
        <v>14641944.648142839</v>
      </c>
      <c r="T469" s="473">
        <f t="shared" si="176"/>
        <v>4046486.2552912855</v>
      </c>
      <c r="U469" s="473">
        <f t="shared" si="177"/>
        <v>344682.97536579199</v>
      </c>
      <c r="V469" s="473">
        <f t="shared" si="178"/>
        <v>6888943.9565714123</v>
      </c>
      <c r="W469" s="473">
        <f t="shared" si="179"/>
        <v>2540268.5484732045</v>
      </c>
      <c r="X469" s="473">
        <f t="shared" si="180"/>
        <v>3324068.0105870436</v>
      </c>
    </row>
    <row r="470" spans="1:24" outlineLevel="1" x14ac:dyDescent="0.15">
      <c r="A470" s="66"/>
      <c r="B470" s="170" t="s">
        <v>158</v>
      </c>
      <c r="C470" s="179">
        <f>E470*VLOOKUP($B470,'Offroad Allocation'!$B$4:$G$15,5,0)</f>
        <v>258.56390786642191</v>
      </c>
      <c r="D470" s="356">
        <f>E470-C470</f>
        <v>500.01756210428107</v>
      </c>
      <c r="E470" s="117">
        <v>758.58146997070298</v>
      </c>
      <c r="F470" s="117">
        <v>619.50773840331999</v>
      </c>
      <c r="G470" s="117">
        <v>75.858148178100492</v>
      </c>
      <c r="H470" s="117">
        <v>0</v>
      </c>
      <c r="I470" s="117">
        <v>493.07778527831999</v>
      </c>
      <c r="J470" s="117">
        <v>0</v>
      </c>
      <c r="K470" s="117">
        <v>758.58146997070298</v>
      </c>
      <c r="L470" s="577">
        <f t="shared" ref="L470:L471" si="181">SUM(E470:K470)</f>
        <v>2705.6066118011463</v>
      </c>
      <c r="N470" s="178" t="s">
        <v>464</v>
      </c>
      <c r="O470" s="178" t="s">
        <v>156</v>
      </c>
      <c r="P470" s="473">
        <f t="shared" si="172"/>
        <v>1302145.4028143634</v>
      </c>
      <c r="Q470" s="473">
        <f t="shared" si="173"/>
        <v>2518122.4061515229</v>
      </c>
      <c r="R470" s="473">
        <f t="shared" si="174"/>
        <v>3820267.8089658865</v>
      </c>
      <c r="S470" s="473">
        <f t="shared" si="175"/>
        <v>958054.46276750695</v>
      </c>
      <c r="T470" s="473">
        <f t="shared" si="176"/>
        <v>877612.37154856476</v>
      </c>
      <c r="U470" s="473">
        <f t="shared" si="177"/>
        <v>204569.52221242141</v>
      </c>
      <c r="V470" s="473">
        <f t="shared" si="178"/>
        <v>707606.90430214931</v>
      </c>
      <c r="W470" s="473">
        <f t="shared" si="179"/>
        <v>536140.29793891183</v>
      </c>
      <c r="X470" s="473">
        <f t="shared" si="180"/>
        <v>1256904.4333626686</v>
      </c>
    </row>
    <row r="471" spans="1:24" outlineLevel="1" x14ac:dyDescent="0.15">
      <c r="A471" s="66"/>
      <c r="B471" s="171" t="s">
        <v>88</v>
      </c>
      <c r="C471" s="357">
        <f t="shared" ref="C471:K471" si="182">SUM(C466:C470)</f>
        <v>208724.18327273297</v>
      </c>
      <c r="D471" s="357">
        <f t="shared" si="182"/>
        <v>403755.32657973585</v>
      </c>
      <c r="E471" s="357">
        <f t="shared" si="182"/>
        <v>612479.50985246885</v>
      </c>
      <c r="F471" s="357">
        <f t="shared" si="182"/>
        <v>169890.41010311188</v>
      </c>
      <c r="G471" s="357">
        <f t="shared" si="182"/>
        <v>80696.729815035054</v>
      </c>
      <c r="H471" s="357">
        <f t="shared" si="182"/>
        <v>6182.5637663289363</v>
      </c>
      <c r="I471" s="357">
        <f t="shared" si="182"/>
        <v>116912.96741310842</v>
      </c>
      <c r="J471" s="357">
        <f t="shared" si="182"/>
        <v>59109.128206067719</v>
      </c>
      <c r="K471" s="357">
        <f t="shared" si="182"/>
        <v>58661.15785182127</v>
      </c>
      <c r="L471" s="357">
        <f t="shared" si="181"/>
        <v>1103932.467007942</v>
      </c>
      <c r="N471" s="178" t="s">
        <v>464</v>
      </c>
      <c r="O471" s="178" t="s">
        <v>157</v>
      </c>
      <c r="P471" s="473">
        <f t="shared" si="172"/>
        <v>3414774.6976910951</v>
      </c>
      <c r="Q471" s="473">
        <f t="shared" si="173"/>
        <v>6603579.4924517395</v>
      </c>
      <c r="R471" s="473">
        <f t="shared" si="174"/>
        <v>10018354.190142835</v>
      </c>
      <c r="S471" s="473">
        <f t="shared" si="175"/>
        <v>2564739.9371665665</v>
      </c>
      <c r="T471" s="473">
        <f t="shared" si="176"/>
        <v>1364890.6080016713</v>
      </c>
      <c r="U471" s="473">
        <f t="shared" si="177"/>
        <v>79445.127185738471</v>
      </c>
      <c r="V471" s="473">
        <f t="shared" si="178"/>
        <v>1947387.2326668508</v>
      </c>
      <c r="W471" s="473">
        <f t="shared" si="179"/>
        <v>1014369.4664577963</v>
      </c>
      <c r="X471" s="473">
        <f t="shared" si="180"/>
        <v>937185.24474971893</v>
      </c>
    </row>
    <row r="472" spans="1:24" outlineLevel="1" x14ac:dyDescent="0.15">
      <c r="A472" s="66"/>
      <c r="B472" s="101" t="s">
        <v>460</v>
      </c>
      <c r="C472" s="66"/>
      <c r="D472" s="66"/>
      <c r="E472" s="66"/>
      <c r="F472" s="66"/>
      <c r="G472" s="66"/>
      <c r="H472" s="66"/>
      <c r="N472" s="178" t="s">
        <v>464</v>
      </c>
      <c r="O472" s="178" t="s">
        <v>160</v>
      </c>
      <c r="P472" s="473">
        <f t="shared" si="172"/>
        <v>20069697.793428011</v>
      </c>
      <c r="Q472" s="473">
        <f t="shared" si="173"/>
        <v>63495153.054207988</v>
      </c>
      <c r="R472" s="473">
        <f t="shared" si="174"/>
        <v>83564850.847635999</v>
      </c>
      <c r="S472" s="473">
        <f t="shared" si="175"/>
        <v>37041508.762659945</v>
      </c>
      <c r="T472" s="473">
        <f t="shared" si="176"/>
        <v>19044398.54848427</v>
      </c>
      <c r="U472" s="473">
        <f t="shared" si="177"/>
        <v>1745391.925573851</v>
      </c>
      <c r="V472" s="473">
        <f t="shared" si="178"/>
        <v>32310416.856016293</v>
      </c>
      <c r="W472" s="473">
        <f t="shared" si="179"/>
        <v>9065858.2259863429</v>
      </c>
      <c r="X472" s="473">
        <f t="shared" si="180"/>
        <v>15064567.145359559</v>
      </c>
    </row>
    <row r="473" spans="1:24" outlineLevel="1" x14ac:dyDescent="0.15">
      <c r="A473" s="66"/>
      <c r="B473" s="101"/>
      <c r="C473" s="66"/>
      <c r="D473" s="66"/>
      <c r="E473" s="66"/>
      <c r="F473" s="66"/>
      <c r="G473" s="66"/>
      <c r="H473" s="66"/>
      <c r="N473" s="178" t="s">
        <v>464</v>
      </c>
      <c r="O473" s="178" t="s">
        <v>161</v>
      </c>
      <c r="P473" s="473">
        <f t="shared" si="172"/>
        <v>0</v>
      </c>
      <c r="Q473" s="473">
        <f t="shared" si="173"/>
        <v>11787.410332096551</v>
      </c>
      <c r="R473" s="473">
        <f t="shared" si="174"/>
        <v>11787.410332096551</v>
      </c>
      <c r="S473" s="473">
        <f t="shared" si="175"/>
        <v>1912.3995758688743</v>
      </c>
      <c r="T473" s="473">
        <f t="shared" si="176"/>
        <v>2898.5092448730416</v>
      </c>
      <c r="U473" s="473">
        <f t="shared" si="177"/>
        <v>5089.5024213474799</v>
      </c>
      <c r="V473" s="473">
        <f t="shared" si="178"/>
        <v>7029.6866151340928</v>
      </c>
      <c r="W473" s="473">
        <f t="shared" si="179"/>
        <v>16853.988319117947</v>
      </c>
      <c r="X473" s="473">
        <f t="shared" si="180"/>
        <v>17659.750382917053</v>
      </c>
    </row>
    <row r="474" spans="1:24" outlineLevel="1" x14ac:dyDescent="0.15">
      <c r="A474" s="66"/>
      <c r="B474" s="82" t="s">
        <v>465</v>
      </c>
      <c r="C474" s="66"/>
      <c r="D474" s="66"/>
      <c r="E474" s="66"/>
      <c r="F474" s="66"/>
      <c r="G474" s="66"/>
      <c r="H474" s="66"/>
      <c r="N474" s="178" t="s">
        <v>464</v>
      </c>
      <c r="O474" s="178" t="s">
        <v>158</v>
      </c>
      <c r="P474" s="473">
        <f t="shared" si="172"/>
        <v>27698.641256762501</v>
      </c>
      <c r="Q474" s="473">
        <f t="shared" si="173"/>
        <v>53564.3477432375</v>
      </c>
      <c r="R474" s="473">
        <f t="shared" si="174"/>
        <v>81262.989000000001</v>
      </c>
      <c r="S474" s="473">
        <f t="shared" si="175"/>
        <v>66364.777000000002</v>
      </c>
      <c r="T474" s="473">
        <f t="shared" si="176"/>
        <v>8126.2988652343702</v>
      </c>
      <c r="U474" s="473">
        <f t="shared" si="177"/>
        <v>0</v>
      </c>
      <c r="V474" s="473">
        <f t="shared" si="178"/>
        <v>52820.959000000003</v>
      </c>
      <c r="W474" s="473">
        <f t="shared" si="179"/>
        <v>0</v>
      </c>
      <c r="X474" s="473">
        <f t="shared" si="180"/>
        <v>81262.989000000001</v>
      </c>
    </row>
    <row r="475" spans="1:24" ht="14.5" customHeight="1" outlineLevel="1" x14ac:dyDescent="0.15">
      <c r="A475" s="66"/>
      <c r="B475" s="83" t="s">
        <v>459</v>
      </c>
      <c r="C475" s="83" t="s">
        <v>58</v>
      </c>
      <c r="D475" s="83" t="s">
        <v>100</v>
      </c>
      <c r="E475" s="83" t="s">
        <v>59</v>
      </c>
      <c r="F475" s="83" t="s">
        <v>60</v>
      </c>
      <c r="G475" s="83" t="s">
        <v>62</v>
      </c>
      <c r="H475" s="83" t="s">
        <v>61</v>
      </c>
      <c r="I475" s="83" t="s">
        <v>63</v>
      </c>
      <c r="J475" s="83" t="s">
        <v>64</v>
      </c>
      <c r="K475" s="83" t="s">
        <v>65</v>
      </c>
      <c r="N475" s="178" t="s">
        <v>464</v>
      </c>
      <c r="O475" s="178" t="s">
        <v>162</v>
      </c>
      <c r="P475" s="473">
        <f t="shared" si="172"/>
        <v>22701.303178373735</v>
      </c>
      <c r="Q475" s="473">
        <f t="shared" si="173"/>
        <v>8086.4324349074668</v>
      </c>
      <c r="R475" s="473">
        <f t="shared" si="174"/>
        <v>30787.735613281202</v>
      </c>
      <c r="S475" s="473">
        <f t="shared" si="175"/>
        <v>12733.3048523995</v>
      </c>
      <c r="T475" s="473">
        <f t="shared" si="176"/>
        <v>5540.5036205357101</v>
      </c>
      <c r="U475" s="473">
        <f t="shared" si="177"/>
        <v>886.88149190848208</v>
      </c>
      <c r="V475" s="473">
        <f t="shared" si="178"/>
        <v>4113.2317658342599</v>
      </c>
      <c r="W475" s="473">
        <f t="shared" si="179"/>
        <v>803.02944955008297</v>
      </c>
      <c r="X475" s="473">
        <f t="shared" si="180"/>
        <v>6804.6400722656199</v>
      </c>
    </row>
    <row r="476" spans="1:24" outlineLevel="1" x14ac:dyDescent="0.15">
      <c r="A476" s="66"/>
      <c r="B476" s="117" t="s">
        <v>155</v>
      </c>
      <c r="C476" s="234">
        <f>C446*'Constants &amp; Conversions'!$D$58/'Constants &amp; Conversions'!$D$59/1000000*'Constants &amp; Conversions'!$D$38</f>
        <v>0</v>
      </c>
      <c r="D476" s="234">
        <f>D446*'Constants &amp; Conversions'!$D$58/'Constants &amp; Conversions'!$D$59/1000000*'Constants &amp; Conversions'!$D$38</f>
        <v>675.71320842576813</v>
      </c>
      <c r="E476" s="234">
        <f>E446*'Constants &amp; Conversions'!$D$58/'Constants &amp; Conversions'!$D$59/1000000*'Constants &amp; Conversions'!$D$38</f>
        <v>675.71320842576813</v>
      </c>
      <c r="F476" s="234">
        <f>F446*'Constants &amp; Conversions'!$D$58/'Constants &amp; Conversions'!$D$59/1000000*'Constants &amp; Conversions'!$D$38</f>
        <v>226.92278145893198</v>
      </c>
      <c r="G476" s="234">
        <f>G446*'Constants &amp; Conversions'!$D$58/'Constants &amp; Conversions'!$D$59/1000000*'Constants &amp; Conversions'!$D$38</f>
        <v>8111.9446436032813</v>
      </c>
      <c r="H476" s="234">
        <f>H446*'Constants &amp; Conversions'!$D$58/'Constants &amp; Conversions'!$D$59/1000000*'Constants &amp; Conversions'!$D$38</f>
        <v>7103.2263164042251</v>
      </c>
      <c r="I476" s="234">
        <f>I446*'Constants &amp; Conversions'!$D$58/'Constants &amp; Conversions'!$D$59/1000000*'Constants &amp; Conversions'!$D$38</f>
        <v>1345.9201473879461</v>
      </c>
      <c r="J476" s="234">
        <f>J446*'Constants &amp; Conversions'!$D$58/'Constants &amp; Conversions'!$D$59/1000000*'Constants &amp; Conversions'!$D$38</f>
        <v>9147.290737544321</v>
      </c>
      <c r="K476" s="234">
        <f>K446*'Constants &amp; Conversions'!$D$58/'Constants &amp; Conversions'!$D$59/1000000*'Constants &amp; Conversions'!$D$38</f>
        <v>11061.44758608488</v>
      </c>
      <c r="N476" s="178" t="s">
        <v>464</v>
      </c>
      <c r="O476" s="178" t="s">
        <v>163</v>
      </c>
      <c r="P476" s="473">
        <f t="shared" si="172"/>
        <v>2090480.4477628178</v>
      </c>
      <c r="Q476" s="473">
        <f t="shared" si="173"/>
        <v>1924774.8548086041</v>
      </c>
      <c r="R476" s="473">
        <f t="shared" si="174"/>
        <v>4015255.302571422</v>
      </c>
      <c r="S476" s="473">
        <f t="shared" si="175"/>
        <v>992488.57762444159</v>
      </c>
      <c r="T476" s="473">
        <f t="shared" si="176"/>
        <v>519902.32909905037</v>
      </c>
      <c r="U476" s="473">
        <f t="shared" si="177"/>
        <v>424694.43847321387</v>
      </c>
      <c r="V476" s="473">
        <f t="shared" si="178"/>
        <v>1960166.7566964268</v>
      </c>
      <c r="W476" s="473">
        <f t="shared" si="179"/>
        <v>756195.10702120385</v>
      </c>
      <c r="X476" s="473">
        <f t="shared" si="180"/>
        <v>921226.00683258753</v>
      </c>
    </row>
    <row r="477" spans="1:24" outlineLevel="1" x14ac:dyDescent="0.15">
      <c r="A477" s="66"/>
      <c r="B477" s="117" t="s">
        <v>104</v>
      </c>
      <c r="C477" s="234">
        <f>C447*'Constants &amp; Conversions'!$D$58/'Constants &amp; Conversions'!$D$59/1000000*'Constants &amp; Conversions'!$D$38</f>
        <v>381950.3474019065</v>
      </c>
      <c r="D477" s="234">
        <f>D447*'Constants &amp; Conversions'!$D$58/'Constants &amp; Conversions'!$D$59/1000000*'Constants &amp; Conversions'!$D$38</f>
        <v>738625.44517020811</v>
      </c>
      <c r="E477" s="234">
        <f>E447*'Constants &amp; Conversions'!$D$58/'Constants &amp; Conversions'!$D$59/1000000*'Constants &amp; Conversions'!$D$38</f>
        <v>1120575.7925721144</v>
      </c>
      <c r="F477" s="234">
        <f>F447*'Constants &amp; Conversions'!$D$58/'Constants &amp; Conversions'!$D$59/1000000*'Constants &amp; Conversions'!$D$38</f>
        <v>406421.92627759033</v>
      </c>
      <c r="G477" s="234">
        <f>G447*'Constants &amp; Conversions'!$D$58/'Constants &amp; Conversions'!$D$59/1000000*'Constants &amp; Conversions'!$D$38</f>
        <v>112319.7430365014</v>
      </c>
      <c r="H477" s="234">
        <f>H447*'Constants &amp; Conversions'!$D$58/'Constants &amp; Conversions'!$D$59/1000000*'Constants &amp; Conversions'!$D$38</f>
        <v>9567.4963641685663</v>
      </c>
      <c r="I477" s="234">
        <f>I447*'Constants &amp; Conversions'!$D$58/'Constants &amp; Conversions'!$D$59/1000000*'Constants &amp; Conversions'!$D$38</f>
        <v>191218.89503056451</v>
      </c>
      <c r="J477" s="234">
        <f>J447*'Constants &amp; Conversions'!$D$58/'Constants &amp; Conversions'!$D$59/1000000*'Constants &amp; Conversions'!$D$38</f>
        <v>70511.156643625669</v>
      </c>
      <c r="K477" s="234">
        <f>K447*'Constants &amp; Conversions'!$D$58/'Constants &amp; Conversions'!$D$59/1000000*'Constants &amp; Conversions'!$D$38</f>
        <v>92267.319083282375</v>
      </c>
    </row>
    <row r="478" spans="1:24" outlineLevel="1" x14ac:dyDescent="0.15">
      <c r="A478" s="66"/>
      <c r="B478" s="117" t="s">
        <v>156</v>
      </c>
      <c r="C478" s="234">
        <f>C448*'Constants &amp; Conversions'!$D$58/'Constants &amp; Conversions'!$D$59/1000000*'Constants &amp; Conversions'!$D$38</f>
        <v>304.35610732030898</v>
      </c>
      <c r="D478" s="234">
        <f>D448*'Constants &amp; Conversions'!$D$58/'Constants &amp; Conversions'!$D$59/1000000*'Constants &amp; Conversions'!$D$38</f>
        <v>588.57169993141542</v>
      </c>
      <c r="E478" s="234">
        <f>E448*'Constants &amp; Conversions'!$D$58/'Constants &amp; Conversions'!$D$59/1000000*'Constants &amp; Conversions'!$D$38</f>
        <v>892.9278072517244</v>
      </c>
      <c r="F478" s="234">
        <f>F448*'Constants &amp; Conversions'!$D$58/'Constants &amp; Conversions'!$D$59/1000000*'Constants &amp; Conversions'!$D$38</f>
        <v>223.93019025473461</v>
      </c>
      <c r="G478" s="234">
        <f>G448*'Constants &amp; Conversions'!$D$58/'Constants &amp; Conversions'!$D$59/1000000*'Constants &amp; Conversions'!$D$38</f>
        <v>205.12794582372314</v>
      </c>
      <c r="H478" s="234">
        <f>H448*'Constants &amp; Conversions'!$D$58/'Constants &amp; Conversions'!$D$59/1000000*'Constants &amp; Conversions'!$D$38</f>
        <v>47.814912264017345</v>
      </c>
      <c r="I478" s="234">
        <f>I448*'Constants &amp; Conversions'!$D$58/'Constants &amp; Conversions'!$D$59/1000000*'Constants &amp; Conversions'!$D$38</f>
        <v>165.39207581541973</v>
      </c>
      <c r="J478" s="234">
        <f>J448*'Constants &amp; Conversions'!$D$58/'Constants &amp; Conversions'!$D$59/1000000*'Constants &amp; Conversions'!$D$38</f>
        <v>125.31423721063378</v>
      </c>
      <c r="K478" s="234">
        <f>K448*'Constants &amp; Conversions'!$D$58/'Constants &amp; Conversions'!$D$59/1000000*'Constants &amp; Conversions'!$D$38</f>
        <v>293.78164316913251</v>
      </c>
    </row>
    <row r="479" spans="1:24" outlineLevel="1" x14ac:dyDescent="0.15">
      <c r="A479" s="66"/>
      <c r="B479" s="117" t="s">
        <v>157</v>
      </c>
      <c r="C479" s="234">
        <f>C449*'Constants &amp; Conversions'!$D$58/'Constants &amp; Conversions'!$D$59/1000000*'Constants &amp; Conversions'!$D$38</f>
        <v>852006.53714388935</v>
      </c>
      <c r="D479" s="234">
        <f>D449*'Constants &amp; Conversions'!$D$58/'Constants &amp; Conversions'!$D$59/1000000*'Constants &amp; Conversions'!$D$38</f>
        <v>1647632.2434749312</v>
      </c>
      <c r="E479" s="234">
        <f>E449*'Constants &amp; Conversions'!$D$58/'Constants &amp; Conversions'!$D$59/1000000*'Constants &amp; Conversions'!$D$38</f>
        <v>2499638.7806188208</v>
      </c>
      <c r="F479" s="234">
        <f>F449*'Constants &amp; Conversions'!$D$58/'Constants &amp; Conversions'!$D$59/1000000*'Constants &amp; Conversions'!$D$38</f>
        <v>640395.55499897175</v>
      </c>
      <c r="G479" s="234">
        <f>G449*'Constants &amp; Conversions'!$D$58/'Constants &amp; Conversions'!$D$59/1000000*'Constants &amp; Conversions'!$D$38</f>
        <v>340852.44853117305</v>
      </c>
      <c r="H479" s="234">
        <f>H449*'Constants &amp; Conversions'!$D$58/'Constants &amp; Conversions'!$D$59/1000000*'Constants &amp; Conversions'!$D$38</f>
        <v>19801.745849110222</v>
      </c>
      <c r="I479" s="234">
        <f>I449*'Constants &amp; Conversions'!$D$58/'Constants &amp; Conversions'!$D$59/1000000*'Constants &amp; Conversions'!$D$38</f>
        <v>486272.81581567932</v>
      </c>
      <c r="J479" s="234">
        <f>J449*'Constants &amp; Conversions'!$D$58/'Constants &amp; Conversions'!$D$59/1000000*'Constants &amp; Conversions'!$D$38</f>
        <v>253370.12210002483</v>
      </c>
      <c r="K479" s="234">
        <f>K449*'Constants &amp; Conversions'!$D$58/'Constants &amp; Conversions'!$D$59/1000000*'Constants &amp; Conversions'!$D$38</f>
        <v>233775.00521628468</v>
      </c>
    </row>
    <row r="480" spans="1:24" outlineLevel="1" x14ac:dyDescent="0.15">
      <c r="A480" s="66"/>
      <c r="B480" s="170" t="s">
        <v>158</v>
      </c>
      <c r="C480" s="234">
        <f>C450*'Constants &amp; Conversions'!$D$58/'Constants &amp; Conversions'!$D$59/1000000*'Constants &amp; Conversions'!$D$38</f>
        <v>10353.188745847106</v>
      </c>
      <c r="D480" s="234">
        <f>D450*'Constants &amp; Conversions'!$D$58/'Constants &amp; Conversions'!$D$59/1000000*'Constants &amp; Conversions'!$D$38</f>
        <v>20021.263754175437</v>
      </c>
      <c r="E480" s="234">
        <f>E450*'Constants &amp; Conversions'!$D$58/'Constants &amp; Conversions'!$D$59/1000000*'Constants &amp; Conversions'!$D$38</f>
        <v>30374.452500022548</v>
      </c>
      <c r="F480" s="234">
        <f>F450*'Constants &amp; Conversions'!$D$58/'Constants &amp; Conversions'!$D$59/1000000*'Constants &amp; Conversions'!$D$38</f>
        <v>24805.838310125109</v>
      </c>
      <c r="G480" s="234">
        <f>G450*'Constants &amp; Conversions'!$D$58/'Constants &amp; Conversions'!$D$59/1000000*'Constants &amp; Conversions'!$D$38</f>
        <v>3037.4452490120502</v>
      </c>
      <c r="H480" s="234">
        <f>H450*'Constants &amp; Conversions'!$D$58/'Constants &amp; Conversions'!$D$59/1000000*'Constants &amp; Conversions'!$D$38</f>
        <v>0</v>
      </c>
      <c r="I480" s="234">
        <f>I450*'Constants &amp; Conversions'!$D$58/'Constants &amp; Conversions'!$D$59/1000000*'Constants &amp; Conversions'!$D$38</f>
        <v>19743.385787144798</v>
      </c>
      <c r="J480" s="234">
        <f>J450*'Constants &amp; Conversions'!$D$58/'Constants &amp; Conversions'!$D$59/1000000*'Constants &amp; Conversions'!$D$38</f>
        <v>0</v>
      </c>
      <c r="K480" s="234">
        <f>K450*'Constants &amp; Conversions'!$D$58/'Constants &amp; Conversions'!$D$59/1000000*'Constants &amp; Conversions'!$D$38</f>
        <v>30374.452500022548</v>
      </c>
      <c r="P480" s="283"/>
      <c r="Q480" s="283"/>
      <c r="R480" s="283"/>
      <c r="S480" s="283"/>
      <c r="T480" s="283"/>
      <c r="U480" s="283"/>
      <c r="V480" s="283"/>
      <c r="W480" s="283"/>
      <c r="X480" s="283"/>
    </row>
    <row r="481" spans="1:24" ht="15" outlineLevel="1" x14ac:dyDescent="0.15">
      <c r="A481" s="66"/>
      <c r="B481" s="171" t="s">
        <v>88</v>
      </c>
      <c r="C481" s="357">
        <f t="shared" ref="C481:K481" si="183">SUM(C476:C480)</f>
        <v>1244614.4293989635</v>
      </c>
      <c r="D481" s="357">
        <f t="shared" si="183"/>
        <v>2407543.2373076719</v>
      </c>
      <c r="E481" s="357">
        <f t="shared" si="183"/>
        <v>3652157.6667066352</v>
      </c>
      <c r="F481" s="357">
        <f t="shared" si="183"/>
        <v>1072074.1725584008</v>
      </c>
      <c r="G481" s="357">
        <f t="shared" si="183"/>
        <v>464526.70940611348</v>
      </c>
      <c r="H481" s="357">
        <f t="shared" si="183"/>
        <v>36520.283441947031</v>
      </c>
      <c r="I481" s="357">
        <f t="shared" si="183"/>
        <v>698746.40885659191</v>
      </c>
      <c r="J481" s="357">
        <f t="shared" si="183"/>
        <v>333153.88371840544</v>
      </c>
      <c r="K481" s="357">
        <f t="shared" si="183"/>
        <v>367772.00602884364</v>
      </c>
      <c r="P481" s="472" t="s">
        <v>466</v>
      </c>
      <c r="Q481" s="472" t="s">
        <v>467</v>
      </c>
      <c r="R481" s="472" t="s">
        <v>468</v>
      </c>
      <c r="S481" s="472" t="s">
        <v>469</v>
      </c>
      <c r="T481" s="472" t="s">
        <v>470</v>
      </c>
      <c r="U481" s="283"/>
      <c r="V481" s="283"/>
      <c r="W481" s="283"/>
      <c r="X481" s="283"/>
    </row>
    <row r="482" spans="1:24" x14ac:dyDescent="0.15">
      <c r="A482" s="66"/>
      <c r="B482" s="66"/>
      <c r="C482" s="69"/>
      <c r="D482" s="66"/>
      <c r="E482" s="66"/>
      <c r="F482" s="66"/>
      <c r="G482" s="66"/>
      <c r="H482" s="66"/>
      <c r="O482" s="178" t="s">
        <v>155</v>
      </c>
      <c r="P482" s="473">
        <f>(SUMIF($B$456:$B$460,O482,$L$456:$L$460)+SUMIF($B$501:$B$510,O482,$L$501:$L$510)+SUMIF($B$571:$B$588,O482,$L$571:$L$588))/'Constants &amp; Conversions'!$D$32</f>
        <v>105919.70582282075</v>
      </c>
      <c r="Q482" s="473">
        <f t="shared" ref="Q482:Q489" si="184">SUMIF($B$466:$B$470,O482,$L$466:$L$470)+SUMIF($B$516:$B$525,O482,$L$516:$L$525)+SUMIF($B$595:$B$612,O482,$L$595:$L$612)</f>
        <v>11624.990153114284</v>
      </c>
      <c r="R482" s="473">
        <f>Q482/'Constants &amp; Conversions'!$D$32*CH4_GWP</f>
        <v>325.49972428719997</v>
      </c>
      <c r="S482" s="473">
        <f>SUMIF('Off-road'!$C$221:$C$252,'Offroad Data'!O482,'Off-road'!$M$221:$M$252)*Global_Warming_Potential_N2O</f>
        <v>2527.9740511079176</v>
      </c>
      <c r="T482" s="610">
        <f t="shared" ref="T482:T489" si="185">P482+R482+S482</f>
        <v>108773.17959821587</v>
      </c>
      <c r="U482" s="283"/>
      <c r="V482" s="283"/>
      <c r="W482" s="283"/>
      <c r="X482" s="283"/>
    </row>
    <row r="483" spans="1:24" ht="18" x14ac:dyDescent="0.2">
      <c r="A483" s="189" t="s">
        <v>146</v>
      </c>
      <c r="B483" s="66"/>
      <c r="C483" s="69"/>
      <c r="D483" s="66"/>
      <c r="E483" s="66"/>
      <c r="F483" s="66"/>
      <c r="G483" s="66"/>
      <c r="H483" s="66"/>
      <c r="O483" s="178" t="s">
        <v>159</v>
      </c>
      <c r="P483" s="473">
        <f>(SUMIF($B$456:$B$460,O483,$L$456:$L$460)+SUMIF($B$501:$B$510,O483,$L$501:$L$510)+SUMIF($B$571:$B$588,O483,$L$571:$L$588))/'Constants &amp; Conversions'!$D$32</f>
        <v>32248.839104592527</v>
      </c>
      <c r="Q483" s="473">
        <f t="shared" si="184"/>
        <v>1589.4072350120682</v>
      </c>
      <c r="R483" s="473">
        <f>Q483/'Constants &amp; Conversions'!$D$32*CH4_GWP</f>
        <v>44.503402580337912</v>
      </c>
      <c r="S483" s="473">
        <f>SUMIF('Off-road'!$C$221:$C$252,'Offroad Data'!O483,'Off-road'!$M$221:$M$252)*Global_Warming_Potential_N2O</f>
        <v>794.74624532040423</v>
      </c>
      <c r="T483" s="610">
        <f t="shared" si="185"/>
        <v>33088.08875249327</v>
      </c>
      <c r="U483" s="283"/>
      <c r="V483" s="283"/>
      <c r="W483" s="283"/>
      <c r="X483" s="283"/>
    </row>
    <row r="484" spans="1:24" outlineLevel="1" x14ac:dyDescent="0.15">
      <c r="A484" s="82"/>
      <c r="B484" s="82" t="s">
        <v>458</v>
      </c>
      <c r="C484" s="69"/>
      <c r="D484" s="66"/>
      <c r="E484" s="66"/>
      <c r="F484" s="66"/>
      <c r="G484" s="66"/>
      <c r="H484" s="66"/>
      <c r="O484" s="178" t="s">
        <v>104</v>
      </c>
      <c r="P484" s="473">
        <f>(SUMIF($B$456:$B$460,O484,$L$456:$L$460)+SUMIF($B$501:$B$510,O484,$L$501:$L$510)+SUMIF($B$571:$B$588,O484,$L$571:$L$588))/'Constants &amp; Conversions'!$D$32</f>
        <v>417073.37068644876</v>
      </c>
      <c r="Q484" s="473">
        <f t="shared" si="184"/>
        <v>509760.38677684322</v>
      </c>
      <c r="R484" s="473">
        <f>Q484/'Constants &amp; Conversions'!$D$32*CH4_GWP</f>
        <v>14273.290829751611</v>
      </c>
      <c r="S484" s="473">
        <f>SUMIF('Off-road'!$C$221:$C$252,'Offroad Data'!O484,'Off-road'!$M$221:$M$252)*Global_Warming_Potential_N2O</f>
        <v>15319.085117756322</v>
      </c>
      <c r="T484" s="610">
        <f t="shared" si="185"/>
        <v>446665.74663395673</v>
      </c>
      <c r="U484" s="283"/>
      <c r="V484" s="283"/>
      <c r="W484" s="283"/>
      <c r="X484" s="283"/>
    </row>
    <row r="485" spans="1:24" ht="15" outlineLevel="1" x14ac:dyDescent="0.15">
      <c r="A485" s="66"/>
      <c r="B485" s="83" t="s">
        <v>459</v>
      </c>
      <c r="C485" s="83" t="s">
        <v>58</v>
      </c>
      <c r="D485" s="83" t="s">
        <v>100</v>
      </c>
      <c r="E485" s="83" t="s">
        <v>59</v>
      </c>
      <c r="F485" s="83" t="s">
        <v>60</v>
      </c>
      <c r="G485" s="83" t="s">
        <v>62</v>
      </c>
      <c r="H485" s="83" t="s">
        <v>61</v>
      </c>
      <c r="I485" s="83" t="s">
        <v>63</v>
      </c>
      <c r="J485" s="83" t="s">
        <v>64</v>
      </c>
      <c r="K485" s="83" t="s">
        <v>65</v>
      </c>
      <c r="O485" s="178" t="s">
        <v>156</v>
      </c>
      <c r="P485" s="473">
        <f>(SUMIF($B$456:$B$460,O485,$L$456:$L$460)+SUMIF($B$501:$B$510,O485,$L$501:$L$510)+SUMIF($B$571:$B$588,O485,$L$571:$L$588))/'Constants &amp; Conversions'!$D$32</f>
        <v>1595255.8166672704</v>
      </c>
      <c r="Q485" s="473">
        <f t="shared" si="184"/>
        <v>94812.427429955249</v>
      </c>
      <c r="R485" s="473">
        <f>Q485/'Constants &amp; Conversions'!$D$32*CH4_GWP</f>
        <v>2654.7479680387469</v>
      </c>
      <c r="S485" s="473">
        <f>SUMIF('Off-road'!$C$221:$C$252,'Offroad Data'!O485,'Off-road'!$M$221:$M$252)*Global_Warming_Potential_N2O</f>
        <v>37083.106963875682</v>
      </c>
      <c r="T485" s="610">
        <f t="shared" si="185"/>
        <v>1634993.6715991849</v>
      </c>
      <c r="U485" s="283"/>
      <c r="V485" s="283"/>
      <c r="W485" s="283"/>
      <c r="X485" s="283"/>
    </row>
    <row r="486" spans="1:24" outlineLevel="1" x14ac:dyDescent="0.15">
      <c r="A486" s="66"/>
      <c r="B486" s="117" t="s">
        <v>155</v>
      </c>
      <c r="C486" s="179">
        <f>E486*VLOOKUP($B486,'Offroad Allocation'!$B$4:$G$15,5,0)</f>
        <v>0</v>
      </c>
      <c r="D486" s="356">
        <f t="shared" ref="D486:D490" si="186">E486-C486</f>
        <v>587999.83620244917</v>
      </c>
      <c r="E486" s="117">
        <v>587999.83620244917</v>
      </c>
      <c r="F486" s="117">
        <v>197466.57523650193</v>
      </c>
      <c r="G486" s="117">
        <v>7058948.6235971954</v>
      </c>
      <c r="H486" s="117">
        <v>6181166.6556519903</v>
      </c>
      <c r="I486" s="117">
        <v>1171208.2738977699</v>
      </c>
      <c r="J486" s="117">
        <v>7959906.5593713839</v>
      </c>
      <c r="K486" s="117">
        <v>9625591.4929185528</v>
      </c>
      <c r="O486" s="178" t="s">
        <v>157</v>
      </c>
      <c r="P486" s="473">
        <f>(SUMIF($B$456:$B$460,O486,$L$456:$L$460)+SUMIF($B$501:$B$510,O486,$L$501:$L$510)+SUMIF($B$571:$B$588,O486,$L$571:$L$588))/'Constants &amp; Conversions'!$D$32</f>
        <v>438393.4836677562</v>
      </c>
      <c r="Q486" s="473">
        <f t="shared" si="184"/>
        <v>946003.29354349372</v>
      </c>
      <c r="R486" s="473">
        <f>Q486/'Constants &amp; Conversions'!$D$32*CH4_GWP</f>
        <v>26488.092219217822</v>
      </c>
      <c r="S486" s="473">
        <f>SUMIF('Off-road'!$C$221:$C$252,'Offroad Data'!O486,'Off-road'!$M$221:$M$252)*Global_Warming_Potential_N2O</f>
        <v>10992.697522329028</v>
      </c>
      <c r="T486" s="610">
        <f t="shared" si="185"/>
        <v>475874.27340930304</v>
      </c>
      <c r="U486" s="283"/>
      <c r="V486" s="283"/>
      <c r="W486" s="283"/>
      <c r="X486" s="283"/>
    </row>
    <row r="487" spans="1:24" outlineLevel="1" x14ac:dyDescent="0.15">
      <c r="A487" s="66"/>
      <c r="B487" s="117" t="s">
        <v>159</v>
      </c>
      <c r="C487" s="179">
        <f>E487*VLOOKUP($B487,'Offroad Allocation'!$B$4:$G$15,5,0)</f>
        <v>9882965.5</v>
      </c>
      <c r="D487" s="356">
        <f t="shared" si="186"/>
        <v>0</v>
      </c>
      <c r="E487" s="117">
        <v>9882965.5</v>
      </c>
      <c r="F487" s="117">
        <v>2326.7004643554601</v>
      </c>
      <c r="G487" s="117">
        <v>1059.59772558593</v>
      </c>
      <c r="H487" s="117">
        <v>0</v>
      </c>
      <c r="I487" s="117">
        <v>1169.9726213378899</v>
      </c>
      <c r="J487" s="117">
        <v>1015.44844018554</v>
      </c>
      <c r="K487" s="117">
        <v>2384.0959790039001</v>
      </c>
      <c r="O487" s="178" t="s">
        <v>160</v>
      </c>
      <c r="P487" s="473">
        <f>(SUMIF($B$456:$B$460,O487,$L$456:$L$460)+SUMIF($B$501:$B$510,O487,$L$501:$L$510)+SUMIF($B$571:$B$588,O487,$L$571:$L$588))/'Constants &amp; Conversions'!$D$32</f>
        <v>750902.83498257725</v>
      </c>
      <c r="Q487" s="473">
        <f t="shared" si="184"/>
        <v>1008283.0963754919</v>
      </c>
      <c r="R487" s="473">
        <f>Q487/'Constants &amp; Conversions'!$D$32*CH4_GWP</f>
        <v>28231.926698513773</v>
      </c>
      <c r="S487" s="473">
        <f>SUMIF('Off-road'!$C$221:$C$252,'Offroad Data'!O487,'Off-road'!$M$221:$M$252)*Global_Warming_Potential_N2O</f>
        <v>31515.296410549767</v>
      </c>
      <c r="T487" s="610">
        <f t="shared" si="185"/>
        <v>810650.05809164082</v>
      </c>
    </row>
    <row r="488" spans="1:24" outlineLevel="1" x14ac:dyDescent="0.15">
      <c r="A488" s="66"/>
      <c r="B488" s="117" t="s">
        <v>104</v>
      </c>
      <c r="C488" s="179">
        <f>E488*VLOOKUP($B488,'Offroad Allocation'!$B$4:$G$15,5,0)</f>
        <v>10741815.90727362</v>
      </c>
      <c r="D488" s="356">
        <f t="shared" si="186"/>
        <v>20772800.994726352</v>
      </c>
      <c r="E488" s="117">
        <v>31514616.901999973</v>
      </c>
      <c r="F488" s="117">
        <v>11430044.695285704</v>
      </c>
      <c r="G488" s="117">
        <v>3158833.5814363789</v>
      </c>
      <c r="H488" s="117">
        <v>269072.09926381032</v>
      </c>
      <c r="I488" s="117">
        <v>5377753.6864285637</v>
      </c>
      <c r="J488" s="117">
        <v>1983024.878515623</v>
      </c>
      <c r="K488" s="117">
        <v>2594887.1816741051</v>
      </c>
      <c r="O488" s="178" t="s">
        <v>161</v>
      </c>
      <c r="P488" s="473">
        <f>(SUMIF($B$456:$B$460,O488,$L$456:$L$460)+SUMIF($B$501:$B$510,O488,$L$501:$L$510)+SUMIF($B$571:$B$588,O488,$L$571:$L$588))/'Constants &amp; Conversions'!$D$32</f>
        <v>5809.3067576826188</v>
      </c>
      <c r="Q488" s="473">
        <f t="shared" si="184"/>
        <v>485.26373408041201</v>
      </c>
      <c r="R488" s="473">
        <f>Q488/'Constants &amp; Conversions'!$D$32*CH4_GWP</f>
        <v>13.587384554251535</v>
      </c>
      <c r="S488" s="473">
        <f>SUMIF('Off-road'!$C$221:$C$252,'Offroad Data'!O488,'Off-road'!$M$221:$M$252)*Global_Warming_Potential_N2O</f>
        <v>142.1565101427048</v>
      </c>
      <c r="T488" s="610">
        <f t="shared" si="185"/>
        <v>5965.0506523795757</v>
      </c>
    </row>
    <row r="489" spans="1:24" outlineLevel="1" x14ac:dyDescent="0.15">
      <c r="A489" s="66"/>
      <c r="B489" s="117" t="s">
        <v>156</v>
      </c>
      <c r="C489" s="179">
        <f>E489*VLOOKUP($B489,'Offroad Allocation'!$B$4:$G$15,5,0)</f>
        <v>76670460.42559956</v>
      </c>
      <c r="D489" s="356">
        <f t="shared" si="186"/>
        <v>148267316.28463131</v>
      </c>
      <c r="E489" s="117">
        <v>224937776.71023089</v>
      </c>
      <c r="F489" s="117">
        <v>56410330.018743522</v>
      </c>
      <c r="G489" s="117">
        <v>51673907.62287607</v>
      </c>
      <c r="H489" s="117">
        <v>12045074.836128134</v>
      </c>
      <c r="I489" s="117">
        <v>41663967.191626877</v>
      </c>
      <c r="J489" s="117">
        <v>31568001.082726743</v>
      </c>
      <c r="K489" s="117">
        <v>74006665.737955078</v>
      </c>
      <c r="O489" s="178" t="s">
        <v>158</v>
      </c>
      <c r="P489" s="473">
        <f>(SUMIF($B$456:$B$460,O489,$L$456:$L$460)+SUMIF($B$501:$B$510,O489,$L$501:$L$510)+SUMIF($B$571:$B$588,O489,$L$571:$L$588))/'Constants &amp; Conversions'!$D$32</f>
        <v>5642.053656621094</v>
      </c>
      <c r="Q489" s="473">
        <f t="shared" si="184"/>
        <v>3985.8440479383435</v>
      </c>
      <c r="R489" s="473">
        <f>Q489/'Constants &amp; Conversions'!$D$32*CH4_GWP</f>
        <v>111.60363334227362</v>
      </c>
      <c r="S489" s="473">
        <f>SUMIF('Off-road'!$C$221:$C$252,'Offroad Data'!O489,'Off-road'!$M$221:$M$252)*Global_Warming_Potential_N2O</f>
        <v>141.46272255182197</v>
      </c>
      <c r="T489" s="610">
        <f t="shared" si="185"/>
        <v>5895.120012515189</v>
      </c>
    </row>
    <row r="490" spans="1:24" outlineLevel="1" x14ac:dyDescent="0.15">
      <c r="A490" s="66"/>
      <c r="B490" s="117" t="s">
        <v>157</v>
      </c>
      <c r="C490" s="179">
        <f>E490*VLOOKUP($B490,'Offroad Allocation'!$B$4:$G$15,5,0)</f>
        <v>22498164.841881365</v>
      </c>
      <c r="D490" s="356">
        <f t="shared" si="186"/>
        <v>43507532.156689949</v>
      </c>
      <c r="E490" s="117">
        <v>66005696.998571314</v>
      </c>
      <c r="F490" s="117">
        <v>15009725.167428551</v>
      </c>
      <c r="G490" s="117">
        <v>7788886.0972656058</v>
      </c>
      <c r="H490" s="117">
        <v>603789.57145835564</v>
      </c>
      <c r="I490" s="117">
        <v>11295168.805395074</v>
      </c>
      <c r="J490" s="117">
        <v>5580812.3213794576</v>
      </c>
      <c r="K490" s="117">
        <v>6407129.8270490989</v>
      </c>
      <c r="O490" s="178" t="s">
        <v>162</v>
      </c>
      <c r="P490" s="473">
        <f>(SUMIF($B$456:$B$460,O490,$L$456:$L$460)+SUMIF($B$501:$B$510,O490,$L$501:$L$510)+SUMIF($B$571:$B$588,O490,$L$571:$L$588))/'Constants &amp; Conversions'!$D$32</f>
        <v>3522.6113448423434</v>
      </c>
      <c r="Q490" s="473">
        <f>SUMIF($B$466:$B$470,O490,$L$466:$L$470)+SUMIF($B$516:$B$525,O490,$L$516:$L$525)+SUMIF($B$595:$B$612,O490,$L$595:$L$612)</f>
        <v>376.90796607913239</v>
      </c>
      <c r="R490" s="473">
        <f>Q490/'Constants &amp; Conversions'!$D$32*CH4_GWP</f>
        <v>10.553423050215708</v>
      </c>
      <c r="S490" s="473">
        <f>SUMIF('Off-road'!$C$221:$C$252,'Offroad Data'!O490,'Off-road'!$M$221:$M$252)*Global_Warming_Potential_N2O</f>
        <v>76.821055133338092</v>
      </c>
      <c r="T490" s="610">
        <f>P490+R490+S490</f>
        <v>3609.9858230258974</v>
      </c>
    </row>
    <row r="491" spans="1:24" outlineLevel="1" x14ac:dyDescent="0.15">
      <c r="A491" s="66"/>
      <c r="B491" s="117" t="s">
        <v>160</v>
      </c>
      <c r="C491" s="179">
        <f>E491*VLOOKUP($B491,'Offroad Allocation'!$B$4:$G$15,5,0)</f>
        <v>2108717.2118052705</v>
      </c>
      <c r="D491" s="356">
        <f t="shared" ref="D491:D493" si="187">E491-C491</f>
        <v>6671416.9535459001</v>
      </c>
      <c r="E491" s="117">
        <v>8780134.165351171</v>
      </c>
      <c r="F491" s="117">
        <v>5603884.8376762178</v>
      </c>
      <c r="G491" s="117">
        <v>2961346.9066791995</v>
      </c>
      <c r="H491" s="117">
        <v>245598.25354397041</v>
      </c>
      <c r="I491" s="117">
        <v>5079632.7790675489</v>
      </c>
      <c r="J491" s="117">
        <v>1327174.4743728775</v>
      </c>
      <c r="K491" s="117">
        <v>2130091.8687677933</v>
      </c>
      <c r="O491" s="178" t="s">
        <v>163</v>
      </c>
      <c r="P491" s="473">
        <f>(SUMIF($B$456:$B$460,O491,$L$456:$L$460)+SUMIF($B$501:$B$510,O491,$L$501:$L$510)+SUMIF($B$571:$B$588,O491,$L$571:$L$588))/'Constants &amp; Conversions'!$D$32</f>
        <v>44896.351597289562</v>
      </c>
      <c r="Q491" s="473">
        <f>SUMIF($B$466:$B$470,O491,$L$466:$L$470)+SUMIF($B$516:$B$525,O491,$L$516:$L$525)+SUMIF($B$595:$B$612,O491,$L$595:$L$612)</f>
        <v>68884.352270715986</v>
      </c>
      <c r="R491" s="473">
        <f>Q491/'Constants &amp; Conversions'!$D$32*CH4_GWP</f>
        <v>1928.7618635800477</v>
      </c>
      <c r="S491" s="473">
        <f>SUMIF('Off-road'!$C$221:$C$252,'Offroad Data'!O491,'Off-road'!$M$221:$M$252)*Global_Warming_Potential_N2O</f>
        <v>2135.9096457436954</v>
      </c>
      <c r="T491" s="610">
        <f>P491+R491+S491</f>
        <v>48961.023106613306</v>
      </c>
    </row>
    <row r="492" spans="1:24" outlineLevel="1" x14ac:dyDescent="0.15">
      <c r="A492" s="66"/>
      <c r="B492" s="117" t="s">
        <v>161</v>
      </c>
      <c r="C492" s="179">
        <f>E492*VLOOKUP($B492,'Offroad Allocation'!$B$4:$G$15,5,0)</f>
        <v>0</v>
      </c>
      <c r="D492" s="356">
        <f t="shared" si="187"/>
        <v>325279.49228571396</v>
      </c>
      <c r="E492" s="117">
        <v>325279.49228571396</v>
      </c>
      <c r="F492" s="117">
        <v>52773.686975446406</v>
      </c>
      <c r="G492" s="117">
        <v>79985.879142857098</v>
      </c>
      <c r="H492" s="117">
        <v>140447.752428571</v>
      </c>
      <c r="I492" s="117">
        <v>193988.05600000001</v>
      </c>
      <c r="J492" s="117">
        <v>465095.30514285702</v>
      </c>
      <c r="K492" s="117">
        <v>487330.56942857098</v>
      </c>
      <c r="T492" s="283">
        <f>SUM(T482:T491)-'Off-road'!K267</f>
        <v>0</v>
      </c>
    </row>
    <row r="493" spans="1:24" outlineLevel="1" x14ac:dyDescent="0.15">
      <c r="A493" s="66"/>
      <c r="B493" s="117" t="s">
        <v>158</v>
      </c>
      <c r="C493" s="179">
        <f>E493*VLOOKUP($B493,'Offroad Allocation'!$B$4:$G$15,5,0)</f>
        <v>124034.86705399347</v>
      </c>
      <c r="D493" s="356">
        <f t="shared" si="187"/>
        <v>239861.82894600555</v>
      </c>
      <c r="E493" s="117">
        <v>363896.69599999901</v>
      </c>
      <c r="F493" s="117">
        <v>297182.20199999999</v>
      </c>
      <c r="G493" s="117">
        <v>36389.669328124997</v>
      </c>
      <c r="H493" s="117">
        <v>0</v>
      </c>
      <c r="I493" s="117">
        <v>236532.92600000001</v>
      </c>
      <c r="J493" s="117">
        <v>0</v>
      </c>
      <c r="K493" s="117">
        <v>363896.69599999901</v>
      </c>
    </row>
    <row r="494" spans="1:24" outlineLevel="1" x14ac:dyDescent="0.15">
      <c r="A494" s="66"/>
      <c r="B494" s="117" t="s">
        <v>162</v>
      </c>
      <c r="C494" s="179">
        <f>E494*VLOOKUP($B494,'Offroad Allocation'!$B$4:$G$15,5,0)</f>
        <v>386645.02583217225</v>
      </c>
      <c r="D494" s="356">
        <f t="shared" ref="D494:D495" si="188">E494-C494</f>
        <v>137726.84559639869</v>
      </c>
      <c r="E494" s="117">
        <v>524371.87142857094</v>
      </c>
      <c r="F494" s="117">
        <v>216870.633142857</v>
      </c>
      <c r="G494" s="117">
        <v>94364.583078124997</v>
      </c>
      <c r="H494" s="117">
        <v>15105.1788035714</v>
      </c>
      <c r="I494" s="117">
        <v>70055.803290178592</v>
      </c>
      <c r="J494" s="117">
        <v>13677.0256520647</v>
      </c>
      <c r="K494" s="117">
        <v>115894.873285714</v>
      </c>
    </row>
    <row r="495" spans="1:24" outlineLevel="1" x14ac:dyDescent="0.15">
      <c r="A495" s="66"/>
      <c r="B495" s="117" t="s">
        <v>163</v>
      </c>
      <c r="C495" s="179">
        <f>E495*VLOOKUP($B495,'Offroad Allocation'!$B$4:$G$15,5,0)</f>
        <v>122859.0129606938</v>
      </c>
      <c r="D495" s="356">
        <f t="shared" si="188"/>
        <v>113120.3781821632</v>
      </c>
      <c r="E495" s="117">
        <v>235979.391142857</v>
      </c>
      <c r="F495" s="117">
        <v>41039.868931919598</v>
      </c>
      <c r="G495" s="117">
        <v>20519.947258370499</v>
      </c>
      <c r="H495" s="117">
        <v>41039.868931919598</v>
      </c>
      <c r="I495" s="117">
        <v>123119.636678571</v>
      </c>
      <c r="J495" s="117">
        <v>30779.899670758899</v>
      </c>
      <c r="K495" s="117">
        <v>51299.823133928498</v>
      </c>
    </row>
    <row r="496" spans="1:24" outlineLevel="1" x14ac:dyDescent="0.15">
      <c r="A496" s="66"/>
      <c r="B496" s="171" t="s">
        <v>88</v>
      </c>
      <c r="C496" s="357">
        <f t="shared" ref="C496:K496" si="189">SUM(C486:C495)</f>
        <v>122535662.79240668</v>
      </c>
      <c r="D496" s="357">
        <f t="shared" si="189"/>
        <v>220623054.77080625</v>
      </c>
      <c r="E496" s="357">
        <f t="shared" si="189"/>
        <v>343158717.56321287</v>
      </c>
      <c r="F496" s="357">
        <f t="shared" si="189"/>
        <v>89261644.38588509</v>
      </c>
      <c r="G496" s="357">
        <f t="shared" si="189"/>
        <v>72874242.508387506</v>
      </c>
      <c r="H496" s="357">
        <f t="shared" si="189"/>
        <v>19541294.216210321</v>
      </c>
      <c r="I496" s="357">
        <f t="shared" si="189"/>
        <v>65212597.13100592</v>
      </c>
      <c r="J496" s="357">
        <f t="shared" si="189"/>
        <v>48929486.995271958</v>
      </c>
      <c r="K496" s="357">
        <f t="shared" si="189"/>
        <v>95785172.166191861</v>
      </c>
    </row>
    <row r="497" spans="1:12" outlineLevel="1" x14ac:dyDescent="0.15">
      <c r="A497" s="66"/>
      <c r="B497" s="101" t="s">
        <v>460</v>
      </c>
      <c r="C497" s="177"/>
      <c r="D497" s="177"/>
      <c r="E497" s="177"/>
      <c r="F497" s="177"/>
      <c r="G497" s="177"/>
      <c r="H497" s="177"/>
      <c r="I497" s="177"/>
      <c r="J497" s="177"/>
      <c r="K497" s="177"/>
    </row>
    <row r="498" spans="1:12" outlineLevel="1" x14ac:dyDescent="0.15">
      <c r="A498" s="66"/>
      <c r="B498" s="101"/>
      <c r="C498" s="177"/>
      <c r="D498" s="177"/>
      <c r="E498" s="177"/>
      <c r="F498" s="177"/>
      <c r="G498" s="177"/>
      <c r="H498" s="177"/>
      <c r="I498" s="177"/>
      <c r="J498" s="177"/>
      <c r="K498" s="177"/>
    </row>
    <row r="499" spans="1:12" outlineLevel="1" x14ac:dyDescent="0.15">
      <c r="A499" s="66"/>
      <c r="B499" s="82" t="s">
        <v>461</v>
      </c>
      <c r="C499" s="69"/>
      <c r="D499" s="66"/>
      <c r="E499" s="66"/>
      <c r="F499" s="66"/>
      <c r="G499" s="66"/>
      <c r="H499" s="66"/>
    </row>
    <row r="500" spans="1:12" ht="15" outlineLevel="1" x14ac:dyDescent="0.15">
      <c r="A500" s="66"/>
      <c r="B500" s="83" t="s">
        <v>459</v>
      </c>
      <c r="C500" s="83" t="s">
        <v>58</v>
      </c>
      <c r="D500" s="83" t="s">
        <v>100</v>
      </c>
      <c r="E500" s="83" t="s">
        <v>59</v>
      </c>
      <c r="F500" s="83" t="s">
        <v>60</v>
      </c>
      <c r="G500" s="83" t="s">
        <v>62</v>
      </c>
      <c r="H500" s="83" t="s">
        <v>61</v>
      </c>
      <c r="I500" s="83" t="s">
        <v>63</v>
      </c>
      <c r="J500" s="83" t="s">
        <v>64</v>
      </c>
      <c r="K500" s="83" t="s">
        <v>65</v>
      </c>
      <c r="L500" s="83" t="s">
        <v>66</v>
      </c>
    </row>
    <row r="501" spans="1:12" outlineLevel="1" x14ac:dyDescent="0.15">
      <c r="A501" s="119">
        <f>$A$243</f>
        <v>2015</v>
      </c>
      <c r="B501" s="117" t="s">
        <v>155</v>
      </c>
      <c r="C501" s="179">
        <f>E501*VLOOKUP($B501,'Offroad Allocation'!$B$4:$G$15,5,0)</f>
        <v>0</v>
      </c>
      <c r="D501" s="356">
        <f t="shared" ref="D501:D504" si="190">E501-C501</f>
        <v>1870086.7162506995</v>
      </c>
      <c r="E501" s="117">
        <v>1870086.7162506995</v>
      </c>
      <c r="F501" s="117">
        <v>628025.53370735061</v>
      </c>
      <c r="G501" s="117">
        <v>22450374.79417944</v>
      </c>
      <c r="H501" s="117">
        <v>19658697.533218067</v>
      </c>
      <c r="I501" s="117">
        <v>3724923.6062882273</v>
      </c>
      <c r="J501" s="117">
        <v>25315770.585431423</v>
      </c>
      <c r="K501" s="117">
        <v>30613307.987686649</v>
      </c>
      <c r="L501" s="577">
        <f>SUM(E501:K501)</f>
        <v>104261186.75676185</v>
      </c>
    </row>
    <row r="502" spans="1:12" outlineLevel="1" x14ac:dyDescent="0.15">
      <c r="A502" s="119">
        <f t="shared" ref="A502:A510" si="191">$A$243</f>
        <v>2015</v>
      </c>
      <c r="B502" s="117" t="s">
        <v>159</v>
      </c>
      <c r="C502" s="179">
        <f>E502*VLOOKUP($B502,'Offroad Allocation'!$B$4:$G$15,5,0)</f>
        <v>31462382.447999999</v>
      </c>
      <c r="D502" s="356">
        <f t="shared" si="190"/>
        <v>0</v>
      </c>
      <c r="E502" s="117">
        <v>31462382.447999999</v>
      </c>
      <c r="F502" s="117">
        <v>7407.0402597656202</v>
      </c>
      <c r="G502" s="117">
        <v>3373.22632519531</v>
      </c>
      <c r="H502" s="117">
        <v>0</v>
      </c>
      <c r="I502" s="117">
        <v>3724.60562695312</v>
      </c>
      <c r="J502" s="117">
        <v>3232.6767675781198</v>
      </c>
      <c r="K502" s="117">
        <v>7589.7688105468706</v>
      </c>
      <c r="L502" s="577">
        <f>SUM(E502:K502)</f>
        <v>31487709.765790038</v>
      </c>
    </row>
    <row r="503" spans="1:12" outlineLevel="1" x14ac:dyDescent="0.15">
      <c r="A503" s="119">
        <f t="shared" si="191"/>
        <v>2015</v>
      </c>
      <c r="B503" s="117" t="s">
        <v>104</v>
      </c>
      <c r="C503" s="179">
        <f>E503*VLOOKUP($B503,'Offroad Allocation'!$B$4:$G$15,5,0)</f>
        <v>34115792.885299183</v>
      </c>
      <c r="D503" s="356">
        <f t="shared" si="190"/>
        <v>65974001.276986264</v>
      </c>
      <c r="E503" s="117">
        <v>100089794.16228545</v>
      </c>
      <c r="F503" s="117">
        <v>36301574.840285629</v>
      </c>
      <c r="G503" s="117">
        <v>10032389.37428569</v>
      </c>
      <c r="H503" s="117">
        <v>854568.18471093534</v>
      </c>
      <c r="I503" s="117">
        <v>17079642.535714269</v>
      </c>
      <c r="J503" s="117">
        <v>6298045.342714279</v>
      </c>
      <c r="K503" s="117">
        <v>8241306.6188571313</v>
      </c>
      <c r="L503" s="577">
        <f>SUM(E503:K503)</f>
        <v>178897321.05885342</v>
      </c>
    </row>
    <row r="504" spans="1:12" outlineLevel="1" x14ac:dyDescent="0.15">
      <c r="A504" s="119">
        <f t="shared" si="191"/>
        <v>2015</v>
      </c>
      <c r="B504" s="117" t="s">
        <v>156</v>
      </c>
      <c r="C504" s="179">
        <f>E504*VLOOKUP($B504,'Offroad Allocation'!$B$4:$G$15,5,0)</f>
        <v>243882274.01578012</v>
      </c>
      <c r="D504" s="356">
        <f t="shared" si="190"/>
        <v>471625839.43006277</v>
      </c>
      <c r="E504" s="117">
        <v>715508113.44584286</v>
      </c>
      <c r="F504" s="117">
        <v>179436571.26193446</v>
      </c>
      <c r="G504" s="117">
        <v>164370390.51789209</v>
      </c>
      <c r="H504" s="117">
        <v>38314377.842649266</v>
      </c>
      <c r="I504" s="117">
        <v>132529590.82848164</v>
      </c>
      <c r="J504" s="117">
        <v>100415137.58109228</v>
      </c>
      <c r="K504" s="117">
        <v>235408977.13475239</v>
      </c>
      <c r="L504" s="577">
        <f t="shared" ref="L504:L507" si="192">SUM(E504:K504)</f>
        <v>1565983158.6126451</v>
      </c>
    </row>
    <row r="505" spans="1:12" outlineLevel="1" x14ac:dyDescent="0.15">
      <c r="A505" s="119"/>
      <c r="B505" s="117" t="s">
        <v>157</v>
      </c>
      <c r="C505" s="179">
        <f>E505*VLOOKUP($B505,'Offroad Allocation'!$B$4:$G$15,5,0)</f>
        <v>71628888.310257956</v>
      </c>
      <c r="D505" s="356">
        <f t="shared" ref="D505:D507" si="193">E505-C505</f>
        <v>138517793.93602747</v>
      </c>
      <c r="E505" s="117">
        <v>210146682.24628544</v>
      </c>
      <c r="F505" s="117">
        <v>47788468.798142813</v>
      </c>
      <c r="G505" s="117">
        <v>24798636.116142843</v>
      </c>
      <c r="H505" s="117">
        <v>1922284.097107142</v>
      </c>
      <c r="I505" s="117">
        <v>35961979.099428497</v>
      </c>
      <c r="J505" s="117">
        <v>17768577.816285703</v>
      </c>
      <c r="K505" s="117">
        <v>20398697.470285695</v>
      </c>
      <c r="L505" s="577">
        <f t="shared" si="192"/>
        <v>358785325.64367813</v>
      </c>
    </row>
    <row r="506" spans="1:12" outlineLevel="1" x14ac:dyDescent="0.15">
      <c r="A506" s="119"/>
      <c r="B506" s="117" t="s">
        <v>160</v>
      </c>
      <c r="C506" s="179">
        <f>E506*VLOOKUP($B506,'Offroad Allocation'!$B$4:$G$15,5,0)</f>
        <v>6706195.7281688722</v>
      </c>
      <c r="D506" s="356">
        <f t="shared" si="193"/>
        <v>21216608.668168072</v>
      </c>
      <c r="E506" s="117">
        <v>27922804.396336943</v>
      </c>
      <c r="F506" s="117">
        <v>17821627.1051264</v>
      </c>
      <c r="G506" s="117">
        <v>9417752.5806087088</v>
      </c>
      <c r="H506" s="117">
        <v>781057.69556917937</v>
      </c>
      <c r="I506" s="117">
        <v>16154370.523708422</v>
      </c>
      <c r="J506" s="117">
        <v>4220714.7176166782</v>
      </c>
      <c r="K506" s="117">
        <v>6774169.0572238201</v>
      </c>
      <c r="L506" s="577">
        <f t="shared" si="192"/>
        <v>83092496.076190159</v>
      </c>
    </row>
    <row r="507" spans="1:12" outlineLevel="1" x14ac:dyDescent="0.15">
      <c r="A507" s="119"/>
      <c r="B507" s="117" t="s">
        <v>161</v>
      </c>
      <c r="C507" s="179">
        <f>E507*VLOOKUP($B507,'Offroad Allocation'!$B$4:$G$15,5,0)</f>
        <v>0</v>
      </c>
      <c r="D507" s="356">
        <f t="shared" si="193"/>
        <v>1036329.57428571</v>
      </c>
      <c r="E507" s="117">
        <v>1036329.57428571</v>
      </c>
      <c r="F507" s="117">
        <v>168135.10914285699</v>
      </c>
      <c r="G507" s="117">
        <v>254832.30342857097</v>
      </c>
      <c r="H507" s="117">
        <v>447461.539714285</v>
      </c>
      <c r="I507" s="117">
        <v>618037.50342857104</v>
      </c>
      <c r="J507" s="117">
        <v>1481775.8157142799</v>
      </c>
      <c r="K507" s="117">
        <v>1552616.2714285699</v>
      </c>
      <c r="L507" s="577">
        <f t="shared" si="192"/>
        <v>5559188.117142844</v>
      </c>
    </row>
    <row r="508" spans="1:12" outlineLevel="1" x14ac:dyDescent="0.15">
      <c r="A508" s="119">
        <f t="shared" si="191"/>
        <v>2015</v>
      </c>
      <c r="B508" s="117" t="s">
        <v>158</v>
      </c>
      <c r="C508" s="179">
        <f>E508*VLOOKUP($B508,'Offroad Allocation'!$B$4:$G$15,5,0)</f>
        <v>395212.10517696507</v>
      </c>
      <c r="D508" s="356">
        <f t="shared" ref="D508:D510" si="194">E508-C508</f>
        <v>764271.37482303497</v>
      </c>
      <c r="E508" s="117">
        <v>1159483.48</v>
      </c>
      <c r="F508" s="117">
        <v>946912.06</v>
      </c>
      <c r="G508" s="117">
        <v>115948.348</v>
      </c>
      <c r="H508" s="117">
        <v>0</v>
      </c>
      <c r="I508" s="117">
        <v>753665.17</v>
      </c>
      <c r="J508" s="117">
        <v>0</v>
      </c>
      <c r="K508" s="117">
        <v>1159483.48</v>
      </c>
      <c r="L508" s="577">
        <f t="shared" ref="L508:L511" si="195">SUM(E508:K508)</f>
        <v>4135492.5380000002</v>
      </c>
    </row>
    <row r="509" spans="1:12" outlineLevel="1" x14ac:dyDescent="0.15">
      <c r="A509" s="119">
        <f t="shared" si="191"/>
        <v>2015</v>
      </c>
      <c r="B509" s="117" t="s">
        <v>162</v>
      </c>
      <c r="C509" s="179">
        <f>E509*VLOOKUP($B509,'Offroad Allocation'!$B$4:$G$15,5,0)</f>
        <v>1226246.3646080978</v>
      </c>
      <c r="D509" s="356">
        <f t="shared" si="194"/>
        <v>436801.28396332217</v>
      </c>
      <c r="E509" s="117">
        <v>1663047.64857142</v>
      </c>
      <c r="F509" s="117">
        <v>687806.83571428503</v>
      </c>
      <c r="G509" s="117">
        <v>299277.16771428502</v>
      </c>
      <c r="H509" s="117">
        <v>47906.225111607098</v>
      </c>
      <c r="I509" s="117">
        <v>222182.35814285697</v>
      </c>
      <c r="J509" s="117">
        <v>43376.748267857096</v>
      </c>
      <c r="K509" s="117">
        <v>367562.57971428504</v>
      </c>
      <c r="L509" s="577">
        <f t="shared" si="195"/>
        <v>3331159.5632365961</v>
      </c>
    </row>
    <row r="510" spans="1:12" outlineLevel="1" x14ac:dyDescent="0.15">
      <c r="A510" s="119">
        <f t="shared" si="191"/>
        <v>2015</v>
      </c>
      <c r="B510" s="117" t="s">
        <v>163</v>
      </c>
      <c r="C510" s="179">
        <f>E510*VLOOKUP($B510,'Offroad Allocation'!$B$4:$G$15,5,0)</f>
        <v>388440.99345164921</v>
      </c>
      <c r="D510" s="356">
        <f t="shared" si="194"/>
        <v>357650.53797692177</v>
      </c>
      <c r="E510" s="117">
        <v>746091.53142857098</v>
      </c>
      <c r="F510" s="117">
        <v>129754.85864062401</v>
      </c>
      <c r="G510" s="117">
        <v>64877.490370535699</v>
      </c>
      <c r="H510" s="117">
        <v>129754.85864062401</v>
      </c>
      <c r="I510" s="117">
        <v>389264.48271428503</v>
      </c>
      <c r="J510" s="117">
        <v>97316.193433035703</v>
      </c>
      <c r="K510" s="117">
        <v>162193.60428571401</v>
      </c>
      <c r="L510" s="577">
        <f t="shared" si="195"/>
        <v>1719253.0195133893</v>
      </c>
    </row>
    <row r="511" spans="1:12" outlineLevel="1" x14ac:dyDescent="0.15">
      <c r="A511" s="66"/>
      <c r="B511" s="171" t="s">
        <v>88</v>
      </c>
      <c r="C511" s="357">
        <f t="shared" ref="C511:K511" si="196">SUM(C501:C510)</f>
        <v>389805432.85074288</v>
      </c>
      <c r="D511" s="357">
        <f t="shared" si="196"/>
        <v>701799382.79854453</v>
      </c>
      <c r="E511" s="357">
        <f t="shared" si="196"/>
        <v>1091604815.6492872</v>
      </c>
      <c r="F511" s="357">
        <f t="shared" si="196"/>
        <v>283916283.44295418</v>
      </c>
      <c r="G511" s="357">
        <f t="shared" si="196"/>
        <v>231807851.91894734</v>
      </c>
      <c r="H511" s="357">
        <f t="shared" si="196"/>
        <v>62156107.976721108</v>
      </c>
      <c r="I511" s="357">
        <f t="shared" si="196"/>
        <v>207437380.71353373</v>
      </c>
      <c r="J511" s="357">
        <f t="shared" si="196"/>
        <v>155643947.47732311</v>
      </c>
      <c r="K511" s="357">
        <f t="shared" si="196"/>
        <v>304685903.97304487</v>
      </c>
      <c r="L511" s="357">
        <f t="shared" si="195"/>
        <v>2337252291.1518111</v>
      </c>
    </row>
    <row r="512" spans="1:12" outlineLevel="1" x14ac:dyDescent="0.15">
      <c r="A512" s="66"/>
      <c r="B512" s="101" t="s">
        <v>460</v>
      </c>
      <c r="C512" s="66"/>
      <c r="D512" s="66"/>
      <c r="E512" s="66"/>
      <c r="F512" s="66"/>
      <c r="G512" s="66"/>
      <c r="H512" s="66"/>
    </row>
    <row r="513" spans="1:12" outlineLevel="1" x14ac:dyDescent="0.15">
      <c r="A513" s="66"/>
      <c r="B513" s="101"/>
      <c r="C513" s="177"/>
      <c r="D513" s="177"/>
      <c r="E513" s="177"/>
      <c r="F513" s="177"/>
      <c r="G513" s="177"/>
      <c r="H513" s="177"/>
      <c r="I513" s="177"/>
      <c r="J513" s="177"/>
      <c r="K513" s="177"/>
    </row>
    <row r="514" spans="1:12" outlineLevel="1" x14ac:dyDescent="0.15">
      <c r="A514" s="66"/>
      <c r="B514" s="82" t="s">
        <v>463</v>
      </c>
      <c r="C514" s="69"/>
      <c r="D514" s="66"/>
      <c r="E514" s="66"/>
      <c r="F514" s="66"/>
      <c r="G514" s="66"/>
      <c r="H514" s="66"/>
    </row>
    <row r="515" spans="1:12" ht="15" outlineLevel="1" x14ac:dyDescent="0.15">
      <c r="A515" s="66"/>
      <c r="B515" s="83" t="s">
        <v>459</v>
      </c>
      <c r="C515" s="83" t="s">
        <v>58</v>
      </c>
      <c r="D515" s="83" t="s">
        <v>100</v>
      </c>
      <c r="E515" s="83" t="s">
        <v>59</v>
      </c>
      <c r="F515" s="83" t="s">
        <v>60</v>
      </c>
      <c r="G515" s="83" t="s">
        <v>62</v>
      </c>
      <c r="H515" s="83" t="s">
        <v>61</v>
      </c>
      <c r="I515" s="83" t="s">
        <v>63</v>
      </c>
      <c r="J515" s="83" t="s">
        <v>64</v>
      </c>
      <c r="K515" s="83" t="s">
        <v>65</v>
      </c>
      <c r="L515" s="83" t="s">
        <v>66</v>
      </c>
    </row>
    <row r="516" spans="1:12" outlineLevel="1" x14ac:dyDescent="0.15">
      <c r="A516" s="119">
        <f>$A$243</f>
        <v>2015</v>
      </c>
      <c r="B516" s="117" t="s">
        <v>155</v>
      </c>
      <c r="C516" s="179">
        <f>E516*VLOOKUP($B516,'Offroad Allocation'!$B$4:$G$15,5,0)</f>
        <v>0</v>
      </c>
      <c r="D516" s="356">
        <f t="shared" ref="D516:D519" si="197">E516-C516</f>
        <v>56.609779722794663</v>
      </c>
      <c r="E516" s="117">
        <v>56.609779722794663</v>
      </c>
      <c r="F516" s="117">
        <v>19.011103995488519</v>
      </c>
      <c r="G516" s="117">
        <v>679.60021850193152</v>
      </c>
      <c r="H516" s="117">
        <v>595.09249912850555</v>
      </c>
      <c r="I516" s="117">
        <v>112.75802723876198</v>
      </c>
      <c r="J516" s="117">
        <v>766.33963458715709</v>
      </c>
      <c r="K516" s="117">
        <v>926.70303444401191</v>
      </c>
      <c r="L516" s="577">
        <f>SUM(E516:K516)</f>
        <v>3156.1142976186511</v>
      </c>
    </row>
    <row r="517" spans="1:12" outlineLevel="1" x14ac:dyDescent="0.15">
      <c r="A517" s="119">
        <f t="shared" ref="A517:A525" si="198">$A$243</f>
        <v>2015</v>
      </c>
      <c r="B517" s="117" t="s">
        <v>159</v>
      </c>
      <c r="C517" s="179">
        <f>E517*VLOOKUP($B517,'Offroad Allocation'!$B$4:$G$15,5,0)</f>
        <v>949.95891259765597</v>
      </c>
      <c r="D517" s="356">
        <f t="shared" si="197"/>
        <v>0</v>
      </c>
      <c r="E517" s="117">
        <v>949.95891259765597</v>
      </c>
      <c r="F517" s="117">
        <v>0.223644563794136</v>
      </c>
      <c r="G517" s="117">
        <v>0.10184948235750101</v>
      </c>
      <c r="H517" s="117">
        <v>0</v>
      </c>
      <c r="I517" s="117">
        <v>0.112458947271108</v>
      </c>
      <c r="J517" s="117">
        <v>9.7605716854333807E-2</v>
      </c>
      <c r="K517" s="117">
        <v>0.22916140532493501</v>
      </c>
      <c r="L517" s="577">
        <f>SUM(E517:K517)</f>
        <v>950.72363271325787</v>
      </c>
    </row>
    <row r="518" spans="1:12" outlineLevel="1" x14ac:dyDescent="0.15">
      <c r="A518" s="119">
        <f t="shared" si="198"/>
        <v>2015</v>
      </c>
      <c r="B518" s="117" t="s">
        <v>104</v>
      </c>
      <c r="C518" s="179">
        <f>E518*VLOOKUP($B518,'Offroad Allocation'!$B$4:$G$15,5,0)</f>
        <v>1097.9736109807884</v>
      </c>
      <c r="D518" s="356">
        <f t="shared" si="197"/>
        <v>2123.289722636282</v>
      </c>
      <c r="E518" s="117">
        <v>3221.2633336170707</v>
      </c>
      <c r="F518" s="117">
        <v>1168.3201144790628</v>
      </c>
      <c r="G518" s="117">
        <v>322.87983595071427</v>
      </c>
      <c r="H518" s="117">
        <v>27.503183314229652</v>
      </c>
      <c r="I518" s="117">
        <v>549.68664229992351</v>
      </c>
      <c r="J518" s="117">
        <v>202.69470498636764</v>
      </c>
      <c r="K518" s="117">
        <v>265.23585364723175</v>
      </c>
      <c r="L518" s="577">
        <f>SUM(E518:K518)</f>
        <v>5757.5836682946001</v>
      </c>
    </row>
    <row r="519" spans="1:12" outlineLevel="1" x14ac:dyDescent="0.15">
      <c r="A519" s="119">
        <f t="shared" si="198"/>
        <v>2015</v>
      </c>
      <c r="B519" s="117" t="s">
        <v>156</v>
      </c>
      <c r="C519" s="179">
        <f>E519*VLOOKUP($B519,'Offroad Allocation'!$B$4:$G$15,5,0)</f>
        <v>8568.3295587735829</v>
      </c>
      <c r="D519" s="356">
        <f t="shared" si="197"/>
        <v>16569.656966576171</v>
      </c>
      <c r="E519" s="117">
        <v>25137.986525349756</v>
      </c>
      <c r="F519" s="117">
        <v>6304.1518225234822</v>
      </c>
      <c r="G519" s="117">
        <v>5774.8308425341365</v>
      </c>
      <c r="H519" s="117">
        <v>1346.1005174979323</v>
      </c>
      <c r="I519" s="117">
        <v>4656.1673781006184</v>
      </c>
      <c r="J519" s="117">
        <v>3527.8890489637024</v>
      </c>
      <c r="K519" s="117">
        <v>8270.6329064136171</v>
      </c>
      <c r="L519" s="577">
        <f t="shared" ref="L519:L522" si="199">SUM(E519:K519)</f>
        <v>55017.759041383244</v>
      </c>
    </row>
    <row r="520" spans="1:12" outlineLevel="1" x14ac:dyDescent="0.15">
      <c r="A520" s="119"/>
      <c r="B520" s="117" t="s">
        <v>157</v>
      </c>
      <c r="C520" s="179">
        <f>E520*VLOOKUP($B520,'Offroad Allocation'!$B$4:$G$15,5,0)</f>
        <v>2979.6880697664396</v>
      </c>
      <c r="D520" s="356">
        <f t="shared" ref="D520:D522" si="200">E520-C520</f>
        <v>5762.1977358322165</v>
      </c>
      <c r="E520" s="117">
        <v>8741.8858055986566</v>
      </c>
      <c r="F520" s="117">
        <v>1962.6596139668034</v>
      </c>
      <c r="G520" s="117">
        <v>1015.473746827259</v>
      </c>
      <c r="H520" s="117">
        <v>81.041541340827777</v>
      </c>
      <c r="I520" s="117">
        <v>1475.4168107381527</v>
      </c>
      <c r="J520" s="117">
        <v>724.38842793587037</v>
      </c>
      <c r="K520" s="117">
        <v>851.67792570250197</v>
      </c>
      <c r="L520" s="577">
        <f t="shared" si="199"/>
        <v>14852.543872110073</v>
      </c>
    </row>
    <row r="521" spans="1:12" outlineLevel="1" x14ac:dyDescent="0.15">
      <c r="A521" s="119"/>
      <c r="B521" s="117" t="s">
        <v>160</v>
      </c>
      <c r="C521" s="179">
        <f>E521*VLOOKUP($B521,'Offroad Allocation'!$B$4:$G$15,5,0)</f>
        <v>216.1455729618169</v>
      </c>
      <c r="D521" s="356">
        <f t="shared" si="200"/>
        <v>683.82675107814248</v>
      </c>
      <c r="E521" s="117">
        <v>899.9723240399594</v>
      </c>
      <c r="F521" s="117">
        <v>574.40473460409225</v>
      </c>
      <c r="G521" s="117">
        <v>303.54131003858311</v>
      </c>
      <c r="H521" s="117">
        <v>25.174066540303137</v>
      </c>
      <c r="I521" s="117">
        <v>520.66811927104845</v>
      </c>
      <c r="J521" s="117">
        <v>136.03683033967266</v>
      </c>
      <c r="K521" s="117">
        <v>218.3366400650421</v>
      </c>
      <c r="L521" s="577">
        <f>SUM(E521:K521)</f>
        <v>2678.1340248987008</v>
      </c>
    </row>
    <row r="522" spans="1:12" outlineLevel="1" x14ac:dyDescent="0.15">
      <c r="A522" s="119"/>
      <c r="B522" s="117" t="s">
        <v>161</v>
      </c>
      <c r="C522" s="179">
        <f>E522*VLOOKUP($B522,'Offroad Allocation'!$B$4:$G$15,5,0)</f>
        <v>0</v>
      </c>
      <c r="D522" s="356">
        <f t="shared" si="200"/>
        <v>36.862018699646001</v>
      </c>
      <c r="E522" s="117">
        <v>36.862018699646001</v>
      </c>
      <c r="F522" s="117">
        <v>5.9805397453308098</v>
      </c>
      <c r="G522" s="117">
        <v>9.0643340909140413</v>
      </c>
      <c r="H522" s="117">
        <v>15.9160898900713</v>
      </c>
      <c r="I522" s="117">
        <v>21.9834857003348</v>
      </c>
      <c r="J522" s="117">
        <v>52.7064232679094</v>
      </c>
      <c r="K522" s="117">
        <v>55.226273696899398</v>
      </c>
      <c r="L522" s="577">
        <f t="shared" si="199"/>
        <v>197.73916509110575</v>
      </c>
    </row>
    <row r="523" spans="1:12" outlineLevel="1" x14ac:dyDescent="0.15">
      <c r="A523" s="119">
        <f t="shared" si="198"/>
        <v>2015</v>
      </c>
      <c r="B523" s="117" t="s">
        <v>158</v>
      </c>
      <c r="C523" s="179">
        <f>E523*VLOOKUP($B523,'Offroad Allocation'!$B$4:$G$15,5,0)</f>
        <v>12.368381827064464</v>
      </c>
      <c r="D523" s="356">
        <f t="shared" ref="D523:D525" si="201">E523-C523</f>
        <v>23.918296174339336</v>
      </c>
      <c r="E523" s="117">
        <v>36.2866780014038</v>
      </c>
      <c r="F523" s="117">
        <v>29.634112998962397</v>
      </c>
      <c r="G523" s="117">
        <v>3.62866734600067</v>
      </c>
      <c r="H523" s="117">
        <v>0</v>
      </c>
      <c r="I523" s="117">
        <v>23.586317825317298</v>
      </c>
      <c r="J523" s="117">
        <v>0</v>
      </c>
      <c r="K523" s="117">
        <v>36.2866780014038</v>
      </c>
      <c r="L523" s="577">
        <f t="shared" ref="L523:L526" si="202">SUM(E523:K523)</f>
        <v>129.42245417308794</v>
      </c>
    </row>
    <row r="524" spans="1:12" outlineLevel="1" x14ac:dyDescent="0.15">
      <c r="A524" s="119">
        <f t="shared" si="198"/>
        <v>2015</v>
      </c>
      <c r="B524" s="117" t="s">
        <v>162</v>
      </c>
      <c r="C524" s="179">
        <f>E524*VLOOKUP($B524,'Offroad Allocation'!$B$4:$G$15,5,0)</f>
        <v>57.764555745589234</v>
      </c>
      <c r="D524" s="356">
        <f t="shared" si="201"/>
        <v>20.576315531266161</v>
      </c>
      <c r="E524" s="117">
        <v>78.340871276855395</v>
      </c>
      <c r="F524" s="117">
        <v>32.400333764757399</v>
      </c>
      <c r="G524" s="117">
        <v>14.098042507989</v>
      </c>
      <c r="H524" s="117">
        <v>2.2567086939130498</v>
      </c>
      <c r="I524" s="117">
        <v>10.4663123724801</v>
      </c>
      <c r="J524" s="117">
        <v>2.0433426136629902</v>
      </c>
      <c r="K524" s="117">
        <v>17.314672225407101</v>
      </c>
      <c r="L524" s="577">
        <f t="shared" si="202"/>
        <v>156.92028345506503</v>
      </c>
    </row>
    <row r="525" spans="1:12" outlineLevel="1" x14ac:dyDescent="0.15">
      <c r="A525" s="119">
        <f t="shared" si="198"/>
        <v>2015</v>
      </c>
      <c r="B525" s="117" t="s">
        <v>163</v>
      </c>
      <c r="C525" s="179">
        <f>E525*VLOOKUP($B525,'Offroad Allocation'!$B$4:$G$15,5,0)</f>
        <v>15.883015370098693</v>
      </c>
      <c r="D525" s="356">
        <f t="shared" si="201"/>
        <v>14.624020346911706</v>
      </c>
      <c r="E525" s="117">
        <v>30.5070357170104</v>
      </c>
      <c r="F525" s="117">
        <v>5.3055673270225494</v>
      </c>
      <c r="G525" s="117">
        <v>2.6527815670626502</v>
      </c>
      <c r="H525" s="117">
        <v>5.3055673270225494</v>
      </c>
      <c r="I525" s="117">
        <v>15.916691602434399</v>
      </c>
      <c r="J525" s="117">
        <v>3.9791735721996804</v>
      </c>
      <c r="K525" s="117">
        <v>6.6319558556420395</v>
      </c>
      <c r="L525" s="577">
        <f t="shared" si="202"/>
        <v>70.29877296839426</v>
      </c>
    </row>
    <row r="526" spans="1:12" outlineLevel="1" x14ac:dyDescent="0.15">
      <c r="A526" s="66"/>
      <c r="B526" s="171" t="s">
        <v>88</v>
      </c>
      <c r="C526" s="357">
        <f t="shared" ref="C526:K526" si="203">SUM(C516:C525)</f>
        <v>13898.111678023035</v>
      </c>
      <c r="D526" s="357">
        <f t="shared" si="203"/>
        <v>25291.561606597774</v>
      </c>
      <c r="E526" s="357">
        <f t="shared" si="203"/>
        <v>39189.673284620818</v>
      </c>
      <c r="F526" s="357">
        <f t="shared" si="203"/>
        <v>10102.091587968796</v>
      </c>
      <c r="G526" s="357">
        <f t="shared" si="203"/>
        <v>8125.8716288469477</v>
      </c>
      <c r="H526" s="357">
        <f t="shared" si="203"/>
        <v>2098.3901737328051</v>
      </c>
      <c r="I526" s="357">
        <f t="shared" si="203"/>
        <v>7386.7622440963441</v>
      </c>
      <c r="J526" s="357">
        <f t="shared" si="203"/>
        <v>5416.1751919833978</v>
      </c>
      <c r="K526" s="357">
        <f t="shared" si="203"/>
        <v>10648.275101457084</v>
      </c>
      <c r="L526" s="357">
        <f t="shared" si="202"/>
        <v>82967.239212706176</v>
      </c>
    </row>
    <row r="527" spans="1:12" outlineLevel="1" x14ac:dyDescent="0.15">
      <c r="A527" s="66"/>
      <c r="B527" s="101" t="s">
        <v>460</v>
      </c>
      <c r="C527" s="66"/>
      <c r="D527" s="66"/>
      <c r="E527" s="66"/>
      <c r="F527" s="66"/>
      <c r="G527" s="66"/>
      <c r="H527" s="66"/>
    </row>
    <row r="528" spans="1:12" outlineLevel="1" x14ac:dyDescent="0.15">
      <c r="A528" s="66"/>
      <c r="B528" s="101"/>
      <c r="C528" s="66"/>
      <c r="D528" s="66"/>
      <c r="E528" s="66"/>
      <c r="F528" s="66"/>
      <c r="G528" s="66"/>
      <c r="H528" s="66"/>
    </row>
    <row r="529" spans="1:11" outlineLevel="1" x14ac:dyDescent="0.15">
      <c r="A529" s="66"/>
      <c r="B529" s="82" t="s">
        <v>471</v>
      </c>
      <c r="C529" s="69"/>
      <c r="D529" s="66"/>
      <c r="E529" s="66"/>
      <c r="F529" s="66"/>
      <c r="G529" s="66"/>
      <c r="H529" s="66"/>
    </row>
    <row r="530" spans="1:11" ht="15" outlineLevel="1" x14ac:dyDescent="0.15">
      <c r="A530" s="66"/>
      <c r="B530" s="83" t="s">
        <v>459</v>
      </c>
      <c r="C530" s="83" t="s">
        <v>58</v>
      </c>
      <c r="D530" s="83" t="s">
        <v>100</v>
      </c>
      <c r="E530" s="83" t="s">
        <v>59</v>
      </c>
      <c r="F530" s="83" t="s">
        <v>60</v>
      </c>
      <c r="G530" s="83" t="s">
        <v>62</v>
      </c>
      <c r="H530" s="83" t="s">
        <v>61</v>
      </c>
      <c r="I530" s="83" t="s">
        <v>63</v>
      </c>
      <c r="J530" s="83" t="s">
        <v>64</v>
      </c>
      <c r="K530" s="83" t="s">
        <v>65</v>
      </c>
    </row>
    <row r="531" spans="1:11" outlineLevel="1" x14ac:dyDescent="0.15">
      <c r="A531" s="66"/>
      <c r="B531" s="117" t="s">
        <v>155</v>
      </c>
      <c r="C531" s="179">
        <f>C486*1000/'Constants &amp; Conversions'!$D$57</f>
        <v>0</v>
      </c>
      <c r="D531" s="179">
        <f>D486*1000/'Constants &amp; Conversions'!$D$57</f>
        <v>185664.61515707269</v>
      </c>
      <c r="E531" s="179">
        <f>E486*1000/'Constants &amp; Conversions'!$D$57</f>
        <v>185664.61515707269</v>
      </c>
      <c r="F531" s="179">
        <f>F486*1000/'Constants &amp; Conversions'!$D$57</f>
        <v>62351.302569151223</v>
      </c>
      <c r="G531" s="179">
        <f>G486*1000/'Constants &amp; Conversions'!$D$57</f>
        <v>2228907.0488150287</v>
      </c>
      <c r="H531" s="179">
        <f>H486*1000/'Constants &amp; Conversions'!$D$57</f>
        <v>1951741.9184250047</v>
      </c>
      <c r="I531" s="179">
        <f>I486*1000/'Constants &amp; Conversions'!$D$57</f>
        <v>369816.31635546888</v>
      </c>
      <c r="J531" s="179">
        <f>J486*1000/'Constants &amp; Conversions'!$D$57</f>
        <v>2513390.1355766919</v>
      </c>
      <c r="K531" s="179">
        <f>K486*1000/'Constants &amp; Conversions'!$D$57</f>
        <v>3039340.5408647149</v>
      </c>
    </row>
    <row r="532" spans="1:11" outlineLevel="1" x14ac:dyDescent="0.15">
      <c r="A532" s="66"/>
      <c r="B532" s="117" t="s">
        <v>159</v>
      </c>
      <c r="C532" s="179">
        <f>C487*1000/'Constants &amp; Conversions'!$D$57</f>
        <v>3120607.9886327754</v>
      </c>
      <c r="D532" s="179">
        <f>D487*1000/'Constants &amp; Conversions'!$D$57</f>
        <v>0</v>
      </c>
      <c r="E532" s="179">
        <f>E487*1000/'Constants &amp; Conversions'!$D$57</f>
        <v>3120607.9886327754</v>
      </c>
      <c r="F532" s="179">
        <f>F487*1000/'Constants &amp; Conversions'!$D$57</f>
        <v>734.67018135631827</v>
      </c>
      <c r="G532" s="179">
        <f>G487*1000/'Constants &amp; Conversions'!$D$57</f>
        <v>334.57458970190402</v>
      </c>
      <c r="H532" s="179">
        <f>H487*1000/'Constants &amp; Conversions'!$D$57</f>
        <v>0</v>
      </c>
      <c r="I532" s="179">
        <f>I487*1000/'Constants &amp; Conversions'!$D$57</f>
        <v>369.42615135392799</v>
      </c>
      <c r="J532" s="179">
        <f>J487*1000/'Constants &amp; Conversions'!$D$57</f>
        <v>320.63417751359015</v>
      </c>
      <c r="K532" s="179">
        <f>K487*1000/'Constants &amp; Conversions'!$D$57</f>
        <v>752.79317303564892</v>
      </c>
    </row>
    <row r="533" spans="1:11" outlineLevel="1" x14ac:dyDescent="0.15">
      <c r="A533" s="66"/>
      <c r="B533" s="117" t="s">
        <v>104</v>
      </c>
      <c r="C533" s="179">
        <f>C488*1000/'Constants &amp; Conversions'!$D$57</f>
        <v>3391795.360680019</v>
      </c>
      <c r="D533" s="179">
        <f>D488*1000/'Constants &amp; Conversions'!$D$57</f>
        <v>6559141.4571286244</v>
      </c>
      <c r="E533" s="179">
        <f>E488*1000/'Constants &amp; Conversions'!$D$57</f>
        <v>9950936.817808643</v>
      </c>
      <c r="F533" s="179">
        <f>F488*1000/'Constants &amp; Conversions'!$D$57</f>
        <v>3609107.8924173363</v>
      </c>
      <c r="G533" s="179">
        <f>G488*1000/'Constants &amp; Conversions'!$D$57</f>
        <v>997421.40241123433</v>
      </c>
      <c r="H533" s="179">
        <f>H488*1000/'Constants &amp; Conversions'!$D$57</f>
        <v>84961.193326116307</v>
      </c>
      <c r="I533" s="179">
        <f>I488*1000/'Constants &amp; Conversions'!$D$57</f>
        <v>1698059.2631602664</v>
      </c>
      <c r="J533" s="179">
        <f>J488*1000/'Constants &amp; Conversions'!$D$57</f>
        <v>626152.47190262808</v>
      </c>
      <c r="K533" s="179">
        <f>K488*1000/'Constants &amp; Conversions'!$D$57</f>
        <v>819351.80981184251</v>
      </c>
    </row>
    <row r="534" spans="1:11" outlineLevel="1" x14ac:dyDescent="0.15">
      <c r="A534" s="66"/>
      <c r="B534" s="117" t="s">
        <v>156</v>
      </c>
      <c r="C534" s="179">
        <f>C489*1000/'Constants &amp; Conversions'!$D$57</f>
        <v>24209176.010609273</v>
      </c>
      <c r="D534" s="179">
        <f>D489*1000/'Constants &amp; Conversions'!$D$57</f>
        <v>46816329.739384688</v>
      </c>
      <c r="E534" s="179">
        <f>E489*1000/'Constants &amp; Conversions'!$D$57</f>
        <v>71025505.749993965</v>
      </c>
      <c r="F534" s="179">
        <f>F489*1000/'Constants &amp; Conversions'!$D$57</f>
        <v>17811913.48870967</v>
      </c>
      <c r="G534" s="179">
        <f>G489*1000/'Constants &amp; Conversions'!$D$57</f>
        <v>16316358.580005074</v>
      </c>
      <c r="H534" s="179">
        <f>H489*1000/'Constants &amp; Conversions'!$D$57</f>
        <v>3803307.4948304812</v>
      </c>
      <c r="I534" s="179">
        <f>I489*1000/'Constants &amp; Conversions'!$D$57</f>
        <v>13155657.464991121</v>
      </c>
      <c r="J534" s="179">
        <f>J489*1000/'Constants &amp; Conversions'!$D$57</f>
        <v>9967793.2057867832</v>
      </c>
      <c r="K534" s="179">
        <f>K489*1000/'Constants &amp; Conversions'!$D$57</f>
        <v>23368066.226067282</v>
      </c>
    </row>
    <row r="535" spans="1:11" outlineLevel="1" x14ac:dyDescent="0.15">
      <c r="A535" s="66"/>
      <c r="B535" s="117" t="s">
        <v>157</v>
      </c>
      <c r="C535" s="179">
        <f>C490*1000/'Constants &amp; Conversions'!$D$57</f>
        <v>7103935.8515571086</v>
      </c>
      <c r="D535" s="179">
        <f>D490*1000/'Constants &amp; Conversions'!$D$57</f>
        <v>13737774.599523192</v>
      </c>
      <c r="E535" s="179">
        <f>E490*1000/'Constants &amp; Conversions'!$D$57</f>
        <v>20841710.4510803</v>
      </c>
      <c r="F535" s="179">
        <f>F490*1000/'Constants &amp; Conversions'!$D$57</f>
        <v>4739414.3250484848</v>
      </c>
      <c r="G535" s="179">
        <f>G490*1000/'Constants &amp; Conversions'!$D$57</f>
        <v>2459389.3581514386</v>
      </c>
      <c r="H535" s="179">
        <f>H490*1000/'Constants &amp; Conversions'!$D$57</f>
        <v>190650.3225318458</v>
      </c>
      <c r="I535" s="179">
        <f>I490*1000/'Constants &amp; Conversions'!$D$57</f>
        <v>3566519.9890732788</v>
      </c>
      <c r="J535" s="179">
        <f>J490*1000/'Constants &amp; Conversions'!$D$57</f>
        <v>1762176.2934573595</v>
      </c>
      <c r="K535" s="179">
        <f>K490*1000/'Constants &amp; Conversions'!$D$57</f>
        <v>2023091.1989419321</v>
      </c>
    </row>
    <row r="536" spans="1:11" outlineLevel="1" x14ac:dyDescent="0.15">
      <c r="A536" s="66"/>
      <c r="B536" s="117" t="s">
        <v>160</v>
      </c>
      <c r="C536" s="179">
        <f>C491*1000/'Constants &amp; Conversions'!$D$57</f>
        <v>665840.60997956118</v>
      </c>
      <c r="D536" s="179">
        <f>D491*1000/'Constants &amp; Conversions'!$D$57</f>
        <v>2106541.5072768866</v>
      </c>
      <c r="E536" s="179">
        <f>E491*1000/'Constants &amp; Conversions'!$D$57</f>
        <v>2772382.1172564481</v>
      </c>
      <c r="F536" s="179">
        <f>F491*1000/'Constants &amp; Conversions'!$D$57</f>
        <v>1769461.5843625569</v>
      </c>
      <c r="G536" s="179">
        <f>G491*1000/'Constants &amp; Conversions'!$D$57</f>
        <v>935063.7532930848</v>
      </c>
      <c r="H536" s="179">
        <f>H491*1000/'Constants &amp; Conversions'!$D$57</f>
        <v>77549.180152816669</v>
      </c>
      <c r="I536" s="179">
        <f>I491*1000/'Constants &amp; Conversions'!$D$57</f>
        <v>1603925.7275236971</v>
      </c>
      <c r="J536" s="179">
        <f>J491*1000/'Constants &amp; Conversions'!$D$57</f>
        <v>419063.61678966769</v>
      </c>
      <c r="K536" s="179">
        <f>K491*1000/'Constants &amp; Conversions'!$D$57</f>
        <v>672589.79121180717</v>
      </c>
    </row>
    <row r="537" spans="1:11" outlineLevel="1" x14ac:dyDescent="0.15">
      <c r="A537" s="66"/>
      <c r="B537" s="117" t="s">
        <v>161</v>
      </c>
      <c r="C537" s="179">
        <f>C492*1000/'Constants &amp; Conversions'!$D$57</f>
        <v>0</v>
      </c>
      <c r="D537" s="179">
        <f>D492*1000/'Constants &amp; Conversions'!$D$57</f>
        <v>102709.02819252099</v>
      </c>
      <c r="E537" s="179">
        <f>E492*1000/'Constants &amp; Conversions'!$D$57</f>
        <v>102709.02819252099</v>
      </c>
      <c r="F537" s="179">
        <f>F492*1000/'Constants &amp; Conversions'!$D$57</f>
        <v>16663.62076900739</v>
      </c>
      <c r="G537" s="179">
        <f>G492*1000/'Constants &amp; Conversions'!$D$57</f>
        <v>25256.040146150019</v>
      </c>
      <c r="H537" s="179">
        <f>H492*1000/'Constants &amp; Conversions'!$D$57</f>
        <v>44347.253687581615</v>
      </c>
      <c r="I537" s="179">
        <f>I492*1000/'Constants &amp; Conversions'!$D$57</f>
        <v>61252.938427533947</v>
      </c>
      <c r="J537" s="179">
        <f>J492*1000/'Constants &amp; Conversions'!$D$57</f>
        <v>146856.74301953174</v>
      </c>
      <c r="K537" s="179">
        <f>K492*1000/'Constants &amp; Conversions'!$D$57</f>
        <v>153877.66638098232</v>
      </c>
    </row>
    <row r="538" spans="1:11" outlineLevel="1" x14ac:dyDescent="0.15">
      <c r="A538" s="66"/>
      <c r="B538" s="117" t="s">
        <v>158</v>
      </c>
      <c r="C538" s="179">
        <f>C493*1000/'Constants &amp; Conversions'!$D$57</f>
        <v>39164.782776758278</v>
      </c>
      <c r="D538" s="179">
        <f>D493*1000/'Constants &amp; Conversions'!$D$57</f>
        <v>75737.868312600433</v>
      </c>
      <c r="E538" s="179">
        <f>E493*1000/'Constants &amp; Conversions'!$D$57</f>
        <v>114902.6510893587</v>
      </c>
      <c r="F538" s="179">
        <f>F493*1000/'Constants &amp; Conversions'!$D$57</f>
        <v>93837.133564887903</v>
      </c>
      <c r="G538" s="179">
        <f>G493*1000/'Constants &amp; Conversions'!$D$57</f>
        <v>11490.265023089674</v>
      </c>
      <c r="H538" s="179">
        <f>H493*1000/'Constants &amp; Conversions'!$D$57</f>
        <v>0</v>
      </c>
      <c r="I538" s="179">
        <f>I493*1000/'Constants &amp; Conversions'!$D$57</f>
        <v>74686.746447742349</v>
      </c>
      <c r="J538" s="179">
        <f>J493*1000/'Constants &amp; Conversions'!$D$57</f>
        <v>0</v>
      </c>
      <c r="K538" s="179">
        <f>K493*1000/'Constants &amp; Conversions'!$D$57</f>
        <v>114902.6510893587</v>
      </c>
    </row>
    <row r="539" spans="1:11" outlineLevel="1" x14ac:dyDescent="0.15">
      <c r="A539" s="66"/>
      <c r="B539" s="117" t="s">
        <v>162</v>
      </c>
      <c r="C539" s="179">
        <f>C494*1000/'Constants &amp; Conversions'!$D$57</f>
        <v>122085.5780966758</v>
      </c>
      <c r="D539" s="179">
        <f>D494*1000/'Constants &amp; Conversions'!$D$57</f>
        <v>43488.110387243032</v>
      </c>
      <c r="E539" s="179">
        <f>E494*1000/'Constants &amp; Conversions'!$D$57</f>
        <v>165573.68848391881</v>
      </c>
      <c r="F539" s="179">
        <f>F494*1000/'Constants &amp; Conversions'!$D$57</f>
        <v>68478.254860390589</v>
      </c>
      <c r="G539" s="179">
        <f>G494*1000/'Constants &amp; Conversions'!$D$57</f>
        <v>29796.205581978214</v>
      </c>
      <c r="H539" s="179">
        <f>H494*1000/'Constants &amp; Conversions'!$D$57</f>
        <v>4769.5544059271861</v>
      </c>
      <c r="I539" s="179">
        <f>I494*1000/'Constants &amp; Conversions'!$D$57</f>
        <v>22120.556769870098</v>
      </c>
      <c r="J539" s="179">
        <f>J494*1000/'Constants &amp; Conversions'!$D$57</f>
        <v>4318.6061421107352</v>
      </c>
      <c r="K539" s="179">
        <f>K494*1000/'Constants &amp; Conversions'!$D$57</f>
        <v>36594.528981911586</v>
      </c>
    </row>
    <row r="540" spans="1:11" outlineLevel="1" x14ac:dyDescent="0.15">
      <c r="A540" s="66"/>
      <c r="B540" s="117" t="s">
        <v>163</v>
      </c>
      <c r="C540" s="179">
        <f>C495*1000/'Constants &amp; Conversions'!$D$57</f>
        <v>38793.49951395447</v>
      </c>
      <c r="D540" s="179">
        <f>D495*1000/'Constants &amp; Conversions'!$D$57</f>
        <v>35718.464850698831</v>
      </c>
      <c r="E540" s="179">
        <f>E495*1000/'Constants &amp; Conversions'!$D$57</f>
        <v>74511.964364653293</v>
      </c>
      <c r="F540" s="179">
        <f>F495*1000/'Constants &amp; Conversions'!$D$57</f>
        <v>12958.594547495926</v>
      </c>
      <c r="G540" s="179">
        <f>G495*1000/'Constants &amp; Conversions'!$D$57</f>
        <v>6479.3013130314175</v>
      </c>
      <c r="H540" s="179">
        <f>H495*1000/'Constants &amp; Conversions'!$D$57</f>
        <v>12958.594547495926</v>
      </c>
      <c r="I540" s="179">
        <f>I495*1000/'Constants &amp; Conversions'!$D$57</f>
        <v>38875.793078172086</v>
      </c>
      <c r="J540" s="179">
        <f>J495*1000/'Constants &amp; Conversions'!$D$57</f>
        <v>9718.9452702112085</v>
      </c>
      <c r="K540" s="179">
        <f>K495*1000/'Constants &amp; Conversions'!$D$57</f>
        <v>16198.239069759551</v>
      </c>
    </row>
    <row r="541" spans="1:11" outlineLevel="1" x14ac:dyDescent="0.15">
      <c r="A541" s="66"/>
      <c r="B541" s="171" t="s">
        <v>88</v>
      </c>
      <c r="C541" s="357">
        <f t="shared" ref="C541:K541" si="204">SUM(C531:C540)</f>
        <v>38691399.681846119</v>
      </c>
      <c r="D541" s="357">
        <f t="shared" si="204"/>
        <v>69663105.390213519</v>
      </c>
      <c r="E541" s="357">
        <f t="shared" si="204"/>
        <v>108354505.07205966</v>
      </c>
      <c r="F541" s="357">
        <f t="shared" si="204"/>
        <v>28184920.867030337</v>
      </c>
      <c r="G541" s="357">
        <f t="shared" si="204"/>
        <v>23010496.529329814</v>
      </c>
      <c r="H541" s="357">
        <f t="shared" si="204"/>
        <v>6170285.5119072692</v>
      </c>
      <c r="I541" s="357">
        <f t="shared" si="204"/>
        <v>20591284.221978504</v>
      </c>
      <c r="J541" s="357">
        <f t="shared" si="204"/>
        <v>15449790.652122496</v>
      </c>
      <c r="K541" s="357">
        <f t="shared" si="204"/>
        <v>30244765.445592627</v>
      </c>
    </row>
    <row r="542" spans="1:11" x14ac:dyDescent="0.15">
      <c r="A542" s="66"/>
      <c r="B542" s="66"/>
      <c r="C542" s="69"/>
      <c r="D542" s="66"/>
      <c r="E542" s="66"/>
      <c r="F542" s="66"/>
      <c r="G542" s="66"/>
      <c r="H542" s="66"/>
    </row>
    <row r="543" spans="1:11" ht="18" x14ac:dyDescent="0.2">
      <c r="A543" s="189" t="s">
        <v>147</v>
      </c>
      <c r="B543" s="66"/>
      <c r="C543" s="69"/>
      <c r="D543" s="66"/>
      <c r="E543" s="66"/>
      <c r="F543" s="66"/>
      <c r="G543" s="66"/>
      <c r="H543" s="66"/>
    </row>
    <row r="544" spans="1:11" outlineLevel="1" x14ac:dyDescent="0.15">
      <c r="A544" s="82"/>
      <c r="B544" s="82" t="s">
        <v>458</v>
      </c>
      <c r="C544" s="69"/>
      <c r="D544" s="66"/>
      <c r="E544" s="66"/>
      <c r="F544" s="66"/>
      <c r="G544" s="66"/>
      <c r="H544" s="66"/>
    </row>
    <row r="545" spans="1:11" ht="15" outlineLevel="1" x14ac:dyDescent="0.15">
      <c r="A545" s="82"/>
      <c r="B545" s="83" t="s">
        <v>459</v>
      </c>
      <c r="C545" s="83" t="s">
        <v>58</v>
      </c>
      <c r="D545" s="83" t="s">
        <v>100</v>
      </c>
      <c r="E545" s="83" t="s">
        <v>59</v>
      </c>
      <c r="F545" s="83" t="s">
        <v>60</v>
      </c>
      <c r="G545" s="83" t="s">
        <v>62</v>
      </c>
      <c r="H545" s="83" t="s">
        <v>61</v>
      </c>
      <c r="I545" s="83" t="s">
        <v>63</v>
      </c>
      <c r="J545" s="83" t="s">
        <v>64</v>
      </c>
      <c r="K545" s="83" t="s">
        <v>65</v>
      </c>
    </row>
    <row r="546" spans="1:11" ht="15" outlineLevel="1" x14ac:dyDescent="0.15">
      <c r="A546" s="82"/>
      <c r="B546" s="609" t="s">
        <v>476</v>
      </c>
      <c r="C546" s="609"/>
      <c r="D546" s="609"/>
      <c r="E546" s="609"/>
      <c r="F546" s="609"/>
      <c r="G546" s="609"/>
      <c r="H546" s="609"/>
      <c r="I546" s="609"/>
      <c r="J546" s="609"/>
      <c r="K546" s="609"/>
    </row>
    <row r="547" spans="1:11" outlineLevel="1" x14ac:dyDescent="0.15">
      <c r="A547" s="82"/>
      <c r="B547" s="117" t="s">
        <v>155</v>
      </c>
      <c r="C547" s="179">
        <f>E547*VLOOKUP($B547,'Offroad Allocation'!$B$4:$G$15,5,0)</f>
        <v>0</v>
      </c>
      <c r="D547" s="356">
        <f t="shared" ref="D547:D553" si="205">E547-C547</f>
        <v>67.636882182530002</v>
      </c>
      <c r="E547" s="117">
        <v>67.636882182530002</v>
      </c>
      <c r="F547" s="117">
        <v>22.7142978172302</v>
      </c>
      <c r="G547" s="117">
        <v>811.98064449637195</v>
      </c>
      <c r="H547" s="117">
        <v>711.01103302873798</v>
      </c>
      <c r="I547" s="117">
        <v>134.722335987636</v>
      </c>
      <c r="J547" s="117">
        <v>915.61574661690804</v>
      </c>
      <c r="K547" s="117">
        <v>1107.2164729701399</v>
      </c>
    </row>
    <row r="548" spans="1:11" outlineLevel="1" x14ac:dyDescent="0.15">
      <c r="A548" s="82"/>
      <c r="B548" s="117" t="s">
        <v>104</v>
      </c>
      <c r="C548" s="179">
        <f>E548*VLOOKUP($B548,'Offroad Allocation'!$B$4:$G$15,5,0)</f>
        <v>268890.91073037504</v>
      </c>
      <c r="D548" s="356">
        <f t="shared" si="205"/>
        <v>519988.18692383409</v>
      </c>
      <c r="E548" s="117">
        <v>788879.09765420912</v>
      </c>
      <c r="F548" s="117">
        <v>286118.76355038799</v>
      </c>
      <c r="G548" s="117">
        <v>79072.52495573202</v>
      </c>
      <c r="H548" s="117">
        <v>6735.467327982351</v>
      </c>
      <c r="I548" s="117">
        <v>134616.99158337835</v>
      </c>
      <c r="J548" s="117">
        <v>49639.377239762915</v>
      </c>
      <c r="K548" s="117">
        <v>64955.759582218663</v>
      </c>
    </row>
    <row r="549" spans="1:11" outlineLevel="1" x14ac:dyDescent="0.15">
      <c r="A549" s="82"/>
      <c r="B549" s="117" t="s">
        <v>156</v>
      </c>
      <c r="C549" s="179">
        <f>E549*VLOOKUP($B549,'Offroad Allocation'!$B$4:$G$15,5,0)</f>
        <v>207746.58405879757</v>
      </c>
      <c r="D549" s="356">
        <f t="shared" si="205"/>
        <v>401745.70903467503</v>
      </c>
      <c r="E549" s="117">
        <v>609492.2930934726</v>
      </c>
      <c r="F549" s="117">
        <v>152849.75879174058</v>
      </c>
      <c r="G549" s="117">
        <v>140015.96233247203</v>
      </c>
      <c r="H549" s="117">
        <v>32637.404865379569</v>
      </c>
      <c r="I549" s="117">
        <v>112892.91209606001</v>
      </c>
      <c r="J549" s="117">
        <v>85536.807852558602</v>
      </c>
      <c r="K549" s="117">
        <v>200528.75543216727</v>
      </c>
    </row>
    <row r="550" spans="1:11" outlineLevel="1" x14ac:dyDescent="0.15">
      <c r="A550" s="82"/>
      <c r="B550" s="117" t="s">
        <v>157</v>
      </c>
      <c r="C550" s="179">
        <f>E550*VLOOKUP($B550,'Offroad Allocation'!$B$4:$G$15,5,0)</f>
        <v>4882.9074452006507</v>
      </c>
      <c r="D550" s="356">
        <f t="shared" si="205"/>
        <v>9442.6925121792701</v>
      </c>
      <c r="E550" s="117">
        <v>14325.59995737992</v>
      </c>
      <c r="F550" s="117">
        <v>3672.5150475986948</v>
      </c>
      <c r="G550" s="117">
        <v>1954.9569320286298</v>
      </c>
      <c r="H550" s="117">
        <v>113.38432805742451</v>
      </c>
      <c r="I550" s="117">
        <v>2788.7848802315752</v>
      </c>
      <c r="J550" s="117">
        <v>1453.462337873184</v>
      </c>
      <c r="K550" s="117">
        <v>1339.4867906886486</v>
      </c>
    </row>
    <row r="551" spans="1:11" outlineLevel="1" x14ac:dyDescent="0.15">
      <c r="A551" s="82"/>
      <c r="B551" s="117" t="s">
        <v>160</v>
      </c>
      <c r="C551" s="179">
        <f>E551*VLOOKUP($B551,'Offroad Allocation'!$B$4:$G$15,5,0)</f>
        <v>2128277.998500519</v>
      </c>
      <c r="D551" s="356">
        <f t="shared" si="205"/>
        <v>6733302.0480729453</v>
      </c>
      <c r="E551" s="117">
        <v>8861580.0465734638</v>
      </c>
      <c r="F551" s="117">
        <v>4335043.1960172895</v>
      </c>
      <c r="G551" s="117">
        <v>2247867.2316612098</v>
      </c>
      <c r="H551" s="117">
        <v>199878.95127146176</v>
      </c>
      <c r="I551" s="117">
        <v>3826878.8606437882</v>
      </c>
      <c r="J551" s="117">
        <v>1050446.6330349578</v>
      </c>
      <c r="K551" s="117">
        <v>1727618.8503917691</v>
      </c>
    </row>
    <row r="552" spans="1:11" outlineLevel="1" x14ac:dyDescent="0.15">
      <c r="A552" s="82"/>
      <c r="B552" s="117" t="s">
        <v>161</v>
      </c>
      <c r="C552" s="179">
        <f>E552*VLOOKUP($B552,'Offroad Allocation'!$B$4:$G$15,5,0)</f>
        <v>0</v>
      </c>
      <c r="D552" s="356">
        <f t="shared" si="205"/>
        <v>3978.5661967075898</v>
      </c>
      <c r="E552" s="117">
        <v>3978.5661967075898</v>
      </c>
      <c r="F552" s="117">
        <v>645.48691144670693</v>
      </c>
      <c r="G552" s="117">
        <v>978.32503267996594</v>
      </c>
      <c r="H552" s="117">
        <v>1717.84394328962</v>
      </c>
      <c r="I552" s="117">
        <v>2372.7055478515604</v>
      </c>
      <c r="J552" s="117">
        <v>5688.6658563057999</v>
      </c>
      <c r="K552" s="117">
        <v>5960.64244419642</v>
      </c>
    </row>
    <row r="553" spans="1:11" outlineLevel="1" x14ac:dyDescent="0.15">
      <c r="A553" s="82"/>
      <c r="B553" s="117" t="s">
        <v>163</v>
      </c>
      <c r="C553" s="179">
        <f>E553*VLOOKUP($B553,'Offroad Allocation'!$B$4:$G$15,5,0)</f>
        <v>562540.97756078234</v>
      </c>
      <c r="D553" s="356">
        <f t="shared" si="205"/>
        <v>517950.18201064458</v>
      </c>
      <c r="E553" s="117">
        <v>1080491.1595714269</v>
      </c>
      <c r="F553" s="117">
        <v>187911.42904464231</v>
      </c>
      <c r="G553" s="117">
        <v>93955.775458147196</v>
      </c>
      <c r="H553" s="117">
        <v>3255290.3719017827</v>
      </c>
      <c r="I553" s="117">
        <v>563734.10125446296</v>
      </c>
      <c r="J553" s="117">
        <v>140933.5983353793</v>
      </c>
      <c r="K553" s="117">
        <v>234889.16950781213</v>
      </c>
    </row>
    <row r="554" spans="1:11" ht="15" outlineLevel="1" x14ac:dyDescent="0.15">
      <c r="A554" s="82"/>
      <c r="B554" s="609" t="s">
        <v>477</v>
      </c>
      <c r="C554" s="609"/>
      <c r="D554" s="609"/>
      <c r="E554" s="609"/>
      <c r="F554" s="609"/>
      <c r="G554" s="609"/>
      <c r="H554" s="609"/>
      <c r="I554" s="609"/>
      <c r="J554" s="609"/>
      <c r="K554" s="609"/>
    </row>
    <row r="555" spans="1:11" outlineLevel="1" x14ac:dyDescent="0.15">
      <c r="A555" s="82"/>
      <c r="B555" s="117" t="s">
        <v>155</v>
      </c>
      <c r="C555" s="179">
        <f>E555*VLOOKUP($B555,'Offroad Allocation'!$B$4:$G$15,5,0)</f>
        <v>0</v>
      </c>
      <c r="D555" s="356">
        <f t="shared" ref="D555:D564" si="206">E555-C555</f>
        <v>8366.2972627036143</v>
      </c>
      <c r="E555" s="117">
        <v>8366.2972627036143</v>
      </c>
      <c r="F555" s="117">
        <v>2809.6300839070832</v>
      </c>
      <c r="G555" s="117">
        <v>100437.39520805237</v>
      </c>
      <c r="H555" s="117">
        <v>87948.091735951952</v>
      </c>
      <c r="I555" s="117">
        <v>16664.399943857705</v>
      </c>
      <c r="J555" s="117">
        <v>113256.58129339901</v>
      </c>
      <c r="K555" s="117">
        <v>136956.47629654122</v>
      </c>
    </row>
    <row r="556" spans="1:11" outlineLevel="1" x14ac:dyDescent="0.15">
      <c r="A556" s="82"/>
      <c r="B556" s="117" t="s">
        <v>159</v>
      </c>
      <c r="C556" s="179">
        <f>E556*VLOOKUP($B556,'Offroad Allocation'!$B$4:$G$15,5,0)</f>
        <v>242894.69899999999</v>
      </c>
      <c r="D556" s="356">
        <f t="shared" si="206"/>
        <v>0</v>
      </c>
      <c r="E556" s="117">
        <v>242894.69899999999</v>
      </c>
      <c r="F556" s="117">
        <v>57.183473876953101</v>
      </c>
      <c r="G556" s="117">
        <v>26.041861320495599</v>
      </c>
      <c r="H556" s="117">
        <v>0</v>
      </c>
      <c r="I556" s="117">
        <v>28.754561393737699</v>
      </c>
      <c r="J556" s="117">
        <v>24.9567787704467</v>
      </c>
      <c r="K556" s="117">
        <v>58.594190567016604</v>
      </c>
    </row>
    <row r="557" spans="1:11" outlineLevel="1" x14ac:dyDescent="0.15">
      <c r="A557" s="82"/>
      <c r="B557" s="117" t="s">
        <v>104</v>
      </c>
      <c r="C557" s="179">
        <f>E557*VLOOKUP($B557,'Offroad Allocation'!$B$4:$G$15,5,0)</f>
        <v>13760335.561303655</v>
      </c>
      <c r="D557" s="356">
        <f t="shared" si="206"/>
        <v>26610092.250982001</v>
      </c>
      <c r="E557" s="117">
        <v>40370427.812285654</v>
      </c>
      <c r="F557" s="117">
        <v>14641944.648142839</v>
      </c>
      <c r="G557" s="117">
        <v>4046486.2552912855</v>
      </c>
      <c r="H557" s="117">
        <v>344682.97536579199</v>
      </c>
      <c r="I557" s="117">
        <v>6888943.9565714123</v>
      </c>
      <c r="J557" s="117">
        <v>2540268.5484732045</v>
      </c>
      <c r="K557" s="117">
        <v>3324068.0105870436</v>
      </c>
    </row>
    <row r="558" spans="1:11" outlineLevel="1" x14ac:dyDescent="0.15">
      <c r="A558" s="82"/>
      <c r="B558" s="117" t="s">
        <v>156</v>
      </c>
      <c r="C558" s="179">
        <f>E558*VLOOKUP($B558,'Offroad Allocation'!$B$4:$G$15,5,0)</f>
        <v>1302145.4028143634</v>
      </c>
      <c r="D558" s="356">
        <f t="shared" si="206"/>
        <v>2518122.4061515229</v>
      </c>
      <c r="E558" s="117">
        <v>3820267.8089658865</v>
      </c>
      <c r="F558" s="117">
        <v>958054.46276750695</v>
      </c>
      <c r="G558" s="117">
        <v>877612.37154856476</v>
      </c>
      <c r="H558" s="117">
        <v>204569.52221242141</v>
      </c>
      <c r="I558" s="117">
        <v>707606.90430214931</v>
      </c>
      <c r="J558" s="117">
        <v>536140.29793891183</v>
      </c>
      <c r="K558" s="117">
        <v>1256904.4333626686</v>
      </c>
    </row>
    <row r="559" spans="1:11" outlineLevel="1" x14ac:dyDescent="0.15">
      <c r="A559" s="82"/>
      <c r="B559" s="117" t="s">
        <v>157</v>
      </c>
      <c r="C559" s="179">
        <f>E559*VLOOKUP($B559,'Offroad Allocation'!$B$4:$G$15,5,0)</f>
        <v>3414774.6976910951</v>
      </c>
      <c r="D559" s="356">
        <f t="shared" si="206"/>
        <v>6603579.4924517395</v>
      </c>
      <c r="E559" s="117">
        <v>10018354.190142835</v>
      </c>
      <c r="F559" s="117">
        <v>2564739.9371665665</v>
      </c>
      <c r="G559" s="117">
        <v>1364890.6080016713</v>
      </c>
      <c r="H559" s="117">
        <v>79445.127185738471</v>
      </c>
      <c r="I559" s="117">
        <v>1947387.2326668508</v>
      </c>
      <c r="J559" s="117">
        <v>1014369.4664577963</v>
      </c>
      <c r="K559" s="117">
        <v>937185.24474971893</v>
      </c>
    </row>
    <row r="560" spans="1:11" outlineLevel="1" x14ac:dyDescent="0.15">
      <c r="A560" s="82"/>
      <c r="B560" s="117" t="s">
        <v>160</v>
      </c>
      <c r="C560" s="179">
        <f>E560*VLOOKUP($B560,'Offroad Allocation'!$B$4:$G$15,5,0)</f>
        <v>20069697.793428011</v>
      </c>
      <c r="D560" s="356">
        <f t="shared" si="206"/>
        <v>63495153.054207988</v>
      </c>
      <c r="E560" s="117">
        <v>83564850.847635999</v>
      </c>
      <c r="F560" s="117">
        <v>37041508.762659945</v>
      </c>
      <c r="G560" s="117">
        <v>19044398.54848427</v>
      </c>
      <c r="H560" s="117">
        <v>1745391.925573851</v>
      </c>
      <c r="I560" s="117">
        <v>32310416.856016293</v>
      </c>
      <c r="J560" s="117">
        <v>9065858.2259863429</v>
      </c>
      <c r="K560" s="117">
        <v>15064567.145359559</v>
      </c>
    </row>
    <row r="561" spans="1:12" outlineLevel="1" x14ac:dyDescent="0.15">
      <c r="A561" s="82"/>
      <c r="B561" s="117" t="s">
        <v>161</v>
      </c>
      <c r="C561" s="179">
        <f>E561*VLOOKUP($B561,'Offroad Allocation'!$B$4:$G$15,5,0)</f>
        <v>0</v>
      </c>
      <c r="D561" s="356">
        <f t="shared" si="206"/>
        <v>11787.410332096551</v>
      </c>
      <c r="E561" s="117">
        <v>11787.410332096551</v>
      </c>
      <c r="F561" s="117">
        <v>1912.3995758688743</v>
      </c>
      <c r="G561" s="117">
        <v>2898.5092448730416</v>
      </c>
      <c r="H561" s="117">
        <v>5089.5024213474799</v>
      </c>
      <c r="I561" s="117">
        <v>7029.6866151340928</v>
      </c>
      <c r="J561" s="117">
        <v>16853.988319117947</v>
      </c>
      <c r="K561" s="117">
        <v>17659.750382917053</v>
      </c>
    </row>
    <row r="562" spans="1:12" outlineLevel="1" x14ac:dyDescent="0.15">
      <c r="A562" s="82"/>
      <c r="B562" s="117" t="s">
        <v>158</v>
      </c>
      <c r="C562" s="179">
        <f>E562*VLOOKUP($B562,'Offroad Allocation'!$B$4:$G$15,5,0)</f>
        <v>27698.641256762501</v>
      </c>
      <c r="D562" s="356">
        <f t="shared" si="206"/>
        <v>53564.3477432375</v>
      </c>
      <c r="E562" s="117">
        <v>81262.989000000001</v>
      </c>
      <c r="F562" s="117">
        <v>66364.777000000002</v>
      </c>
      <c r="G562" s="117">
        <v>8126.2988652343702</v>
      </c>
      <c r="H562" s="117">
        <v>0</v>
      </c>
      <c r="I562" s="117">
        <v>52820.959000000003</v>
      </c>
      <c r="J562" s="117">
        <v>0</v>
      </c>
      <c r="K562" s="117">
        <v>81262.989000000001</v>
      </c>
    </row>
    <row r="563" spans="1:12" outlineLevel="1" x14ac:dyDescent="0.15">
      <c r="A563" s="82"/>
      <c r="B563" s="117" t="s">
        <v>162</v>
      </c>
      <c r="C563" s="179">
        <f>E563*VLOOKUP($B563,'Offroad Allocation'!$B$4:$G$15,5,0)</f>
        <v>22701.303178373735</v>
      </c>
      <c r="D563" s="356">
        <f t="shared" si="206"/>
        <v>8086.4324349074668</v>
      </c>
      <c r="E563" s="117">
        <v>30787.735613281202</v>
      </c>
      <c r="F563" s="117">
        <v>12733.3048523995</v>
      </c>
      <c r="G563" s="117">
        <v>5540.5036205357101</v>
      </c>
      <c r="H563" s="117">
        <v>886.88149190848208</v>
      </c>
      <c r="I563" s="117">
        <v>4113.2317658342599</v>
      </c>
      <c r="J563" s="117">
        <v>803.02944955008297</v>
      </c>
      <c r="K563" s="117">
        <v>6804.6400722656199</v>
      </c>
    </row>
    <row r="564" spans="1:12" outlineLevel="1" x14ac:dyDescent="0.15">
      <c r="A564" s="82"/>
      <c r="B564" s="117" t="s">
        <v>163</v>
      </c>
      <c r="C564" s="179">
        <f>E564*VLOOKUP($B564,'Offroad Allocation'!$B$4:$G$15,5,0)</f>
        <v>2090480.4477628178</v>
      </c>
      <c r="D564" s="356">
        <f t="shared" si="206"/>
        <v>1924774.8548086041</v>
      </c>
      <c r="E564" s="117">
        <v>4015255.302571422</v>
      </c>
      <c r="F564" s="117">
        <v>992488.57762444159</v>
      </c>
      <c r="G564" s="117">
        <v>519902.32909905037</v>
      </c>
      <c r="H564" s="117">
        <v>424694.43847321387</v>
      </c>
      <c r="I564" s="117">
        <v>1960166.7566964268</v>
      </c>
      <c r="J564" s="117">
        <v>756195.10702120385</v>
      </c>
      <c r="K564" s="117">
        <v>921226.00683258753</v>
      </c>
    </row>
    <row r="565" spans="1:12" outlineLevel="1" x14ac:dyDescent="0.15">
      <c r="A565" s="82"/>
      <c r="B565" s="171" t="s">
        <v>88</v>
      </c>
      <c r="C565" s="357">
        <f t="shared" ref="C565:K565" si="207">SUM(C547:C564)</f>
        <v>44103067.924730755</v>
      </c>
      <c r="D565" s="357">
        <f t="shared" si="207"/>
        <v>109420001.56800798</v>
      </c>
      <c r="E565" s="357">
        <f t="shared" si="207"/>
        <v>153523069.49273869</v>
      </c>
      <c r="F565" s="357">
        <f t="shared" si="207"/>
        <v>61248877.547008276</v>
      </c>
      <c r="G565" s="357">
        <f t="shared" si="207"/>
        <v>28534975.618241623</v>
      </c>
      <c r="H565" s="357">
        <f t="shared" si="207"/>
        <v>6389792.8991312068</v>
      </c>
      <c r="I565" s="357">
        <f t="shared" si="207"/>
        <v>48538597.816481106</v>
      </c>
      <c r="J565" s="357">
        <f t="shared" si="207"/>
        <v>15378384.36212175</v>
      </c>
      <c r="K565" s="357">
        <f t="shared" si="207"/>
        <v>23983093.171455692</v>
      </c>
    </row>
    <row r="566" spans="1:12" outlineLevel="1" x14ac:dyDescent="0.15">
      <c r="A566" s="82"/>
      <c r="B566" s="101" t="s">
        <v>460</v>
      </c>
      <c r="C566" s="177"/>
      <c r="D566" s="177"/>
      <c r="E566" s="177"/>
      <c r="F566" s="177"/>
      <c r="G566" s="177"/>
      <c r="H566" s="177"/>
      <c r="I566" s="177"/>
      <c r="J566" s="177"/>
      <c r="K566" s="177"/>
    </row>
    <row r="567" spans="1:12" outlineLevel="1" x14ac:dyDescent="0.15">
      <c r="A567" s="82"/>
      <c r="B567" s="101"/>
      <c r="C567" s="177"/>
      <c r="D567" s="177"/>
      <c r="E567" s="177"/>
      <c r="F567" s="177"/>
      <c r="G567" s="177"/>
      <c r="H567" s="177"/>
      <c r="I567" s="177"/>
      <c r="J567" s="177"/>
      <c r="K567" s="177"/>
    </row>
    <row r="568" spans="1:12" outlineLevel="1" x14ac:dyDescent="0.15">
      <c r="A568" s="82"/>
      <c r="B568" s="82" t="s">
        <v>461</v>
      </c>
      <c r="C568" s="69"/>
      <c r="D568" s="66"/>
      <c r="E568" s="66"/>
      <c r="F568" s="66"/>
      <c r="G568" s="66"/>
      <c r="H568" s="66"/>
    </row>
    <row r="569" spans="1:12" ht="15" outlineLevel="1" x14ac:dyDescent="0.15">
      <c r="A569" s="82"/>
      <c r="B569" s="83" t="s">
        <v>459</v>
      </c>
      <c r="C569" s="83" t="s">
        <v>58</v>
      </c>
      <c r="D569" s="83" t="s">
        <v>100</v>
      </c>
      <c r="E569" s="83" t="s">
        <v>59</v>
      </c>
      <c r="F569" s="83" t="s">
        <v>60</v>
      </c>
      <c r="G569" s="83" t="s">
        <v>62</v>
      </c>
      <c r="H569" s="83" t="s">
        <v>61</v>
      </c>
      <c r="I569" s="83" t="s">
        <v>63</v>
      </c>
      <c r="J569" s="83" t="s">
        <v>64</v>
      </c>
      <c r="K569" s="83" t="s">
        <v>65</v>
      </c>
      <c r="L569" s="83" t="s">
        <v>66</v>
      </c>
    </row>
    <row r="570" spans="1:12" ht="15" outlineLevel="1" x14ac:dyDescent="0.15">
      <c r="A570" s="82"/>
      <c r="B570" s="609" t="s">
        <v>476</v>
      </c>
      <c r="C570" s="609"/>
      <c r="D570" s="609"/>
      <c r="E570" s="609"/>
      <c r="F570" s="609"/>
      <c r="G570" s="609"/>
      <c r="H570" s="609"/>
      <c r="I570" s="609"/>
      <c r="J570" s="609"/>
      <c r="K570" s="609"/>
      <c r="L570" s="609"/>
    </row>
    <row r="571" spans="1:12" outlineLevel="1" x14ac:dyDescent="0.15">
      <c r="A571" s="119">
        <f>$A$243</f>
        <v>2015</v>
      </c>
      <c r="B571" s="117" t="s">
        <v>155</v>
      </c>
      <c r="C571" s="179">
        <f>E571*VLOOKUP($B571,'Offroad Allocation'!$B$4:$G$15,5,0)</f>
        <v>0</v>
      </c>
      <c r="D571" s="356">
        <f t="shared" ref="D571:D577" si="208">E571-C571</f>
        <v>191.220893576485</v>
      </c>
      <c r="E571" s="117">
        <v>191.220893576485</v>
      </c>
      <c r="F571" s="117">
        <v>64.217083756582994</v>
      </c>
      <c r="G571" s="117">
        <v>2295.6043096051799</v>
      </c>
      <c r="H571" s="117">
        <v>2010.1470946567999</v>
      </c>
      <c r="I571" s="117">
        <v>380.88296420723998</v>
      </c>
      <c r="J571" s="117">
        <v>2588.6002592075797</v>
      </c>
      <c r="K571" s="117">
        <v>3130.2863093610399</v>
      </c>
      <c r="L571" s="577">
        <f>SUM(E571:K571)</f>
        <v>10660.958914370907</v>
      </c>
    </row>
    <row r="572" spans="1:12" outlineLevel="1" x14ac:dyDescent="0.15">
      <c r="A572" s="119">
        <f t="shared" ref="A572:A588" si="209">$A$243</f>
        <v>2015</v>
      </c>
      <c r="B572" s="117" t="s">
        <v>104</v>
      </c>
      <c r="C572" s="179">
        <f>E572*VLOOKUP($B572,'Offroad Allocation'!$B$4:$G$15,5,0)</f>
        <v>746223.89109880186</v>
      </c>
      <c r="D572" s="356">
        <f t="shared" si="208"/>
        <v>1443067.0308555034</v>
      </c>
      <c r="E572" s="117">
        <v>2189290.9219543054</v>
      </c>
      <c r="F572" s="117">
        <v>794034.76090568199</v>
      </c>
      <c r="G572" s="117">
        <v>219441.18578220427</v>
      </c>
      <c r="H572" s="117">
        <v>18692.205981594543</v>
      </c>
      <c r="I572" s="117">
        <v>373587.57726706739</v>
      </c>
      <c r="J572" s="117">
        <v>137758.92501227875</v>
      </c>
      <c r="K572" s="117">
        <v>180264.42332376659</v>
      </c>
      <c r="L572" s="577">
        <f t="shared" ref="L572:L576" si="210">SUM(E572:K572)</f>
        <v>3913070.0002268995</v>
      </c>
    </row>
    <row r="573" spans="1:12" outlineLevel="1" x14ac:dyDescent="0.15">
      <c r="A573" s="119">
        <f t="shared" si="209"/>
        <v>2015</v>
      </c>
      <c r="B573" s="117" t="s">
        <v>156</v>
      </c>
      <c r="C573" s="179">
        <f>E573*VLOOKUP($B573,'Offroad Allocation'!$B$4:$G$15,5,0)</f>
        <v>525111.97789336869</v>
      </c>
      <c r="D573" s="356">
        <f t="shared" si="208"/>
        <v>1015475.1031750516</v>
      </c>
      <c r="E573" s="117">
        <v>1540587.0810684203</v>
      </c>
      <c r="F573" s="117">
        <v>386351.66252706066</v>
      </c>
      <c r="G573" s="117">
        <v>353911.9958116145</v>
      </c>
      <c r="H573" s="117">
        <v>82496.153287177935</v>
      </c>
      <c r="I573" s="117">
        <v>285354.4932516347</v>
      </c>
      <c r="J573" s="117">
        <v>216207.65185636975</v>
      </c>
      <c r="K573" s="117">
        <v>506868.11666229734</v>
      </c>
      <c r="L573" s="577">
        <f t="shared" si="210"/>
        <v>3371777.1544645755</v>
      </c>
    </row>
    <row r="574" spans="1:12" outlineLevel="1" x14ac:dyDescent="0.15">
      <c r="A574" s="119">
        <f t="shared" si="209"/>
        <v>2015</v>
      </c>
      <c r="B574" s="117" t="s">
        <v>157</v>
      </c>
      <c r="C574" s="179">
        <f>E574*VLOOKUP($B574,'Offroad Allocation'!$B$4:$G$15,5,0)</f>
        <v>13546.381007034408</v>
      </c>
      <c r="D574" s="356">
        <f t="shared" si="208"/>
        <v>26196.341408841708</v>
      </c>
      <c r="E574" s="117">
        <v>39742.722415876116</v>
      </c>
      <c r="F574" s="117">
        <v>10188.441884591235</v>
      </c>
      <c r="G574" s="117">
        <v>5423.5300607212521</v>
      </c>
      <c r="H574" s="117">
        <v>314.55528688158273</v>
      </c>
      <c r="I574" s="117">
        <v>7736.7687396763376</v>
      </c>
      <c r="J574" s="117">
        <v>4032.2550498657156</v>
      </c>
      <c r="K574" s="117">
        <v>3716.0661668090811</v>
      </c>
      <c r="L574" s="577">
        <f t="shared" si="210"/>
        <v>71154.339604421315</v>
      </c>
    </row>
    <row r="575" spans="1:12" outlineLevel="1" x14ac:dyDescent="0.15">
      <c r="A575" s="119">
        <f t="shared" si="209"/>
        <v>2015</v>
      </c>
      <c r="B575" s="117" t="s">
        <v>160</v>
      </c>
      <c r="C575" s="179">
        <f>E575*VLOOKUP($B575,'Offroad Allocation'!$B$4:$G$15,5,0)</f>
        <v>5570131.7118842108</v>
      </c>
      <c r="D575" s="356">
        <f t="shared" si="208"/>
        <v>17622406.13777452</v>
      </c>
      <c r="E575" s="117">
        <v>23192537.849658731</v>
      </c>
      <c r="F575" s="117">
        <v>11252866.4073919</v>
      </c>
      <c r="G575" s="117">
        <v>5831054.5663176943</v>
      </c>
      <c r="H575" s="117">
        <v>519750.5091502018</v>
      </c>
      <c r="I575" s="117">
        <v>9924364.797743218</v>
      </c>
      <c r="J575" s="117">
        <v>2728920.4788845526</v>
      </c>
      <c r="K575" s="117">
        <v>4491855.3372379057</v>
      </c>
      <c r="L575" s="577">
        <f t="shared" si="210"/>
        <v>57941349.946384206</v>
      </c>
    </row>
    <row r="576" spans="1:12" outlineLevel="1" x14ac:dyDescent="0.15">
      <c r="A576" s="119">
        <f t="shared" si="209"/>
        <v>2015</v>
      </c>
      <c r="B576" s="117" t="s">
        <v>161</v>
      </c>
      <c r="C576" s="179">
        <f>E576*VLOOKUP($B576,'Offroad Allocation'!$B$4:$G$15,5,0)</f>
        <v>0</v>
      </c>
      <c r="D576" s="356">
        <f t="shared" si="208"/>
        <v>9896.4615200892804</v>
      </c>
      <c r="E576" s="117">
        <v>9896.4615200892804</v>
      </c>
      <c r="F576" s="117">
        <v>1605.61016831752</v>
      </c>
      <c r="G576" s="117">
        <v>2433.5281954520001</v>
      </c>
      <c r="H576" s="117">
        <v>4273.0342236328097</v>
      </c>
      <c r="I576" s="117">
        <v>5901.9760641740995</v>
      </c>
      <c r="J576" s="117">
        <v>14150.260093191899</v>
      </c>
      <c r="K576" s="117">
        <v>14826.7467728794</v>
      </c>
      <c r="L576" s="577">
        <f t="shared" si="210"/>
        <v>53087.617037737007</v>
      </c>
    </row>
    <row r="577" spans="1:12" outlineLevel="1" x14ac:dyDescent="0.15">
      <c r="A577" s="119">
        <f t="shared" si="209"/>
        <v>2015</v>
      </c>
      <c r="B577" s="117" t="s">
        <v>163</v>
      </c>
      <c r="C577" s="179">
        <f>E577*VLOOKUP($B577,'Offroad Allocation'!$B$4:$G$15,5,0)</f>
        <v>1151392.9442168046</v>
      </c>
      <c r="D577" s="356">
        <f t="shared" si="208"/>
        <v>1060125.7664974793</v>
      </c>
      <c r="E577" s="117">
        <v>2211518.7107142839</v>
      </c>
      <c r="F577" s="117">
        <v>384611.96472432988</v>
      </c>
      <c r="G577" s="117">
        <v>192305.89688337041</v>
      </c>
      <c r="H577" s="117">
        <v>8793933.1075814702</v>
      </c>
      <c r="I577" s="117">
        <v>1153835.8424285701</v>
      </c>
      <c r="J577" s="117">
        <v>288459.00058147288</v>
      </c>
      <c r="K577" s="117">
        <v>480764.90812723123</v>
      </c>
      <c r="L577" s="577">
        <f>SUM(E577:K577)</f>
        <v>13505429.43104073</v>
      </c>
    </row>
    <row r="578" spans="1:12" ht="15" outlineLevel="1" x14ac:dyDescent="0.15">
      <c r="A578" s="82"/>
      <c r="B578" s="609" t="s">
        <v>477</v>
      </c>
      <c r="C578" s="609"/>
      <c r="D578" s="609"/>
      <c r="E578" s="609"/>
      <c r="F578" s="609"/>
      <c r="G578" s="609"/>
      <c r="H578" s="609"/>
      <c r="I578" s="609"/>
      <c r="J578" s="609"/>
      <c r="K578" s="609"/>
      <c r="L578" s="609"/>
    </row>
    <row r="579" spans="1:12" outlineLevel="1" x14ac:dyDescent="0.15">
      <c r="A579" s="119"/>
      <c r="B579" s="117" t="s">
        <v>155</v>
      </c>
      <c r="C579" s="179">
        <f>E579*VLOOKUP($B579,'Offroad Allocation'!$B$4:$G$15,5,0)</f>
        <v>0</v>
      </c>
      <c r="D579" s="356">
        <f t="shared" ref="D579:D588" si="211">E579-C579</f>
        <v>26015.339746660469</v>
      </c>
      <c r="E579" s="117">
        <v>26015.339746660469</v>
      </c>
      <c r="F579" s="117">
        <v>8736.6639481496622</v>
      </c>
      <c r="G579" s="117">
        <v>312314.66420099913</v>
      </c>
      <c r="H579" s="117">
        <v>273478.34472683386</v>
      </c>
      <c r="I579" s="117">
        <v>51818.655031492439</v>
      </c>
      <c r="J579" s="117">
        <v>352176.09752271755</v>
      </c>
      <c r="K579" s="117">
        <v>425872.06773998105</v>
      </c>
      <c r="L579" s="577">
        <f t="shared" ref="L579:L588" si="212">SUM(E579:K579)</f>
        <v>1450411.8329168342</v>
      </c>
    </row>
    <row r="580" spans="1:12" outlineLevel="1" x14ac:dyDescent="0.15">
      <c r="A580" s="119"/>
      <c r="B580" s="117" t="s">
        <v>159</v>
      </c>
      <c r="C580" s="179">
        <f>E580*VLOOKUP($B580,'Offroad Allocation'!$B$4:$G$15,5,0)</f>
        <v>760517.12</v>
      </c>
      <c r="D580" s="356">
        <f t="shared" si="211"/>
        <v>0</v>
      </c>
      <c r="E580" s="117">
        <v>760517.12</v>
      </c>
      <c r="F580" s="117">
        <v>179.04501931762599</v>
      </c>
      <c r="G580" s="117">
        <v>81.538622680664005</v>
      </c>
      <c r="H580" s="117">
        <v>0</v>
      </c>
      <c r="I580" s="117">
        <v>90.032139312744093</v>
      </c>
      <c r="J580" s="117">
        <v>78.141215270996099</v>
      </c>
      <c r="K580" s="117">
        <v>183.46180590820302</v>
      </c>
      <c r="L580" s="577">
        <f t="shared" si="212"/>
        <v>761129.33880249027</v>
      </c>
    </row>
    <row r="581" spans="1:12" outlineLevel="1" x14ac:dyDescent="0.15">
      <c r="A581" s="119"/>
      <c r="B581" s="117" t="s">
        <v>104</v>
      </c>
      <c r="C581" s="179">
        <f>E581*VLOOKUP($B581,'Offroad Allocation'!$B$4:$G$15,5,0)</f>
        <v>42590526.073669307</v>
      </c>
      <c r="D581" s="356">
        <f t="shared" si="211"/>
        <v>82362659.165473282</v>
      </c>
      <c r="E581" s="117">
        <v>124953185.2391426</v>
      </c>
      <c r="F581" s="117">
        <v>45319292.889428496</v>
      </c>
      <c r="G581" s="117">
        <v>12524552.805857113</v>
      </c>
      <c r="H581" s="117">
        <v>1066852.437819194</v>
      </c>
      <c r="I581" s="117">
        <v>21322420.93457133</v>
      </c>
      <c r="J581" s="117">
        <v>7862555.2012856947</v>
      </c>
      <c r="K581" s="117">
        <v>10288536.207857123</v>
      </c>
      <c r="L581" s="577">
        <f t="shared" si="212"/>
        <v>223337395.71596155</v>
      </c>
    </row>
    <row r="582" spans="1:12" outlineLevel="1" x14ac:dyDescent="0.15">
      <c r="A582" s="119"/>
      <c r="B582" s="117" t="s">
        <v>156</v>
      </c>
      <c r="C582" s="179">
        <f>E582*VLOOKUP($B582,'Offroad Allocation'!$B$4:$G$15,5,0)</f>
        <v>4032241.6145080407</v>
      </c>
      <c r="D582" s="356">
        <f t="shared" si="211"/>
        <v>7797652.9614618011</v>
      </c>
      <c r="E582" s="117">
        <v>11829894.575969841</v>
      </c>
      <c r="F582" s="117">
        <v>2966724.9498936194</v>
      </c>
      <c r="G582" s="117">
        <v>2717625.6513296552</v>
      </c>
      <c r="H582" s="117">
        <v>633472.86535034946</v>
      </c>
      <c r="I582" s="117">
        <v>2191185.9791151774</v>
      </c>
      <c r="J582" s="117">
        <v>1660219.1567852055</v>
      </c>
      <c r="K582" s="117">
        <v>3892148.0483084833</v>
      </c>
      <c r="L582" s="577">
        <f t="shared" si="212"/>
        <v>25891271.226752333</v>
      </c>
    </row>
    <row r="583" spans="1:12" outlineLevel="1" x14ac:dyDescent="0.15">
      <c r="A583" s="119"/>
      <c r="B583" s="117" t="s">
        <v>157</v>
      </c>
      <c r="C583" s="179">
        <f>E583*VLOOKUP($B583,'Offroad Allocation'!$B$4:$G$15,5,0)</f>
        <v>10697179.024479991</v>
      </c>
      <c r="D583" s="356">
        <f t="shared" si="211"/>
        <v>20686481.038091354</v>
      </c>
      <c r="E583" s="117">
        <v>31383660.062571347</v>
      </c>
      <c r="F583" s="117">
        <v>8034416.7727750987</v>
      </c>
      <c r="G583" s="117">
        <v>4275724.6323861582</v>
      </c>
      <c r="H583" s="117">
        <v>248868.17686380356</v>
      </c>
      <c r="I583" s="117">
        <v>6100475.3979347022</v>
      </c>
      <c r="J583" s="117">
        <v>3177673.4333802951</v>
      </c>
      <c r="K583" s="117">
        <v>2935835.5413180711</v>
      </c>
      <c r="L583" s="577">
        <f t="shared" si="212"/>
        <v>56156654.017229483</v>
      </c>
    </row>
    <row r="584" spans="1:12" outlineLevel="1" x14ac:dyDescent="0.15">
      <c r="A584" s="119"/>
      <c r="B584" s="117" t="s">
        <v>160</v>
      </c>
      <c r="C584" s="179">
        <f>E584*VLOOKUP($B584,'Offroad Allocation'!$B$4:$G$15,5,0)</f>
        <v>61799264.153167069</v>
      </c>
      <c r="D584" s="356">
        <f t="shared" si="211"/>
        <v>195516333.94936836</v>
      </c>
      <c r="E584" s="117">
        <v>257315598.10253543</v>
      </c>
      <c r="F584" s="117">
        <v>114278303.49383235</v>
      </c>
      <c r="G584" s="117">
        <v>58764909.264900349</v>
      </c>
      <c r="H584" s="117">
        <v>5382425.0018344447</v>
      </c>
      <c r="I584" s="117">
        <v>99706677.645879939</v>
      </c>
      <c r="J584" s="117">
        <v>27963785.766781017</v>
      </c>
      <c r="K584" s="117">
        <v>46457289.68423935</v>
      </c>
      <c r="L584" s="577">
        <f t="shared" si="212"/>
        <v>609868988.9600029</v>
      </c>
    </row>
    <row r="585" spans="1:12" outlineLevel="1" x14ac:dyDescent="0.15">
      <c r="A585" s="119"/>
      <c r="B585" s="117" t="s">
        <v>161</v>
      </c>
      <c r="C585" s="179">
        <f>E585*VLOOKUP($B585,'Offroad Allocation'!$B$4:$G$15,5,0)</f>
        <v>0</v>
      </c>
      <c r="D585" s="356">
        <f t="shared" si="211"/>
        <v>36730.002489275226</v>
      </c>
      <c r="E585" s="117">
        <v>36730.002489275226</v>
      </c>
      <c r="F585" s="117">
        <v>5959.1130171225368</v>
      </c>
      <c r="G585" s="117">
        <v>9031.8661100202244</v>
      </c>
      <c r="H585" s="117">
        <v>15859.086351510161</v>
      </c>
      <c r="I585" s="117">
        <v>21904.745971365781</v>
      </c>
      <c r="J585" s="117">
        <v>52517.696325299898</v>
      </c>
      <c r="K585" s="117">
        <v>55028.513237444124</v>
      </c>
      <c r="L585" s="577">
        <f t="shared" si="212"/>
        <v>197031.02350203795</v>
      </c>
    </row>
    <row r="586" spans="1:12" outlineLevel="1" x14ac:dyDescent="0.15">
      <c r="A586" s="119"/>
      <c r="B586" s="117" t="s">
        <v>158</v>
      </c>
      <c r="C586" s="179">
        <f>E586*VLOOKUP($B586,'Offroad Allocation'!$B$4:$G$15,5,0)</f>
        <v>85686.203990284324</v>
      </c>
      <c r="D586" s="356">
        <f t="shared" si="211"/>
        <v>165702.19400971566</v>
      </c>
      <c r="E586" s="117">
        <v>251388.39799999999</v>
      </c>
      <c r="F586" s="117">
        <v>205300.66699999999</v>
      </c>
      <c r="G586" s="117">
        <v>25138.8395195312</v>
      </c>
      <c r="H586" s="117">
        <v>0</v>
      </c>
      <c r="I586" s="117">
        <v>163402.55300000001</v>
      </c>
      <c r="J586" s="117">
        <v>0</v>
      </c>
      <c r="K586" s="117">
        <v>251388.39799999999</v>
      </c>
      <c r="L586" s="577">
        <f t="shared" si="212"/>
        <v>896618.85551953106</v>
      </c>
    </row>
    <row r="587" spans="1:12" outlineLevel="1" x14ac:dyDescent="0.15">
      <c r="A587" s="119">
        <f t="shared" si="209"/>
        <v>2015</v>
      </c>
      <c r="B587" s="117" t="s">
        <v>162</v>
      </c>
      <c r="C587" s="179">
        <f>E587*VLOOKUP($B587,'Offroad Allocation'!$B$4:$G$15,5,0)</f>
        <v>70476.078299844245</v>
      </c>
      <c r="D587" s="356">
        <f t="shared" si="211"/>
        <v>25104.287668905759</v>
      </c>
      <c r="E587" s="117">
        <v>95580.365968750004</v>
      </c>
      <c r="F587" s="117">
        <v>39530.313785714199</v>
      </c>
      <c r="G587" s="117">
        <v>17200.424583984299</v>
      </c>
      <c r="H587" s="117">
        <v>2753.3106759207499</v>
      </c>
      <c r="I587" s="117">
        <v>12769.489842354898</v>
      </c>
      <c r="J587" s="117">
        <v>2492.9935754743301</v>
      </c>
      <c r="K587" s="117">
        <v>21124.8831735491</v>
      </c>
      <c r="L587" s="577">
        <f t="shared" si="212"/>
        <v>191451.78160574759</v>
      </c>
    </row>
    <row r="588" spans="1:12" outlineLevel="1" x14ac:dyDescent="0.15">
      <c r="A588" s="119">
        <f t="shared" si="209"/>
        <v>2015</v>
      </c>
      <c r="B588" s="117" t="s">
        <v>163</v>
      </c>
      <c r="C588" s="179">
        <f>E588*VLOOKUP($B588,'Offroad Allocation'!$B$4:$G$15,5,0)</f>
        <v>6467570.0175302168</v>
      </c>
      <c r="D588" s="356">
        <f t="shared" si="211"/>
        <v>5954906.7558983462</v>
      </c>
      <c r="E588" s="117">
        <v>12422476.773428563</v>
      </c>
      <c r="F588" s="117">
        <v>3072458.7540535619</v>
      </c>
      <c r="G588" s="117">
        <v>1609574.0872165172</v>
      </c>
      <c r="H588" s="117">
        <v>1312180.5467633919</v>
      </c>
      <c r="I588" s="117">
        <v>6063546.4288571263</v>
      </c>
      <c r="J588" s="117">
        <v>2341016.5892354893</v>
      </c>
      <c r="K588" s="117">
        <v>2850415.9671807927</v>
      </c>
      <c r="L588" s="577">
        <f t="shared" si="212"/>
        <v>29671669.146735441</v>
      </c>
    </row>
    <row r="589" spans="1:12" outlineLevel="1" x14ac:dyDescent="0.15">
      <c r="A589" s="82"/>
      <c r="B589" s="171" t="s">
        <v>88</v>
      </c>
      <c r="C589" s="357">
        <f t="shared" ref="C589:K589" si="213">SUM(C571:C588)</f>
        <v>134509867.19174495</v>
      </c>
      <c r="D589" s="357">
        <f t="shared" si="213"/>
        <v>333748943.75633276</v>
      </c>
      <c r="E589" s="357">
        <f t="shared" si="213"/>
        <v>468258810.9480778</v>
      </c>
      <c r="F589" s="357">
        <f t="shared" si="213"/>
        <v>186760625.72743905</v>
      </c>
      <c r="G589" s="357">
        <f t="shared" si="213"/>
        <v>86863020.082087666</v>
      </c>
      <c r="H589" s="357">
        <f t="shared" si="213"/>
        <v>18357359.482991062</v>
      </c>
      <c r="I589" s="357">
        <f t="shared" si="213"/>
        <v>147385454.20080134</v>
      </c>
      <c r="J589" s="357">
        <f t="shared" si="213"/>
        <v>46804632.247843407</v>
      </c>
      <c r="K589" s="357">
        <f t="shared" si="213"/>
        <v>72859248.657460958</v>
      </c>
      <c r="L589" s="357">
        <f t="shared" ref="L589" si="214">SUM(E589:K589)</f>
        <v>1027289151.3467013</v>
      </c>
    </row>
    <row r="590" spans="1:12" outlineLevel="1" x14ac:dyDescent="0.15">
      <c r="A590" s="82"/>
      <c r="B590" s="101" t="s">
        <v>460</v>
      </c>
      <c r="C590" s="177"/>
      <c r="D590" s="177"/>
      <c r="E590" s="177"/>
      <c r="F590" s="177"/>
      <c r="G590" s="177"/>
      <c r="H590" s="177"/>
      <c r="I590" s="177"/>
      <c r="J590" s="177"/>
      <c r="K590" s="177"/>
    </row>
    <row r="591" spans="1:12" outlineLevel="1" x14ac:dyDescent="0.15">
      <c r="A591" s="82"/>
      <c r="B591" s="101"/>
      <c r="C591" s="177"/>
      <c r="D591" s="177"/>
      <c r="E591" s="177"/>
      <c r="F591" s="177"/>
      <c r="G591" s="177"/>
      <c r="H591" s="177"/>
      <c r="I591" s="177"/>
      <c r="J591" s="177"/>
      <c r="K591" s="177"/>
    </row>
    <row r="592" spans="1:12" outlineLevel="1" x14ac:dyDescent="0.15">
      <c r="A592" s="82"/>
      <c r="B592" s="82" t="s">
        <v>463</v>
      </c>
      <c r="C592" s="69"/>
      <c r="D592" s="66"/>
      <c r="E592" s="66"/>
      <c r="F592" s="66"/>
      <c r="G592" s="66"/>
      <c r="H592" s="66"/>
    </row>
    <row r="593" spans="1:12" ht="15" outlineLevel="1" x14ac:dyDescent="0.15">
      <c r="A593" s="82"/>
      <c r="B593" s="83" t="s">
        <v>459</v>
      </c>
      <c r="C593" s="83" t="s">
        <v>58</v>
      </c>
      <c r="D593" s="83" t="s">
        <v>100</v>
      </c>
      <c r="E593" s="83" t="s">
        <v>59</v>
      </c>
      <c r="F593" s="83" t="s">
        <v>60</v>
      </c>
      <c r="G593" s="83" t="s">
        <v>62</v>
      </c>
      <c r="H593" s="83" t="s">
        <v>61</v>
      </c>
      <c r="I593" s="83" t="s">
        <v>63</v>
      </c>
      <c r="J593" s="83" t="s">
        <v>64</v>
      </c>
      <c r="K593" s="83" t="s">
        <v>65</v>
      </c>
      <c r="L593" s="83" t="s">
        <v>66</v>
      </c>
    </row>
    <row r="594" spans="1:12" ht="15" outlineLevel="1" x14ac:dyDescent="0.15">
      <c r="A594" s="82"/>
      <c r="B594" s="609" t="s">
        <v>476</v>
      </c>
      <c r="C594" s="609"/>
      <c r="D594" s="609"/>
      <c r="E594" s="609"/>
      <c r="F594" s="609"/>
      <c r="G594" s="609"/>
      <c r="H594" s="609"/>
      <c r="I594" s="609"/>
      <c r="J594" s="609"/>
      <c r="K594" s="609"/>
      <c r="L594" s="609"/>
    </row>
    <row r="595" spans="1:12" outlineLevel="1" x14ac:dyDescent="0.15">
      <c r="A595" s="119">
        <f>$A$243</f>
        <v>2015</v>
      </c>
      <c r="B595" s="117" t="s">
        <v>155</v>
      </c>
      <c r="C595" s="179">
        <f>E595*VLOOKUP($B595,'Offroad Allocation'!$B$4:$G$15,5,0)</f>
        <v>0</v>
      </c>
      <c r="D595" s="356">
        <f t="shared" ref="D595:D601" si="215">E595-C595</f>
        <v>0.31508005708030201</v>
      </c>
      <c r="E595" s="117">
        <v>0.31508005708030201</v>
      </c>
      <c r="F595" s="117">
        <v>0.105812494277954</v>
      </c>
      <c r="G595" s="117">
        <v>3.78254059641701</v>
      </c>
      <c r="H595" s="117">
        <v>3.3121769980703002</v>
      </c>
      <c r="I595" s="117">
        <v>0.62759170342343096</v>
      </c>
      <c r="J595" s="117">
        <v>4.2653140208380504</v>
      </c>
      <c r="K595" s="117">
        <v>5.1578689526830406</v>
      </c>
      <c r="L595" s="577">
        <f>SUM(E595:K595)</f>
        <v>17.566384822790091</v>
      </c>
    </row>
    <row r="596" spans="1:12" outlineLevel="1" x14ac:dyDescent="0.15">
      <c r="A596" s="119">
        <f t="shared" ref="A596:A612" si="216">$A$243</f>
        <v>2015</v>
      </c>
      <c r="B596" s="117" t="s">
        <v>104</v>
      </c>
      <c r="C596" s="179">
        <f>E596*VLOOKUP($B596,'Offroad Allocation'!$B$4:$G$15,5,0)</f>
        <v>1465.0575374336747</v>
      </c>
      <c r="D596" s="356">
        <f t="shared" si="215"/>
        <v>2833.1660990695436</v>
      </c>
      <c r="E596" s="117">
        <v>4298.2236365032186</v>
      </c>
      <c r="F596" s="117">
        <v>1558.9250410327732</v>
      </c>
      <c r="G596" s="117">
        <v>430.82822301287297</v>
      </c>
      <c r="H596" s="117">
        <v>36.6983370878595</v>
      </c>
      <c r="I596" s="117">
        <v>733.46334999820169</v>
      </c>
      <c r="J596" s="117">
        <v>270.46146605326766</v>
      </c>
      <c r="K596" s="117">
        <v>353.91291890323151</v>
      </c>
      <c r="L596" s="577">
        <f t="shared" ref="L596:L600" si="217">SUM(E596:K596)</f>
        <v>7682.5129725914267</v>
      </c>
    </row>
    <row r="597" spans="1:12" outlineLevel="1" x14ac:dyDescent="0.15">
      <c r="A597" s="119">
        <f t="shared" si="216"/>
        <v>2015</v>
      </c>
      <c r="B597" s="117" t="s">
        <v>156</v>
      </c>
      <c r="C597" s="179">
        <f>E597*VLOOKUP($B597,'Offroad Allocation'!$B$4:$G$15,5,0)</f>
        <v>927.28635679103286</v>
      </c>
      <c r="D597" s="356">
        <f t="shared" si="215"/>
        <v>1793.2103027107189</v>
      </c>
      <c r="E597" s="117">
        <v>2720.4966595017518</v>
      </c>
      <c r="F597" s="117">
        <v>682.25239954814174</v>
      </c>
      <c r="G597" s="117">
        <v>624.9668919077975</v>
      </c>
      <c r="H597" s="117">
        <v>145.67846898440879</v>
      </c>
      <c r="I597" s="117">
        <v>503.902678695107</v>
      </c>
      <c r="J597" s="117">
        <v>381.79744424264686</v>
      </c>
      <c r="K597" s="117">
        <v>895.06912798068151</v>
      </c>
      <c r="L597" s="577">
        <f t="shared" si="217"/>
        <v>5954.1636708605356</v>
      </c>
    </row>
    <row r="598" spans="1:12" outlineLevel="1" x14ac:dyDescent="0.15">
      <c r="A598" s="119">
        <f t="shared" si="216"/>
        <v>2015</v>
      </c>
      <c r="B598" s="117" t="s">
        <v>157</v>
      </c>
      <c r="C598" s="179">
        <f>E598*VLOOKUP($B598,'Offroad Allocation'!$B$4:$G$15,5,0)</f>
        <v>30.268074645471557</v>
      </c>
      <c r="D598" s="356">
        <f t="shared" si="215"/>
        <v>58.533184382554438</v>
      </c>
      <c r="E598" s="117">
        <v>88.801259028025996</v>
      </c>
      <c r="F598" s="117">
        <v>22.765131221021889</v>
      </c>
      <c r="G598" s="117">
        <v>12.118365189552257</v>
      </c>
      <c r="H598" s="117">
        <v>0.70284480271381977</v>
      </c>
      <c r="I598" s="117">
        <v>17.28709112800863</v>
      </c>
      <c r="J598" s="117">
        <v>9.009699358769824</v>
      </c>
      <c r="K598" s="117">
        <v>8.3031968783310379</v>
      </c>
      <c r="L598" s="577">
        <f t="shared" si="217"/>
        <v>158.98758760642349</v>
      </c>
    </row>
    <row r="599" spans="1:12" outlineLevel="1" x14ac:dyDescent="0.15">
      <c r="A599" s="119">
        <f t="shared" si="216"/>
        <v>2015</v>
      </c>
      <c r="B599" s="117" t="s">
        <v>160</v>
      </c>
      <c r="C599" s="179">
        <f>E599*VLOOKUP($B599,'Offroad Allocation'!$B$4:$G$15,5,0)</f>
        <v>13462.659147985931</v>
      </c>
      <c r="D599" s="356">
        <f t="shared" si="215"/>
        <v>42592.250860793516</v>
      </c>
      <c r="E599" s="117">
        <v>56054.91000877945</v>
      </c>
      <c r="F599" s="117">
        <v>27094.367122563475</v>
      </c>
      <c r="G599" s="117">
        <v>14035.451722684051</v>
      </c>
      <c r="H599" s="117">
        <v>1252.457763246937</v>
      </c>
      <c r="I599" s="117">
        <v>23885.117998984431</v>
      </c>
      <c r="J599" s="117">
        <v>6573.0739119347845</v>
      </c>
      <c r="K599" s="117">
        <v>10823.57173995453</v>
      </c>
      <c r="L599" s="577">
        <f t="shared" si="217"/>
        <v>139718.95026814766</v>
      </c>
    </row>
    <row r="600" spans="1:12" outlineLevel="1" x14ac:dyDescent="0.15">
      <c r="A600" s="119">
        <f t="shared" si="216"/>
        <v>2015</v>
      </c>
      <c r="B600" s="117" t="s">
        <v>161</v>
      </c>
      <c r="C600" s="179">
        <f>E600*VLOOKUP($B600,'Offroad Allocation'!$B$4:$G$15,5,0)</f>
        <v>0</v>
      </c>
      <c r="D600" s="356">
        <f t="shared" si="215"/>
        <v>17.141808741433202</v>
      </c>
      <c r="E600" s="117">
        <v>17.141808741433202</v>
      </c>
      <c r="F600" s="117">
        <v>2.7811022295270602</v>
      </c>
      <c r="G600" s="117">
        <v>4.2151547058650403</v>
      </c>
      <c r="H600" s="117">
        <v>7.4013954195295</v>
      </c>
      <c r="I600" s="117">
        <v>10.222900604248</v>
      </c>
      <c r="J600" s="117">
        <v>24.5098818446568</v>
      </c>
      <c r="K600" s="117">
        <v>25.681650219508501</v>
      </c>
      <c r="L600" s="577">
        <f t="shared" si="217"/>
        <v>91.953893764768097</v>
      </c>
    </row>
    <row r="601" spans="1:12" outlineLevel="1" x14ac:dyDescent="0.15">
      <c r="A601" s="119">
        <f t="shared" si="216"/>
        <v>2015</v>
      </c>
      <c r="B601" s="117" t="s">
        <v>163</v>
      </c>
      <c r="C601" s="179">
        <f>E601*VLOOKUP($B601,'Offroad Allocation'!$B$4:$G$15,5,0)</f>
        <v>4539.738051142519</v>
      </c>
      <c r="D601" s="356">
        <f t="shared" si="215"/>
        <v>4179.8877658043193</v>
      </c>
      <c r="E601" s="117">
        <v>8719.6258169468383</v>
      </c>
      <c r="F601" s="117">
        <v>1516.456303349084</v>
      </c>
      <c r="G601" s="117">
        <v>758.22830863843626</v>
      </c>
      <c r="H601" s="117">
        <v>10146.863053349085</v>
      </c>
      <c r="I601" s="117">
        <v>4549.3702706124323</v>
      </c>
      <c r="J601" s="117">
        <v>1137.3425972725991</v>
      </c>
      <c r="K601" s="117">
        <v>1895.5694271479911</v>
      </c>
      <c r="L601" s="577">
        <f>SUM(E601:K601)</f>
        <v>28723.455777316467</v>
      </c>
    </row>
    <row r="602" spans="1:12" ht="15" outlineLevel="1" x14ac:dyDescent="0.15">
      <c r="A602" s="82"/>
      <c r="B602" s="609" t="s">
        <v>477</v>
      </c>
      <c r="C602" s="609"/>
      <c r="D602" s="609"/>
      <c r="E602" s="609"/>
      <c r="F602" s="609"/>
      <c r="G602" s="609"/>
      <c r="H602" s="609"/>
      <c r="I602" s="609"/>
      <c r="J602" s="609"/>
      <c r="K602" s="609"/>
      <c r="L602" s="609"/>
    </row>
    <row r="603" spans="1:12" outlineLevel="1" x14ac:dyDescent="0.15">
      <c r="A603" s="119"/>
      <c r="B603" s="117" t="s">
        <v>155</v>
      </c>
      <c r="C603" s="179">
        <f>E603*VLOOKUP($B603,'Offroad Allocation'!$B$4:$G$15,5,0)</f>
        <v>0</v>
      </c>
      <c r="D603" s="356">
        <f t="shared" ref="D603:D612" si="218">E603-C603</f>
        <v>32.47619312962869</v>
      </c>
      <c r="E603" s="117">
        <v>32.47619312962869</v>
      </c>
      <c r="F603" s="117">
        <v>10.906399490012047</v>
      </c>
      <c r="G603" s="117">
        <v>389.87727315698049</v>
      </c>
      <c r="H603" s="117">
        <v>341.3961172161446</v>
      </c>
      <c r="I603" s="117">
        <v>64.687699027363919</v>
      </c>
      <c r="J603" s="117">
        <v>439.63839081366763</v>
      </c>
      <c r="K603" s="117">
        <v>531.63641680890419</v>
      </c>
      <c r="L603" s="577">
        <f t="shared" ref="L603:L612" si="219">SUM(E603:K603)</f>
        <v>1810.6184896427014</v>
      </c>
    </row>
    <row r="604" spans="1:12" outlineLevel="1" x14ac:dyDescent="0.15">
      <c r="A604" s="119"/>
      <c r="B604" s="117" t="s">
        <v>159</v>
      </c>
      <c r="C604" s="179">
        <f>E604*VLOOKUP($B604,'Offroad Allocation'!$B$4:$G$15,5,0)</f>
        <v>638.16987329101505</v>
      </c>
      <c r="D604" s="356">
        <f t="shared" si="218"/>
        <v>0</v>
      </c>
      <c r="E604" s="117">
        <v>638.16987329101505</v>
      </c>
      <c r="F604" s="117">
        <v>0.150241476565599</v>
      </c>
      <c r="G604" s="117">
        <v>6.8421174541115709E-2</v>
      </c>
      <c r="H604" s="117">
        <v>0</v>
      </c>
      <c r="I604" s="117">
        <v>7.5548404365777894E-2</v>
      </c>
      <c r="J604" s="117">
        <v>6.5570280790328894E-2</v>
      </c>
      <c r="K604" s="117">
        <v>0.15394767153263</v>
      </c>
      <c r="L604" s="577">
        <f t="shared" si="219"/>
        <v>638.68360229881046</v>
      </c>
    </row>
    <row r="605" spans="1:12" outlineLevel="1" x14ac:dyDescent="0.15">
      <c r="A605" s="119"/>
      <c r="B605" s="117" t="s">
        <v>104</v>
      </c>
      <c r="C605" s="179">
        <f>E605*VLOOKUP($B605,'Offroad Allocation'!$B$4:$G$15,5,0)</f>
        <v>54565.154510167056</v>
      </c>
      <c r="D605" s="356">
        <f t="shared" si="218"/>
        <v>105519.50486497229</v>
      </c>
      <c r="E605" s="117">
        <v>160084.65937513934</v>
      </c>
      <c r="F605" s="117">
        <v>58061.111756277758</v>
      </c>
      <c r="G605" s="117">
        <v>16045.90964891268</v>
      </c>
      <c r="H605" s="117">
        <v>1366.8047718124374</v>
      </c>
      <c r="I605" s="117">
        <v>27317.36956409557</v>
      </c>
      <c r="J605" s="117">
        <v>10073.158700413267</v>
      </c>
      <c r="K605" s="117">
        <v>13181.237989576042</v>
      </c>
      <c r="L605" s="577">
        <f t="shared" si="219"/>
        <v>286130.25180622708</v>
      </c>
    </row>
    <row r="606" spans="1:12" outlineLevel="1" x14ac:dyDescent="0.15">
      <c r="A606" s="119"/>
      <c r="B606" s="117" t="s">
        <v>156</v>
      </c>
      <c r="C606" s="179">
        <f>E606*VLOOKUP($B606,'Offroad Allocation'!$B$4:$G$15,5,0)</f>
        <v>5166.9670095223655</v>
      </c>
      <c r="D606" s="356">
        <f t="shared" si="218"/>
        <v>9992.0142331285278</v>
      </c>
      <c r="E606" s="117">
        <v>15158.981242650894</v>
      </c>
      <c r="F606" s="117">
        <v>3801.6003975242143</v>
      </c>
      <c r="G606" s="117">
        <v>3482.4018858698205</v>
      </c>
      <c r="H606" s="117">
        <v>811.7404754319947</v>
      </c>
      <c r="I606" s="117">
        <v>2807.8137887723738</v>
      </c>
      <c r="J606" s="117">
        <v>2127.4271090012999</v>
      </c>
      <c r="K606" s="117">
        <v>4987.4495538107949</v>
      </c>
      <c r="L606" s="577">
        <f t="shared" si="219"/>
        <v>33177.414453061392</v>
      </c>
    </row>
    <row r="607" spans="1:12" outlineLevel="1" x14ac:dyDescent="0.15">
      <c r="A607" s="119"/>
      <c r="B607" s="117" t="s">
        <v>157</v>
      </c>
      <c r="C607" s="179">
        <f>E607*VLOOKUP($B607,'Offroad Allocation'!$B$4:$G$15,5,0)</f>
        <v>9003.2842963585135</v>
      </c>
      <c r="D607" s="356">
        <f t="shared" si="218"/>
        <v>17410.783670250843</v>
      </c>
      <c r="E607" s="117">
        <v>26414.067966609357</v>
      </c>
      <c r="F607" s="117">
        <v>6760.2376602886616</v>
      </c>
      <c r="G607" s="117">
        <v>3597.4319972899275</v>
      </c>
      <c r="H607" s="117">
        <v>209.54217284945068</v>
      </c>
      <c r="I607" s="117">
        <v>5132.8960691250304</v>
      </c>
      <c r="J607" s="117">
        <v>2673.3612850612876</v>
      </c>
      <c r="K607" s="117">
        <v>2471.1841118229413</v>
      </c>
      <c r="L607" s="577">
        <f t="shared" si="219"/>
        <v>47258.721263046646</v>
      </c>
    </row>
    <row r="608" spans="1:12" outlineLevel="1" x14ac:dyDescent="0.15">
      <c r="A608" s="119"/>
      <c r="B608" s="117" t="s">
        <v>160</v>
      </c>
      <c r="C608" s="179">
        <f>E608*VLOOKUP($B608,'Offroad Allocation'!$B$4:$G$15,5,0)</f>
        <v>90585.703581438691</v>
      </c>
      <c r="D608" s="356">
        <f t="shared" si="218"/>
        <v>286588.92488705163</v>
      </c>
      <c r="E608" s="117">
        <v>377174.62846849032</v>
      </c>
      <c r="F608" s="117">
        <v>158515.00654023539</v>
      </c>
      <c r="G608" s="117">
        <v>81092.091076559547</v>
      </c>
      <c r="H608" s="117">
        <v>7562.7224164305353</v>
      </c>
      <c r="I608" s="117">
        <v>137298.51081125881</v>
      </c>
      <c r="J608" s="117">
        <v>39021.114561056449</v>
      </c>
      <c r="K608" s="117">
        <v>65221.938208414576</v>
      </c>
      <c r="L608" s="577">
        <f t="shared" si="219"/>
        <v>865886.01208244555</v>
      </c>
    </row>
    <row r="609" spans="1:12" outlineLevel="1" x14ac:dyDescent="0.15">
      <c r="A609" s="119"/>
      <c r="B609" s="117" t="s">
        <v>161</v>
      </c>
      <c r="C609" s="179">
        <f>E609*VLOOKUP($B609,'Offroad Allocation'!$B$4:$G$15,5,0)</f>
        <v>0</v>
      </c>
      <c r="D609" s="356">
        <f t="shared" si="218"/>
        <v>36.457787507942733</v>
      </c>
      <c r="E609" s="117">
        <v>36.457787507942733</v>
      </c>
      <c r="F609" s="117">
        <v>5.9149437973541836</v>
      </c>
      <c r="G609" s="117">
        <v>8.9649235083631069</v>
      </c>
      <c r="H609" s="117">
        <v>15.741544721620373</v>
      </c>
      <c r="I609" s="117">
        <v>21.742406397598064</v>
      </c>
      <c r="J609" s="117">
        <v>52.128464244569997</v>
      </c>
      <c r="K609" s="117">
        <v>54.620605047089697</v>
      </c>
      <c r="L609" s="577">
        <f t="shared" si="219"/>
        <v>195.57067522453815</v>
      </c>
    </row>
    <row r="610" spans="1:12" outlineLevel="1" x14ac:dyDescent="0.15">
      <c r="A610" s="119"/>
      <c r="B610" s="117" t="s">
        <v>158</v>
      </c>
      <c r="C610" s="179">
        <f>E610*VLOOKUP($B610,'Offroad Allocation'!$B$4:$G$15,5,0)</f>
        <v>109.97872402264612</v>
      </c>
      <c r="D610" s="356">
        <f t="shared" si="218"/>
        <v>212.67969657061491</v>
      </c>
      <c r="E610" s="117">
        <v>322.65842059326104</v>
      </c>
      <c r="F610" s="117">
        <v>263.50424615478499</v>
      </c>
      <c r="G610" s="117">
        <v>32.265842346191398</v>
      </c>
      <c r="H610" s="117">
        <v>0</v>
      </c>
      <c r="I610" s="117">
        <v>209.72805227661101</v>
      </c>
      <c r="J610" s="117">
        <v>0</v>
      </c>
      <c r="K610" s="117">
        <v>322.65842059326104</v>
      </c>
      <c r="L610" s="577">
        <f t="shared" si="219"/>
        <v>1150.8149819641096</v>
      </c>
    </row>
    <row r="611" spans="1:12" outlineLevel="1" x14ac:dyDescent="0.15">
      <c r="A611" s="119">
        <f t="shared" si="216"/>
        <v>2015</v>
      </c>
      <c r="B611" s="117" t="s">
        <v>162</v>
      </c>
      <c r="C611" s="179">
        <f>E611*VLOOKUP($B611,'Offroad Allocation'!$B$4:$G$15,5,0)</f>
        <v>80.980566453570844</v>
      </c>
      <c r="D611" s="356">
        <f t="shared" si="218"/>
        <v>28.846091963177159</v>
      </c>
      <c r="E611" s="117">
        <v>109.826658416748</v>
      </c>
      <c r="F611" s="117">
        <v>45.422293028695201</v>
      </c>
      <c r="G611" s="117">
        <v>19.7641360157557</v>
      </c>
      <c r="H611" s="117">
        <v>3.1636928435053102</v>
      </c>
      <c r="I611" s="117">
        <v>14.672787776947001</v>
      </c>
      <c r="J611" s="117">
        <v>2.86457281671251</v>
      </c>
      <c r="K611" s="117">
        <v>24.273541725703598</v>
      </c>
      <c r="L611" s="577">
        <f t="shared" si="219"/>
        <v>219.98768262406733</v>
      </c>
    </row>
    <row r="612" spans="1:12" outlineLevel="1" x14ac:dyDescent="0.15">
      <c r="A612" s="119">
        <f t="shared" si="216"/>
        <v>2015</v>
      </c>
      <c r="B612" s="117" t="s">
        <v>163</v>
      </c>
      <c r="C612" s="179">
        <f>E612*VLOOKUP($B612,'Offroad Allocation'!$B$4:$G$15,5,0)</f>
        <v>8780.0370115407659</v>
      </c>
      <c r="D612" s="356">
        <f t="shared" si="218"/>
        <v>8084.0720046858569</v>
      </c>
      <c r="E612" s="117">
        <v>16864.109016226623</v>
      </c>
      <c r="F612" s="117">
        <v>4005.2344674780561</v>
      </c>
      <c r="G612" s="117">
        <v>2088.8536973566229</v>
      </c>
      <c r="H612" s="117">
        <v>1935.5323701738569</v>
      </c>
      <c r="I612" s="117">
        <v>8307.4890233459391</v>
      </c>
      <c r="J612" s="117">
        <v>3047.0438664485241</v>
      </c>
      <c r="K612" s="117">
        <v>3842.3352794014909</v>
      </c>
      <c r="L612" s="577">
        <f t="shared" si="219"/>
        <v>40090.59772043112</v>
      </c>
    </row>
    <row r="613" spans="1:12" outlineLevel="1" x14ac:dyDescent="0.15">
      <c r="A613" s="82"/>
      <c r="B613" s="171" t="s">
        <v>88</v>
      </c>
      <c r="C613" s="357">
        <f t="shared" ref="C613:K613" si="220">SUM(C595:C612)</f>
        <v>189355.28474079326</v>
      </c>
      <c r="D613" s="357">
        <f t="shared" si="220"/>
        <v>479380.26453081972</v>
      </c>
      <c r="E613" s="357">
        <f t="shared" si="220"/>
        <v>668735.54927161289</v>
      </c>
      <c r="F613" s="357">
        <f t="shared" si="220"/>
        <v>262346.74185818981</v>
      </c>
      <c r="G613" s="357">
        <f t="shared" si="220"/>
        <v>122627.22010892542</v>
      </c>
      <c r="H613" s="357">
        <f t="shared" si="220"/>
        <v>23839.757601368146</v>
      </c>
      <c r="I613" s="357">
        <f t="shared" si="220"/>
        <v>210874.97763220646</v>
      </c>
      <c r="J613" s="357">
        <f t="shared" si="220"/>
        <v>65837.262834864116</v>
      </c>
      <c r="K613" s="357">
        <f t="shared" si="220"/>
        <v>104644.75400490931</v>
      </c>
      <c r="L613" s="357">
        <f>SUM(E613:K613)</f>
        <v>1458906.2633120762</v>
      </c>
    </row>
    <row r="614" spans="1:12" outlineLevel="1" x14ac:dyDescent="0.15">
      <c r="A614" s="82"/>
      <c r="B614" s="101" t="s">
        <v>460</v>
      </c>
      <c r="C614" s="177"/>
      <c r="D614" s="177"/>
      <c r="E614" s="177"/>
      <c r="F614" s="177"/>
      <c r="G614" s="177"/>
      <c r="H614" s="177"/>
      <c r="I614" s="177"/>
      <c r="J614" s="177"/>
      <c r="K614" s="177"/>
    </row>
    <row r="615" spans="1:12" outlineLevel="1" x14ac:dyDescent="0.15">
      <c r="A615" s="82"/>
      <c r="B615" s="101"/>
      <c r="C615" s="177"/>
      <c r="D615" s="177"/>
      <c r="E615" s="177"/>
      <c r="F615" s="177"/>
      <c r="G615" s="177"/>
      <c r="H615" s="177"/>
      <c r="I615" s="177"/>
      <c r="J615" s="177"/>
      <c r="K615" s="177"/>
    </row>
    <row r="616" spans="1:12" outlineLevel="1" x14ac:dyDescent="0.15">
      <c r="A616" s="82"/>
      <c r="B616" s="82" t="s">
        <v>471</v>
      </c>
      <c r="C616" s="69"/>
      <c r="D616" s="66"/>
      <c r="E616" s="66"/>
      <c r="F616" s="66"/>
      <c r="G616" s="66"/>
      <c r="H616" s="66"/>
    </row>
    <row r="617" spans="1:12" ht="15" outlineLevel="1" x14ac:dyDescent="0.15">
      <c r="A617" s="82"/>
      <c r="B617" s="83" t="s">
        <v>459</v>
      </c>
      <c r="C617" s="83" t="s">
        <v>58</v>
      </c>
      <c r="D617" s="83" t="s">
        <v>100</v>
      </c>
      <c r="E617" s="83" t="s">
        <v>59</v>
      </c>
      <c r="F617" s="83" t="s">
        <v>60</v>
      </c>
      <c r="G617" s="83" t="s">
        <v>62</v>
      </c>
      <c r="H617" s="83" t="s">
        <v>61</v>
      </c>
      <c r="I617" s="83" t="s">
        <v>63</v>
      </c>
      <c r="J617" s="83" t="s">
        <v>64</v>
      </c>
      <c r="K617" s="83" t="s">
        <v>65</v>
      </c>
    </row>
    <row r="618" spans="1:12" ht="15" outlineLevel="1" x14ac:dyDescent="0.15">
      <c r="A618" s="82"/>
      <c r="B618" s="609" t="s">
        <v>476</v>
      </c>
      <c r="C618" s="609"/>
      <c r="D618" s="609"/>
      <c r="E618" s="609"/>
      <c r="F618" s="609"/>
      <c r="G618" s="609"/>
      <c r="H618" s="609"/>
      <c r="I618" s="609"/>
      <c r="J618" s="609"/>
      <c r="K618" s="609"/>
    </row>
    <row r="619" spans="1:12" outlineLevel="1" x14ac:dyDescent="0.15">
      <c r="A619" s="82"/>
      <c r="B619" s="117" t="s">
        <v>155</v>
      </c>
      <c r="C619" s="234">
        <f>C547*1000/'Constants &amp; Conversions'!$D$56</f>
        <v>0</v>
      </c>
      <c r="D619" s="179">
        <f>D547*1000/'Constants &amp; Conversions'!$D$56</f>
        <v>23.824192385533639</v>
      </c>
      <c r="E619" s="179">
        <f>E547*1000/'Constants &amp; Conversions'!$D$56</f>
        <v>23.824192385533639</v>
      </c>
      <c r="F619" s="179">
        <f>F547*1000/'Constants &amp; Conversions'!$D$56</f>
        <v>8.0008093755654102</v>
      </c>
      <c r="G619" s="179">
        <f>G547*1000/'Constants &amp; Conversions'!$D$56</f>
        <v>286.00938516955688</v>
      </c>
      <c r="H619" s="179">
        <f>H547*1000/'Constants &amp; Conversions'!$D$56</f>
        <v>250.44418211649807</v>
      </c>
      <c r="I619" s="179">
        <f>I547*1000/'Constants &amp; Conversions'!$D$56</f>
        <v>47.454151457427265</v>
      </c>
      <c r="J619" s="179">
        <f>J547*1000/'Constants &amp; Conversions'!$D$56</f>
        <v>322.51347186224302</v>
      </c>
      <c r="K619" s="179">
        <f>K547*1000/'Constants &amp; Conversions'!$D$56</f>
        <v>390.00228001766112</v>
      </c>
    </row>
    <row r="620" spans="1:12" outlineLevel="1" x14ac:dyDescent="0.15">
      <c r="A620" s="82"/>
      <c r="B620" s="117" t="s">
        <v>104</v>
      </c>
      <c r="C620" s="234">
        <f>C548*1000/'Constants &amp; Conversions'!$D$56</f>
        <v>94713.247879667149</v>
      </c>
      <c r="D620" s="179">
        <f>D548*1000/'Constants &amp; Conversions'!$D$56</f>
        <v>183158.92459451713</v>
      </c>
      <c r="E620" s="179">
        <f>E548*1000/'Constants &amp; Conversions'!$D$56</f>
        <v>277872.17247418425</v>
      </c>
      <c r="F620" s="179">
        <f>F548*1000/'Constants &amp; Conversions'!$D$56</f>
        <v>100781.52995786826</v>
      </c>
      <c r="G620" s="179">
        <f>G548*1000/'Constants &amp; Conversions'!$D$56</f>
        <v>27852.24549338923</v>
      </c>
      <c r="H620" s="179">
        <f>H548*1000/'Constants &amp; Conversions'!$D$56</f>
        <v>2372.4788052068866</v>
      </c>
      <c r="I620" s="179">
        <f>I548*1000/'Constants &amp; Conversions'!$D$56</f>
        <v>47417.04529178526</v>
      </c>
      <c r="J620" s="179">
        <f>J548*1000/'Constants &amp; Conversions'!$D$56</f>
        <v>17484.810581107049</v>
      </c>
      <c r="K620" s="179">
        <f>K548*1000/'Constants &amp; Conversions'!$D$56</f>
        <v>22879.802600288363</v>
      </c>
    </row>
    <row r="621" spans="1:12" outlineLevel="1" x14ac:dyDescent="0.15">
      <c r="A621" s="82"/>
      <c r="B621" s="117" t="s">
        <v>156</v>
      </c>
      <c r="C621" s="234">
        <f>C549*1000/'Constants &amp; Conversions'!$D$56</f>
        <v>73175.971841774415</v>
      </c>
      <c r="D621" s="179">
        <f>D549*1000/'Constants &amp; Conversions'!$D$56</f>
        <v>141509.58402066751</v>
      </c>
      <c r="E621" s="179">
        <f>E549*1000/'Constants &amp; Conversions'!$D$56</f>
        <v>214685.55586244192</v>
      </c>
      <c r="F621" s="179">
        <f>F549*1000/'Constants &amp; Conversions'!$D$56</f>
        <v>53839.295101000549</v>
      </c>
      <c r="G621" s="179">
        <f>G549*1000/'Constants &amp; Conversions'!$D$56</f>
        <v>49318.760948387469</v>
      </c>
      <c r="H621" s="179">
        <f>H549*1000/'Constants &amp; Conversions'!$D$56</f>
        <v>11496.091886361242</v>
      </c>
      <c r="I621" s="179">
        <f>I549*1000/'Constants &amp; Conversions'!$D$56</f>
        <v>39765.027156061995</v>
      </c>
      <c r="J621" s="179">
        <f>J549*1000/'Constants &amp; Conversions'!$D$56</f>
        <v>30129.203188643394</v>
      </c>
      <c r="K621" s="179">
        <f>K549*1000/'Constants &amp; Conversions'!$D$56</f>
        <v>70633.587683045887</v>
      </c>
    </row>
    <row r="622" spans="1:12" outlineLevel="1" x14ac:dyDescent="0.15">
      <c r="A622" s="82"/>
      <c r="B622" s="117" t="s">
        <v>157</v>
      </c>
      <c r="C622" s="234">
        <f>C550*1000/'Constants &amp; Conversions'!$D$56</f>
        <v>1719.9392198663793</v>
      </c>
      <c r="D622" s="179">
        <f>D550*1000/'Constants &amp; Conversions'!$D$56</f>
        <v>3326.0628785414829</v>
      </c>
      <c r="E622" s="179">
        <f>E550*1000/'Constants &amp; Conversions'!$D$56</f>
        <v>5046.0020984078619</v>
      </c>
      <c r="F622" s="179">
        <f>F550*1000/'Constants &amp; Conversions'!$D$56</f>
        <v>1293.5945923207801</v>
      </c>
      <c r="G622" s="179">
        <f>G550*1000/'Constants &amp; Conversions'!$D$56</f>
        <v>688.60758437077482</v>
      </c>
      <c r="H622" s="179">
        <f>H550*1000/'Constants &amp; Conversions'!$D$56</f>
        <v>39.938121894126283</v>
      </c>
      <c r="I622" s="179">
        <f>I550*1000/'Constants &amp; Conversions'!$D$56</f>
        <v>982.31239176878307</v>
      </c>
      <c r="J622" s="179">
        <f>J550*1000/'Constants &amp; Conversions'!$D$56</f>
        <v>511.96278192081149</v>
      </c>
      <c r="K622" s="179">
        <f>K550*1000/'Constants &amp; Conversions'!$D$56</f>
        <v>471.81641095056307</v>
      </c>
    </row>
    <row r="623" spans="1:12" outlineLevel="1" x14ac:dyDescent="0.15">
      <c r="A623" s="82"/>
      <c r="B623" s="117" t="s">
        <v>160</v>
      </c>
      <c r="C623" s="234">
        <f>C551*1000/'Constants &amp; Conversions'!$D$56</f>
        <v>749657.62539644912</v>
      </c>
      <c r="D623" s="179">
        <f>D551*1000/'Constants &amp; Conversions'!$D$56</f>
        <v>2371716.1141503858</v>
      </c>
      <c r="E623" s="179">
        <f>E551*1000/'Constants &amp; Conversions'!$D$56</f>
        <v>3121373.7395468345</v>
      </c>
      <c r="F623" s="179">
        <f>F551*1000/'Constants &amp; Conversions'!$D$56</f>
        <v>1526961.3230071466</v>
      </c>
      <c r="G623" s="179">
        <f>G551*1000/'Constants &amp; Conversions'!$D$56</f>
        <v>791781.34260697779</v>
      </c>
      <c r="H623" s="179">
        <f>H551*1000/'Constants &amp; Conversions'!$D$56</f>
        <v>70404.7028078414</v>
      </c>
      <c r="I623" s="179">
        <f>I551*1000/'Constants &amp; Conversions'!$D$56</f>
        <v>1347967.1929002425</v>
      </c>
      <c r="J623" s="179">
        <f>J551*1000/'Constants &amp; Conversions'!$D$56</f>
        <v>370005.85876539547</v>
      </c>
      <c r="K623" s="179">
        <f>K551*1000/'Constants &amp; Conversions'!$D$56</f>
        <v>608530.76801400818</v>
      </c>
    </row>
    <row r="624" spans="1:12" outlineLevel="1" x14ac:dyDescent="0.15">
      <c r="A624" s="82"/>
      <c r="B624" s="117" t="s">
        <v>161</v>
      </c>
      <c r="C624" s="234">
        <f>C552*1000/'Constants &amp; Conversions'!$D$56</f>
        <v>0</v>
      </c>
      <c r="D624" s="179">
        <f>D552*1000/'Constants &amp; Conversions'!$D$56</f>
        <v>1401.3970400519866</v>
      </c>
      <c r="E624" s="179">
        <f>E552*1000/'Constants &amp; Conversions'!$D$56</f>
        <v>1401.3970400519866</v>
      </c>
      <c r="F624" s="179">
        <f>F552*1000/'Constants &amp; Conversions'!$D$56</f>
        <v>227.36418155924866</v>
      </c>
      <c r="G624" s="179">
        <f>G552*1000/'Constants &amp; Conversions'!$D$56</f>
        <v>344.60198403662065</v>
      </c>
      <c r="H624" s="179">
        <f>H552*1000/'Constants &amp; Conversions'!$D$56</f>
        <v>605.08768696358584</v>
      </c>
      <c r="I624" s="179">
        <f>I552*1000/'Constants &amp; Conversions'!$D$56</f>
        <v>835.75397951798527</v>
      </c>
      <c r="J624" s="179">
        <f>J552*1000/'Constants &amp; Conversions'!$D$56</f>
        <v>2003.7569060605144</v>
      </c>
      <c r="K624" s="179">
        <f>K552*1000/'Constants &amp; Conversions'!$D$56</f>
        <v>2099.5570426898275</v>
      </c>
    </row>
    <row r="625" spans="1:11" outlineLevel="1" x14ac:dyDescent="0.15">
      <c r="A625" s="82"/>
      <c r="B625" s="117" t="s">
        <v>163</v>
      </c>
      <c r="C625" s="234">
        <f>C553*1000/'Constants &amp; Conversions'!$D$56</f>
        <v>198147.57927466795</v>
      </c>
      <c r="D625" s="179">
        <f>D553*1000/'Constants &amp; Conversions'!$D$56</f>
        <v>182441.06446306605</v>
      </c>
      <c r="E625" s="179">
        <f>E553*1000/'Constants &amp; Conversions'!$D$56</f>
        <v>380588.643737734</v>
      </c>
      <c r="F625" s="179">
        <f>F553*1000/'Constants &amp; Conversions'!$D$56</f>
        <v>66189.302234815885</v>
      </c>
      <c r="G625" s="179">
        <f>G553*1000/'Constants &amp; Conversions'!$D$56</f>
        <v>33094.672581242412</v>
      </c>
      <c r="H625" s="179">
        <f>H553*1000/'Constants &amp; Conversions'!$D$56</f>
        <v>1146632.7481161614</v>
      </c>
      <c r="I625" s="179">
        <f>I553*1000/'Constants &amp; Conversions'!$D$56</f>
        <v>198567.84123087811</v>
      </c>
      <c r="J625" s="179">
        <f>J553*1000/'Constants &amp; Conversions'!$D$56</f>
        <v>49641.986028664774</v>
      </c>
      <c r="K625" s="179">
        <f>K553*1000/'Constants &amp; Conversions'!$D$56</f>
        <v>82736.586652980666</v>
      </c>
    </row>
    <row r="626" spans="1:11" ht="15" outlineLevel="1" x14ac:dyDescent="0.15">
      <c r="A626" s="82"/>
      <c r="B626" s="609" t="s">
        <v>477</v>
      </c>
      <c r="C626" s="609"/>
      <c r="D626" s="609"/>
      <c r="E626" s="609"/>
      <c r="F626" s="609"/>
      <c r="G626" s="609"/>
      <c r="H626" s="609"/>
      <c r="I626" s="609"/>
      <c r="J626" s="609"/>
      <c r="K626" s="609"/>
    </row>
    <row r="627" spans="1:11" outlineLevel="1" x14ac:dyDescent="0.15">
      <c r="A627" s="82"/>
      <c r="B627" s="117" t="s">
        <v>155</v>
      </c>
      <c r="C627" s="234">
        <f>C555*1000/'Constants &amp; Conversions'!$D$56</f>
        <v>0</v>
      </c>
      <c r="D627" s="179">
        <f>D555*1000/'Constants &amp; Conversions'!$D$56</f>
        <v>2946.916964671932</v>
      </c>
      <c r="E627" s="179">
        <f>E555*1000/'Constants &amp; Conversions'!$D$56</f>
        <v>2946.916964671932</v>
      </c>
      <c r="F627" s="179">
        <f>F555*1000/'Constants &amp; Conversions'!$D$56</f>
        <v>989.65483758615119</v>
      </c>
      <c r="G627" s="179">
        <f>G555*1000/'Constants &amp; Conversions'!$D$56</f>
        <v>35377.73695246649</v>
      </c>
      <c r="H627" s="179">
        <f>H555*1000/'Constants &amp; Conversions'!$D$56</f>
        <v>30978.545873882333</v>
      </c>
      <c r="I627" s="179">
        <f>I555*1000/'Constants &amp; Conversions'!$D$56</f>
        <v>5869.8132947719987</v>
      </c>
      <c r="J627" s="179">
        <f>J555*1000/'Constants &amp; Conversions'!$D$56</f>
        <v>39893.124795138785</v>
      </c>
      <c r="K627" s="179">
        <f>K555*1000/'Constants &amp; Conversions'!$D$56</f>
        <v>48241.097674019446</v>
      </c>
    </row>
    <row r="628" spans="1:11" outlineLevel="1" x14ac:dyDescent="0.15">
      <c r="A628" s="82"/>
      <c r="B628" s="117" t="s">
        <v>159</v>
      </c>
      <c r="C628" s="234">
        <f>C556*1000/'Constants &amp; Conversions'!$D$56</f>
        <v>85556.427967594223</v>
      </c>
      <c r="D628" s="179">
        <f>D556*1000/'Constants &amp; Conversions'!$D$56</f>
        <v>0</v>
      </c>
      <c r="E628" s="179">
        <f>E556*1000/'Constants &amp; Conversions'!$D$56</f>
        <v>85556.427967594223</v>
      </c>
      <c r="F628" s="179">
        <f>F556*1000/'Constants &amp; Conversions'!$D$56</f>
        <v>20.142118308190597</v>
      </c>
      <c r="G628" s="179">
        <f>G556*1000/'Constants &amp; Conversions'!$D$56</f>
        <v>9.1728993731932356</v>
      </c>
      <c r="H628" s="179">
        <f>H556*1000/'Constants &amp; Conversions'!$D$56</f>
        <v>0</v>
      </c>
      <c r="I628" s="179">
        <f>I556*1000/'Constants &amp; Conversions'!$D$56</f>
        <v>10.128411903394751</v>
      </c>
      <c r="J628" s="179">
        <f>J556*1000/'Constants &amp; Conversions'!$D$56</f>
        <v>8.7906934732112365</v>
      </c>
      <c r="K628" s="179">
        <f>K556*1000/'Constants &amp; Conversions'!$D$56</f>
        <v>20.639024504056568</v>
      </c>
    </row>
    <row r="629" spans="1:11" outlineLevel="1" x14ac:dyDescent="0.15">
      <c r="A629" s="82"/>
      <c r="B629" s="117" t="s">
        <v>104</v>
      </c>
      <c r="C629" s="234">
        <f>C557*1000/'Constants &amp; Conversions'!$D$56</f>
        <v>4846895.2311742362</v>
      </c>
      <c r="D629" s="179">
        <f>D557*1000/'Constants &amp; Conversions'!$D$56</f>
        <v>9373051.162727017</v>
      </c>
      <c r="E629" s="179">
        <f>E557*1000/'Constants &amp; Conversions'!$D$56</f>
        <v>14219946.393901251</v>
      </c>
      <c r="F629" s="179">
        <f>F557*1000/'Constants &amp; Conversions'!$D$56</f>
        <v>5157430.3093141383</v>
      </c>
      <c r="G629" s="179">
        <f>G557*1000/'Constants &amp; Conversions'!$D$56</f>
        <v>1425320.9775594524</v>
      </c>
      <c r="H629" s="179">
        <f>H557*1000/'Constants &amp; Conversions'!$D$56</f>
        <v>121409.99484529482</v>
      </c>
      <c r="I629" s="179">
        <f>I557*1000/'Constants &amp; Conversions'!$D$56</f>
        <v>2426538.9068585462</v>
      </c>
      <c r="J629" s="179">
        <f>J557*1000/'Constants &amp; Conversions'!$D$56</f>
        <v>894775.8184125413</v>
      </c>
      <c r="K629" s="179">
        <f>K557*1000/'Constants &amp; Conversions'!$D$56</f>
        <v>1170858.7568112165</v>
      </c>
    </row>
    <row r="630" spans="1:11" outlineLevel="1" x14ac:dyDescent="0.15">
      <c r="A630" s="82"/>
      <c r="B630" s="117" t="s">
        <v>156</v>
      </c>
      <c r="C630" s="234">
        <f>C558*1000/'Constants &amp; Conversions'!$D$56</f>
        <v>458663.40359787369</v>
      </c>
      <c r="D630" s="179">
        <f>D558*1000/'Constants &amp; Conversions'!$D$56</f>
        <v>886975.13425555592</v>
      </c>
      <c r="E630" s="179">
        <f>E558*1000/'Constants &amp; Conversions'!$D$56</f>
        <v>1345638.5378534296</v>
      </c>
      <c r="F630" s="179">
        <f>F558*1000/'Constants &amp; Conversions'!$D$56</f>
        <v>337461.94532141846</v>
      </c>
      <c r="G630" s="179">
        <f>G558*1000/'Constants &amp; Conversions'!$D$56</f>
        <v>309127.28832284774</v>
      </c>
      <c r="H630" s="179">
        <f>H558*1000/'Constants &amp; Conversions'!$D$56</f>
        <v>72056.894051575</v>
      </c>
      <c r="I630" s="179">
        <f>I558*1000/'Constants &amp; Conversions'!$D$56</f>
        <v>249245.12303703744</v>
      </c>
      <c r="J630" s="179">
        <f>J558*1000/'Constants &amp; Conversions'!$D$56</f>
        <v>188848.29092599923</v>
      </c>
      <c r="K630" s="179">
        <f>K558*1000/'Constants &amp; Conversions'!$D$56</f>
        <v>442727.87367476878</v>
      </c>
    </row>
    <row r="631" spans="1:11" outlineLevel="1" x14ac:dyDescent="0.15">
      <c r="A631" s="82"/>
      <c r="B631" s="117" t="s">
        <v>157</v>
      </c>
      <c r="C631" s="234">
        <f>C559*1000/'Constants &amp; Conversions'!$D$56</f>
        <v>1202808.981222647</v>
      </c>
      <c r="D631" s="179">
        <f>D559*1000/'Constants &amp; Conversions'!$D$56</f>
        <v>2326023.0688452763</v>
      </c>
      <c r="E631" s="179">
        <f>E559*1000/'Constants &amp; Conversions'!$D$56</f>
        <v>3528832.050067923</v>
      </c>
      <c r="F631" s="179">
        <f>F559*1000/'Constants &amp; Conversions'!$D$56</f>
        <v>903395.53968529985</v>
      </c>
      <c r="G631" s="179">
        <f>G559*1000/'Constants &amp; Conversions'!$D$56</f>
        <v>480764.56780615402</v>
      </c>
      <c r="H631" s="179">
        <f>H559*1000/'Constants &amp; Conversions'!$D$56</f>
        <v>27983.489674441167</v>
      </c>
      <c r="I631" s="179">
        <f>I559*1000/'Constants &amp; Conversions'!$D$56</f>
        <v>685941.25842439267</v>
      </c>
      <c r="J631" s="179">
        <f>J559*1000/'Constants &amp; Conversions'!$D$56</f>
        <v>357298.15655434883</v>
      </c>
      <c r="K631" s="179">
        <f>K559*1000/'Constants &amp; Conversions'!$D$56</f>
        <v>330111.04077129939</v>
      </c>
    </row>
    <row r="632" spans="1:11" outlineLevel="1" x14ac:dyDescent="0.15">
      <c r="A632" s="82"/>
      <c r="B632" s="117" t="s">
        <v>160</v>
      </c>
      <c r="C632" s="234">
        <f>C560*1000/'Constants &amp; Conversions'!$D$56</f>
        <v>7069284.1822571373</v>
      </c>
      <c r="D632" s="179">
        <f>D560*1000/'Constants &amp; Conversions'!$D$56</f>
        <v>22365323.372387454</v>
      </c>
      <c r="E632" s="179">
        <f>E560*1000/'Constants &amp; Conversions'!$D$56</f>
        <v>29434607.554644592</v>
      </c>
      <c r="F632" s="179">
        <f>F560*1000/'Constants &amp; Conversions'!$D$56</f>
        <v>13047378.923092619</v>
      </c>
      <c r="G632" s="179">
        <f>G560*1000/'Constants &amp; Conversions'!$D$56</f>
        <v>6708136.1565636732</v>
      </c>
      <c r="H632" s="179">
        <f>H560*1000/'Constants &amp; Conversions'!$D$56</f>
        <v>614791.09741946135</v>
      </c>
      <c r="I632" s="179">
        <f>I560*1000/'Constants &amp; Conversions'!$D$56</f>
        <v>11380914.708001511</v>
      </c>
      <c r="J632" s="179">
        <f>J560*1000/'Constants &amp; Conversions'!$D$56</f>
        <v>3193328.0119712376</v>
      </c>
      <c r="K632" s="179">
        <f>K560*1000/'Constants &amp; Conversions'!$D$56</f>
        <v>5306293.4643746242</v>
      </c>
    </row>
    <row r="633" spans="1:11" outlineLevel="1" x14ac:dyDescent="0.15">
      <c r="A633" s="82"/>
      <c r="B633" s="117" t="s">
        <v>161</v>
      </c>
      <c r="C633" s="234">
        <f>C561*1000/'Constants &amp; Conversions'!$D$56</f>
        <v>0</v>
      </c>
      <c r="D633" s="179">
        <f>D561*1000/'Constants &amp; Conversions'!$D$56</f>
        <v>4151.9585530456325</v>
      </c>
      <c r="E633" s="179">
        <f>E561*1000/'Constants &amp; Conversions'!$D$56</f>
        <v>4151.9585530456325</v>
      </c>
      <c r="F633" s="179">
        <f>F561*1000/'Constants &amp; Conversions'!$D$56</f>
        <v>673.61732154592266</v>
      </c>
      <c r="G633" s="179">
        <f>G561*1000/'Constants &amp; Conversions'!$D$56</f>
        <v>1020.9613402159358</v>
      </c>
      <c r="H633" s="179">
        <f>H561*1000/'Constants &amp; Conversions'!$D$56</f>
        <v>1792.7095531340192</v>
      </c>
      <c r="I633" s="179">
        <f>I561*1000/'Constants &amp; Conversions'!$D$56</f>
        <v>2476.1136368911916</v>
      </c>
      <c r="J633" s="179">
        <f>J561*1000/'Constants &amp; Conversions'!$D$56</f>
        <v>5936.5932790130146</v>
      </c>
      <c r="K633" s="179">
        <f>K561*1000/'Constants &amp; Conversions'!$D$56</f>
        <v>6220.4122518200256</v>
      </c>
    </row>
    <row r="634" spans="1:11" outlineLevel="1" x14ac:dyDescent="0.15">
      <c r="A634" s="82"/>
      <c r="B634" s="117" t="s">
        <v>158</v>
      </c>
      <c r="C634" s="234">
        <f>C562*1000/'Constants &amp; Conversions'!$D$56</f>
        <v>9756.4780756472355</v>
      </c>
      <c r="D634" s="179">
        <f>D562*1000/'Constants &amp; Conversions'!$D$56</f>
        <v>18867.329250876192</v>
      </c>
      <c r="E634" s="179">
        <f>E562*1000/'Constants &amp; Conversions'!$D$56</f>
        <v>28623.807326523423</v>
      </c>
      <c r="F634" s="179">
        <f>F562*1000/'Constants &amp; Conversions'!$D$56</f>
        <v>23376.110250088059</v>
      </c>
      <c r="G634" s="179">
        <f>G562*1000/'Constants &amp; Conversions'!$D$56</f>
        <v>2862.3807204066115</v>
      </c>
      <c r="H634" s="179">
        <f>H562*1000/'Constants &amp; Conversions'!$D$56</f>
        <v>0</v>
      </c>
      <c r="I634" s="179">
        <f>I562*1000/'Constants &amp; Conversions'!$D$56</f>
        <v>18605.480450862979</v>
      </c>
      <c r="J634" s="179">
        <f>J562*1000/'Constants &amp; Conversions'!$D$56</f>
        <v>0</v>
      </c>
      <c r="K634" s="179">
        <f>K562*1000/'Constants &amp; Conversions'!$D$56</f>
        <v>28623.807326523423</v>
      </c>
    </row>
    <row r="635" spans="1:11" outlineLevel="1" x14ac:dyDescent="0.15">
      <c r="A635" s="82"/>
      <c r="B635" s="117" t="s">
        <v>162</v>
      </c>
      <c r="C635" s="234">
        <f>C563*1000/'Constants &amp; Conversions'!$D$56</f>
        <v>7996.2321868170957</v>
      </c>
      <c r="D635" s="179">
        <f>D563*1000/'Constants &amp; Conversions'!$D$56</f>
        <v>2848.3383004253142</v>
      </c>
      <c r="E635" s="179">
        <f>E563*1000/'Constants &amp; Conversions'!$D$56</f>
        <v>10844.57048724241</v>
      </c>
      <c r="F635" s="179">
        <f>F563*1000/'Constants &amp; Conversions'!$D$56</f>
        <v>4485.1373203238818</v>
      </c>
      <c r="G635" s="179">
        <f>G563*1000/'Constants &amp; Conversions'!$D$56</f>
        <v>1951.5687286141986</v>
      </c>
      <c r="H635" s="179">
        <f>H563*1000/'Constants &amp; Conversions'!$D$56</f>
        <v>312.39221271873265</v>
      </c>
      <c r="I635" s="179">
        <f>I563*1000/'Constants &amp; Conversions'!$D$56</f>
        <v>1448.8311961374638</v>
      </c>
      <c r="J635" s="179">
        <f>J563*1000/'Constants &amp; Conversions'!$D$56</f>
        <v>282.8564457731888</v>
      </c>
      <c r="K635" s="179">
        <f>K563*1000/'Constants &amp; Conversions'!$D$56</f>
        <v>2396.8439845951461</v>
      </c>
    </row>
    <row r="636" spans="1:11" outlineLevel="1" x14ac:dyDescent="0.15">
      <c r="A636" s="82"/>
      <c r="B636" s="117" t="s">
        <v>163</v>
      </c>
      <c r="C636" s="234">
        <f>C564*1000/'Constants &amp; Conversions'!$D$56</f>
        <v>736343.94074068964</v>
      </c>
      <c r="D636" s="179">
        <f>D564*1000/'Constants &amp; Conversions'!$D$56</f>
        <v>677976.34899915603</v>
      </c>
      <c r="E636" s="179">
        <f>E564*1000/'Constants &amp; Conversions'!$D$56</f>
        <v>1414320.2897398458</v>
      </c>
      <c r="F636" s="179">
        <f>F564*1000/'Constants &amp; Conversions'!$D$56</f>
        <v>349590.90441156802</v>
      </c>
      <c r="G636" s="179">
        <f>G564*1000/'Constants &amp; Conversions'!$D$56</f>
        <v>183128.68231738303</v>
      </c>
      <c r="H636" s="179">
        <f>H564*1000/'Constants &amp; Conversions'!$D$56</f>
        <v>149592.96881761673</v>
      </c>
      <c r="I636" s="179">
        <f>I564*1000/'Constants &amp; Conversions'!$D$56</f>
        <v>690442.67583530361</v>
      </c>
      <c r="J636" s="179">
        <f>J564*1000/'Constants &amp; Conversions'!$D$56</f>
        <v>266359.6713706248</v>
      </c>
      <c r="K636" s="179">
        <f>K564*1000/'Constants &amp; Conversions'!$D$56</f>
        <v>324489.61142394767</v>
      </c>
    </row>
    <row r="637" spans="1:11" outlineLevel="1" x14ac:dyDescent="0.15">
      <c r="A637" s="66"/>
      <c r="B637" s="171" t="s">
        <v>88</v>
      </c>
      <c r="C637" s="357">
        <f>SUM(C619:C636)</f>
        <v>15534719.240835069</v>
      </c>
      <c r="D637" s="357">
        <f t="shared" ref="D637:K637" si="221">SUM(D619:D636)</f>
        <v>38541740.601623096</v>
      </c>
      <c r="E637" s="357">
        <f t="shared" si="221"/>
        <v>54076459.842458174</v>
      </c>
      <c r="F637" s="357">
        <f t="shared" si="221"/>
        <v>21574102.693556987</v>
      </c>
      <c r="G637" s="357">
        <f t="shared" si="221"/>
        <v>10051065.73379416</v>
      </c>
      <c r="H637" s="357">
        <f>SUM(H619:H636)</f>
        <v>2250719.5840546694</v>
      </c>
      <c r="I637" s="357">
        <f t="shared" si="221"/>
        <v>17097075.66624907</v>
      </c>
      <c r="J637" s="357">
        <f t="shared" si="221"/>
        <v>5416831.4061718043</v>
      </c>
      <c r="K637" s="357">
        <f t="shared" si="221"/>
        <v>8447725.6680012997</v>
      </c>
    </row>
    <row r="638" spans="1:11" x14ac:dyDescent="0.15">
      <c r="A638" s="66"/>
      <c r="B638" s="66"/>
      <c r="C638" s="69"/>
      <c r="D638" s="66"/>
      <c r="E638" s="66"/>
      <c r="F638" s="66"/>
      <c r="G638" s="66"/>
      <c r="H638" s="66"/>
    </row>
    <row r="639" spans="1:11" x14ac:dyDescent="0.15">
      <c r="A639" s="66"/>
      <c r="B639" s="66"/>
      <c r="C639" s="69"/>
      <c r="D639" s="66"/>
      <c r="E639" s="66"/>
      <c r="F639" s="66"/>
      <c r="G639" s="66"/>
      <c r="H639" s="66"/>
    </row>
    <row r="640" spans="1:11" x14ac:dyDescent="0.15">
      <c r="A640" s="66"/>
      <c r="B640" s="66"/>
      <c r="C640" s="69"/>
      <c r="D640" s="66"/>
      <c r="E640" s="66"/>
      <c r="F640" s="66"/>
      <c r="G640" s="66"/>
      <c r="H640" s="66"/>
    </row>
    <row r="641" spans="3:3" s="66" customFormat="1" x14ac:dyDescent="0.15">
      <c r="C641" s="69"/>
    </row>
    <row r="642" spans="3:3" s="66" customFormat="1" x14ac:dyDescent="0.15">
      <c r="C642" s="69"/>
    </row>
    <row r="643" spans="3:3" s="66" customFormat="1" x14ac:dyDescent="0.15">
      <c r="C643" s="69"/>
    </row>
    <row r="644" spans="3:3" s="66" customFormat="1" x14ac:dyDescent="0.15">
      <c r="C644" s="69"/>
    </row>
    <row r="645" spans="3:3" s="66" customFormat="1" x14ac:dyDescent="0.15">
      <c r="C645" s="69"/>
    </row>
    <row r="646" spans="3:3" s="66" customFormat="1" x14ac:dyDescent="0.15">
      <c r="C646" s="69"/>
    </row>
    <row r="647" spans="3:3" s="66" customFormat="1" x14ac:dyDescent="0.15">
      <c r="C647" s="69"/>
    </row>
    <row r="648" spans="3:3" s="66" customFormat="1" x14ac:dyDescent="0.15">
      <c r="C648" s="69"/>
    </row>
    <row r="649" spans="3:3" s="66" customFormat="1" x14ac:dyDescent="0.15">
      <c r="C649" s="69"/>
    </row>
    <row r="650" spans="3:3" s="66" customFormat="1" x14ac:dyDescent="0.15">
      <c r="C650" s="69"/>
    </row>
    <row r="651" spans="3:3" s="66" customFormat="1" x14ac:dyDescent="0.15">
      <c r="C651" s="69"/>
    </row>
    <row r="652" spans="3:3" s="66" customFormat="1" x14ac:dyDescent="0.15">
      <c r="C652" s="69"/>
    </row>
    <row r="653" spans="3:3" s="66" customFormat="1" x14ac:dyDescent="0.15">
      <c r="C653" s="69"/>
    </row>
    <row r="654" spans="3:3" s="66" customFormat="1" x14ac:dyDescent="0.15">
      <c r="C654" s="69"/>
    </row>
    <row r="655" spans="3:3" s="66" customFormat="1" x14ac:dyDescent="0.15">
      <c r="C655" s="69"/>
    </row>
    <row r="656" spans="3:3" s="66" customFormat="1" x14ac:dyDescent="0.15">
      <c r="C656" s="69"/>
    </row>
    <row r="657" spans="3:3" s="66" customFormat="1" x14ac:dyDescent="0.15">
      <c r="C657" s="69"/>
    </row>
    <row r="658" spans="3:3" s="66" customFormat="1" x14ac:dyDescent="0.15">
      <c r="C658" s="69"/>
    </row>
    <row r="659" spans="3:3" s="66" customFormat="1" x14ac:dyDescent="0.15">
      <c r="C659" s="69"/>
    </row>
    <row r="660" spans="3:3" s="66" customFormat="1" x14ac:dyDescent="0.15">
      <c r="C660" s="69"/>
    </row>
    <row r="661" spans="3:3" s="66" customFormat="1" x14ac:dyDescent="0.15">
      <c r="C661" s="69"/>
    </row>
    <row r="662" spans="3:3" s="66" customFormat="1" x14ac:dyDescent="0.15">
      <c r="C662" s="69"/>
    </row>
    <row r="663" spans="3:3" s="66" customFormat="1" x14ac:dyDescent="0.15">
      <c r="C663" s="69"/>
    </row>
    <row r="664" spans="3:3" s="66" customFormat="1" x14ac:dyDescent="0.15">
      <c r="C664" s="69"/>
    </row>
    <row r="665" spans="3:3" s="66" customFormat="1" x14ac:dyDescent="0.15">
      <c r="C665" s="69"/>
    </row>
    <row r="666" spans="3:3" s="66" customFormat="1" x14ac:dyDescent="0.15">
      <c r="C666" s="69"/>
    </row>
    <row r="667" spans="3:3" s="66" customFormat="1" x14ac:dyDescent="0.15">
      <c r="C667" s="69"/>
    </row>
    <row r="668" spans="3:3" s="66" customFormat="1" x14ac:dyDescent="0.15">
      <c r="C668" s="69"/>
    </row>
    <row r="669" spans="3:3" s="66" customFormat="1" x14ac:dyDescent="0.15">
      <c r="C669" s="69"/>
    </row>
    <row r="670" spans="3:3" s="66" customFormat="1" x14ac:dyDescent="0.15">
      <c r="C670" s="69"/>
    </row>
    <row r="671" spans="3:3" s="66" customFormat="1" x14ac:dyDescent="0.15">
      <c r="C671" s="69"/>
    </row>
    <row r="672" spans="3:3" s="66" customFormat="1" x14ac:dyDescent="0.15">
      <c r="C672" s="69"/>
    </row>
    <row r="673" spans="3:3" s="66" customFormat="1" x14ac:dyDescent="0.15">
      <c r="C673" s="69"/>
    </row>
    <row r="674" spans="3:3" s="66" customFormat="1" x14ac:dyDescent="0.15">
      <c r="C674" s="69"/>
    </row>
    <row r="675" spans="3:3" s="66" customFormat="1" x14ac:dyDescent="0.15">
      <c r="C675" s="69"/>
    </row>
    <row r="676" spans="3:3" s="66" customFormat="1" x14ac:dyDescent="0.15">
      <c r="C676" s="69"/>
    </row>
    <row r="677" spans="3:3" s="66" customFormat="1" x14ac:dyDescent="0.15">
      <c r="C677" s="69"/>
    </row>
    <row r="678" spans="3:3" s="66" customFormat="1" x14ac:dyDescent="0.15">
      <c r="C678" s="69"/>
    </row>
    <row r="679" spans="3:3" s="66" customFormat="1" x14ac:dyDescent="0.15">
      <c r="C679" s="69"/>
    </row>
    <row r="680" spans="3:3" s="66" customFormat="1" x14ac:dyDescent="0.15">
      <c r="C680" s="69"/>
    </row>
    <row r="681" spans="3:3" s="66" customFormat="1" x14ac:dyDescent="0.15">
      <c r="C681" s="69"/>
    </row>
    <row r="682" spans="3:3" s="66" customFormat="1" x14ac:dyDescent="0.15">
      <c r="C682" s="69"/>
    </row>
    <row r="683" spans="3:3" s="66" customFormat="1" x14ac:dyDescent="0.15">
      <c r="C683" s="69"/>
    </row>
    <row r="684" spans="3:3" s="66" customFormat="1" x14ac:dyDescent="0.15">
      <c r="C684" s="69"/>
    </row>
    <row r="685" spans="3:3" s="66" customFormat="1" x14ac:dyDescent="0.15">
      <c r="C685" s="69"/>
    </row>
    <row r="686" spans="3:3" s="66" customFormat="1" x14ac:dyDescent="0.15">
      <c r="C686" s="69"/>
    </row>
    <row r="687" spans="3:3" s="66" customFormat="1" x14ac:dyDescent="0.15">
      <c r="C687" s="69"/>
    </row>
    <row r="688" spans="3:3" s="66" customFormat="1" x14ac:dyDescent="0.15">
      <c r="C688" s="69"/>
    </row>
    <row r="689" spans="3:3" s="66" customFormat="1" x14ac:dyDescent="0.15">
      <c r="C689" s="69"/>
    </row>
    <row r="690" spans="3:3" s="66" customFormat="1" x14ac:dyDescent="0.15">
      <c r="C690" s="69"/>
    </row>
    <row r="691" spans="3:3" s="66" customFormat="1" x14ac:dyDescent="0.15">
      <c r="C691" s="69"/>
    </row>
    <row r="692" spans="3:3" s="66" customFormat="1" x14ac:dyDescent="0.15">
      <c r="C692" s="69"/>
    </row>
    <row r="693" spans="3:3" s="66" customFormat="1" x14ac:dyDescent="0.15">
      <c r="C693" s="69"/>
    </row>
    <row r="694" spans="3:3" s="66" customFormat="1" x14ac:dyDescent="0.15">
      <c r="C694" s="69"/>
    </row>
    <row r="695" spans="3:3" s="66" customFormat="1" x14ac:dyDescent="0.15">
      <c r="C695" s="69"/>
    </row>
    <row r="696" spans="3:3" s="66" customFormat="1" x14ac:dyDescent="0.15">
      <c r="C696" s="69"/>
    </row>
    <row r="697" spans="3:3" s="66" customFormat="1" x14ac:dyDescent="0.15">
      <c r="C697" s="69"/>
    </row>
    <row r="698" spans="3:3" s="66" customFormat="1" x14ac:dyDescent="0.15">
      <c r="C698" s="69"/>
    </row>
    <row r="699" spans="3:3" s="66" customFormat="1" x14ac:dyDescent="0.15">
      <c r="C699" s="69"/>
    </row>
    <row r="700" spans="3:3" s="66" customFormat="1" x14ac:dyDescent="0.15">
      <c r="C700" s="69"/>
    </row>
    <row r="701" spans="3:3" s="66" customFormat="1" x14ac:dyDescent="0.15">
      <c r="C701" s="69"/>
    </row>
    <row r="702" spans="3:3" s="66" customFormat="1" x14ac:dyDescent="0.15">
      <c r="C702" s="69"/>
    </row>
    <row r="703" spans="3:3" s="66" customFormat="1" x14ac:dyDescent="0.15">
      <c r="C703" s="69"/>
    </row>
    <row r="704" spans="3:3" s="66" customFormat="1" x14ac:dyDescent="0.15">
      <c r="C704" s="69"/>
    </row>
    <row r="705" spans="3:3" s="66" customFormat="1" x14ac:dyDescent="0.15">
      <c r="C705" s="69"/>
    </row>
    <row r="706" spans="3:3" s="66" customFormat="1" x14ac:dyDescent="0.15">
      <c r="C706" s="69"/>
    </row>
    <row r="707" spans="3:3" s="66" customFormat="1" x14ac:dyDescent="0.15">
      <c r="C707" s="69"/>
    </row>
    <row r="708" spans="3:3" s="66" customFormat="1" x14ac:dyDescent="0.15">
      <c r="C708" s="69"/>
    </row>
    <row r="709" spans="3:3" s="66" customFormat="1" x14ac:dyDescent="0.15">
      <c r="C709" s="69"/>
    </row>
    <row r="710" spans="3:3" s="66" customFormat="1" x14ac:dyDescent="0.15">
      <c r="C710" s="69"/>
    </row>
    <row r="711" spans="3:3" s="66" customFormat="1" x14ac:dyDescent="0.15">
      <c r="C711" s="69"/>
    </row>
    <row r="712" spans="3:3" s="66" customFormat="1" x14ac:dyDescent="0.15">
      <c r="C712" s="69"/>
    </row>
    <row r="713" spans="3:3" s="66" customFormat="1" x14ac:dyDescent="0.15">
      <c r="C713" s="69"/>
    </row>
    <row r="714" spans="3:3" s="66" customFormat="1" x14ac:dyDescent="0.15">
      <c r="C714" s="69"/>
    </row>
    <row r="715" spans="3:3" s="66" customFormat="1" x14ac:dyDescent="0.15">
      <c r="C715" s="69"/>
    </row>
    <row r="716" spans="3:3" s="66" customFormat="1" x14ac:dyDescent="0.15">
      <c r="C716" s="69"/>
    </row>
    <row r="717" spans="3:3" s="66" customFormat="1" x14ac:dyDescent="0.15">
      <c r="C717" s="69"/>
    </row>
    <row r="718" spans="3:3" s="66" customFormat="1" x14ac:dyDescent="0.15">
      <c r="C718" s="69"/>
    </row>
    <row r="719" spans="3:3" s="66" customFormat="1" x14ac:dyDescent="0.15">
      <c r="C719" s="69"/>
    </row>
    <row r="720" spans="3:3" s="66" customFormat="1" x14ac:dyDescent="0.15">
      <c r="C720" s="69"/>
    </row>
    <row r="721" spans="3:3" s="66" customFormat="1" x14ac:dyDescent="0.15">
      <c r="C721" s="69"/>
    </row>
    <row r="722" spans="3:3" s="66" customFormat="1" x14ac:dyDescent="0.15">
      <c r="C722" s="69"/>
    </row>
    <row r="723" spans="3:3" s="66" customFormat="1" x14ac:dyDescent="0.15">
      <c r="C723" s="69"/>
    </row>
    <row r="724" spans="3:3" s="66" customFormat="1" x14ac:dyDescent="0.15">
      <c r="C724" s="69"/>
    </row>
    <row r="725" spans="3:3" s="66" customFormat="1" x14ac:dyDescent="0.15">
      <c r="C725" s="69"/>
    </row>
    <row r="726" spans="3:3" s="66" customFormat="1" x14ac:dyDescent="0.15">
      <c r="C726" s="69"/>
    </row>
    <row r="727" spans="3:3" s="66" customFormat="1" x14ac:dyDescent="0.15">
      <c r="C727" s="69"/>
    </row>
    <row r="728" spans="3:3" s="66" customFormat="1" x14ac:dyDescent="0.15">
      <c r="C728" s="69"/>
    </row>
    <row r="729" spans="3:3" s="66" customFormat="1" x14ac:dyDescent="0.15">
      <c r="C729" s="69"/>
    </row>
    <row r="730" spans="3:3" s="66" customFormat="1" x14ac:dyDescent="0.15">
      <c r="C730" s="69"/>
    </row>
    <row r="731" spans="3:3" s="66" customFormat="1" x14ac:dyDescent="0.15">
      <c r="C731" s="69"/>
    </row>
    <row r="732" spans="3:3" s="66" customFormat="1" x14ac:dyDescent="0.15">
      <c r="C732" s="69"/>
    </row>
    <row r="733" spans="3:3" s="66" customFormat="1" x14ac:dyDescent="0.15">
      <c r="C733" s="69"/>
    </row>
    <row r="734" spans="3:3" s="66" customFormat="1" x14ac:dyDescent="0.15">
      <c r="C734" s="69"/>
    </row>
    <row r="735" spans="3:3" s="66" customFormat="1" x14ac:dyDescent="0.15">
      <c r="C735" s="69"/>
    </row>
    <row r="736" spans="3:3" s="66" customFormat="1" x14ac:dyDescent="0.15">
      <c r="C736" s="69"/>
    </row>
    <row r="737" spans="3:3" s="66" customFormat="1" x14ac:dyDescent="0.15">
      <c r="C737" s="69"/>
    </row>
    <row r="738" spans="3:3" s="66" customFormat="1" x14ac:dyDescent="0.15">
      <c r="C738" s="69"/>
    </row>
    <row r="739" spans="3:3" s="66" customFormat="1" x14ac:dyDescent="0.15">
      <c r="C739" s="69"/>
    </row>
    <row r="740" spans="3:3" s="66" customFormat="1" x14ac:dyDescent="0.15">
      <c r="C740" s="69"/>
    </row>
    <row r="741" spans="3:3" s="66" customFormat="1" x14ac:dyDescent="0.15">
      <c r="C741" s="69"/>
    </row>
    <row r="742" spans="3:3" s="66" customFormat="1" x14ac:dyDescent="0.15">
      <c r="C742" s="69"/>
    </row>
    <row r="743" spans="3:3" s="66" customFormat="1" x14ac:dyDescent="0.15">
      <c r="C743" s="69"/>
    </row>
    <row r="744" spans="3:3" s="66" customFormat="1" x14ac:dyDescent="0.15">
      <c r="C744" s="69"/>
    </row>
    <row r="745" spans="3:3" s="66" customFormat="1" x14ac:dyDescent="0.15">
      <c r="C745" s="69"/>
    </row>
    <row r="746" spans="3:3" s="66" customFormat="1" x14ac:dyDescent="0.15">
      <c r="C746" s="69"/>
    </row>
    <row r="747" spans="3:3" s="66" customFormat="1" x14ac:dyDescent="0.15">
      <c r="C747" s="69"/>
    </row>
    <row r="748" spans="3:3" s="66" customFormat="1" x14ac:dyDescent="0.15">
      <c r="C748" s="69"/>
    </row>
    <row r="749" spans="3:3" s="66" customFormat="1" x14ac:dyDescent="0.15">
      <c r="C749" s="69"/>
    </row>
    <row r="750" spans="3:3" s="66" customFormat="1" x14ac:dyDescent="0.15">
      <c r="C750" s="69"/>
    </row>
    <row r="751" spans="3:3" s="66" customFormat="1" x14ac:dyDescent="0.15">
      <c r="C751" s="69"/>
    </row>
    <row r="752" spans="3:3" s="66" customFormat="1" x14ac:dyDescent="0.15">
      <c r="C752" s="69"/>
    </row>
    <row r="753" spans="3:3" s="66" customFormat="1" x14ac:dyDescent="0.15">
      <c r="C753" s="69"/>
    </row>
    <row r="754" spans="3:3" s="66" customFormat="1" x14ac:dyDescent="0.15">
      <c r="C754" s="69"/>
    </row>
    <row r="755" spans="3:3" s="66" customFormat="1" x14ac:dyDescent="0.15">
      <c r="C755" s="69"/>
    </row>
    <row r="756" spans="3:3" s="66" customFormat="1" x14ac:dyDescent="0.15">
      <c r="C756" s="69"/>
    </row>
    <row r="757" spans="3:3" s="66" customFormat="1" x14ac:dyDescent="0.15">
      <c r="C757" s="69"/>
    </row>
    <row r="758" spans="3:3" s="66" customFormat="1" x14ac:dyDescent="0.15">
      <c r="C758" s="69"/>
    </row>
    <row r="759" spans="3:3" s="66" customFormat="1" x14ac:dyDescent="0.15">
      <c r="C759" s="69"/>
    </row>
    <row r="760" spans="3:3" s="66" customFormat="1" x14ac:dyDescent="0.15">
      <c r="C760" s="69"/>
    </row>
    <row r="761" spans="3:3" s="66" customFormat="1" x14ac:dyDescent="0.15">
      <c r="C761" s="69"/>
    </row>
    <row r="762" spans="3:3" s="66" customFormat="1" x14ac:dyDescent="0.15">
      <c r="C762" s="69"/>
    </row>
    <row r="763" spans="3:3" s="66" customFormat="1" x14ac:dyDescent="0.15">
      <c r="C763" s="69"/>
    </row>
    <row r="764" spans="3:3" s="66" customFormat="1" x14ac:dyDescent="0.15">
      <c r="C764" s="69"/>
    </row>
    <row r="765" spans="3:3" s="66" customFormat="1" x14ac:dyDescent="0.15">
      <c r="C765" s="69"/>
    </row>
    <row r="766" spans="3:3" s="66" customFormat="1" x14ac:dyDescent="0.15">
      <c r="C766" s="69"/>
    </row>
    <row r="767" spans="3:3" s="66" customFormat="1" x14ac:dyDescent="0.15">
      <c r="C767" s="69"/>
    </row>
    <row r="768" spans="3:3" s="66" customFormat="1" x14ac:dyDescent="0.15">
      <c r="C768" s="69"/>
    </row>
    <row r="769" spans="3:3" s="66" customFormat="1" x14ac:dyDescent="0.15">
      <c r="C769" s="69"/>
    </row>
    <row r="770" spans="3:3" s="66" customFormat="1" x14ac:dyDescent="0.15">
      <c r="C770" s="69"/>
    </row>
    <row r="771" spans="3:3" s="66" customFormat="1" x14ac:dyDescent="0.15">
      <c r="C771" s="69"/>
    </row>
    <row r="772" spans="3:3" s="66" customFormat="1" x14ac:dyDescent="0.15">
      <c r="C772" s="69"/>
    </row>
    <row r="773" spans="3:3" s="66" customFormat="1" x14ac:dyDescent="0.15">
      <c r="C773" s="69"/>
    </row>
    <row r="774" spans="3:3" s="66" customFormat="1" x14ac:dyDescent="0.15">
      <c r="C774" s="69"/>
    </row>
    <row r="775" spans="3:3" s="66" customFormat="1" x14ac:dyDescent="0.15">
      <c r="C775" s="69"/>
    </row>
    <row r="776" spans="3:3" s="66" customFormat="1" x14ac:dyDescent="0.15">
      <c r="C776" s="69"/>
    </row>
    <row r="777" spans="3:3" s="66" customFormat="1" x14ac:dyDescent="0.15">
      <c r="C777" s="69"/>
    </row>
    <row r="778" spans="3:3" s="66" customFormat="1" x14ac:dyDescent="0.15">
      <c r="C778" s="69"/>
    </row>
    <row r="779" spans="3:3" s="66" customFormat="1" x14ac:dyDescent="0.15">
      <c r="C779" s="69"/>
    </row>
    <row r="780" spans="3:3" s="66" customFormat="1" x14ac:dyDescent="0.15">
      <c r="C780" s="69"/>
    </row>
    <row r="781" spans="3:3" s="66" customFormat="1" x14ac:dyDescent="0.15">
      <c r="C781" s="69"/>
    </row>
    <row r="782" spans="3:3" s="66" customFormat="1" x14ac:dyDescent="0.15">
      <c r="C782" s="69"/>
    </row>
    <row r="783" spans="3:3" s="66" customFormat="1" x14ac:dyDescent="0.15">
      <c r="C783" s="69"/>
    </row>
    <row r="784" spans="3:3" s="66" customFormat="1" x14ac:dyDescent="0.15">
      <c r="C784" s="69"/>
    </row>
    <row r="785" spans="3:3" s="66" customFormat="1" x14ac:dyDescent="0.15">
      <c r="C785" s="69"/>
    </row>
    <row r="786" spans="3:3" s="66" customFormat="1" x14ac:dyDescent="0.15">
      <c r="C786" s="69"/>
    </row>
    <row r="787" spans="3:3" s="66" customFormat="1" x14ac:dyDescent="0.15">
      <c r="C787" s="69"/>
    </row>
    <row r="788" spans="3:3" s="66" customFormat="1" x14ac:dyDescent="0.15">
      <c r="C788" s="69"/>
    </row>
    <row r="789" spans="3:3" s="66" customFormat="1" x14ac:dyDescent="0.15">
      <c r="C789" s="69"/>
    </row>
    <row r="790" spans="3:3" s="66" customFormat="1" x14ac:dyDescent="0.15">
      <c r="C790" s="69"/>
    </row>
    <row r="791" spans="3:3" s="66" customFormat="1" x14ac:dyDescent="0.15">
      <c r="C791" s="69"/>
    </row>
    <row r="792" spans="3:3" s="66" customFormat="1" x14ac:dyDescent="0.15">
      <c r="C792" s="69"/>
    </row>
    <row r="793" spans="3:3" s="66" customFormat="1" x14ac:dyDescent="0.15">
      <c r="C793" s="69"/>
    </row>
    <row r="794" spans="3:3" s="66" customFormat="1" x14ac:dyDescent="0.15">
      <c r="C794" s="69"/>
    </row>
    <row r="795" spans="3:3" s="66" customFormat="1" x14ac:dyDescent="0.15">
      <c r="C795" s="69"/>
    </row>
    <row r="796" spans="3:3" s="66" customFormat="1" x14ac:dyDescent="0.15">
      <c r="C796" s="69"/>
    </row>
    <row r="797" spans="3:3" s="66" customFormat="1" x14ac:dyDescent="0.15">
      <c r="C797" s="69"/>
    </row>
    <row r="798" spans="3:3" s="66" customFormat="1" x14ac:dyDescent="0.15">
      <c r="C798" s="69"/>
    </row>
    <row r="799" spans="3:3" s="66" customFormat="1" x14ac:dyDescent="0.15">
      <c r="C799" s="69"/>
    </row>
    <row r="800" spans="3:3" s="66" customFormat="1" x14ac:dyDescent="0.15">
      <c r="C800" s="69"/>
    </row>
    <row r="801" spans="3:3" s="66" customFormat="1" x14ac:dyDescent="0.15">
      <c r="C801" s="69"/>
    </row>
    <row r="802" spans="3:3" s="66" customFormat="1" x14ac:dyDescent="0.15">
      <c r="C802" s="69"/>
    </row>
    <row r="803" spans="3:3" s="66" customFormat="1" x14ac:dyDescent="0.15">
      <c r="C803" s="69"/>
    </row>
    <row r="804" spans="3:3" s="66" customFormat="1" x14ac:dyDescent="0.15">
      <c r="C804" s="69"/>
    </row>
    <row r="805" spans="3:3" s="66" customFormat="1" x14ac:dyDescent="0.15">
      <c r="C805" s="69"/>
    </row>
    <row r="806" spans="3:3" s="66" customFormat="1" x14ac:dyDescent="0.15">
      <c r="C806" s="69"/>
    </row>
    <row r="807" spans="3:3" s="66" customFormat="1" x14ac:dyDescent="0.15">
      <c r="C807" s="69"/>
    </row>
    <row r="808" spans="3:3" s="66" customFormat="1" x14ac:dyDescent="0.15">
      <c r="C808" s="69"/>
    </row>
    <row r="809" spans="3:3" s="66" customFormat="1" x14ac:dyDescent="0.15">
      <c r="C809" s="69"/>
    </row>
    <row r="810" spans="3:3" s="66" customFormat="1" x14ac:dyDescent="0.15">
      <c r="C810" s="69"/>
    </row>
    <row r="811" spans="3:3" s="66" customFormat="1" x14ac:dyDescent="0.15">
      <c r="C811" s="69"/>
    </row>
    <row r="812" spans="3:3" s="66" customFormat="1" x14ac:dyDescent="0.15">
      <c r="C812" s="69"/>
    </row>
    <row r="813" spans="3:3" s="66" customFormat="1" x14ac:dyDescent="0.15">
      <c r="C813" s="69"/>
    </row>
    <row r="814" spans="3:3" s="66" customFormat="1" x14ac:dyDescent="0.15">
      <c r="C814" s="69"/>
    </row>
    <row r="815" spans="3:3" s="66" customFormat="1" x14ac:dyDescent="0.15">
      <c r="C815" s="69"/>
    </row>
    <row r="816" spans="3:3" s="66" customFormat="1" x14ac:dyDescent="0.15">
      <c r="C816" s="69"/>
    </row>
    <row r="817" spans="3:3" s="66" customFormat="1" x14ac:dyDescent="0.15">
      <c r="C817" s="69"/>
    </row>
    <row r="818" spans="3:3" s="66" customFormat="1" x14ac:dyDescent="0.15">
      <c r="C818" s="69"/>
    </row>
    <row r="819" spans="3:3" s="66" customFormat="1" x14ac:dyDescent="0.15">
      <c r="C819" s="69"/>
    </row>
    <row r="820" spans="3:3" s="66" customFormat="1" x14ac:dyDescent="0.15">
      <c r="C820" s="69"/>
    </row>
    <row r="821" spans="3:3" s="66" customFormat="1" x14ac:dyDescent="0.15">
      <c r="C821" s="69"/>
    </row>
    <row r="822" spans="3:3" s="66" customFormat="1" x14ac:dyDescent="0.15">
      <c r="C822" s="69"/>
    </row>
    <row r="823" spans="3:3" s="66" customFormat="1" x14ac:dyDescent="0.15">
      <c r="C823" s="69"/>
    </row>
    <row r="824" spans="3:3" s="66" customFormat="1" x14ac:dyDescent="0.15">
      <c r="C824" s="69"/>
    </row>
    <row r="825" spans="3:3" s="66" customFormat="1" x14ac:dyDescent="0.15">
      <c r="C825" s="69"/>
    </row>
    <row r="826" spans="3:3" s="66" customFormat="1" x14ac:dyDescent="0.15">
      <c r="C826" s="69"/>
    </row>
    <row r="827" spans="3:3" s="66" customFormat="1" x14ac:dyDescent="0.15">
      <c r="C827" s="69"/>
    </row>
    <row r="828" spans="3:3" s="66" customFormat="1" x14ac:dyDescent="0.15">
      <c r="C828" s="69"/>
    </row>
    <row r="829" spans="3:3" s="66" customFormat="1" x14ac:dyDescent="0.15">
      <c r="C829" s="69"/>
    </row>
    <row r="830" spans="3:3" s="66" customFormat="1" x14ac:dyDescent="0.15">
      <c r="C830" s="69"/>
    </row>
    <row r="831" spans="3:3" s="66" customFormat="1" x14ac:dyDescent="0.15">
      <c r="C831" s="69"/>
    </row>
    <row r="832" spans="3:3" s="66" customFormat="1" x14ac:dyDescent="0.15">
      <c r="C832" s="69"/>
    </row>
    <row r="833" spans="3:3" s="66" customFormat="1" x14ac:dyDescent="0.15">
      <c r="C833" s="69"/>
    </row>
    <row r="834" spans="3:3" s="66" customFormat="1" x14ac:dyDescent="0.15">
      <c r="C834" s="69"/>
    </row>
    <row r="835" spans="3:3" s="66" customFormat="1" x14ac:dyDescent="0.15">
      <c r="C835" s="69"/>
    </row>
    <row r="836" spans="3:3" s="66" customFormat="1" x14ac:dyDescent="0.15">
      <c r="C836" s="69"/>
    </row>
    <row r="837" spans="3:3" s="66" customFormat="1" x14ac:dyDescent="0.15">
      <c r="C837" s="69"/>
    </row>
    <row r="838" spans="3:3" s="66" customFormat="1" x14ac:dyDescent="0.15">
      <c r="C838" s="69"/>
    </row>
    <row r="839" spans="3:3" s="66" customFormat="1" x14ac:dyDescent="0.15">
      <c r="C839" s="69"/>
    </row>
    <row r="840" spans="3:3" s="66" customFormat="1" x14ac:dyDescent="0.15">
      <c r="C840" s="69"/>
    </row>
    <row r="841" spans="3:3" s="66" customFormat="1" x14ac:dyDescent="0.15">
      <c r="C841" s="69"/>
    </row>
    <row r="842" spans="3:3" s="66" customFormat="1" x14ac:dyDescent="0.15">
      <c r="C842" s="69"/>
    </row>
    <row r="843" spans="3:3" s="66" customFormat="1" x14ac:dyDescent="0.15">
      <c r="C843" s="69"/>
    </row>
    <row r="844" spans="3:3" s="66" customFormat="1" x14ac:dyDescent="0.15">
      <c r="C844" s="69"/>
    </row>
    <row r="845" spans="3:3" s="66" customFormat="1" x14ac:dyDescent="0.15">
      <c r="C845" s="69"/>
    </row>
    <row r="846" spans="3:3" s="66" customFormat="1" x14ac:dyDescent="0.15">
      <c r="C846" s="69"/>
    </row>
    <row r="847" spans="3:3" s="66" customFormat="1" x14ac:dyDescent="0.15">
      <c r="C847" s="69"/>
    </row>
    <row r="848" spans="3:3" s="66" customFormat="1" x14ac:dyDescent="0.15">
      <c r="C848" s="69"/>
    </row>
    <row r="849" spans="3:3" s="66" customFormat="1" x14ac:dyDescent="0.15">
      <c r="C849" s="69"/>
    </row>
    <row r="850" spans="3:3" s="66" customFormat="1" x14ac:dyDescent="0.15">
      <c r="C850" s="69"/>
    </row>
    <row r="851" spans="3:3" s="66" customFormat="1" x14ac:dyDescent="0.15">
      <c r="C851" s="69"/>
    </row>
    <row r="852" spans="3:3" s="66" customFormat="1" x14ac:dyDescent="0.15">
      <c r="C852" s="69"/>
    </row>
    <row r="853" spans="3:3" s="66" customFormat="1" x14ac:dyDescent="0.15">
      <c r="C853" s="69"/>
    </row>
    <row r="854" spans="3:3" s="66" customFormat="1" x14ac:dyDescent="0.15">
      <c r="C854" s="69"/>
    </row>
    <row r="855" spans="3:3" s="66" customFormat="1" x14ac:dyDescent="0.15">
      <c r="C855" s="69"/>
    </row>
    <row r="856" spans="3:3" s="66" customFormat="1" x14ac:dyDescent="0.15">
      <c r="C856" s="69"/>
    </row>
    <row r="857" spans="3:3" s="66" customFormat="1" x14ac:dyDescent="0.15">
      <c r="C857" s="69"/>
    </row>
    <row r="858" spans="3:3" s="66" customFormat="1" x14ac:dyDescent="0.15">
      <c r="C858" s="69"/>
    </row>
    <row r="859" spans="3:3" s="66" customFormat="1" x14ac:dyDescent="0.15">
      <c r="C859" s="69"/>
    </row>
    <row r="860" spans="3:3" s="66" customFormat="1" x14ac:dyDescent="0.15">
      <c r="C860" s="69"/>
    </row>
    <row r="861" spans="3:3" s="66" customFormat="1" x14ac:dyDescent="0.15">
      <c r="C861" s="69"/>
    </row>
    <row r="862" spans="3:3" s="66" customFormat="1" x14ac:dyDescent="0.15">
      <c r="C862" s="69"/>
    </row>
    <row r="863" spans="3:3" s="66" customFormat="1" x14ac:dyDescent="0.15">
      <c r="C863" s="69"/>
    </row>
    <row r="864" spans="3:3" s="66" customFormat="1" x14ac:dyDescent="0.15">
      <c r="C864" s="69"/>
    </row>
    <row r="865" spans="3:3" s="66" customFormat="1" x14ac:dyDescent="0.15">
      <c r="C865" s="69"/>
    </row>
    <row r="866" spans="3:3" s="66" customFormat="1" x14ac:dyDescent="0.15">
      <c r="C866" s="69"/>
    </row>
    <row r="867" spans="3:3" s="66" customFormat="1" x14ac:dyDescent="0.15">
      <c r="C867" s="69"/>
    </row>
    <row r="868" spans="3:3" s="66" customFormat="1" x14ac:dyDescent="0.15">
      <c r="C868" s="69"/>
    </row>
    <row r="869" spans="3:3" s="66" customFormat="1" x14ac:dyDescent="0.15">
      <c r="C869" s="69"/>
    </row>
    <row r="870" spans="3:3" s="66" customFormat="1" x14ac:dyDescent="0.15">
      <c r="C870" s="69"/>
    </row>
    <row r="871" spans="3:3" s="66" customFormat="1" x14ac:dyDescent="0.15">
      <c r="C871" s="69"/>
    </row>
    <row r="872" spans="3:3" s="66" customFormat="1" x14ac:dyDescent="0.15">
      <c r="C872" s="69"/>
    </row>
    <row r="873" spans="3:3" s="66" customFormat="1" x14ac:dyDescent="0.15">
      <c r="C873" s="69"/>
    </row>
    <row r="874" spans="3:3" s="66" customFormat="1" x14ac:dyDescent="0.15">
      <c r="C874" s="69"/>
    </row>
    <row r="875" spans="3:3" s="66" customFormat="1" x14ac:dyDescent="0.15">
      <c r="C875" s="69"/>
    </row>
    <row r="876" spans="3:3" s="66" customFormat="1" x14ac:dyDescent="0.15">
      <c r="C876" s="69"/>
    </row>
    <row r="877" spans="3:3" s="66" customFormat="1" x14ac:dyDescent="0.15">
      <c r="C877" s="69"/>
    </row>
    <row r="878" spans="3:3" s="66" customFormat="1" x14ac:dyDescent="0.15">
      <c r="C878" s="69"/>
    </row>
    <row r="879" spans="3:3" s="66" customFormat="1" x14ac:dyDescent="0.15">
      <c r="C879" s="69"/>
    </row>
    <row r="880" spans="3:3" s="66" customFormat="1" x14ac:dyDescent="0.15">
      <c r="C880" s="69"/>
    </row>
    <row r="881" spans="3:3" s="66" customFormat="1" x14ac:dyDescent="0.15">
      <c r="C881" s="69"/>
    </row>
    <row r="882" spans="3:3" s="66" customFormat="1" x14ac:dyDescent="0.15">
      <c r="C882" s="69"/>
    </row>
    <row r="883" spans="3:3" s="66" customFormat="1" x14ac:dyDescent="0.15">
      <c r="C883" s="69"/>
    </row>
    <row r="884" spans="3:3" s="66" customFormat="1" x14ac:dyDescent="0.15">
      <c r="C884" s="69"/>
    </row>
    <row r="885" spans="3:3" s="66" customFormat="1" x14ac:dyDescent="0.15">
      <c r="C885" s="69"/>
    </row>
    <row r="886" spans="3:3" s="66" customFormat="1" x14ac:dyDescent="0.15">
      <c r="C886" s="69"/>
    </row>
    <row r="887" spans="3:3" s="66" customFormat="1" x14ac:dyDescent="0.15">
      <c r="C887" s="69"/>
    </row>
    <row r="888" spans="3:3" s="66" customFormat="1" x14ac:dyDescent="0.15">
      <c r="C888" s="69"/>
    </row>
    <row r="889" spans="3:3" s="66" customFormat="1" x14ac:dyDescent="0.15">
      <c r="C889" s="69"/>
    </row>
    <row r="890" spans="3:3" s="66" customFormat="1" x14ac:dyDescent="0.15">
      <c r="C890" s="69"/>
    </row>
    <row r="891" spans="3:3" s="66" customFormat="1" x14ac:dyDescent="0.15">
      <c r="C891" s="69"/>
    </row>
    <row r="892" spans="3:3" s="66" customFormat="1" x14ac:dyDescent="0.15">
      <c r="C892" s="69"/>
    </row>
    <row r="893" spans="3:3" s="66" customFormat="1" x14ac:dyDescent="0.15">
      <c r="C893" s="69"/>
    </row>
    <row r="894" spans="3:3" s="66" customFormat="1" x14ac:dyDescent="0.15">
      <c r="C894" s="69"/>
    </row>
    <row r="895" spans="3:3" s="66" customFormat="1" x14ac:dyDescent="0.15">
      <c r="C895" s="69"/>
    </row>
    <row r="896" spans="3:3" s="66" customFormat="1" x14ac:dyDescent="0.15">
      <c r="C896" s="69"/>
    </row>
    <row r="897" spans="3:3" s="66" customFormat="1" x14ac:dyDescent="0.15">
      <c r="C897" s="69"/>
    </row>
    <row r="898" spans="3:3" s="66" customFormat="1" x14ac:dyDescent="0.15">
      <c r="C898" s="69"/>
    </row>
    <row r="899" spans="3:3" s="66" customFormat="1" x14ac:dyDescent="0.15">
      <c r="C899" s="69"/>
    </row>
    <row r="900" spans="3:3" s="66" customFormat="1" x14ac:dyDescent="0.15">
      <c r="C900" s="69"/>
    </row>
    <row r="901" spans="3:3" s="66" customFormat="1" x14ac:dyDescent="0.15">
      <c r="C901" s="69"/>
    </row>
    <row r="902" spans="3:3" s="66" customFormat="1" x14ac:dyDescent="0.15">
      <c r="C902" s="69"/>
    </row>
    <row r="903" spans="3:3" s="66" customFormat="1" x14ac:dyDescent="0.15">
      <c r="C903" s="69"/>
    </row>
    <row r="904" spans="3:3" s="66" customFormat="1" x14ac:dyDescent="0.15">
      <c r="C904" s="69"/>
    </row>
    <row r="905" spans="3:3" s="66" customFormat="1" x14ac:dyDescent="0.15">
      <c r="C905" s="69"/>
    </row>
    <row r="906" spans="3:3" s="66" customFormat="1" x14ac:dyDescent="0.15">
      <c r="C906" s="69"/>
    </row>
    <row r="907" spans="3:3" s="66" customFormat="1" x14ac:dyDescent="0.15">
      <c r="C907" s="69"/>
    </row>
    <row r="908" spans="3:3" s="66" customFormat="1" x14ac:dyDescent="0.15">
      <c r="C908" s="69"/>
    </row>
    <row r="909" spans="3:3" s="66" customFormat="1" x14ac:dyDescent="0.15">
      <c r="C909" s="69"/>
    </row>
    <row r="910" spans="3:3" s="66" customFormat="1" x14ac:dyDescent="0.15">
      <c r="C910" s="69"/>
    </row>
    <row r="911" spans="3:3" s="66" customFormat="1" x14ac:dyDescent="0.15">
      <c r="C911" s="69"/>
    </row>
    <row r="912" spans="3:3" s="66" customFormat="1" x14ac:dyDescent="0.15">
      <c r="C912" s="69"/>
    </row>
    <row r="913" spans="3:3" s="66" customFormat="1" x14ac:dyDescent="0.15">
      <c r="C913" s="69"/>
    </row>
    <row r="914" spans="3:3" s="66" customFormat="1" x14ac:dyDescent="0.15">
      <c r="C914" s="69"/>
    </row>
    <row r="915" spans="3:3" s="66" customFormat="1" x14ac:dyDescent="0.15">
      <c r="C915" s="69"/>
    </row>
    <row r="916" spans="3:3" s="66" customFormat="1" x14ac:dyDescent="0.15">
      <c r="C916" s="69"/>
    </row>
    <row r="917" spans="3:3" s="66" customFormat="1" x14ac:dyDescent="0.15">
      <c r="C917" s="69"/>
    </row>
    <row r="918" spans="3:3" s="66" customFormat="1" x14ac:dyDescent="0.15">
      <c r="C918" s="69"/>
    </row>
    <row r="919" spans="3:3" s="66" customFormat="1" x14ac:dyDescent="0.15">
      <c r="C919" s="69"/>
    </row>
    <row r="920" spans="3:3" s="66" customFormat="1" x14ac:dyDescent="0.15">
      <c r="C920" s="69"/>
    </row>
    <row r="921" spans="3:3" s="66" customFormat="1" x14ac:dyDescent="0.15">
      <c r="C921" s="69"/>
    </row>
    <row r="922" spans="3:3" s="66" customFormat="1" x14ac:dyDescent="0.15">
      <c r="C922" s="69"/>
    </row>
    <row r="923" spans="3:3" s="66" customFormat="1" x14ac:dyDescent="0.15">
      <c r="C923" s="69"/>
    </row>
    <row r="924" spans="3:3" s="66" customFormat="1" x14ac:dyDescent="0.15">
      <c r="C924" s="69"/>
    </row>
    <row r="925" spans="3:3" s="66" customFormat="1" x14ac:dyDescent="0.15">
      <c r="C925" s="69"/>
    </row>
    <row r="926" spans="3:3" s="66" customFormat="1" x14ac:dyDescent="0.15">
      <c r="C926" s="69"/>
    </row>
    <row r="927" spans="3:3" s="66" customFormat="1" x14ac:dyDescent="0.15">
      <c r="C927" s="69"/>
    </row>
    <row r="928" spans="3:3" s="66" customFormat="1" x14ac:dyDescent="0.15">
      <c r="C928" s="69"/>
    </row>
    <row r="929" spans="3:3" s="66" customFormat="1" x14ac:dyDescent="0.15">
      <c r="C929" s="69"/>
    </row>
    <row r="930" spans="3:3" s="66" customFormat="1" x14ac:dyDescent="0.15">
      <c r="C930" s="69"/>
    </row>
    <row r="931" spans="3:3" s="66" customFormat="1" x14ac:dyDescent="0.15">
      <c r="C931" s="69"/>
    </row>
    <row r="932" spans="3:3" s="66" customFormat="1" x14ac:dyDescent="0.15">
      <c r="C932" s="69"/>
    </row>
    <row r="933" spans="3:3" s="66" customFormat="1" x14ac:dyDescent="0.15">
      <c r="C933" s="69"/>
    </row>
    <row r="934" spans="3:3" s="66" customFormat="1" x14ac:dyDescent="0.15">
      <c r="C934" s="69"/>
    </row>
    <row r="935" spans="3:3" s="66" customFormat="1" x14ac:dyDescent="0.15">
      <c r="C935" s="69"/>
    </row>
    <row r="936" spans="3:3" s="66" customFormat="1" x14ac:dyDescent="0.15">
      <c r="C936" s="69"/>
    </row>
    <row r="937" spans="3:3" s="66" customFormat="1" x14ac:dyDescent="0.15">
      <c r="C937" s="69"/>
    </row>
    <row r="938" spans="3:3" s="66" customFormat="1" x14ac:dyDescent="0.15">
      <c r="C938" s="69"/>
    </row>
    <row r="939" spans="3:3" s="66" customFormat="1" x14ac:dyDescent="0.15">
      <c r="C939" s="69"/>
    </row>
    <row r="940" spans="3:3" s="66" customFormat="1" x14ac:dyDescent="0.15">
      <c r="C940" s="69"/>
    </row>
    <row r="941" spans="3:3" s="66" customFormat="1" x14ac:dyDescent="0.15">
      <c r="C941" s="69"/>
    </row>
    <row r="942" spans="3:3" s="66" customFormat="1" x14ac:dyDescent="0.15">
      <c r="C942" s="69"/>
    </row>
    <row r="943" spans="3:3" s="66" customFormat="1" x14ac:dyDescent="0.15">
      <c r="C943" s="69"/>
    </row>
    <row r="944" spans="3:3" s="66" customFormat="1" x14ac:dyDescent="0.15">
      <c r="C944" s="69"/>
    </row>
    <row r="945" spans="3:3" s="66" customFormat="1" x14ac:dyDescent="0.15">
      <c r="C945" s="69"/>
    </row>
    <row r="946" spans="3:3" s="66" customFormat="1" x14ac:dyDescent="0.15">
      <c r="C946" s="69"/>
    </row>
    <row r="947" spans="3:3" s="66" customFormat="1" x14ac:dyDescent="0.15">
      <c r="C947" s="69"/>
    </row>
    <row r="948" spans="3:3" s="66" customFormat="1" x14ac:dyDescent="0.15">
      <c r="C948" s="69"/>
    </row>
    <row r="949" spans="3:3" s="66" customFormat="1" x14ac:dyDescent="0.15">
      <c r="C949" s="69"/>
    </row>
    <row r="950" spans="3:3" s="66" customFormat="1" x14ac:dyDescent="0.15">
      <c r="C950" s="69"/>
    </row>
    <row r="951" spans="3:3" s="66" customFormat="1" x14ac:dyDescent="0.15">
      <c r="C951" s="69"/>
    </row>
    <row r="952" spans="3:3" s="66" customFormat="1" x14ac:dyDescent="0.15">
      <c r="C952" s="69"/>
    </row>
    <row r="953" spans="3:3" s="66" customFormat="1" x14ac:dyDescent="0.15">
      <c r="C953" s="69"/>
    </row>
    <row r="954" spans="3:3" s="66" customFormat="1" x14ac:dyDescent="0.15">
      <c r="C954" s="69"/>
    </row>
    <row r="955" spans="3:3" s="66" customFormat="1" x14ac:dyDescent="0.15">
      <c r="C955" s="69"/>
    </row>
    <row r="956" spans="3:3" s="66" customFormat="1" x14ac:dyDescent="0.15">
      <c r="C956" s="69"/>
    </row>
    <row r="957" spans="3:3" s="66" customFormat="1" x14ac:dyDescent="0.15">
      <c r="C957" s="69"/>
    </row>
    <row r="958" spans="3:3" s="66" customFormat="1" x14ac:dyDescent="0.15">
      <c r="C958" s="69"/>
    </row>
    <row r="959" spans="3:3" s="66" customFormat="1" x14ac:dyDescent="0.15">
      <c r="C959" s="69"/>
    </row>
    <row r="960" spans="3:3" s="66" customFormat="1" x14ac:dyDescent="0.15">
      <c r="C960" s="69"/>
    </row>
    <row r="961" spans="3:3" s="66" customFormat="1" x14ac:dyDescent="0.15">
      <c r="C961" s="69"/>
    </row>
    <row r="962" spans="3:3" s="66" customFormat="1" x14ac:dyDescent="0.15">
      <c r="C962" s="69"/>
    </row>
    <row r="963" spans="3:3" s="66" customFormat="1" x14ac:dyDescent="0.15">
      <c r="C963" s="69"/>
    </row>
    <row r="964" spans="3:3" s="66" customFormat="1" x14ac:dyDescent="0.15">
      <c r="C964" s="69"/>
    </row>
    <row r="965" spans="3:3" s="66" customFormat="1" x14ac:dyDescent="0.15">
      <c r="C965" s="69"/>
    </row>
    <row r="966" spans="3:3" s="66" customFormat="1" x14ac:dyDescent="0.15">
      <c r="C966" s="69"/>
    </row>
    <row r="967" spans="3:3" s="66" customFormat="1" x14ac:dyDescent="0.15">
      <c r="C967" s="69"/>
    </row>
    <row r="968" spans="3:3" s="66" customFormat="1" x14ac:dyDescent="0.15">
      <c r="C968" s="69"/>
    </row>
    <row r="969" spans="3:3" s="66" customFormat="1" x14ac:dyDescent="0.15">
      <c r="C969" s="69"/>
    </row>
    <row r="970" spans="3:3" s="66" customFormat="1" x14ac:dyDescent="0.15">
      <c r="C970" s="69"/>
    </row>
    <row r="971" spans="3:3" s="66" customFormat="1" x14ac:dyDescent="0.15">
      <c r="C971" s="69"/>
    </row>
    <row r="972" spans="3:3" s="66" customFormat="1" x14ac:dyDescent="0.15">
      <c r="C972" s="69"/>
    </row>
    <row r="973" spans="3:3" s="66" customFormat="1" x14ac:dyDescent="0.15">
      <c r="C973" s="69"/>
    </row>
    <row r="974" spans="3:3" s="66" customFormat="1" x14ac:dyDescent="0.15">
      <c r="C974" s="69"/>
    </row>
    <row r="975" spans="3:3" s="66" customFormat="1" x14ac:dyDescent="0.15">
      <c r="C975" s="69"/>
    </row>
    <row r="976" spans="3:3" s="66" customFormat="1" x14ac:dyDescent="0.15">
      <c r="C976" s="69"/>
    </row>
    <row r="977" spans="3:3" s="66" customFormat="1" x14ac:dyDescent="0.15">
      <c r="C977" s="69"/>
    </row>
    <row r="978" spans="3:3" s="66" customFormat="1" x14ac:dyDescent="0.15">
      <c r="C978" s="69"/>
    </row>
    <row r="979" spans="3:3" s="66" customFormat="1" x14ac:dyDescent="0.15">
      <c r="C979" s="69"/>
    </row>
    <row r="980" spans="3:3" s="66" customFormat="1" x14ac:dyDescent="0.15">
      <c r="C980" s="69"/>
    </row>
    <row r="981" spans="3:3" s="66" customFormat="1" x14ac:dyDescent="0.15">
      <c r="C981" s="69"/>
    </row>
    <row r="982" spans="3:3" s="66" customFormat="1" x14ac:dyDescent="0.15">
      <c r="C982" s="69"/>
    </row>
    <row r="983" spans="3:3" s="66" customFormat="1" x14ac:dyDescent="0.15">
      <c r="C983" s="69"/>
    </row>
    <row r="984" spans="3:3" s="66" customFormat="1" x14ac:dyDescent="0.15">
      <c r="C984" s="69"/>
    </row>
    <row r="985" spans="3:3" s="66" customFormat="1" x14ac:dyDescent="0.15">
      <c r="C985" s="69"/>
    </row>
    <row r="986" spans="3:3" s="66" customFormat="1" x14ac:dyDescent="0.15">
      <c r="C986" s="69"/>
    </row>
    <row r="987" spans="3:3" s="66" customFormat="1" x14ac:dyDescent="0.15">
      <c r="C987" s="69"/>
    </row>
    <row r="988" spans="3:3" s="66" customFormat="1" x14ac:dyDescent="0.15">
      <c r="C988" s="69"/>
    </row>
    <row r="989" spans="3:3" s="66" customFormat="1" x14ac:dyDescent="0.15">
      <c r="C989" s="69"/>
    </row>
    <row r="990" spans="3:3" s="66" customFormat="1" x14ac:dyDescent="0.15">
      <c r="C990" s="69"/>
    </row>
    <row r="991" spans="3:3" s="66" customFormat="1" x14ac:dyDescent="0.15">
      <c r="C991" s="69"/>
    </row>
    <row r="992" spans="3:3" s="66" customFormat="1" x14ac:dyDescent="0.15">
      <c r="C992" s="69"/>
    </row>
    <row r="993" spans="3:3" s="66" customFormat="1" x14ac:dyDescent="0.15">
      <c r="C993" s="69"/>
    </row>
    <row r="994" spans="3:3" s="66" customFormat="1" x14ac:dyDescent="0.15">
      <c r="C994" s="69"/>
    </row>
    <row r="995" spans="3:3" s="66" customFormat="1" x14ac:dyDescent="0.15">
      <c r="C995" s="69"/>
    </row>
    <row r="996" spans="3:3" s="66" customFormat="1" x14ac:dyDescent="0.15">
      <c r="C996" s="69"/>
    </row>
    <row r="997" spans="3:3" s="66" customFormat="1" x14ac:dyDescent="0.15">
      <c r="C997" s="69"/>
    </row>
    <row r="998" spans="3:3" s="66" customFormat="1" x14ac:dyDescent="0.15">
      <c r="C998" s="69"/>
    </row>
    <row r="999" spans="3:3" s="66" customFormat="1" x14ac:dyDescent="0.15">
      <c r="C999" s="69"/>
    </row>
    <row r="1000" spans="3:3" s="66" customFormat="1" x14ac:dyDescent="0.15">
      <c r="C1000" s="69"/>
    </row>
    <row r="1001" spans="3:3" s="66" customFormat="1" x14ac:dyDescent="0.15">
      <c r="C1001" s="69"/>
    </row>
    <row r="1002" spans="3:3" s="66" customFormat="1" x14ac:dyDescent="0.15">
      <c r="C1002" s="69"/>
    </row>
    <row r="1003" spans="3:3" s="66" customFormat="1" x14ac:dyDescent="0.15">
      <c r="C1003" s="69"/>
    </row>
    <row r="1004" spans="3:3" s="66" customFormat="1" x14ac:dyDescent="0.15">
      <c r="C1004" s="69"/>
    </row>
    <row r="1005" spans="3:3" s="66" customFormat="1" x14ac:dyDescent="0.15">
      <c r="C1005" s="69"/>
    </row>
    <row r="1006" spans="3:3" s="66" customFormat="1" x14ac:dyDescent="0.15">
      <c r="C1006" s="69"/>
    </row>
    <row r="1007" spans="3:3" s="66" customFormat="1" x14ac:dyDescent="0.15">
      <c r="C1007" s="69"/>
    </row>
    <row r="1008" spans="3:3" s="66" customFormat="1" x14ac:dyDescent="0.15">
      <c r="C1008" s="69"/>
    </row>
    <row r="1009" spans="3:3" s="66" customFormat="1" x14ac:dyDescent="0.15">
      <c r="C1009" s="69"/>
    </row>
    <row r="1010" spans="3:3" s="66" customFormat="1" x14ac:dyDescent="0.15">
      <c r="C1010" s="69"/>
    </row>
    <row r="1011" spans="3:3" s="66" customFormat="1" x14ac:dyDescent="0.15">
      <c r="C1011" s="69"/>
    </row>
    <row r="1012" spans="3:3" s="66" customFormat="1" x14ac:dyDescent="0.15">
      <c r="C1012" s="69"/>
    </row>
    <row r="1013" spans="3:3" s="66" customFormat="1" x14ac:dyDescent="0.15">
      <c r="C1013" s="69"/>
    </row>
    <row r="1014" spans="3:3" s="66" customFormat="1" x14ac:dyDescent="0.15">
      <c r="C1014" s="69"/>
    </row>
    <row r="1015" spans="3:3" s="66" customFormat="1" x14ac:dyDescent="0.15">
      <c r="C1015" s="69"/>
    </row>
    <row r="1016" spans="3:3" s="66" customFormat="1" x14ac:dyDescent="0.15">
      <c r="C1016" s="69"/>
    </row>
    <row r="1017" spans="3:3" s="66" customFormat="1" x14ac:dyDescent="0.15">
      <c r="C1017" s="69"/>
    </row>
    <row r="1018" spans="3:3" s="66" customFormat="1" x14ac:dyDescent="0.15">
      <c r="C1018" s="69"/>
    </row>
    <row r="1019" spans="3:3" s="66" customFormat="1" x14ac:dyDescent="0.15">
      <c r="C1019" s="69"/>
    </row>
    <row r="1020" spans="3:3" s="66" customFormat="1" x14ac:dyDescent="0.15">
      <c r="C1020" s="69"/>
    </row>
    <row r="1021" spans="3:3" s="66" customFormat="1" x14ac:dyDescent="0.15">
      <c r="C1021" s="69"/>
    </row>
    <row r="1022" spans="3:3" s="66" customFormat="1" x14ac:dyDescent="0.15">
      <c r="C1022" s="69"/>
    </row>
    <row r="1023" spans="3:3" s="66" customFormat="1" x14ac:dyDescent="0.15">
      <c r="C1023" s="69"/>
    </row>
    <row r="1024" spans="3:3" s="66" customFormat="1" x14ac:dyDescent="0.15">
      <c r="C1024" s="69"/>
    </row>
    <row r="1025" spans="3:3" s="66" customFormat="1" x14ac:dyDescent="0.15">
      <c r="C1025" s="69"/>
    </row>
    <row r="1026" spans="3:3" s="66" customFormat="1" x14ac:dyDescent="0.15">
      <c r="C1026" s="69"/>
    </row>
    <row r="1027" spans="3:3" s="66" customFormat="1" x14ac:dyDescent="0.15">
      <c r="C1027" s="69"/>
    </row>
    <row r="1028" spans="3:3" s="66" customFormat="1" x14ac:dyDescent="0.15">
      <c r="C1028" s="69"/>
    </row>
    <row r="1029" spans="3:3" s="66" customFormat="1" x14ac:dyDescent="0.15">
      <c r="C1029" s="69"/>
    </row>
    <row r="1030" spans="3:3" s="66" customFormat="1" x14ac:dyDescent="0.15">
      <c r="C1030" s="69"/>
    </row>
    <row r="1031" spans="3:3" s="66" customFormat="1" x14ac:dyDescent="0.15">
      <c r="C1031" s="69"/>
    </row>
    <row r="1032" spans="3:3" s="66" customFormat="1" x14ac:dyDescent="0.15">
      <c r="C1032" s="69"/>
    </row>
    <row r="1033" spans="3:3" s="66" customFormat="1" x14ac:dyDescent="0.15">
      <c r="C1033" s="69"/>
    </row>
    <row r="1034" spans="3:3" s="66" customFormat="1" x14ac:dyDescent="0.15">
      <c r="C1034" s="69"/>
    </row>
    <row r="1035" spans="3:3" s="66" customFormat="1" x14ac:dyDescent="0.15">
      <c r="C1035" s="69"/>
    </row>
    <row r="1036" spans="3:3" s="66" customFormat="1" x14ac:dyDescent="0.15">
      <c r="C1036" s="69"/>
    </row>
    <row r="1037" spans="3:3" s="66" customFormat="1" x14ac:dyDescent="0.15">
      <c r="C1037" s="69"/>
    </row>
    <row r="1038" spans="3:3" s="66" customFormat="1" x14ac:dyDescent="0.15">
      <c r="C1038" s="69"/>
    </row>
    <row r="1039" spans="3:3" s="66" customFormat="1" x14ac:dyDescent="0.15">
      <c r="C1039" s="69"/>
    </row>
    <row r="1040" spans="3:3" s="66" customFormat="1" x14ac:dyDescent="0.15">
      <c r="C1040" s="69"/>
    </row>
    <row r="1041" spans="3:3" s="66" customFormat="1" x14ac:dyDescent="0.15">
      <c r="C1041" s="69"/>
    </row>
    <row r="1042" spans="3:3" s="66" customFormat="1" x14ac:dyDescent="0.15">
      <c r="C1042" s="69"/>
    </row>
    <row r="1043" spans="3:3" s="66" customFormat="1" x14ac:dyDescent="0.15">
      <c r="C1043" s="69"/>
    </row>
    <row r="1044" spans="3:3" s="66" customFormat="1" x14ac:dyDescent="0.15">
      <c r="C1044" s="69"/>
    </row>
    <row r="1045" spans="3:3" s="66" customFormat="1" x14ac:dyDescent="0.15">
      <c r="C1045" s="69"/>
    </row>
    <row r="1046" spans="3:3" s="66" customFormat="1" x14ac:dyDescent="0.15">
      <c r="C1046" s="69"/>
    </row>
    <row r="1047" spans="3:3" s="66" customFormat="1" x14ac:dyDescent="0.15">
      <c r="C1047" s="69"/>
    </row>
    <row r="1048" spans="3:3" s="66" customFormat="1" x14ac:dyDescent="0.15">
      <c r="C1048" s="69"/>
    </row>
    <row r="1049" spans="3:3" s="66" customFormat="1" x14ac:dyDescent="0.15">
      <c r="C1049" s="69"/>
    </row>
    <row r="1050" spans="3:3" s="66" customFormat="1" x14ac:dyDescent="0.15">
      <c r="C1050" s="69"/>
    </row>
    <row r="1051" spans="3:3" s="66" customFormat="1" x14ac:dyDescent="0.15">
      <c r="C1051" s="69"/>
    </row>
    <row r="1052" spans="3:3" s="66" customFormat="1" x14ac:dyDescent="0.15">
      <c r="C1052" s="69"/>
    </row>
    <row r="1053" spans="3:3" s="66" customFormat="1" x14ac:dyDescent="0.15">
      <c r="C1053" s="69"/>
    </row>
    <row r="1054" spans="3:3" s="66" customFormat="1" x14ac:dyDescent="0.15">
      <c r="C1054" s="69"/>
    </row>
    <row r="1055" spans="3:3" s="66" customFormat="1" x14ac:dyDescent="0.15">
      <c r="C1055" s="69"/>
    </row>
    <row r="1056" spans="3:3" s="66" customFormat="1" x14ac:dyDescent="0.15">
      <c r="C1056" s="69"/>
    </row>
    <row r="1057" spans="3:3" s="66" customFormat="1" x14ac:dyDescent="0.15">
      <c r="C1057" s="69"/>
    </row>
    <row r="1058" spans="3:3" s="66" customFormat="1" x14ac:dyDescent="0.15">
      <c r="C1058" s="69"/>
    </row>
    <row r="1059" spans="3:3" s="66" customFormat="1" x14ac:dyDescent="0.15">
      <c r="C1059" s="69"/>
    </row>
    <row r="1060" spans="3:3" s="66" customFormat="1" x14ac:dyDescent="0.15">
      <c r="C1060" s="69"/>
    </row>
    <row r="1061" spans="3:3" s="66" customFormat="1" x14ac:dyDescent="0.15">
      <c r="C1061" s="69"/>
    </row>
    <row r="1062" spans="3:3" s="66" customFormat="1" x14ac:dyDescent="0.15">
      <c r="C1062" s="69"/>
    </row>
    <row r="1063" spans="3:3" s="66" customFormat="1" x14ac:dyDescent="0.15">
      <c r="C1063" s="69"/>
    </row>
    <row r="1064" spans="3:3" s="66" customFormat="1" x14ac:dyDescent="0.15">
      <c r="C1064" s="69"/>
    </row>
    <row r="1065" spans="3:3" s="66" customFormat="1" x14ac:dyDescent="0.15">
      <c r="C1065" s="69"/>
    </row>
    <row r="1066" spans="3:3" s="66" customFormat="1" x14ac:dyDescent="0.15">
      <c r="C1066" s="69"/>
    </row>
    <row r="1067" spans="3:3" s="66" customFormat="1" x14ac:dyDescent="0.15">
      <c r="C1067" s="69"/>
    </row>
    <row r="1068" spans="3:3" s="66" customFormat="1" x14ac:dyDescent="0.15">
      <c r="C1068" s="69"/>
    </row>
    <row r="1069" spans="3:3" s="66" customFormat="1" x14ac:dyDescent="0.15">
      <c r="C1069" s="69"/>
    </row>
    <row r="1070" spans="3:3" s="66" customFormat="1" x14ac:dyDescent="0.15">
      <c r="C1070" s="69"/>
    </row>
    <row r="1071" spans="3:3" s="66" customFormat="1" x14ac:dyDescent="0.15">
      <c r="C1071" s="69"/>
    </row>
    <row r="1072" spans="3:3" s="66" customFormat="1" x14ac:dyDescent="0.15">
      <c r="C1072" s="69"/>
    </row>
    <row r="1073" spans="3:3" s="66" customFormat="1" x14ac:dyDescent="0.15">
      <c r="C1073" s="69"/>
    </row>
    <row r="1074" spans="3:3" s="66" customFormat="1" x14ac:dyDescent="0.15">
      <c r="C1074" s="69"/>
    </row>
    <row r="1075" spans="3:3" s="66" customFormat="1" x14ac:dyDescent="0.15">
      <c r="C1075" s="69"/>
    </row>
    <row r="1076" spans="3:3" s="66" customFormat="1" x14ac:dyDescent="0.15">
      <c r="C1076" s="69"/>
    </row>
    <row r="1077" spans="3:3" s="66" customFormat="1" x14ac:dyDescent="0.15">
      <c r="C1077" s="69"/>
    </row>
    <row r="1078" spans="3:3" s="66" customFormat="1" x14ac:dyDescent="0.15">
      <c r="C1078" s="69"/>
    </row>
    <row r="1079" spans="3:3" s="66" customFormat="1" x14ac:dyDescent="0.15">
      <c r="C1079" s="69"/>
    </row>
    <row r="1080" spans="3:3" s="66" customFormat="1" x14ac:dyDescent="0.15">
      <c r="C1080" s="69"/>
    </row>
    <row r="1081" spans="3:3" s="66" customFormat="1" x14ac:dyDescent="0.15">
      <c r="C1081" s="69"/>
    </row>
    <row r="1082" spans="3:3" s="66" customFormat="1" x14ac:dyDescent="0.15">
      <c r="C1082" s="69"/>
    </row>
    <row r="1083" spans="3:3" s="66" customFormat="1" x14ac:dyDescent="0.15">
      <c r="C1083" s="69"/>
    </row>
    <row r="1084" spans="3:3" s="66" customFormat="1" x14ac:dyDescent="0.15">
      <c r="C1084" s="69"/>
    </row>
    <row r="1085" spans="3:3" s="66" customFormat="1" x14ac:dyDescent="0.15">
      <c r="C1085" s="69"/>
    </row>
    <row r="1086" spans="3:3" s="66" customFormat="1" x14ac:dyDescent="0.15">
      <c r="C1086" s="69"/>
    </row>
    <row r="1087" spans="3:3" s="66" customFormat="1" x14ac:dyDescent="0.15">
      <c r="C1087" s="69"/>
    </row>
    <row r="1088" spans="3:3" s="66" customFormat="1" x14ac:dyDescent="0.15">
      <c r="C1088" s="69"/>
    </row>
    <row r="1089" spans="3:3" s="66" customFormat="1" x14ac:dyDescent="0.15">
      <c r="C1089" s="69"/>
    </row>
    <row r="1090" spans="3:3" s="66" customFormat="1" x14ac:dyDescent="0.15">
      <c r="C1090" s="69"/>
    </row>
    <row r="1091" spans="3:3" s="66" customFormat="1" x14ac:dyDescent="0.15">
      <c r="C1091" s="69"/>
    </row>
    <row r="1092" spans="3:3" s="66" customFormat="1" x14ac:dyDescent="0.15">
      <c r="C1092" s="69"/>
    </row>
    <row r="1093" spans="3:3" s="66" customFormat="1" x14ac:dyDescent="0.15">
      <c r="C1093" s="69"/>
    </row>
    <row r="1094" spans="3:3" s="66" customFormat="1" x14ac:dyDescent="0.15">
      <c r="C1094" s="69"/>
    </row>
    <row r="1095" spans="3:3" s="66" customFormat="1" x14ac:dyDescent="0.15">
      <c r="C1095" s="69"/>
    </row>
    <row r="1096" spans="3:3" s="66" customFormat="1" x14ac:dyDescent="0.15">
      <c r="C1096" s="69"/>
    </row>
    <row r="1097" spans="3:3" s="66" customFormat="1" x14ac:dyDescent="0.15">
      <c r="C1097" s="69"/>
    </row>
    <row r="1098" spans="3:3" s="66" customFormat="1" x14ac:dyDescent="0.15">
      <c r="C1098" s="69"/>
    </row>
    <row r="1099" spans="3:3" s="66" customFormat="1" x14ac:dyDescent="0.15">
      <c r="C1099" s="69"/>
    </row>
    <row r="1100" spans="3:3" s="66" customFormat="1" x14ac:dyDescent="0.15">
      <c r="C1100" s="69"/>
    </row>
    <row r="1101" spans="3:3" s="66" customFormat="1" x14ac:dyDescent="0.15">
      <c r="C1101" s="69"/>
    </row>
    <row r="1102" spans="3:3" s="66" customFormat="1" x14ac:dyDescent="0.15">
      <c r="C1102" s="69"/>
    </row>
    <row r="1103" spans="3:3" s="66" customFormat="1" x14ac:dyDescent="0.15">
      <c r="C1103" s="69"/>
    </row>
    <row r="1104" spans="3:3" s="66" customFormat="1" x14ac:dyDescent="0.15">
      <c r="C1104" s="69"/>
    </row>
    <row r="1105" spans="3:3" s="66" customFormat="1" x14ac:dyDescent="0.15">
      <c r="C1105" s="69"/>
    </row>
    <row r="1106" spans="3:3" s="66" customFormat="1" x14ac:dyDescent="0.15">
      <c r="C1106" s="69"/>
    </row>
    <row r="1107" spans="3:3" s="66" customFormat="1" x14ac:dyDescent="0.15">
      <c r="C1107" s="69"/>
    </row>
    <row r="1108" spans="3:3" s="66" customFormat="1" x14ac:dyDescent="0.15">
      <c r="C1108" s="69"/>
    </row>
    <row r="1109" spans="3:3" s="66" customFormat="1" x14ac:dyDescent="0.15">
      <c r="C1109" s="69"/>
    </row>
    <row r="1110" spans="3:3" s="66" customFormat="1" x14ac:dyDescent="0.15">
      <c r="C1110" s="69"/>
    </row>
    <row r="1111" spans="3:3" s="66" customFormat="1" x14ac:dyDescent="0.15">
      <c r="C1111" s="69"/>
    </row>
    <row r="1112" spans="3:3" s="66" customFormat="1" x14ac:dyDescent="0.15">
      <c r="C1112" s="69"/>
    </row>
    <row r="1113" spans="3:3" s="66" customFormat="1" x14ac:dyDescent="0.15">
      <c r="C1113" s="69"/>
    </row>
    <row r="1114" spans="3:3" s="66" customFormat="1" x14ac:dyDescent="0.15">
      <c r="C1114" s="69"/>
    </row>
    <row r="1115" spans="3:3" s="66" customFormat="1" x14ac:dyDescent="0.15">
      <c r="C1115" s="69"/>
    </row>
    <row r="1116" spans="3:3" s="66" customFormat="1" x14ac:dyDescent="0.15">
      <c r="C1116" s="69"/>
    </row>
    <row r="1117" spans="3:3" s="66" customFormat="1" x14ac:dyDescent="0.15">
      <c r="C1117" s="69"/>
    </row>
    <row r="1118" spans="3:3" s="66" customFormat="1" x14ac:dyDescent="0.15">
      <c r="C1118" s="69"/>
    </row>
    <row r="1119" spans="3:3" s="66" customFormat="1" x14ac:dyDescent="0.15">
      <c r="C1119" s="69"/>
    </row>
    <row r="1120" spans="3:3" s="66" customFormat="1" x14ac:dyDescent="0.15">
      <c r="C1120" s="69"/>
    </row>
    <row r="1121" spans="3:3" s="66" customFormat="1" x14ac:dyDescent="0.15">
      <c r="C1121" s="69"/>
    </row>
    <row r="1122" spans="3:3" s="66" customFormat="1" x14ac:dyDescent="0.15">
      <c r="C1122" s="69"/>
    </row>
    <row r="1123" spans="3:3" s="66" customFormat="1" x14ac:dyDescent="0.15">
      <c r="C1123" s="69"/>
    </row>
    <row r="1124" spans="3:3" s="66" customFormat="1" x14ac:dyDescent="0.15">
      <c r="C1124" s="69"/>
    </row>
    <row r="1125" spans="3:3" s="66" customFormat="1" x14ac:dyDescent="0.15">
      <c r="C1125" s="69"/>
    </row>
    <row r="1126" spans="3:3" s="66" customFormat="1" x14ac:dyDescent="0.15">
      <c r="C1126" s="69"/>
    </row>
    <row r="1127" spans="3:3" s="66" customFormat="1" x14ac:dyDescent="0.15">
      <c r="C1127" s="69"/>
    </row>
    <row r="1128" spans="3:3" s="66" customFormat="1" x14ac:dyDescent="0.15">
      <c r="C1128" s="69"/>
    </row>
    <row r="1129" spans="3:3" s="66" customFormat="1" x14ac:dyDescent="0.15">
      <c r="C1129" s="69"/>
    </row>
    <row r="1130" spans="3:3" s="66" customFormat="1" x14ac:dyDescent="0.15">
      <c r="C1130" s="69"/>
    </row>
    <row r="1131" spans="3:3" s="66" customFormat="1" x14ac:dyDescent="0.15">
      <c r="C1131" s="69"/>
    </row>
    <row r="1132" spans="3:3" s="66" customFormat="1" x14ac:dyDescent="0.15">
      <c r="C1132" s="69"/>
    </row>
    <row r="1133" spans="3:3" s="66" customFormat="1" x14ac:dyDescent="0.15">
      <c r="C1133" s="69"/>
    </row>
    <row r="1134" spans="3:3" s="66" customFormat="1" x14ac:dyDescent="0.15">
      <c r="C1134" s="69"/>
    </row>
    <row r="1135" spans="3:3" s="66" customFormat="1" x14ac:dyDescent="0.15">
      <c r="C1135" s="69"/>
    </row>
    <row r="1136" spans="3:3" s="66" customFormat="1" x14ac:dyDescent="0.15">
      <c r="C1136" s="69"/>
    </row>
    <row r="1137" spans="3:3" s="66" customFormat="1" x14ac:dyDescent="0.15">
      <c r="C1137" s="69"/>
    </row>
    <row r="1138" spans="3:3" s="66" customFormat="1" x14ac:dyDescent="0.15">
      <c r="C1138" s="69"/>
    </row>
    <row r="1139" spans="3:3" s="66" customFormat="1" x14ac:dyDescent="0.15">
      <c r="C1139" s="69"/>
    </row>
    <row r="1140" spans="3:3" s="66" customFormat="1" x14ac:dyDescent="0.15">
      <c r="C1140" s="69"/>
    </row>
    <row r="1141" spans="3:3" s="66" customFormat="1" x14ac:dyDescent="0.15">
      <c r="C1141" s="69"/>
    </row>
    <row r="1142" spans="3:3" s="66" customFormat="1" x14ac:dyDescent="0.15">
      <c r="C1142" s="69"/>
    </row>
    <row r="1143" spans="3:3" s="66" customFormat="1" x14ac:dyDescent="0.15">
      <c r="C1143" s="69"/>
    </row>
    <row r="1144" spans="3:3" s="66" customFormat="1" x14ac:dyDescent="0.15">
      <c r="C1144" s="69"/>
    </row>
    <row r="1145" spans="3:3" s="66" customFormat="1" x14ac:dyDescent="0.15">
      <c r="C1145" s="69"/>
    </row>
    <row r="1146" spans="3:3" s="66" customFormat="1" x14ac:dyDescent="0.15">
      <c r="C1146" s="69"/>
    </row>
    <row r="1147" spans="3:3" s="66" customFormat="1" x14ac:dyDescent="0.15">
      <c r="C1147" s="69"/>
    </row>
  </sheetData>
  <sortState xmlns:xlrd2="http://schemas.microsoft.com/office/spreadsheetml/2017/richdata2" ref="N86:N118">
    <sortCondition ref="N118"/>
  </sortState>
  <mergeCells count="3">
    <mergeCell ref="C32:E32"/>
    <mergeCell ref="F32:H32"/>
    <mergeCell ref="I32:K3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rgb="FFFAD6AD"/>
  </sheetPr>
  <dimension ref="B2:J27"/>
  <sheetViews>
    <sheetView zoomScale="85" zoomScaleNormal="85" workbookViewId="0">
      <selection activeCell="B2" sqref="B2:B3"/>
    </sheetView>
  </sheetViews>
  <sheetFormatPr baseColWidth="10" defaultColWidth="8.6640625" defaultRowHeight="14" x14ac:dyDescent="0.15"/>
  <cols>
    <col min="1" max="1" width="6.1640625" style="66" customWidth="1"/>
    <col min="2" max="2" width="31.5" style="66" customWidth="1"/>
    <col min="3" max="3" width="61.1640625" style="69" customWidth="1"/>
    <col min="4" max="9" width="13.1640625" style="66" customWidth="1"/>
    <col min="10" max="10" width="13.5" style="66" customWidth="1"/>
    <col min="11" max="16384" width="8.6640625" style="66"/>
  </cols>
  <sheetData>
    <row r="2" spans="2:10" x14ac:dyDescent="0.15">
      <c r="B2" s="731" t="s">
        <v>479</v>
      </c>
      <c r="C2" s="601"/>
      <c r="D2" s="733" t="s">
        <v>480</v>
      </c>
      <c r="E2" s="730"/>
      <c r="F2" s="729" t="s">
        <v>481</v>
      </c>
      <c r="G2" s="730"/>
      <c r="H2" s="729" t="s">
        <v>482</v>
      </c>
      <c r="I2" s="730"/>
    </row>
    <row r="3" spans="2:10" x14ac:dyDescent="0.15">
      <c r="B3" s="732"/>
      <c r="C3" s="227" t="s">
        <v>483</v>
      </c>
      <c r="D3" s="607" t="s">
        <v>177</v>
      </c>
      <c r="E3" s="429" t="s">
        <v>59</v>
      </c>
      <c r="F3" s="428" t="s">
        <v>177</v>
      </c>
      <c r="G3" s="429" t="s">
        <v>59</v>
      </c>
      <c r="H3" s="428" t="s">
        <v>177</v>
      </c>
      <c r="I3" s="429" t="s">
        <v>59</v>
      </c>
    </row>
    <row r="4" spans="2:10" x14ac:dyDescent="0.15">
      <c r="B4" s="598" t="s">
        <v>155</v>
      </c>
      <c r="C4" s="608" t="s">
        <v>484</v>
      </c>
      <c r="D4" s="224">
        <v>0</v>
      </c>
      <c r="E4" s="225">
        <f t="shared" ref="E4:E11" si="0">1-D4</f>
        <v>1</v>
      </c>
      <c r="F4" s="224">
        <f>D4</f>
        <v>0</v>
      </c>
      <c r="G4" s="225">
        <f t="shared" ref="G4:G5" si="1">1-F4</f>
        <v>1</v>
      </c>
      <c r="H4" s="224">
        <f>F4</f>
        <v>0</v>
      </c>
      <c r="I4" s="225">
        <f t="shared" ref="I4:I5" si="2">1-H4</f>
        <v>1</v>
      </c>
    </row>
    <row r="5" spans="2:10" x14ac:dyDescent="0.15">
      <c r="B5" s="598" t="s">
        <v>104</v>
      </c>
      <c r="C5" s="608" t="s">
        <v>485</v>
      </c>
      <c r="D5" s="224">
        <f>(17303363+29983954)/(60585557+83964561)</f>
        <v>0.32713440607499195</v>
      </c>
      <c r="E5" s="225">
        <f t="shared" si="0"/>
        <v>0.67286559392500811</v>
      </c>
      <c r="F5" s="224">
        <f>$D$21</f>
        <v>0.34085186377727872</v>
      </c>
      <c r="G5" s="225">
        <f t="shared" si="1"/>
        <v>0.65914813622272128</v>
      </c>
      <c r="H5" s="224">
        <f>$D$21</f>
        <v>0.34085186377727872</v>
      </c>
      <c r="I5" s="225">
        <f t="shared" si="2"/>
        <v>0.65914813622272128</v>
      </c>
    </row>
    <row r="6" spans="2:10" x14ac:dyDescent="0.15">
      <c r="B6" s="598" t="s">
        <v>156</v>
      </c>
      <c r="C6" s="608" t="s">
        <v>486</v>
      </c>
      <c r="D6" s="224">
        <f>(17303363+29983954)/(60585557+83964561)</f>
        <v>0.32713440607499195</v>
      </c>
      <c r="E6" s="225">
        <f t="shared" si="0"/>
        <v>0.67286559392500811</v>
      </c>
      <c r="F6" s="224">
        <f>$D$21</f>
        <v>0.34085186377727872</v>
      </c>
      <c r="G6" s="225">
        <f t="shared" ref="G6:G7" si="3">1-F6</f>
        <v>0.65914813622272128</v>
      </c>
      <c r="H6" s="224">
        <f>$D$21</f>
        <v>0.34085186377727872</v>
      </c>
      <c r="I6" s="225">
        <f t="shared" ref="I6:I7" si="4">1-H6</f>
        <v>0.65914813622272128</v>
      </c>
    </row>
    <row r="7" spans="2:10" x14ac:dyDescent="0.15">
      <c r="B7" s="598" t="s">
        <v>157</v>
      </c>
      <c r="C7" s="608" t="s">
        <v>485</v>
      </c>
      <c r="D7" s="224">
        <f>(17303363+29983954)/(60585557+83964561)</f>
        <v>0.32713440607499195</v>
      </c>
      <c r="E7" s="225">
        <f t="shared" si="0"/>
        <v>0.67286559392500811</v>
      </c>
      <c r="F7" s="224">
        <f>$D$21</f>
        <v>0.34085186377727872</v>
      </c>
      <c r="G7" s="225">
        <f t="shared" si="3"/>
        <v>0.65914813622272128</v>
      </c>
      <c r="H7" s="224">
        <f>$D$21</f>
        <v>0.34085186377727872</v>
      </c>
      <c r="I7" s="225">
        <f t="shared" si="4"/>
        <v>0.65914813622272128</v>
      </c>
    </row>
    <row r="8" spans="2:10" x14ac:dyDescent="0.15">
      <c r="B8" s="598" t="s">
        <v>158</v>
      </c>
      <c r="C8" s="608" t="s">
        <v>485</v>
      </c>
      <c r="D8" s="224">
        <f>(17303363+29983954)/(60585557+83964561)</f>
        <v>0.32713440607499195</v>
      </c>
      <c r="E8" s="225">
        <f t="shared" si="0"/>
        <v>0.67286559392500811</v>
      </c>
      <c r="F8" s="224">
        <f>$D$21</f>
        <v>0.34085186377727872</v>
      </c>
      <c r="G8" s="225">
        <f t="shared" ref="G8" si="5">1-F8</f>
        <v>0.65914813622272128</v>
      </c>
      <c r="H8" s="224">
        <f>$D$21</f>
        <v>0.34085186377727872</v>
      </c>
      <c r="I8" s="225">
        <f t="shared" ref="I8" si="6">1-H8</f>
        <v>0.65914813622272128</v>
      </c>
    </row>
    <row r="9" spans="2:10" x14ac:dyDescent="0.15">
      <c r="B9" s="598" t="s">
        <v>159</v>
      </c>
      <c r="C9" s="608" t="s">
        <v>487</v>
      </c>
      <c r="D9" s="224">
        <v>1</v>
      </c>
      <c r="E9" s="225">
        <f t="shared" si="0"/>
        <v>0</v>
      </c>
      <c r="F9" s="224">
        <f>D9</f>
        <v>1</v>
      </c>
      <c r="G9" s="225">
        <f>E9</f>
        <v>0</v>
      </c>
      <c r="H9" s="224">
        <f>F9</f>
        <v>1</v>
      </c>
      <c r="I9" s="225">
        <f>G9</f>
        <v>0</v>
      </c>
    </row>
    <row r="10" spans="2:10" x14ac:dyDescent="0.15">
      <c r="B10" s="598" t="s">
        <v>160</v>
      </c>
      <c r="C10" s="608" t="s">
        <v>488</v>
      </c>
      <c r="D10" s="224">
        <f>227.2/946</f>
        <v>0.240169133192389</v>
      </c>
      <c r="E10" s="225">
        <f t="shared" si="0"/>
        <v>0.75983086680761103</v>
      </c>
      <c r="F10" s="224">
        <f>D10</f>
        <v>0.240169133192389</v>
      </c>
      <c r="G10" s="225">
        <f t="shared" ref="G10:G12" si="7">1-F10</f>
        <v>0.75983086680761103</v>
      </c>
      <c r="H10" s="224">
        <f>F10</f>
        <v>0.240169133192389</v>
      </c>
      <c r="I10" s="225">
        <f t="shared" ref="I10:I12" si="8">1-H10</f>
        <v>0.75983086680761103</v>
      </c>
    </row>
    <row r="11" spans="2:10" x14ac:dyDescent="0.15">
      <c r="B11" s="598" t="s">
        <v>161</v>
      </c>
      <c r="C11" s="608" t="s">
        <v>489</v>
      </c>
      <c r="D11" s="224">
        <v>0</v>
      </c>
      <c r="E11" s="225">
        <f t="shared" si="0"/>
        <v>1</v>
      </c>
      <c r="F11" s="224">
        <f>D11</f>
        <v>0</v>
      </c>
      <c r="G11" s="225">
        <f t="shared" si="7"/>
        <v>1</v>
      </c>
      <c r="H11" s="224">
        <f>F11</f>
        <v>0</v>
      </c>
      <c r="I11" s="225">
        <f t="shared" si="8"/>
        <v>1</v>
      </c>
    </row>
    <row r="12" spans="2:10" x14ac:dyDescent="0.15">
      <c r="B12" s="598" t="s">
        <v>490</v>
      </c>
      <c r="C12" s="608" t="s">
        <v>491</v>
      </c>
      <c r="D12" s="224">
        <v>0.01</v>
      </c>
      <c r="E12" s="225">
        <v>0.99</v>
      </c>
      <c r="F12" s="224">
        <f>D12</f>
        <v>0.01</v>
      </c>
      <c r="G12" s="225">
        <f t="shared" si="7"/>
        <v>0.99</v>
      </c>
      <c r="H12" s="224">
        <f>F12</f>
        <v>0.01</v>
      </c>
      <c r="I12" s="225">
        <f t="shared" si="8"/>
        <v>0.99</v>
      </c>
    </row>
    <row r="13" spans="2:10" x14ac:dyDescent="0.15">
      <c r="B13" s="598" t="s">
        <v>162</v>
      </c>
      <c r="C13" s="608" t="s">
        <v>492</v>
      </c>
      <c r="D13" s="224">
        <f>D27</f>
        <v>0.75884615128050825</v>
      </c>
      <c r="E13" s="225">
        <f>1-D13</f>
        <v>0.24115384871949175</v>
      </c>
      <c r="F13" s="224">
        <f>F27</f>
        <v>0.73734890618525561</v>
      </c>
      <c r="G13" s="225">
        <f>1-F13</f>
        <v>0.26265109381474439</v>
      </c>
      <c r="H13" s="224">
        <f>H27</f>
        <v>0.73221252357644973</v>
      </c>
      <c r="I13" s="225">
        <f>1-H13</f>
        <v>0.26778747642355027</v>
      </c>
    </row>
    <row r="14" spans="2:10" x14ac:dyDescent="0.15">
      <c r="B14" s="602" t="s">
        <v>163</v>
      </c>
      <c r="C14" s="227" t="s">
        <v>493</v>
      </c>
      <c r="D14" s="228">
        <f>'[1]Socioeconomic Data'!$C$5/'[1]Socioeconomic Data'!$E$5</f>
        <v>0.51891562032273431</v>
      </c>
      <c r="E14" s="229">
        <f>1-D14</f>
        <v>0.48108437967726569</v>
      </c>
      <c r="F14" s="228">
        <f>'[1]Socioeconomic Data'!$C$6/'[1]Socioeconomic Data'!$E$6</f>
        <v>0.52063450272366163</v>
      </c>
      <c r="G14" s="229">
        <f>1-F14</f>
        <v>0.47936549727633837</v>
      </c>
      <c r="H14" s="228">
        <f>'[1]Socioeconomic Data'!$C$7/'[1]Socioeconomic Data'!$E$7</f>
        <v>0.52058888368036571</v>
      </c>
      <c r="I14" s="229">
        <f>1-H14</f>
        <v>0.47941111631963429</v>
      </c>
    </row>
    <row r="15" spans="2:10" x14ac:dyDescent="0.15">
      <c r="B15" t="s">
        <v>494</v>
      </c>
      <c r="E15" s="224"/>
      <c r="F15" s="226"/>
      <c r="G15" s="224"/>
      <c r="H15" s="226"/>
      <c r="I15" s="224"/>
      <c r="J15" s="226"/>
    </row>
    <row r="17" spans="2:9" x14ac:dyDescent="0.15">
      <c r="C17" s="82" t="s">
        <v>495</v>
      </c>
      <c r="D17" s="66" t="s">
        <v>177</v>
      </c>
      <c r="E17" s="66" t="s">
        <v>59</v>
      </c>
    </row>
    <row r="18" spans="2:9" x14ac:dyDescent="0.15">
      <c r="C18" s="66" t="s">
        <v>496</v>
      </c>
      <c r="D18" s="88">
        <v>33134983</v>
      </c>
      <c r="E18" s="88">
        <v>100829550</v>
      </c>
    </row>
    <row r="19" spans="2:9" x14ac:dyDescent="0.15">
      <c r="C19" s="66" t="s">
        <v>497</v>
      </c>
      <c r="D19" s="88">
        <v>22627328</v>
      </c>
      <c r="E19" s="88">
        <v>62767358</v>
      </c>
    </row>
    <row r="20" spans="2:9" x14ac:dyDescent="0.15">
      <c r="C20" s="66" t="s">
        <v>88</v>
      </c>
      <c r="D20" s="88">
        <f>SUM(D18:D19)</f>
        <v>55762311</v>
      </c>
      <c r="E20" s="88">
        <f>SUM(E18:E19)</f>
        <v>163596908</v>
      </c>
    </row>
    <row r="21" spans="2:9" x14ac:dyDescent="0.15">
      <c r="C21" s="66" t="s">
        <v>498</v>
      </c>
      <c r="D21" s="230">
        <f>D20/E20</f>
        <v>0.34085186377727872</v>
      </c>
    </row>
    <row r="22" spans="2:9" x14ac:dyDescent="0.15">
      <c r="C22" s="66" t="s">
        <v>499</v>
      </c>
    </row>
    <row r="23" spans="2:9" x14ac:dyDescent="0.15">
      <c r="B23" s="66" t="s">
        <v>500</v>
      </c>
      <c r="C23" s="66"/>
    </row>
    <row r="24" spans="2:9" x14ac:dyDescent="0.15">
      <c r="C24" s="178"/>
      <c r="D24" s="178" t="s">
        <v>177</v>
      </c>
      <c r="E24" s="178" t="s">
        <v>100</v>
      </c>
      <c r="F24" s="178" t="s">
        <v>177</v>
      </c>
      <c r="G24" s="178" t="s">
        <v>100</v>
      </c>
      <c r="H24" s="178" t="s">
        <v>177</v>
      </c>
      <c r="I24" s="178" t="s">
        <v>100</v>
      </c>
    </row>
    <row r="25" spans="2:9" x14ac:dyDescent="0.15">
      <c r="C25" s="178"/>
      <c r="D25" s="201">
        <v>2010</v>
      </c>
      <c r="E25" s="201">
        <v>2010</v>
      </c>
      <c r="F25" s="201">
        <v>2015</v>
      </c>
      <c r="G25" s="201">
        <v>2015</v>
      </c>
      <c r="H25" s="201">
        <v>2019</v>
      </c>
      <c r="I25" s="201">
        <v>2019</v>
      </c>
    </row>
    <row r="26" spans="2:9" x14ac:dyDescent="0.15">
      <c r="C26" s="178"/>
      <c r="D26" s="232">
        <f>Rail!Q74+Rail!L89</f>
        <v>545122.00308247551</v>
      </c>
      <c r="E26" s="232">
        <f>Rail!Q75+Rail!L90</f>
        <v>173234.41496433702</v>
      </c>
      <c r="F26" s="232">
        <f>Rail!Q42+Rail!L57</f>
        <v>489880.0080721316</v>
      </c>
      <c r="G26" s="232">
        <f>Rail!Q43+Rail!L58</f>
        <v>174500.18421237616</v>
      </c>
      <c r="H26" s="427">
        <f>Rail!Q10+Rail!L25</f>
        <v>456832.61840602395</v>
      </c>
      <c r="I26" s="427">
        <f>Rail!Q11+Rail!L26</f>
        <v>167074.5174275063</v>
      </c>
    </row>
    <row r="27" spans="2:9" x14ac:dyDescent="0.15">
      <c r="C27" s="66"/>
      <c r="D27" s="233">
        <f>D26/SUM(D26:E26)</f>
        <v>0.75884615128050825</v>
      </c>
      <c r="F27" s="233">
        <f>F26/SUM(F26:G26)</f>
        <v>0.73734890618525561</v>
      </c>
      <c r="H27" s="233">
        <f>H26/SUM(H26:I26)</f>
        <v>0.73221252357644973</v>
      </c>
    </row>
  </sheetData>
  <mergeCells count="4">
    <mergeCell ref="F2:G2"/>
    <mergeCell ref="H2:I2"/>
    <mergeCell ref="B2:B3"/>
    <mergeCell ref="D2:E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AD69-1CCA-40C2-87A2-F6C51E85CB6C}">
  <sheetPr>
    <tabColor theme="8" tint="0.59999389629810485"/>
  </sheetPr>
  <dimension ref="A1:AD1673"/>
  <sheetViews>
    <sheetView zoomScale="90" zoomScaleNormal="90" workbookViewId="0">
      <pane ySplit="5" topLeftCell="A6" activePane="bottomLeft" state="frozen"/>
      <selection pane="bottomLeft" activeCell="B5" sqref="B5"/>
    </sheetView>
  </sheetViews>
  <sheetFormatPr baseColWidth="10" defaultColWidth="8.83203125" defaultRowHeight="14" x14ac:dyDescent="0.15"/>
  <cols>
    <col min="1" max="1" width="3.33203125" customWidth="1"/>
    <col min="2" max="4" width="11.6640625" bestFit="1" customWidth="1"/>
    <col min="5" max="5" width="5" bestFit="1" customWidth="1"/>
    <col min="6" max="7" width="5.1640625" bestFit="1" customWidth="1"/>
    <col min="8" max="9" width="8.83203125" bestFit="1" customWidth="1"/>
    <col min="10" max="15" width="6.6640625" bestFit="1" customWidth="1"/>
    <col min="16" max="16" width="5.83203125" bestFit="1" customWidth="1"/>
    <col min="17" max="18" width="6.6640625" bestFit="1" customWidth="1"/>
    <col min="19" max="20" width="20" customWidth="1"/>
    <col min="21" max="22" width="6" bestFit="1" customWidth="1"/>
    <col min="23" max="23" width="5.6640625" bestFit="1" customWidth="1"/>
    <col min="24" max="24" width="6.6640625" bestFit="1" customWidth="1"/>
    <col min="25" max="25" width="7.33203125" bestFit="1" customWidth="1"/>
    <col min="26" max="26" width="8.6640625" bestFit="1" customWidth="1"/>
    <col min="27" max="27" width="9.6640625" bestFit="1" customWidth="1"/>
    <col min="28" max="28" width="15.5" bestFit="1" customWidth="1"/>
    <col min="29" max="29" width="13.5" bestFit="1" customWidth="1"/>
    <col min="30" max="30" width="18.83203125" bestFit="1" customWidth="1"/>
  </cols>
  <sheetData>
    <row r="1" spans="1:30" s="79" customFormat="1" ht="18" x14ac:dyDescent="0.2">
      <c r="A1" s="76" t="s">
        <v>501</v>
      </c>
    </row>
    <row r="3" spans="1:30" x14ac:dyDescent="0.15">
      <c r="B3" s="220" t="s">
        <v>502</v>
      </c>
      <c r="C3" s="220" t="s">
        <v>503</v>
      </c>
    </row>
    <row r="5" spans="1:30" x14ac:dyDescent="0.15">
      <c r="B5" s="628" t="s">
        <v>504</v>
      </c>
      <c r="C5" s="628" t="s">
        <v>505</v>
      </c>
      <c r="D5" s="628" t="s">
        <v>506</v>
      </c>
      <c r="E5" s="628" t="s">
        <v>507</v>
      </c>
      <c r="F5" s="628" t="s">
        <v>508</v>
      </c>
      <c r="G5" s="628" t="s">
        <v>509</v>
      </c>
      <c r="H5" s="628" t="s">
        <v>510</v>
      </c>
      <c r="I5" s="628" t="s">
        <v>511</v>
      </c>
      <c r="J5" s="628" t="s">
        <v>512</v>
      </c>
      <c r="K5" s="628" t="s">
        <v>513</v>
      </c>
      <c r="L5" s="628" t="s">
        <v>514</v>
      </c>
      <c r="M5" s="628" t="s">
        <v>515</v>
      </c>
      <c r="N5" s="628" t="s">
        <v>516</v>
      </c>
      <c r="O5" s="628" t="s">
        <v>517</v>
      </c>
      <c r="P5" s="628" t="s">
        <v>518</v>
      </c>
      <c r="Q5" s="628" t="s">
        <v>519</v>
      </c>
      <c r="R5" s="628" t="s">
        <v>520</v>
      </c>
      <c r="S5" s="628" t="s">
        <v>521</v>
      </c>
      <c r="T5" s="628" t="s">
        <v>522</v>
      </c>
      <c r="U5" s="628" t="s">
        <v>523</v>
      </c>
      <c r="V5" s="628" t="s">
        <v>524</v>
      </c>
      <c r="W5" s="628" t="s">
        <v>525</v>
      </c>
      <c r="X5" s="628" t="s">
        <v>526</v>
      </c>
      <c r="Y5" s="628" t="s">
        <v>527</v>
      </c>
      <c r="Z5" s="628" t="s">
        <v>528</v>
      </c>
      <c r="AA5" s="628" t="s">
        <v>529</v>
      </c>
      <c r="AB5" s="629" t="s">
        <v>530</v>
      </c>
      <c r="AC5" s="629" t="s">
        <v>531</v>
      </c>
      <c r="AD5" s="629" t="s">
        <v>532</v>
      </c>
    </row>
    <row r="6" spans="1:30" x14ac:dyDescent="0.15">
      <c r="B6" s="630">
        <v>17197004192</v>
      </c>
      <c r="C6" s="630">
        <v>17197001481</v>
      </c>
      <c r="D6" s="630">
        <v>17197001479</v>
      </c>
      <c r="E6" s="630" t="s">
        <v>533</v>
      </c>
      <c r="F6" s="630" t="s">
        <v>534</v>
      </c>
      <c r="G6" s="630" t="s">
        <v>377</v>
      </c>
      <c r="H6" s="630" t="s">
        <v>535</v>
      </c>
      <c r="I6" s="630"/>
      <c r="J6" s="630" t="s">
        <v>382</v>
      </c>
      <c r="K6" s="630" t="s">
        <v>536</v>
      </c>
      <c r="L6" s="630"/>
      <c r="M6" s="630"/>
      <c r="N6" s="630"/>
      <c r="O6" s="630"/>
      <c r="P6" s="630"/>
      <c r="Q6" s="630"/>
      <c r="R6" s="630"/>
      <c r="S6" s="630" t="s">
        <v>537</v>
      </c>
      <c r="T6" s="630"/>
      <c r="U6" s="630" t="s">
        <v>538</v>
      </c>
      <c r="V6" s="630">
        <v>2</v>
      </c>
      <c r="W6" s="630" t="s">
        <v>539</v>
      </c>
      <c r="X6" s="630" t="s">
        <v>540</v>
      </c>
      <c r="Y6" s="630" t="s">
        <v>541</v>
      </c>
      <c r="Z6" s="630">
        <v>0.104475</v>
      </c>
      <c r="AA6" s="630">
        <v>0.16813600000000001</v>
      </c>
      <c r="AB6" s="631">
        <v>29131</v>
      </c>
      <c r="AC6" s="631">
        <v>2669674</v>
      </c>
      <c r="AD6" s="631">
        <f>AC6*Z6</f>
        <v>278914.19114999997</v>
      </c>
    </row>
    <row r="7" spans="1:30" x14ac:dyDescent="0.15">
      <c r="B7" s="630">
        <v>17031002371</v>
      </c>
      <c r="C7" s="630">
        <v>17999024399</v>
      </c>
      <c r="D7" s="630">
        <v>17031001589</v>
      </c>
      <c r="E7" s="630" t="s">
        <v>533</v>
      </c>
      <c r="F7" s="630" t="s">
        <v>534</v>
      </c>
      <c r="G7" s="630" t="s">
        <v>365</v>
      </c>
      <c r="H7" s="630" t="s">
        <v>535</v>
      </c>
      <c r="I7" s="630"/>
      <c r="J7" s="630" t="s">
        <v>542</v>
      </c>
      <c r="K7" s="630" t="s">
        <v>543</v>
      </c>
      <c r="L7" s="630" t="s">
        <v>382</v>
      </c>
      <c r="M7" s="630"/>
      <c r="N7" s="630"/>
      <c r="O7" s="630"/>
      <c r="P7" s="630"/>
      <c r="Q7" s="630"/>
      <c r="R7" s="630"/>
      <c r="S7" s="630" t="s">
        <v>544</v>
      </c>
      <c r="T7" s="630"/>
      <c r="U7" s="630" t="s">
        <v>538</v>
      </c>
      <c r="V7" s="630">
        <v>2</v>
      </c>
      <c r="W7" s="630" t="s">
        <v>545</v>
      </c>
      <c r="X7" s="630" t="s">
        <v>546</v>
      </c>
      <c r="Y7" s="630" t="s">
        <v>540</v>
      </c>
      <c r="Z7" s="630">
        <v>1.095486</v>
      </c>
      <c r="AA7" s="630">
        <v>1.763018</v>
      </c>
      <c r="AB7" s="631">
        <v>436646</v>
      </c>
      <c r="AC7" s="631">
        <v>24052343</v>
      </c>
      <c r="AD7" s="631">
        <f t="shared" ref="AD7:AD69" si="0">AC7*Z7</f>
        <v>26349005.023697998</v>
      </c>
    </row>
    <row r="8" spans="1:30" x14ac:dyDescent="0.15">
      <c r="B8" s="630">
        <v>17031006344</v>
      </c>
      <c r="C8" s="630">
        <v>17031000252</v>
      </c>
      <c r="D8" s="630">
        <v>17031004624</v>
      </c>
      <c r="E8" s="630" t="s">
        <v>533</v>
      </c>
      <c r="F8" s="630" t="s">
        <v>534</v>
      </c>
      <c r="G8" s="630" t="s">
        <v>365</v>
      </c>
      <c r="H8" s="630" t="s">
        <v>535</v>
      </c>
      <c r="I8" s="630"/>
      <c r="J8" s="630" t="s">
        <v>547</v>
      </c>
      <c r="K8" s="630"/>
      <c r="L8" s="630"/>
      <c r="M8" s="630"/>
      <c r="N8" s="630"/>
      <c r="O8" s="630"/>
      <c r="P8" s="630"/>
      <c r="Q8" s="630"/>
      <c r="R8" s="630"/>
      <c r="S8" s="630" t="s">
        <v>548</v>
      </c>
      <c r="T8" s="630"/>
      <c r="U8" s="630" t="s">
        <v>538</v>
      </c>
      <c r="V8" s="630">
        <v>2</v>
      </c>
      <c r="W8" s="630" t="s">
        <v>545</v>
      </c>
      <c r="X8" s="630" t="s">
        <v>546</v>
      </c>
      <c r="Y8" s="630" t="s">
        <v>549</v>
      </c>
      <c r="Z8" s="630">
        <v>0.38465100000000002</v>
      </c>
      <c r="AA8" s="630">
        <v>0.61903600000000003</v>
      </c>
      <c r="AB8" s="631">
        <v>805376</v>
      </c>
      <c r="AC8" s="631">
        <v>39329111</v>
      </c>
      <c r="AD8" s="631">
        <f t="shared" si="0"/>
        <v>15127981.875261001</v>
      </c>
    </row>
    <row r="9" spans="1:30" x14ac:dyDescent="0.15">
      <c r="B9" s="630">
        <v>17031002121</v>
      </c>
      <c r="C9" s="630">
        <v>17031004594</v>
      </c>
      <c r="D9" s="630">
        <v>17031000281</v>
      </c>
      <c r="E9" s="630" t="s">
        <v>533</v>
      </c>
      <c r="F9" s="630" t="s">
        <v>534</v>
      </c>
      <c r="G9" s="630" t="s">
        <v>365</v>
      </c>
      <c r="H9" s="630" t="s">
        <v>535</v>
      </c>
      <c r="I9" s="630"/>
      <c r="J9" s="630" t="s">
        <v>536</v>
      </c>
      <c r="K9" s="630" t="s">
        <v>382</v>
      </c>
      <c r="L9" s="630"/>
      <c r="M9" s="630"/>
      <c r="N9" s="630"/>
      <c r="O9" s="630"/>
      <c r="P9" s="630"/>
      <c r="Q9" s="630"/>
      <c r="R9" s="630"/>
      <c r="S9" s="630" t="s">
        <v>550</v>
      </c>
      <c r="T9" s="630"/>
      <c r="U9" s="630" t="s">
        <v>538</v>
      </c>
      <c r="V9" s="630">
        <v>1</v>
      </c>
      <c r="W9" s="630" t="s">
        <v>545</v>
      </c>
      <c r="X9" s="630" t="s">
        <v>540</v>
      </c>
      <c r="Y9" s="630" t="s">
        <v>549</v>
      </c>
      <c r="Z9" s="630">
        <v>6.3130230000000003</v>
      </c>
      <c r="AA9" s="630">
        <v>10.159846</v>
      </c>
      <c r="AB9" s="631">
        <v>36888</v>
      </c>
      <c r="AC9" s="631">
        <v>3477706</v>
      </c>
      <c r="AD9" s="631">
        <f t="shared" si="0"/>
        <v>21954837.965238001</v>
      </c>
    </row>
    <row r="10" spans="1:30" x14ac:dyDescent="0.15">
      <c r="B10" s="630">
        <v>17031002629</v>
      </c>
      <c r="C10" s="630">
        <v>17031004508</v>
      </c>
      <c r="D10" s="630">
        <v>17031001414</v>
      </c>
      <c r="E10" s="630" t="s">
        <v>533</v>
      </c>
      <c r="F10" s="630" t="s">
        <v>534</v>
      </c>
      <c r="G10" s="630" t="s">
        <v>365</v>
      </c>
      <c r="H10" s="630" t="s">
        <v>551</v>
      </c>
      <c r="I10" s="630" t="s">
        <v>535</v>
      </c>
      <c r="J10" s="630" t="s">
        <v>552</v>
      </c>
      <c r="K10" s="630"/>
      <c r="L10" s="630"/>
      <c r="M10" s="630"/>
      <c r="N10" s="630"/>
      <c r="O10" s="630"/>
      <c r="P10" s="630"/>
      <c r="Q10" s="630"/>
      <c r="R10" s="630"/>
      <c r="S10" s="630" t="s">
        <v>553</v>
      </c>
      <c r="T10" s="630"/>
      <c r="U10" s="630" t="s">
        <v>538</v>
      </c>
      <c r="V10" s="630">
        <v>1</v>
      </c>
      <c r="W10" s="630" t="s">
        <v>545</v>
      </c>
      <c r="X10" s="630" t="s">
        <v>554</v>
      </c>
      <c r="Y10" s="630" t="s">
        <v>541</v>
      </c>
      <c r="Z10" s="630">
        <v>0.396453</v>
      </c>
      <c r="AA10" s="630">
        <v>0.63803100000000001</v>
      </c>
      <c r="AB10" s="631">
        <v>0</v>
      </c>
      <c r="AC10" s="631">
        <v>0</v>
      </c>
      <c r="AD10" s="631">
        <f t="shared" si="0"/>
        <v>0</v>
      </c>
    </row>
    <row r="11" spans="1:30" x14ac:dyDescent="0.15">
      <c r="B11" s="630">
        <v>17031004540</v>
      </c>
      <c r="C11" s="630">
        <v>17031001376</v>
      </c>
      <c r="D11" s="630">
        <v>17031001374</v>
      </c>
      <c r="E11" s="630" t="s">
        <v>533</v>
      </c>
      <c r="F11" s="630" t="s">
        <v>534</v>
      </c>
      <c r="G11" s="630" t="s">
        <v>365</v>
      </c>
      <c r="H11" s="630" t="s">
        <v>382</v>
      </c>
      <c r="I11" s="630"/>
      <c r="J11" s="630" t="s">
        <v>542</v>
      </c>
      <c r="K11" s="630" t="s">
        <v>551</v>
      </c>
      <c r="L11" s="630" t="s">
        <v>555</v>
      </c>
      <c r="M11" s="630" t="s">
        <v>552</v>
      </c>
      <c r="N11" s="630"/>
      <c r="O11" s="630"/>
      <c r="P11" s="630"/>
      <c r="Q11" s="630"/>
      <c r="R11" s="630"/>
      <c r="S11" s="630" t="s">
        <v>556</v>
      </c>
      <c r="T11" s="630"/>
      <c r="U11" s="630" t="s">
        <v>538</v>
      </c>
      <c r="V11" s="630">
        <v>2</v>
      </c>
      <c r="W11" s="630" t="s">
        <v>545</v>
      </c>
      <c r="X11" s="630" t="s">
        <v>540</v>
      </c>
      <c r="Y11" s="630" t="s">
        <v>540</v>
      </c>
      <c r="Z11" s="630">
        <v>4.9706E-2</v>
      </c>
      <c r="AA11" s="630">
        <v>7.9993999999999996E-2</v>
      </c>
      <c r="AB11" s="631">
        <v>45400</v>
      </c>
      <c r="AC11" s="631">
        <v>2103988</v>
      </c>
      <c r="AD11" s="631">
        <f t="shared" si="0"/>
        <v>104580.82752799999</v>
      </c>
    </row>
    <row r="12" spans="1:30" x14ac:dyDescent="0.15">
      <c r="B12" s="630">
        <v>17031005307</v>
      </c>
      <c r="C12" s="630">
        <v>17031001381</v>
      </c>
      <c r="D12" s="630">
        <v>17031001393</v>
      </c>
      <c r="E12" s="630" t="s">
        <v>533</v>
      </c>
      <c r="F12" s="630" t="s">
        <v>534</v>
      </c>
      <c r="G12" s="630" t="s">
        <v>365</v>
      </c>
      <c r="H12" s="630" t="s">
        <v>543</v>
      </c>
      <c r="I12" s="630"/>
      <c r="J12" s="630" t="s">
        <v>557</v>
      </c>
      <c r="K12" s="630"/>
      <c r="L12" s="630"/>
      <c r="M12" s="630"/>
      <c r="N12" s="630"/>
      <c r="O12" s="630"/>
      <c r="P12" s="630"/>
      <c r="Q12" s="630"/>
      <c r="R12" s="630"/>
      <c r="S12" s="630" t="s">
        <v>558</v>
      </c>
      <c r="T12" s="630"/>
      <c r="U12" s="630" t="s">
        <v>559</v>
      </c>
      <c r="V12" s="630">
        <v>1</v>
      </c>
      <c r="W12" s="630" t="s">
        <v>560</v>
      </c>
      <c r="X12" s="630" t="s">
        <v>541</v>
      </c>
      <c r="Y12" s="630" t="s">
        <v>541</v>
      </c>
      <c r="Z12" s="630">
        <v>0.13320399999999999</v>
      </c>
      <c r="AA12" s="630">
        <v>0.21437100000000001</v>
      </c>
      <c r="AB12" s="631">
        <v>0</v>
      </c>
      <c r="AC12" s="631">
        <v>0</v>
      </c>
      <c r="AD12" s="631">
        <f t="shared" si="0"/>
        <v>0</v>
      </c>
    </row>
    <row r="13" spans="1:30" x14ac:dyDescent="0.15">
      <c r="B13" s="630">
        <v>17089002034</v>
      </c>
      <c r="C13" s="630">
        <v>17089004843</v>
      </c>
      <c r="D13" s="630">
        <v>17089000305</v>
      </c>
      <c r="E13" s="630" t="s">
        <v>533</v>
      </c>
      <c r="F13" s="630" t="s">
        <v>534</v>
      </c>
      <c r="G13" s="630" t="s">
        <v>369</v>
      </c>
      <c r="H13" s="630" t="s">
        <v>382</v>
      </c>
      <c r="I13" s="630"/>
      <c r="J13" s="630"/>
      <c r="K13" s="630"/>
      <c r="L13" s="630"/>
      <c r="M13" s="630"/>
      <c r="N13" s="630"/>
      <c r="O13" s="630"/>
      <c r="P13" s="630"/>
      <c r="Q13" s="630"/>
      <c r="R13" s="630"/>
      <c r="S13" s="630" t="s">
        <v>561</v>
      </c>
      <c r="T13" s="630"/>
      <c r="U13" s="630" t="s">
        <v>538</v>
      </c>
      <c r="V13" s="630">
        <v>1</v>
      </c>
      <c r="W13" s="630" t="s">
        <v>562</v>
      </c>
      <c r="X13" s="630" t="s">
        <v>541</v>
      </c>
      <c r="Y13" s="630" t="s">
        <v>540</v>
      </c>
      <c r="Z13" s="630">
        <v>2.5395880000000002</v>
      </c>
      <c r="AA13" s="630">
        <v>4.0870800000000003</v>
      </c>
      <c r="AB13" s="631">
        <v>16124</v>
      </c>
      <c r="AC13" s="631">
        <v>373440</v>
      </c>
      <c r="AD13" s="631">
        <f t="shared" si="0"/>
        <v>948383.7427200001</v>
      </c>
    </row>
    <row r="14" spans="1:30" x14ac:dyDescent="0.15">
      <c r="B14" s="630">
        <v>17031003252</v>
      </c>
      <c r="C14" s="630">
        <v>17031001223</v>
      </c>
      <c r="D14" s="630">
        <v>17031001187</v>
      </c>
      <c r="E14" s="630" t="s">
        <v>533</v>
      </c>
      <c r="F14" s="630" t="s">
        <v>534</v>
      </c>
      <c r="G14" s="630" t="s">
        <v>365</v>
      </c>
      <c r="H14" s="630" t="s">
        <v>543</v>
      </c>
      <c r="I14" s="630"/>
      <c r="J14" s="630"/>
      <c r="K14" s="630"/>
      <c r="L14" s="630"/>
      <c r="M14" s="630"/>
      <c r="N14" s="630"/>
      <c r="O14" s="630"/>
      <c r="P14" s="630"/>
      <c r="Q14" s="630"/>
      <c r="R14" s="630"/>
      <c r="S14" s="630"/>
      <c r="T14" s="630"/>
      <c r="U14" s="630" t="s">
        <v>559</v>
      </c>
      <c r="V14" s="630">
        <v>1</v>
      </c>
      <c r="W14" s="630" t="s">
        <v>560</v>
      </c>
      <c r="X14" s="630" t="s">
        <v>541</v>
      </c>
      <c r="Y14" s="630" t="s">
        <v>541</v>
      </c>
      <c r="Z14" s="630">
        <v>1.738883</v>
      </c>
      <c r="AA14" s="630">
        <v>2.7984659999999999</v>
      </c>
      <c r="AB14" s="631">
        <v>0</v>
      </c>
      <c r="AC14" s="631">
        <v>0</v>
      </c>
      <c r="AD14" s="631">
        <f t="shared" si="0"/>
        <v>0</v>
      </c>
    </row>
    <row r="15" spans="1:30" x14ac:dyDescent="0.15">
      <c r="B15" s="630">
        <v>17043006231</v>
      </c>
      <c r="C15" s="630">
        <v>17043004881</v>
      </c>
      <c r="D15" s="630">
        <v>17043001186</v>
      </c>
      <c r="E15" s="630" t="s">
        <v>533</v>
      </c>
      <c r="F15" s="630" t="s">
        <v>534</v>
      </c>
      <c r="G15" s="630" t="s">
        <v>367</v>
      </c>
      <c r="H15" s="630" t="s">
        <v>381</v>
      </c>
      <c r="I15" s="630"/>
      <c r="J15" s="630"/>
      <c r="K15" s="630"/>
      <c r="L15" s="630"/>
      <c r="M15" s="630"/>
      <c r="N15" s="630"/>
      <c r="O15" s="630"/>
      <c r="P15" s="630"/>
      <c r="Q15" s="630"/>
      <c r="R15" s="630"/>
      <c r="S15" s="630"/>
      <c r="T15" s="630"/>
      <c r="U15" s="630" t="s">
        <v>559</v>
      </c>
      <c r="V15" s="630">
        <v>1</v>
      </c>
      <c r="W15" s="630" t="s">
        <v>560</v>
      </c>
      <c r="X15" s="630" t="s">
        <v>541</v>
      </c>
      <c r="Y15" s="630" t="s">
        <v>541</v>
      </c>
      <c r="Z15" s="630">
        <v>3.3726790000000002</v>
      </c>
      <c r="AA15" s="630">
        <v>5.4278120000000003</v>
      </c>
      <c r="AB15" s="631">
        <v>0</v>
      </c>
      <c r="AC15" s="631">
        <v>0</v>
      </c>
      <c r="AD15" s="631">
        <f t="shared" si="0"/>
        <v>0</v>
      </c>
    </row>
    <row r="16" spans="1:30" x14ac:dyDescent="0.15">
      <c r="B16" s="630">
        <v>17111001978</v>
      </c>
      <c r="C16" s="630">
        <v>17111000112</v>
      </c>
      <c r="D16" s="630">
        <v>17111000081</v>
      </c>
      <c r="E16" s="630" t="s">
        <v>533</v>
      </c>
      <c r="F16" s="630" t="s">
        <v>534</v>
      </c>
      <c r="G16" s="630" t="s">
        <v>375</v>
      </c>
      <c r="H16" s="630" t="s">
        <v>382</v>
      </c>
      <c r="I16" s="630"/>
      <c r="J16" s="630" t="s">
        <v>547</v>
      </c>
      <c r="K16" s="630"/>
      <c r="L16" s="630"/>
      <c r="M16" s="630"/>
      <c r="N16" s="630"/>
      <c r="O16" s="630"/>
      <c r="P16" s="630"/>
      <c r="Q16" s="630"/>
      <c r="R16" s="630"/>
      <c r="S16" s="630" t="s">
        <v>376</v>
      </c>
      <c r="T16" s="630"/>
      <c r="U16" s="630" t="s">
        <v>538</v>
      </c>
      <c r="V16" s="630">
        <v>1</v>
      </c>
      <c r="W16" s="630" t="s">
        <v>562</v>
      </c>
      <c r="X16" s="630" t="s">
        <v>541</v>
      </c>
      <c r="Y16" s="630" t="s">
        <v>540</v>
      </c>
      <c r="Z16" s="630">
        <v>2.5746950000000002</v>
      </c>
      <c r="AA16" s="630">
        <v>4.1435779999999998</v>
      </c>
      <c r="AB16" s="631">
        <v>40</v>
      </c>
      <c r="AC16" s="631">
        <v>3840</v>
      </c>
      <c r="AD16" s="631">
        <f t="shared" si="0"/>
        <v>9886.8288000000011</v>
      </c>
    </row>
    <row r="17" spans="2:30" x14ac:dyDescent="0.15">
      <c r="B17" s="630">
        <v>17031003839</v>
      </c>
      <c r="C17" s="630">
        <v>17031004620</v>
      </c>
      <c r="D17" s="630">
        <v>17031004619</v>
      </c>
      <c r="E17" s="630" t="s">
        <v>533</v>
      </c>
      <c r="F17" s="630" t="s">
        <v>534</v>
      </c>
      <c r="G17" s="630" t="s">
        <v>365</v>
      </c>
      <c r="H17" s="630" t="s">
        <v>552</v>
      </c>
      <c r="I17" s="630"/>
      <c r="J17" s="630" t="s">
        <v>542</v>
      </c>
      <c r="K17" s="630" t="s">
        <v>547</v>
      </c>
      <c r="L17" s="630" t="s">
        <v>563</v>
      </c>
      <c r="M17" s="630"/>
      <c r="N17" s="630"/>
      <c r="O17" s="630"/>
      <c r="P17" s="630"/>
      <c r="Q17" s="630"/>
      <c r="R17" s="630"/>
      <c r="S17" s="630" t="s">
        <v>564</v>
      </c>
      <c r="T17" s="630"/>
      <c r="U17" s="630" t="s">
        <v>538</v>
      </c>
      <c r="V17" s="630">
        <v>2</v>
      </c>
      <c r="W17" s="630" t="s">
        <v>545</v>
      </c>
      <c r="X17" s="630" t="s">
        <v>541</v>
      </c>
      <c r="Y17" s="630" t="s">
        <v>549</v>
      </c>
      <c r="Z17" s="630">
        <v>1.334903</v>
      </c>
      <c r="AA17" s="630">
        <v>2.148323</v>
      </c>
      <c r="AB17" s="631">
        <v>27538</v>
      </c>
      <c r="AC17" s="631">
        <v>2609253</v>
      </c>
      <c r="AD17" s="631">
        <f t="shared" si="0"/>
        <v>3483099.6574589997</v>
      </c>
    </row>
    <row r="18" spans="2:30" x14ac:dyDescent="0.15">
      <c r="B18" s="630">
        <v>17031002220</v>
      </c>
      <c r="C18" s="630">
        <v>17031004579</v>
      </c>
      <c r="D18" s="630">
        <v>17031004578</v>
      </c>
      <c r="E18" s="630" t="s">
        <v>533</v>
      </c>
      <c r="F18" s="630" t="s">
        <v>534</v>
      </c>
      <c r="G18" s="630" t="s">
        <v>365</v>
      </c>
      <c r="H18" s="630" t="s">
        <v>382</v>
      </c>
      <c r="I18" s="630"/>
      <c r="J18" s="630" t="s">
        <v>547</v>
      </c>
      <c r="K18" s="630"/>
      <c r="L18" s="630"/>
      <c r="M18" s="630"/>
      <c r="N18" s="630"/>
      <c r="O18" s="630"/>
      <c r="P18" s="630"/>
      <c r="Q18" s="630"/>
      <c r="R18" s="630"/>
      <c r="S18" s="630" t="s">
        <v>565</v>
      </c>
      <c r="T18" s="630"/>
      <c r="U18" s="630" t="s">
        <v>538</v>
      </c>
      <c r="V18" s="630">
        <v>2</v>
      </c>
      <c r="W18" s="630" t="s">
        <v>566</v>
      </c>
      <c r="X18" s="630" t="s">
        <v>541</v>
      </c>
      <c r="Y18" s="630" t="s">
        <v>549</v>
      </c>
      <c r="Z18" s="630">
        <v>0.719634</v>
      </c>
      <c r="AA18" s="630">
        <v>1.1581399999999999</v>
      </c>
      <c r="AB18" s="631">
        <v>0</v>
      </c>
      <c r="AC18" s="631">
        <v>0</v>
      </c>
      <c r="AD18" s="631">
        <f t="shared" si="0"/>
        <v>0</v>
      </c>
    </row>
    <row r="19" spans="2:30" x14ac:dyDescent="0.15">
      <c r="B19" s="630">
        <v>17031006297</v>
      </c>
      <c r="C19" s="630">
        <v>17031007033</v>
      </c>
      <c r="D19" s="630">
        <v>17031007032</v>
      </c>
      <c r="E19" s="630" t="s">
        <v>533</v>
      </c>
      <c r="F19" s="630" t="s">
        <v>534</v>
      </c>
      <c r="G19" s="630" t="s">
        <v>365</v>
      </c>
      <c r="H19" s="630" t="s">
        <v>557</v>
      </c>
      <c r="I19" s="630"/>
      <c r="J19" s="630"/>
      <c r="K19" s="630"/>
      <c r="L19" s="630"/>
      <c r="M19" s="630"/>
      <c r="N19" s="630"/>
      <c r="O19" s="630"/>
      <c r="P19" s="630"/>
      <c r="Q19" s="630"/>
      <c r="R19" s="630"/>
      <c r="S19" s="630" t="s">
        <v>567</v>
      </c>
      <c r="T19" s="630" t="s">
        <v>568</v>
      </c>
      <c r="U19" s="630" t="s">
        <v>559</v>
      </c>
      <c r="V19" s="630">
        <v>1</v>
      </c>
      <c r="W19" s="630" t="s">
        <v>560</v>
      </c>
      <c r="X19" s="630" t="s">
        <v>541</v>
      </c>
      <c r="Y19" s="630" t="s">
        <v>541</v>
      </c>
      <c r="Z19" s="630">
        <v>0.66000599999999998</v>
      </c>
      <c r="AA19" s="630">
        <v>1.062179</v>
      </c>
      <c r="AB19" s="631">
        <v>284</v>
      </c>
      <c r="AC19" s="631">
        <v>28772</v>
      </c>
      <c r="AD19" s="631">
        <f t="shared" si="0"/>
        <v>18989.692631999998</v>
      </c>
    </row>
    <row r="20" spans="2:30" x14ac:dyDescent="0.15">
      <c r="B20" s="630">
        <v>17031003002</v>
      </c>
      <c r="C20" s="630">
        <v>17031001364</v>
      </c>
      <c r="D20" s="630">
        <v>17031001363</v>
      </c>
      <c r="E20" s="630" t="s">
        <v>533</v>
      </c>
      <c r="F20" s="630" t="s">
        <v>534</v>
      </c>
      <c r="G20" s="630" t="s">
        <v>365</v>
      </c>
      <c r="H20" s="630" t="s">
        <v>557</v>
      </c>
      <c r="I20" s="630"/>
      <c r="J20" s="630" t="s">
        <v>569</v>
      </c>
      <c r="K20" s="630" t="s">
        <v>535</v>
      </c>
      <c r="L20" s="630" t="s">
        <v>551</v>
      </c>
      <c r="M20" s="630" t="s">
        <v>543</v>
      </c>
      <c r="N20" s="630" t="s">
        <v>382</v>
      </c>
      <c r="O20" s="630" t="s">
        <v>552</v>
      </c>
      <c r="P20" s="630" t="s">
        <v>555</v>
      </c>
      <c r="Q20" s="630"/>
      <c r="R20" s="630"/>
      <c r="S20" s="630" t="s">
        <v>570</v>
      </c>
      <c r="T20" s="630"/>
      <c r="U20" s="630" t="s">
        <v>538</v>
      </c>
      <c r="V20" s="630">
        <v>2</v>
      </c>
      <c r="W20" s="630" t="s">
        <v>545</v>
      </c>
      <c r="X20" s="630" t="s">
        <v>546</v>
      </c>
      <c r="Y20" s="630" t="s">
        <v>554</v>
      </c>
      <c r="Z20" s="630">
        <v>0.58762300000000001</v>
      </c>
      <c r="AA20" s="630">
        <v>0.945689</v>
      </c>
      <c r="AB20" s="631">
        <v>1071149</v>
      </c>
      <c r="AC20" s="631">
        <v>31664523</v>
      </c>
      <c r="AD20" s="631">
        <f t="shared" si="0"/>
        <v>18606801.998829</v>
      </c>
    </row>
    <row r="21" spans="2:30" x14ac:dyDescent="0.15">
      <c r="B21" s="630">
        <v>17031003604</v>
      </c>
      <c r="C21" s="630">
        <v>17031001005</v>
      </c>
      <c r="D21" s="630">
        <v>17031001008</v>
      </c>
      <c r="E21" s="630" t="s">
        <v>533</v>
      </c>
      <c r="F21" s="630" t="s">
        <v>534</v>
      </c>
      <c r="G21" s="630" t="s">
        <v>365</v>
      </c>
      <c r="H21" s="630" t="s">
        <v>571</v>
      </c>
      <c r="I21" s="630"/>
      <c r="J21" s="630" t="s">
        <v>381</v>
      </c>
      <c r="K21" s="630" t="s">
        <v>535</v>
      </c>
      <c r="L21" s="630" t="s">
        <v>552</v>
      </c>
      <c r="M21" s="630" t="s">
        <v>572</v>
      </c>
      <c r="N21" s="630" t="s">
        <v>551</v>
      </c>
      <c r="O21" s="630" t="s">
        <v>555</v>
      </c>
      <c r="P21" s="630" t="s">
        <v>543</v>
      </c>
      <c r="Q21" s="630" t="s">
        <v>382</v>
      </c>
      <c r="R21" s="630"/>
      <c r="S21" s="630" t="s">
        <v>573</v>
      </c>
      <c r="T21" s="630" t="s">
        <v>574</v>
      </c>
      <c r="U21" s="630" t="s">
        <v>538</v>
      </c>
      <c r="V21" s="630">
        <v>2</v>
      </c>
      <c r="W21" s="630" t="s">
        <v>545</v>
      </c>
      <c r="X21" s="630" t="s">
        <v>575</v>
      </c>
      <c r="Y21" s="630" t="s">
        <v>554</v>
      </c>
      <c r="Z21" s="630">
        <v>0.22281899999999999</v>
      </c>
      <c r="AA21" s="630">
        <v>0.35859400000000002</v>
      </c>
      <c r="AB21" s="631">
        <v>371285</v>
      </c>
      <c r="AC21" s="631">
        <v>16601511</v>
      </c>
      <c r="AD21" s="631">
        <f t="shared" si="0"/>
        <v>3699132.0795089998</v>
      </c>
    </row>
    <row r="22" spans="2:30" x14ac:dyDescent="0.15">
      <c r="B22" s="630">
        <v>17031004247</v>
      </c>
      <c r="C22" s="630">
        <v>17031001576</v>
      </c>
      <c r="D22" s="630">
        <v>17031001583</v>
      </c>
      <c r="E22" s="630" t="s">
        <v>533</v>
      </c>
      <c r="F22" s="630" t="s">
        <v>534</v>
      </c>
      <c r="G22" s="630" t="s">
        <v>365</v>
      </c>
      <c r="H22" s="630" t="s">
        <v>382</v>
      </c>
      <c r="I22" s="630"/>
      <c r="J22" s="630"/>
      <c r="K22" s="630"/>
      <c r="L22" s="630"/>
      <c r="M22" s="630"/>
      <c r="N22" s="630"/>
      <c r="O22" s="630"/>
      <c r="P22" s="630"/>
      <c r="Q22" s="630"/>
      <c r="R22" s="630"/>
      <c r="S22" s="630" t="s">
        <v>576</v>
      </c>
      <c r="T22" s="630"/>
      <c r="U22" s="630" t="s">
        <v>559</v>
      </c>
      <c r="V22" s="630">
        <v>1</v>
      </c>
      <c r="W22" s="630" t="s">
        <v>560</v>
      </c>
      <c r="X22" s="630" t="s">
        <v>541</v>
      </c>
      <c r="Y22" s="630" t="s">
        <v>541</v>
      </c>
      <c r="Z22" s="630">
        <v>1.237946</v>
      </c>
      <c r="AA22" s="630">
        <v>1.9922850000000001</v>
      </c>
      <c r="AB22" s="631">
        <v>0</v>
      </c>
      <c r="AC22" s="631">
        <v>0</v>
      </c>
      <c r="AD22" s="631">
        <f t="shared" si="0"/>
        <v>0</v>
      </c>
    </row>
    <row r="23" spans="2:30" x14ac:dyDescent="0.15">
      <c r="B23" s="630">
        <v>17031009498</v>
      </c>
      <c r="C23" s="630">
        <v>17031007596</v>
      </c>
      <c r="D23" s="630">
        <v>17031007586</v>
      </c>
      <c r="E23" s="630" t="s">
        <v>533</v>
      </c>
      <c r="F23" s="630" t="s">
        <v>534</v>
      </c>
      <c r="G23" s="630" t="s">
        <v>365</v>
      </c>
      <c r="H23" s="630" t="s">
        <v>535</v>
      </c>
      <c r="I23" s="630"/>
      <c r="J23" s="630" t="s">
        <v>547</v>
      </c>
      <c r="K23" s="630"/>
      <c r="L23" s="630"/>
      <c r="M23" s="630"/>
      <c r="N23" s="630"/>
      <c r="O23" s="630"/>
      <c r="P23" s="630"/>
      <c r="Q23" s="630"/>
      <c r="R23" s="630"/>
      <c r="S23" s="630" t="s">
        <v>548</v>
      </c>
      <c r="T23" s="630"/>
      <c r="U23" s="630" t="s">
        <v>538</v>
      </c>
      <c r="V23" s="630">
        <v>2</v>
      </c>
      <c r="W23" s="630" t="s">
        <v>545</v>
      </c>
      <c r="X23" s="630" t="s">
        <v>546</v>
      </c>
      <c r="Y23" s="630" t="s">
        <v>549</v>
      </c>
      <c r="Z23" s="630">
        <v>0.60348800000000002</v>
      </c>
      <c r="AA23" s="630">
        <v>0.971221</v>
      </c>
      <c r="AB23" s="631">
        <v>805460</v>
      </c>
      <c r="AC23" s="631">
        <v>39336999</v>
      </c>
      <c r="AD23" s="631">
        <f t="shared" si="0"/>
        <v>23739406.852512002</v>
      </c>
    </row>
    <row r="24" spans="2:30" x14ac:dyDescent="0.15">
      <c r="B24" s="630">
        <v>17031002306</v>
      </c>
      <c r="C24" s="630">
        <v>17031001077</v>
      </c>
      <c r="D24" s="630">
        <v>17031001108</v>
      </c>
      <c r="E24" s="630" t="s">
        <v>533</v>
      </c>
      <c r="F24" s="630" t="s">
        <v>534</v>
      </c>
      <c r="G24" s="630" t="s">
        <v>365</v>
      </c>
      <c r="H24" s="630" t="s">
        <v>577</v>
      </c>
      <c r="I24" s="630"/>
      <c r="J24" s="630"/>
      <c r="K24" s="630"/>
      <c r="L24" s="630"/>
      <c r="M24" s="630"/>
      <c r="N24" s="630"/>
      <c r="O24" s="630"/>
      <c r="P24" s="630"/>
      <c r="Q24" s="630"/>
      <c r="R24" s="630"/>
      <c r="S24" s="630"/>
      <c r="T24" s="630"/>
      <c r="U24" s="630" t="s">
        <v>538</v>
      </c>
      <c r="V24" s="630">
        <v>1</v>
      </c>
      <c r="W24" s="630" t="s">
        <v>560</v>
      </c>
      <c r="X24" s="630" t="s">
        <v>541</v>
      </c>
      <c r="Y24" s="630" t="s">
        <v>541</v>
      </c>
      <c r="Z24" s="630">
        <v>2.7798020000000001</v>
      </c>
      <c r="AA24" s="630">
        <v>4.4736669999999998</v>
      </c>
      <c r="AB24" s="631">
        <v>0</v>
      </c>
      <c r="AC24" s="631">
        <v>0</v>
      </c>
      <c r="AD24" s="631">
        <f t="shared" si="0"/>
        <v>0</v>
      </c>
    </row>
    <row r="25" spans="2:30" x14ac:dyDescent="0.15">
      <c r="B25" s="630">
        <v>17089002010</v>
      </c>
      <c r="C25" s="630">
        <v>17089001055</v>
      </c>
      <c r="D25" s="630">
        <v>17089001050</v>
      </c>
      <c r="E25" s="630" t="s">
        <v>533</v>
      </c>
      <c r="F25" s="630" t="s">
        <v>534</v>
      </c>
      <c r="G25" s="630" t="s">
        <v>369</v>
      </c>
      <c r="H25" s="630" t="s">
        <v>381</v>
      </c>
      <c r="I25" s="630"/>
      <c r="J25" s="630" t="s">
        <v>542</v>
      </c>
      <c r="K25" s="630" t="s">
        <v>578</v>
      </c>
      <c r="L25" s="630" t="s">
        <v>382</v>
      </c>
      <c r="M25" s="630"/>
      <c r="N25" s="630"/>
      <c r="O25" s="630"/>
      <c r="P25" s="630"/>
      <c r="Q25" s="630"/>
      <c r="R25" s="630"/>
      <c r="S25" s="630" t="s">
        <v>579</v>
      </c>
      <c r="T25" s="630"/>
      <c r="U25" s="630" t="s">
        <v>538</v>
      </c>
      <c r="V25" s="630">
        <v>2</v>
      </c>
      <c r="W25" s="630" t="s">
        <v>545</v>
      </c>
      <c r="X25" s="630" t="s">
        <v>580</v>
      </c>
      <c r="Y25" s="630" t="s">
        <v>549</v>
      </c>
      <c r="Z25" s="630">
        <v>0.72587900000000005</v>
      </c>
      <c r="AA25" s="630">
        <v>1.1681919999999999</v>
      </c>
      <c r="AB25" s="631">
        <v>327388</v>
      </c>
      <c r="AC25" s="631">
        <v>21126397</v>
      </c>
      <c r="AD25" s="631">
        <f t="shared" si="0"/>
        <v>15335207.927963002</v>
      </c>
    </row>
    <row r="26" spans="2:30" x14ac:dyDescent="0.15">
      <c r="B26" s="630">
        <v>17031003638</v>
      </c>
      <c r="C26" s="630">
        <v>17031001030</v>
      </c>
      <c r="D26" s="630">
        <v>17031000920</v>
      </c>
      <c r="E26" s="630" t="s">
        <v>533</v>
      </c>
      <c r="F26" s="630" t="s">
        <v>534</v>
      </c>
      <c r="G26" s="630" t="s">
        <v>365</v>
      </c>
      <c r="H26" s="630" t="s">
        <v>547</v>
      </c>
      <c r="I26" s="630"/>
      <c r="J26" s="630" t="s">
        <v>577</v>
      </c>
      <c r="K26" s="630"/>
      <c r="L26" s="630"/>
      <c r="M26" s="630"/>
      <c r="N26" s="630"/>
      <c r="O26" s="630"/>
      <c r="P26" s="630"/>
      <c r="Q26" s="630"/>
      <c r="R26" s="630"/>
      <c r="S26" s="630" t="s">
        <v>581</v>
      </c>
      <c r="T26" s="630"/>
      <c r="U26" s="630" t="s">
        <v>538</v>
      </c>
      <c r="V26" s="630">
        <v>2</v>
      </c>
      <c r="W26" s="630" t="s">
        <v>582</v>
      </c>
      <c r="X26" s="630" t="s">
        <v>541</v>
      </c>
      <c r="Y26" s="630" t="s">
        <v>540</v>
      </c>
      <c r="Z26" s="630">
        <v>2.9531239999999999</v>
      </c>
      <c r="AA26" s="630">
        <v>4.7526029999999997</v>
      </c>
      <c r="AB26" s="631">
        <v>0</v>
      </c>
      <c r="AC26" s="631">
        <v>0</v>
      </c>
      <c r="AD26" s="631">
        <f t="shared" si="0"/>
        <v>0</v>
      </c>
    </row>
    <row r="27" spans="2:30" x14ac:dyDescent="0.15">
      <c r="B27" s="630">
        <v>17031004286</v>
      </c>
      <c r="C27" s="630">
        <v>17031000703</v>
      </c>
      <c r="D27" s="630">
        <v>17031000720</v>
      </c>
      <c r="E27" s="630" t="s">
        <v>533</v>
      </c>
      <c r="F27" s="630" t="s">
        <v>534</v>
      </c>
      <c r="G27" s="630" t="s">
        <v>365</v>
      </c>
      <c r="H27" s="630" t="s">
        <v>571</v>
      </c>
      <c r="I27" s="630"/>
      <c r="J27" s="630" t="s">
        <v>535</v>
      </c>
      <c r="K27" s="630" t="s">
        <v>552</v>
      </c>
      <c r="L27" s="630" t="s">
        <v>551</v>
      </c>
      <c r="M27" s="630" t="s">
        <v>563</v>
      </c>
      <c r="N27" s="630" t="s">
        <v>543</v>
      </c>
      <c r="O27" s="630"/>
      <c r="P27" s="630"/>
      <c r="Q27" s="630"/>
      <c r="R27" s="630"/>
      <c r="S27" s="630" t="s">
        <v>573</v>
      </c>
      <c r="T27" s="630"/>
      <c r="U27" s="630" t="s">
        <v>538</v>
      </c>
      <c r="V27" s="630">
        <v>2</v>
      </c>
      <c r="W27" s="630" t="s">
        <v>545</v>
      </c>
      <c r="X27" s="630" t="s">
        <v>580</v>
      </c>
      <c r="Y27" s="630" t="s">
        <v>554</v>
      </c>
      <c r="Z27" s="630">
        <v>1.0305260000000001</v>
      </c>
      <c r="AA27" s="630">
        <v>1.6584749999999999</v>
      </c>
      <c r="AB27" s="631">
        <v>130640</v>
      </c>
      <c r="AC27" s="631">
        <v>4790847</v>
      </c>
      <c r="AD27" s="631">
        <f t="shared" si="0"/>
        <v>4937092.3955220003</v>
      </c>
    </row>
    <row r="28" spans="2:30" x14ac:dyDescent="0.15">
      <c r="B28" s="630">
        <v>17097001935</v>
      </c>
      <c r="C28" s="630">
        <v>17097000082</v>
      </c>
      <c r="D28" s="630">
        <v>17097000079</v>
      </c>
      <c r="E28" s="630" t="s">
        <v>533</v>
      </c>
      <c r="F28" s="630" t="s">
        <v>534</v>
      </c>
      <c r="G28" s="630" t="s">
        <v>373</v>
      </c>
      <c r="H28" s="630" t="s">
        <v>535</v>
      </c>
      <c r="I28" s="630"/>
      <c r="J28" s="630" t="s">
        <v>382</v>
      </c>
      <c r="K28" s="630"/>
      <c r="L28" s="630"/>
      <c r="M28" s="630"/>
      <c r="N28" s="630"/>
      <c r="O28" s="630"/>
      <c r="P28" s="630"/>
      <c r="Q28" s="630"/>
      <c r="R28" s="630"/>
      <c r="S28" s="630" t="s">
        <v>550</v>
      </c>
      <c r="T28" s="630"/>
      <c r="U28" s="630" t="s">
        <v>538</v>
      </c>
      <c r="V28" s="630">
        <v>1</v>
      </c>
      <c r="W28" s="630" t="s">
        <v>560</v>
      </c>
      <c r="X28" s="630" t="s">
        <v>541</v>
      </c>
      <c r="Y28" s="630" t="s">
        <v>554</v>
      </c>
      <c r="Z28" s="630">
        <v>0.22680500000000001</v>
      </c>
      <c r="AA28" s="630">
        <v>0.36500899999999997</v>
      </c>
      <c r="AB28" s="631">
        <v>520</v>
      </c>
      <c r="AC28" s="631">
        <v>37720</v>
      </c>
      <c r="AD28" s="631">
        <f t="shared" si="0"/>
        <v>8555.0846000000001</v>
      </c>
    </row>
    <row r="29" spans="2:30" x14ac:dyDescent="0.15">
      <c r="B29" s="630">
        <v>17031003107</v>
      </c>
      <c r="C29" s="630">
        <v>17031001566</v>
      </c>
      <c r="D29" s="630">
        <v>17031001543</v>
      </c>
      <c r="E29" s="630" t="s">
        <v>533</v>
      </c>
      <c r="F29" s="630" t="s">
        <v>534</v>
      </c>
      <c r="G29" s="630" t="s">
        <v>365</v>
      </c>
      <c r="H29" s="630" t="s">
        <v>382</v>
      </c>
      <c r="I29" s="630"/>
      <c r="J29" s="630" t="s">
        <v>551</v>
      </c>
      <c r="K29" s="630" t="s">
        <v>555</v>
      </c>
      <c r="L29" s="630" t="s">
        <v>552</v>
      </c>
      <c r="M29" s="630"/>
      <c r="N29" s="630"/>
      <c r="O29" s="630"/>
      <c r="P29" s="630"/>
      <c r="Q29" s="630"/>
      <c r="R29" s="630"/>
      <c r="S29" s="630" t="s">
        <v>556</v>
      </c>
      <c r="T29" s="630"/>
      <c r="U29" s="630" t="s">
        <v>538</v>
      </c>
      <c r="V29" s="630">
        <v>2</v>
      </c>
      <c r="W29" s="630" t="s">
        <v>545</v>
      </c>
      <c r="X29" s="630" t="s">
        <v>580</v>
      </c>
      <c r="Y29" s="630" t="s">
        <v>540</v>
      </c>
      <c r="Z29" s="630">
        <v>1.0771630000000001</v>
      </c>
      <c r="AA29" s="630">
        <v>1.7335290000000001</v>
      </c>
      <c r="AB29" s="631">
        <v>863416</v>
      </c>
      <c r="AC29" s="631">
        <v>33596941</v>
      </c>
      <c r="AD29" s="631">
        <f t="shared" si="0"/>
        <v>36189381.758383006</v>
      </c>
    </row>
    <row r="30" spans="2:30" x14ac:dyDescent="0.15">
      <c r="B30" s="630">
        <v>17089003099</v>
      </c>
      <c r="C30" s="630">
        <v>17089001050</v>
      </c>
      <c r="D30" s="630">
        <v>17089001038</v>
      </c>
      <c r="E30" s="630" t="s">
        <v>533</v>
      </c>
      <c r="F30" s="630" t="s">
        <v>534</v>
      </c>
      <c r="G30" s="630" t="s">
        <v>369</v>
      </c>
      <c r="H30" s="630" t="s">
        <v>381</v>
      </c>
      <c r="I30" s="630"/>
      <c r="J30" s="630" t="s">
        <v>542</v>
      </c>
      <c r="K30" s="630" t="s">
        <v>578</v>
      </c>
      <c r="L30" s="630" t="s">
        <v>382</v>
      </c>
      <c r="M30" s="630"/>
      <c r="N30" s="630"/>
      <c r="O30" s="630"/>
      <c r="P30" s="630"/>
      <c r="Q30" s="630"/>
      <c r="R30" s="630"/>
      <c r="S30" s="630" t="s">
        <v>579</v>
      </c>
      <c r="T30" s="630"/>
      <c r="U30" s="630" t="s">
        <v>538</v>
      </c>
      <c r="V30" s="630">
        <v>2</v>
      </c>
      <c r="W30" s="630" t="s">
        <v>545</v>
      </c>
      <c r="X30" s="630" t="s">
        <v>575</v>
      </c>
      <c r="Y30" s="630" t="s">
        <v>549</v>
      </c>
      <c r="Z30" s="630">
        <v>0.74954399999999999</v>
      </c>
      <c r="AA30" s="630">
        <v>1.206277</v>
      </c>
      <c r="AB30" s="631">
        <v>1187585</v>
      </c>
      <c r="AC30" s="631">
        <v>47037792</v>
      </c>
      <c r="AD30" s="631">
        <f t="shared" si="0"/>
        <v>35256894.766847998</v>
      </c>
    </row>
    <row r="31" spans="2:30" x14ac:dyDescent="0.15">
      <c r="B31" s="630">
        <v>17031003617</v>
      </c>
      <c r="C31" s="630">
        <v>17031000580</v>
      </c>
      <c r="D31" s="630">
        <v>17031000577</v>
      </c>
      <c r="E31" s="630" t="s">
        <v>533</v>
      </c>
      <c r="F31" s="630" t="s">
        <v>534</v>
      </c>
      <c r="G31" s="630" t="s">
        <v>365</v>
      </c>
      <c r="H31" s="630" t="s">
        <v>382</v>
      </c>
      <c r="I31" s="630"/>
      <c r="J31" s="630" t="s">
        <v>572</v>
      </c>
      <c r="K31" s="630" t="s">
        <v>547</v>
      </c>
      <c r="L31" s="630"/>
      <c r="M31" s="630"/>
      <c r="N31" s="630"/>
      <c r="O31" s="630"/>
      <c r="P31" s="630"/>
      <c r="Q31" s="630"/>
      <c r="R31" s="630"/>
      <c r="S31" s="630" t="s">
        <v>583</v>
      </c>
      <c r="T31" s="630"/>
      <c r="U31" s="630" t="s">
        <v>538</v>
      </c>
      <c r="V31" s="630">
        <v>3</v>
      </c>
      <c r="W31" s="630" t="s">
        <v>545</v>
      </c>
      <c r="X31" s="630" t="s">
        <v>580</v>
      </c>
      <c r="Y31" s="630" t="s">
        <v>549</v>
      </c>
      <c r="Z31" s="630">
        <v>0.29748400000000003</v>
      </c>
      <c r="AA31" s="630">
        <v>0.47875400000000001</v>
      </c>
      <c r="AB31" s="631">
        <v>858401</v>
      </c>
      <c r="AC31" s="631">
        <v>28501686</v>
      </c>
      <c r="AD31" s="631">
        <f t="shared" si="0"/>
        <v>8478795.5580240004</v>
      </c>
    </row>
    <row r="32" spans="2:30" x14ac:dyDescent="0.15">
      <c r="B32" s="630">
        <v>17031003849</v>
      </c>
      <c r="C32" s="630">
        <v>17031001359</v>
      </c>
      <c r="D32" s="630">
        <v>17031001367</v>
      </c>
      <c r="E32" s="630" t="s">
        <v>533</v>
      </c>
      <c r="F32" s="630" t="s">
        <v>534</v>
      </c>
      <c r="G32" s="630" t="s">
        <v>365</v>
      </c>
      <c r="H32" s="630" t="s">
        <v>557</v>
      </c>
      <c r="I32" s="630"/>
      <c r="J32" s="630" t="s">
        <v>569</v>
      </c>
      <c r="K32" s="630" t="s">
        <v>535</v>
      </c>
      <c r="L32" s="630" t="s">
        <v>551</v>
      </c>
      <c r="M32" s="630" t="s">
        <v>543</v>
      </c>
      <c r="N32" s="630" t="s">
        <v>382</v>
      </c>
      <c r="O32" s="630" t="s">
        <v>552</v>
      </c>
      <c r="P32" s="630"/>
      <c r="Q32" s="630"/>
      <c r="R32" s="630"/>
      <c r="S32" s="630" t="s">
        <v>570</v>
      </c>
      <c r="T32" s="630"/>
      <c r="U32" s="630" t="s">
        <v>538</v>
      </c>
      <c r="V32" s="630">
        <v>2</v>
      </c>
      <c r="W32" s="630" t="s">
        <v>545</v>
      </c>
      <c r="X32" s="630" t="s">
        <v>540</v>
      </c>
      <c r="Y32" s="630" t="s">
        <v>540</v>
      </c>
      <c r="Z32" s="630">
        <v>0.113728</v>
      </c>
      <c r="AA32" s="630">
        <v>0.183027</v>
      </c>
      <c r="AB32" s="631">
        <v>613026</v>
      </c>
      <c r="AC32" s="631">
        <v>12992048</v>
      </c>
      <c r="AD32" s="631">
        <f t="shared" si="0"/>
        <v>1477559.634944</v>
      </c>
    </row>
    <row r="33" spans="2:30" x14ac:dyDescent="0.15">
      <c r="B33" s="630">
        <v>17031009660</v>
      </c>
      <c r="C33" s="630">
        <v>17031007743</v>
      </c>
      <c r="D33" s="630">
        <v>17031007741</v>
      </c>
      <c r="E33" s="630" t="s">
        <v>533</v>
      </c>
      <c r="F33" s="630" t="s">
        <v>534</v>
      </c>
      <c r="G33" s="630" t="s">
        <v>365</v>
      </c>
      <c r="H33" s="630" t="s">
        <v>557</v>
      </c>
      <c r="I33" s="630"/>
      <c r="J33" s="630" t="s">
        <v>381</v>
      </c>
      <c r="K33" s="630" t="s">
        <v>535</v>
      </c>
      <c r="L33" s="630" t="s">
        <v>552</v>
      </c>
      <c r="M33" s="630" t="s">
        <v>551</v>
      </c>
      <c r="N33" s="630" t="s">
        <v>543</v>
      </c>
      <c r="O33" s="630" t="s">
        <v>382</v>
      </c>
      <c r="P33" s="630"/>
      <c r="Q33" s="630"/>
      <c r="R33" s="630"/>
      <c r="S33" s="630" t="s">
        <v>570</v>
      </c>
      <c r="T33" s="630"/>
      <c r="U33" s="630" t="s">
        <v>538</v>
      </c>
      <c r="V33" s="630">
        <v>2</v>
      </c>
      <c r="W33" s="630" t="s">
        <v>545</v>
      </c>
      <c r="X33" s="630" t="s">
        <v>575</v>
      </c>
      <c r="Y33" s="630" t="s">
        <v>540</v>
      </c>
      <c r="Z33" s="630">
        <v>0.33642699999999998</v>
      </c>
      <c r="AA33" s="630">
        <v>0.54142699999999999</v>
      </c>
      <c r="AB33" s="631">
        <v>1871730</v>
      </c>
      <c r="AC33" s="631">
        <v>61772651</v>
      </c>
      <c r="AD33" s="631">
        <f t="shared" si="0"/>
        <v>20781987.657977</v>
      </c>
    </row>
    <row r="34" spans="2:30" x14ac:dyDescent="0.15">
      <c r="B34" s="630">
        <v>17031001971</v>
      </c>
      <c r="C34" s="630">
        <v>17031001404</v>
      </c>
      <c r="D34" s="630">
        <v>17031001391</v>
      </c>
      <c r="E34" s="630" t="s">
        <v>533</v>
      </c>
      <c r="F34" s="630" t="s">
        <v>534</v>
      </c>
      <c r="G34" s="630" t="s">
        <v>365</v>
      </c>
      <c r="H34" s="630" t="s">
        <v>557</v>
      </c>
      <c r="I34" s="630"/>
      <c r="J34" s="630" t="s">
        <v>569</v>
      </c>
      <c r="K34" s="630" t="s">
        <v>551</v>
      </c>
      <c r="L34" s="630" t="s">
        <v>543</v>
      </c>
      <c r="M34" s="630"/>
      <c r="N34" s="630"/>
      <c r="O34" s="630"/>
      <c r="P34" s="630"/>
      <c r="Q34" s="630"/>
      <c r="R34" s="630"/>
      <c r="S34" s="630" t="s">
        <v>570</v>
      </c>
      <c r="T34" s="630"/>
      <c r="U34" s="630" t="s">
        <v>538</v>
      </c>
      <c r="V34" s="630">
        <v>2</v>
      </c>
      <c r="W34" s="630" t="s">
        <v>545</v>
      </c>
      <c r="X34" s="630" t="s">
        <v>540</v>
      </c>
      <c r="Y34" s="630" t="s">
        <v>540</v>
      </c>
      <c r="Z34" s="630">
        <v>0.93629499999999999</v>
      </c>
      <c r="AA34" s="630">
        <v>1.5068239999999999</v>
      </c>
      <c r="AB34" s="631">
        <v>17004</v>
      </c>
      <c r="AC34" s="631">
        <v>1400684</v>
      </c>
      <c r="AD34" s="631">
        <f t="shared" si="0"/>
        <v>1311453.4257799999</v>
      </c>
    </row>
    <row r="35" spans="2:30" x14ac:dyDescent="0.15">
      <c r="B35" s="630">
        <v>17031001973</v>
      </c>
      <c r="C35" s="630">
        <v>17031000992</v>
      </c>
      <c r="D35" s="630">
        <v>17031000991</v>
      </c>
      <c r="E35" s="630" t="s">
        <v>533</v>
      </c>
      <c r="F35" s="630" t="s">
        <v>534</v>
      </c>
      <c r="G35" s="630" t="s">
        <v>365</v>
      </c>
      <c r="H35" s="630" t="s">
        <v>547</v>
      </c>
      <c r="I35" s="630"/>
      <c r="J35" s="630"/>
      <c r="K35" s="630"/>
      <c r="L35" s="630"/>
      <c r="M35" s="630"/>
      <c r="N35" s="630"/>
      <c r="O35" s="630"/>
      <c r="P35" s="630"/>
      <c r="Q35" s="630"/>
      <c r="R35" s="630"/>
      <c r="S35" s="630"/>
      <c r="T35" s="630"/>
      <c r="U35" s="630" t="s">
        <v>538</v>
      </c>
      <c r="V35" s="630">
        <v>2</v>
      </c>
      <c r="W35" s="630" t="s">
        <v>584</v>
      </c>
      <c r="X35" s="630" t="s">
        <v>541</v>
      </c>
      <c r="Y35" s="630" t="s">
        <v>540</v>
      </c>
      <c r="Z35" s="630">
        <v>0.67547599999999997</v>
      </c>
      <c r="AA35" s="630">
        <v>1.087075</v>
      </c>
      <c r="AB35" s="631">
        <v>0</v>
      </c>
      <c r="AC35" s="631">
        <v>0</v>
      </c>
      <c r="AD35" s="631">
        <f t="shared" si="0"/>
        <v>0</v>
      </c>
    </row>
    <row r="36" spans="2:30" x14ac:dyDescent="0.15">
      <c r="B36" s="630">
        <v>17089001999</v>
      </c>
      <c r="C36" s="630">
        <v>17089004858</v>
      </c>
      <c r="D36" s="630">
        <v>17089004857</v>
      </c>
      <c r="E36" s="630" t="s">
        <v>533</v>
      </c>
      <c r="F36" s="630" t="s">
        <v>534</v>
      </c>
      <c r="G36" s="630" t="s">
        <v>369</v>
      </c>
      <c r="H36" s="630" t="s">
        <v>381</v>
      </c>
      <c r="I36" s="630"/>
      <c r="J36" s="630"/>
      <c r="K36" s="630"/>
      <c r="L36" s="630"/>
      <c r="M36" s="630"/>
      <c r="N36" s="630"/>
      <c r="O36" s="630"/>
      <c r="P36" s="630"/>
      <c r="Q36" s="630"/>
      <c r="R36" s="630"/>
      <c r="S36" s="630" t="s">
        <v>585</v>
      </c>
      <c r="T36" s="630"/>
      <c r="U36" s="630" t="s">
        <v>559</v>
      </c>
      <c r="V36" s="630">
        <v>1</v>
      </c>
      <c r="W36" s="630" t="s">
        <v>560</v>
      </c>
      <c r="X36" s="630" t="s">
        <v>541</v>
      </c>
      <c r="Y36" s="630" t="s">
        <v>541</v>
      </c>
      <c r="Z36" s="630">
        <v>0.15489600000000001</v>
      </c>
      <c r="AA36" s="630">
        <v>0.249282</v>
      </c>
      <c r="AB36" s="631">
        <v>0</v>
      </c>
      <c r="AC36" s="631">
        <v>0</v>
      </c>
      <c r="AD36" s="631">
        <f t="shared" si="0"/>
        <v>0</v>
      </c>
    </row>
    <row r="37" spans="2:30" x14ac:dyDescent="0.15">
      <c r="B37" s="630">
        <v>17031002200</v>
      </c>
      <c r="C37" s="630">
        <v>17031007551</v>
      </c>
      <c r="D37" s="630">
        <v>17031000303</v>
      </c>
      <c r="E37" s="630" t="s">
        <v>533</v>
      </c>
      <c r="F37" s="630" t="s">
        <v>534</v>
      </c>
      <c r="G37" s="630" t="s">
        <v>365</v>
      </c>
      <c r="H37" s="630" t="s">
        <v>382</v>
      </c>
      <c r="I37" s="630"/>
      <c r="J37" s="630" t="s">
        <v>552</v>
      </c>
      <c r="K37" s="630"/>
      <c r="L37" s="630"/>
      <c r="M37" s="630"/>
      <c r="N37" s="630"/>
      <c r="O37" s="630"/>
      <c r="P37" s="630"/>
      <c r="Q37" s="630"/>
      <c r="R37" s="630"/>
      <c r="S37" s="630" t="s">
        <v>586</v>
      </c>
      <c r="T37" s="630"/>
      <c r="U37" s="630" t="s">
        <v>538</v>
      </c>
      <c r="V37" s="630">
        <v>2</v>
      </c>
      <c r="W37" s="630" t="s">
        <v>582</v>
      </c>
      <c r="X37" s="630" t="s">
        <v>580</v>
      </c>
      <c r="Y37" s="630" t="s">
        <v>549</v>
      </c>
      <c r="Z37" s="630">
        <v>0.48006799999999999</v>
      </c>
      <c r="AA37" s="630">
        <v>0.77259500000000003</v>
      </c>
      <c r="AB37" s="631">
        <v>604542</v>
      </c>
      <c r="AC37" s="631">
        <v>41645174</v>
      </c>
      <c r="AD37" s="631">
        <f t="shared" si="0"/>
        <v>19992515.391832002</v>
      </c>
    </row>
    <row r="38" spans="2:30" x14ac:dyDescent="0.15">
      <c r="B38" s="630">
        <v>17031002210</v>
      </c>
      <c r="C38" s="630">
        <v>17031000299</v>
      </c>
      <c r="D38" s="630">
        <v>17031000296</v>
      </c>
      <c r="E38" s="630" t="s">
        <v>533</v>
      </c>
      <c r="F38" s="630" t="s">
        <v>534</v>
      </c>
      <c r="G38" s="630" t="s">
        <v>365</v>
      </c>
      <c r="H38" s="630" t="s">
        <v>382</v>
      </c>
      <c r="I38" s="630"/>
      <c r="J38" s="630" t="s">
        <v>535</v>
      </c>
      <c r="K38" s="630" t="s">
        <v>552</v>
      </c>
      <c r="L38" s="630"/>
      <c r="M38" s="630"/>
      <c r="N38" s="630"/>
      <c r="O38" s="630"/>
      <c r="P38" s="630"/>
      <c r="Q38" s="630"/>
      <c r="R38" s="630"/>
      <c r="S38" s="630" t="s">
        <v>586</v>
      </c>
      <c r="T38" s="630"/>
      <c r="U38" s="630" t="s">
        <v>538</v>
      </c>
      <c r="V38" s="630">
        <v>2</v>
      </c>
      <c r="W38" s="630" t="s">
        <v>582</v>
      </c>
      <c r="X38" s="630" t="s">
        <v>580</v>
      </c>
      <c r="Y38" s="630" t="s">
        <v>549</v>
      </c>
      <c r="Z38" s="630">
        <v>1.1490419999999999</v>
      </c>
      <c r="AA38" s="630">
        <v>1.849207</v>
      </c>
      <c r="AB38" s="631">
        <v>594404</v>
      </c>
      <c r="AC38" s="631">
        <v>40673041</v>
      </c>
      <c r="AD38" s="631">
        <f t="shared" si="0"/>
        <v>46735032.376721993</v>
      </c>
    </row>
    <row r="39" spans="2:30" x14ac:dyDescent="0.15">
      <c r="B39" s="630">
        <v>17031003019</v>
      </c>
      <c r="C39" s="630">
        <v>17031000880</v>
      </c>
      <c r="D39" s="630">
        <v>17031000881</v>
      </c>
      <c r="E39" s="630" t="s">
        <v>533</v>
      </c>
      <c r="F39" s="630" t="s">
        <v>534</v>
      </c>
      <c r="G39" s="630" t="s">
        <v>365</v>
      </c>
      <c r="H39" s="630" t="s">
        <v>557</v>
      </c>
      <c r="I39" s="630"/>
      <c r="J39" s="630" t="s">
        <v>381</v>
      </c>
      <c r="K39" s="630" t="s">
        <v>382</v>
      </c>
      <c r="L39" s="630"/>
      <c r="M39" s="630"/>
      <c r="N39" s="630"/>
      <c r="O39" s="630"/>
      <c r="P39" s="630"/>
      <c r="Q39" s="630"/>
      <c r="R39" s="630"/>
      <c r="S39" s="630"/>
      <c r="T39" s="630"/>
      <c r="U39" s="630" t="s">
        <v>538</v>
      </c>
      <c r="V39" s="630">
        <v>1</v>
      </c>
      <c r="W39" s="630" t="s">
        <v>560</v>
      </c>
      <c r="X39" s="630" t="s">
        <v>541</v>
      </c>
      <c r="Y39" s="630" t="s">
        <v>541</v>
      </c>
      <c r="Z39" s="630">
        <v>0.20122399999999999</v>
      </c>
      <c r="AA39" s="630">
        <v>0.32383899999999999</v>
      </c>
      <c r="AB39" s="631">
        <v>0</v>
      </c>
      <c r="AC39" s="631">
        <v>0</v>
      </c>
      <c r="AD39" s="631">
        <f t="shared" si="0"/>
        <v>0</v>
      </c>
    </row>
    <row r="40" spans="2:30" x14ac:dyDescent="0.15">
      <c r="B40" s="630">
        <v>17031003110</v>
      </c>
      <c r="C40" s="630">
        <v>17031000845</v>
      </c>
      <c r="D40" s="630">
        <v>17031000830</v>
      </c>
      <c r="E40" s="630" t="s">
        <v>533</v>
      </c>
      <c r="F40" s="630" t="s">
        <v>534</v>
      </c>
      <c r="G40" s="630" t="s">
        <v>365</v>
      </c>
      <c r="H40" s="630" t="s">
        <v>535</v>
      </c>
      <c r="I40" s="630"/>
      <c r="J40" s="630" t="s">
        <v>543</v>
      </c>
      <c r="K40" s="630"/>
      <c r="L40" s="630"/>
      <c r="M40" s="630"/>
      <c r="N40" s="630"/>
      <c r="O40" s="630"/>
      <c r="P40" s="630"/>
      <c r="Q40" s="630"/>
      <c r="R40" s="630"/>
      <c r="S40" s="630" t="s">
        <v>553</v>
      </c>
      <c r="T40" s="630"/>
      <c r="U40" s="630" t="s">
        <v>538</v>
      </c>
      <c r="V40" s="630">
        <v>1</v>
      </c>
      <c r="W40" s="630" t="s">
        <v>539</v>
      </c>
      <c r="X40" s="630" t="s">
        <v>541</v>
      </c>
      <c r="Y40" s="630" t="s">
        <v>554</v>
      </c>
      <c r="Z40" s="630">
        <v>0.38086399999999998</v>
      </c>
      <c r="AA40" s="630">
        <v>0.61294199999999999</v>
      </c>
      <c r="AB40" s="631">
        <v>63280</v>
      </c>
      <c r="AC40" s="631">
        <v>3022040</v>
      </c>
      <c r="AD40" s="631">
        <f t="shared" si="0"/>
        <v>1150986.2425599999</v>
      </c>
    </row>
    <row r="41" spans="2:30" x14ac:dyDescent="0.15">
      <c r="B41" s="630">
        <v>17043003113</v>
      </c>
      <c r="C41" s="630">
        <v>17043000595</v>
      </c>
      <c r="D41" s="630">
        <v>17043000591</v>
      </c>
      <c r="E41" s="630" t="s">
        <v>533</v>
      </c>
      <c r="F41" s="630" t="s">
        <v>534</v>
      </c>
      <c r="G41" s="630" t="s">
        <v>367</v>
      </c>
      <c r="H41" s="630" t="s">
        <v>382</v>
      </c>
      <c r="I41" s="630"/>
      <c r="J41" s="630" t="s">
        <v>547</v>
      </c>
      <c r="K41" s="630"/>
      <c r="L41" s="630"/>
      <c r="M41" s="630"/>
      <c r="N41" s="630"/>
      <c r="O41" s="630"/>
      <c r="P41" s="630"/>
      <c r="Q41" s="630"/>
      <c r="R41" s="630"/>
      <c r="S41" s="630" t="s">
        <v>583</v>
      </c>
      <c r="T41" s="630" t="s">
        <v>587</v>
      </c>
      <c r="U41" s="630" t="s">
        <v>538</v>
      </c>
      <c r="V41" s="630">
        <v>3</v>
      </c>
      <c r="W41" s="630" t="s">
        <v>588</v>
      </c>
      <c r="X41" s="630" t="s">
        <v>575</v>
      </c>
      <c r="Y41" s="630" t="s">
        <v>549</v>
      </c>
      <c r="Z41" s="630">
        <v>1.7673559999999999</v>
      </c>
      <c r="AA41" s="630">
        <v>2.84429</v>
      </c>
      <c r="AB41" s="631">
        <v>1830265</v>
      </c>
      <c r="AC41" s="631">
        <v>58586451</v>
      </c>
      <c r="AD41" s="631">
        <f t="shared" si="0"/>
        <v>103543115.693556</v>
      </c>
    </row>
    <row r="42" spans="2:30" x14ac:dyDescent="0.15">
      <c r="B42" s="630">
        <v>17031003291</v>
      </c>
      <c r="C42" s="630">
        <v>17031004643</v>
      </c>
      <c r="D42" s="630">
        <v>17031000492</v>
      </c>
      <c r="E42" s="630" t="s">
        <v>533</v>
      </c>
      <c r="F42" s="630" t="s">
        <v>534</v>
      </c>
      <c r="G42" s="630" t="s">
        <v>365</v>
      </c>
      <c r="H42" s="630" t="s">
        <v>552</v>
      </c>
      <c r="I42" s="630"/>
      <c r="J42" s="630" t="s">
        <v>547</v>
      </c>
      <c r="K42" s="630" t="s">
        <v>563</v>
      </c>
      <c r="L42" s="630"/>
      <c r="M42" s="630"/>
      <c r="N42" s="630"/>
      <c r="O42" s="630"/>
      <c r="P42" s="630"/>
      <c r="Q42" s="630"/>
      <c r="R42" s="630"/>
      <c r="S42" s="630" t="s">
        <v>589</v>
      </c>
      <c r="T42" s="630"/>
      <c r="U42" s="630" t="s">
        <v>538</v>
      </c>
      <c r="V42" s="630">
        <v>3</v>
      </c>
      <c r="W42" s="630" t="s">
        <v>545</v>
      </c>
      <c r="X42" s="630" t="s">
        <v>541</v>
      </c>
      <c r="Y42" s="630" t="s">
        <v>549</v>
      </c>
      <c r="Z42" s="630">
        <v>0.39276800000000001</v>
      </c>
      <c r="AA42" s="630">
        <v>0.6321</v>
      </c>
      <c r="AB42" s="631">
        <v>42462</v>
      </c>
      <c r="AC42" s="631">
        <v>2859030</v>
      </c>
      <c r="AD42" s="631">
        <f t="shared" si="0"/>
        <v>1122935.49504</v>
      </c>
    </row>
    <row r="43" spans="2:30" x14ac:dyDescent="0.15">
      <c r="B43" s="630">
        <v>17031004215</v>
      </c>
      <c r="C43" s="630">
        <v>17031000313</v>
      </c>
      <c r="D43" s="630">
        <v>17031000319</v>
      </c>
      <c r="E43" s="630" t="s">
        <v>533</v>
      </c>
      <c r="F43" s="630" t="s">
        <v>534</v>
      </c>
      <c r="G43" s="630" t="s">
        <v>365</v>
      </c>
      <c r="H43" s="630" t="s">
        <v>590</v>
      </c>
      <c r="I43" s="630"/>
      <c r="J43" s="630"/>
      <c r="K43" s="630"/>
      <c r="L43" s="630"/>
      <c r="M43" s="630"/>
      <c r="N43" s="630"/>
      <c r="O43" s="630"/>
      <c r="P43" s="630"/>
      <c r="Q43" s="630"/>
      <c r="R43" s="630"/>
      <c r="S43" s="630"/>
      <c r="T43" s="630"/>
      <c r="U43" s="630" t="s">
        <v>559</v>
      </c>
      <c r="V43" s="630">
        <v>1</v>
      </c>
      <c r="W43" s="630" t="s">
        <v>560</v>
      </c>
      <c r="X43" s="630" t="s">
        <v>541</v>
      </c>
      <c r="Y43" s="630" t="s">
        <v>541</v>
      </c>
      <c r="Z43" s="630">
        <v>0.239289</v>
      </c>
      <c r="AA43" s="630">
        <v>0.38509900000000002</v>
      </c>
      <c r="AB43" s="631">
        <v>0</v>
      </c>
      <c r="AC43" s="631">
        <v>0</v>
      </c>
      <c r="AD43" s="631">
        <f t="shared" si="0"/>
        <v>0</v>
      </c>
    </row>
    <row r="44" spans="2:30" x14ac:dyDescent="0.15">
      <c r="B44" s="630">
        <v>17031006058</v>
      </c>
      <c r="C44" s="630">
        <v>17031000696</v>
      </c>
      <c r="D44" s="630">
        <v>17031000664</v>
      </c>
      <c r="E44" s="630" t="s">
        <v>533</v>
      </c>
      <c r="F44" s="630" t="s">
        <v>534</v>
      </c>
      <c r="G44" s="630" t="s">
        <v>365</v>
      </c>
      <c r="H44" s="630" t="s">
        <v>381</v>
      </c>
      <c r="I44" s="630"/>
      <c r="J44" s="630"/>
      <c r="K44" s="630"/>
      <c r="L44" s="630"/>
      <c r="M44" s="630"/>
      <c r="N44" s="630"/>
      <c r="O44" s="630"/>
      <c r="P44" s="630"/>
      <c r="Q44" s="630"/>
      <c r="R44" s="630"/>
      <c r="S44" s="630"/>
      <c r="T44" s="630"/>
      <c r="U44" s="630" t="s">
        <v>559</v>
      </c>
      <c r="V44" s="630">
        <v>1</v>
      </c>
      <c r="W44" s="630" t="s">
        <v>560</v>
      </c>
      <c r="X44" s="630" t="s">
        <v>541</v>
      </c>
      <c r="Y44" s="630" t="s">
        <v>541</v>
      </c>
      <c r="Z44" s="630">
        <v>0.52745600000000004</v>
      </c>
      <c r="AA44" s="630">
        <v>0.84885999999999995</v>
      </c>
      <c r="AB44" s="631">
        <v>0</v>
      </c>
      <c r="AC44" s="631">
        <v>0</v>
      </c>
      <c r="AD44" s="631">
        <f t="shared" si="0"/>
        <v>0</v>
      </c>
    </row>
    <row r="45" spans="2:30" x14ac:dyDescent="0.15">
      <c r="B45" s="630">
        <v>17031006189</v>
      </c>
      <c r="C45" s="630">
        <v>17031001128</v>
      </c>
      <c r="D45" s="630">
        <v>17031001110</v>
      </c>
      <c r="E45" s="630" t="s">
        <v>533</v>
      </c>
      <c r="F45" s="630" t="s">
        <v>534</v>
      </c>
      <c r="G45" s="630" t="s">
        <v>365</v>
      </c>
      <c r="H45" s="630" t="s">
        <v>577</v>
      </c>
      <c r="I45" s="630"/>
      <c r="J45" s="630"/>
      <c r="K45" s="630"/>
      <c r="L45" s="630"/>
      <c r="M45" s="630"/>
      <c r="N45" s="630"/>
      <c r="O45" s="630"/>
      <c r="P45" s="630"/>
      <c r="Q45" s="630"/>
      <c r="R45" s="630"/>
      <c r="S45" s="630"/>
      <c r="T45" s="630"/>
      <c r="U45" s="630" t="s">
        <v>538</v>
      </c>
      <c r="V45" s="630">
        <v>1</v>
      </c>
      <c r="W45" s="630" t="s">
        <v>560</v>
      </c>
      <c r="X45" s="630" t="s">
        <v>541</v>
      </c>
      <c r="Y45" s="630" t="s">
        <v>541</v>
      </c>
      <c r="Z45" s="630">
        <v>0.16883000000000001</v>
      </c>
      <c r="AA45" s="630">
        <v>0.27170699999999998</v>
      </c>
      <c r="AB45" s="631">
        <v>0</v>
      </c>
      <c r="AC45" s="631">
        <v>0</v>
      </c>
      <c r="AD45" s="631">
        <f t="shared" si="0"/>
        <v>0</v>
      </c>
    </row>
    <row r="46" spans="2:30" x14ac:dyDescent="0.15">
      <c r="B46" s="630">
        <v>17031006333</v>
      </c>
      <c r="C46" s="630">
        <v>17031004581</v>
      </c>
      <c r="D46" s="630">
        <v>17031000300</v>
      </c>
      <c r="E46" s="630" t="s">
        <v>533</v>
      </c>
      <c r="F46" s="630" t="s">
        <v>534</v>
      </c>
      <c r="G46" s="630" t="s">
        <v>365</v>
      </c>
      <c r="H46" s="630" t="s">
        <v>382</v>
      </c>
      <c r="I46" s="630"/>
      <c r="J46" s="630" t="s">
        <v>547</v>
      </c>
      <c r="K46" s="630"/>
      <c r="L46" s="630"/>
      <c r="M46" s="630"/>
      <c r="N46" s="630"/>
      <c r="O46" s="630"/>
      <c r="P46" s="630"/>
      <c r="Q46" s="630"/>
      <c r="R46" s="630"/>
      <c r="S46" s="630" t="s">
        <v>565</v>
      </c>
      <c r="T46" s="630"/>
      <c r="U46" s="630" t="s">
        <v>538</v>
      </c>
      <c r="V46" s="630">
        <v>2</v>
      </c>
      <c r="W46" s="630" t="s">
        <v>566</v>
      </c>
      <c r="X46" s="630" t="s">
        <v>541</v>
      </c>
      <c r="Y46" s="630" t="s">
        <v>549</v>
      </c>
      <c r="Z46" s="630">
        <v>0.15001800000000001</v>
      </c>
      <c r="AA46" s="630">
        <v>0.24143000000000001</v>
      </c>
      <c r="AB46" s="631">
        <v>0</v>
      </c>
      <c r="AC46" s="631">
        <v>0</v>
      </c>
      <c r="AD46" s="631">
        <f t="shared" si="0"/>
        <v>0</v>
      </c>
    </row>
    <row r="47" spans="2:30" x14ac:dyDescent="0.15">
      <c r="B47" s="630">
        <v>17031006457</v>
      </c>
      <c r="C47" s="630">
        <v>17031001459</v>
      </c>
      <c r="D47" s="630">
        <v>17031001449</v>
      </c>
      <c r="E47" s="630" t="s">
        <v>533</v>
      </c>
      <c r="F47" s="630" t="s">
        <v>534</v>
      </c>
      <c r="G47" s="630" t="s">
        <v>365</v>
      </c>
      <c r="H47" s="630" t="s">
        <v>551</v>
      </c>
      <c r="I47" s="630"/>
      <c r="J47" s="630"/>
      <c r="K47" s="630"/>
      <c r="L47" s="630"/>
      <c r="M47" s="630"/>
      <c r="N47" s="630"/>
      <c r="O47" s="630"/>
      <c r="P47" s="630"/>
      <c r="Q47" s="630"/>
      <c r="R47" s="630"/>
      <c r="S47" s="630"/>
      <c r="T47" s="630"/>
      <c r="U47" s="630" t="s">
        <v>559</v>
      </c>
      <c r="V47" s="630">
        <v>1</v>
      </c>
      <c r="W47" s="630" t="s">
        <v>560</v>
      </c>
      <c r="X47" s="630" t="s">
        <v>541</v>
      </c>
      <c r="Y47" s="630" t="s">
        <v>541</v>
      </c>
      <c r="Z47" s="630">
        <v>0.21791099999999999</v>
      </c>
      <c r="AA47" s="630">
        <v>0.35069499999999998</v>
      </c>
      <c r="AB47" s="631">
        <v>0</v>
      </c>
      <c r="AC47" s="631">
        <v>0</v>
      </c>
      <c r="AD47" s="631">
        <f t="shared" si="0"/>
        <v>0</v>
      </c>
    </row>
    <row r="48" spans="2:30" x14ac:dyDescent="0.15">
      <c r="B48" s="630">
        <v>17197008997</v>
      </c>
      <c r="C48" s="630">
        <v>17197007213</v>
      </c>
      <c r="D48" s="630">
        <v>17197001670</v>
      </c>
      <c r="E48" s="630" t="s">
        <v>533</v>
      </c>
      <c r="F48" s="630" t="s">
        <v>534</v>
      </c>
      <c r="G48" s="630" t="s">
        <v>377</v>
      </c>
      <c r="H48" s="630" t="s">
        <v>381</v>
      </c>
      <c r="I48" s="630"/>
      <c r="J48" s="630"/>
      <c r="K48" s="630"/>
      <c r="L48" s="630"/>
      <c r="M48" s="630"/>
      <c r="N48" s="630"/>
      <c r="O48" s="630"/>
      <c r="P48" s="630"/>
      <c r="Q48" s="630"/>
      <c r="R48" s="630"/>
      <c r="S48" s="630" t="s">
        <v>591</v>
      </c>
      <c r="T48" s="630"/>
      <c r="U48" s="630" t="s">
        <v>559</v>
      </c>
      <c r="V48" s="630">
        <v>1</v>
      </c>
      <c r="W48" s="630" t="s">
        <v>560</v>
      </c>
      <c r="X48" s="630" t="s">
        <v>541</v>
      </c>
      <c r="Y48" s="630" t="s">
        <v>541</v>
      </c>
      <c r="Z48" s="630">
        <v>1.5016179999999999</v>
      </c>
      <c r="AA48" s="630">
        <v>2.4166249999999998</v>
      </c>
      <c r="AB48" s="631">
        <v>0</v>
      </c>
      <c r="AC48" s="631">
        <v>0</v>
      </c>
      <c r="AD48" s="631">
        <f t="shared" si="0"/>
        <v>0</v>
      </c>
    </row>
    <row r="49" spans="2:30" x14ac:dyDescent="0.15">
      <c r="B49" s="630">
        <v>17089002029</v>
      </c>
      <c r="C49" s="630">
        <v>17089000288</v>
      </c>
      <c r="D49" s="630">
        <v>17089000287</v>
      </c>
      <c r="E49" s="630" t="s">
        <v>533</v>
      </c>
      <c r="F49" s="630" t="s">
        <v>534</v>
      </c>
      <c r="G49" s="630" t="s">
        <v>369</v>
      </c>
      <c r="H49" s="630" t="s">
        <v>552</v>
      </c>
      <c r="I49" s="630"/>
      <c r="J49" s="630" t="s">
        <v>547</v>
      </c>
      <c r="K49" s="630"/>
      <c r="L49" s="630"/>
      <c r="M49" s="630"/>
      <c r="N49" s="630"/>
      <c r="O49" s="630"/>
      <c r="P49" s="630"/>
      <c r="Q49" s="630"/>
      <c r="R49" s="630"/>
      <c r="S49" s="630" t="s">
        <v>589</v>
      </c>
      <c r="T49" s="630"/>
      <c r="U49" s="630" t="s">
        <v>538</v>
      </c>
      <c r="V49" s="630">
        <v>2</v>
      </c>
      <c r="W49" s="630" t="s">
        <v>545</v>
      </c>
      <c r="X49" s="630" t="s">
        <v>540</v>
      </c>
      <c r="Y49" s="630" t="s">
        <v>540</v>
      </c>
      <c r="Z49" s="630">
        <v>2.058846</v>
      </c>
      <c r="AA49" s="630">
        <v>3.3133970000000001</v>
      </c>
      <c r="AB49" s="631">
        <v>73903</v>
      </c>
      <c r="AC49" s="631">
        <v>7739424</v>
      </c>
      <c r="AD49" s="631">
        <f t="shared" si="0"/>
        <v>15934282.144703999</v>
      </c>
    </row>
    <row r="50" spans="2:30" x14ac:dyDescent="0.15">
      <c r="B50" s="630">
        <v>17197002593</v>
      </c>
      <c r="C50" s="630">
        <v>17197001462</v>
      </c>
      <c r="D50" s="630">
        <v>17197004797</v>
      </c>
      <c r="E50" s="630" t="s">
        <v>533</v>
      </c>
      <c r="F50" s="630" t="s">
        <v>534</v>
      </c>
      <c r="G50" s="630" t="s">
        <v>377</v>
      </c>
      <c r="H50" s="630" t="s">
        <v>535</v>
      </c>
      <c r="I50" s="630"/>
      <c r="J50" s="630" t="s">
        <v>382</v>
      </c>
      <c r="K50" s="630" t="s">
        <v>536</v>
      </c>
      <c r="L50" s="630"/>
      <c r="M50" s="630"/>
      <c r="N50" s="630"/>
      <c r="O50" s="630"/>
      <c r="P50" s="630"/>
      <c r="Q50" s="630"/>
      <c r="R50" s="630"/>
      <c r="S50" s="630" t="s">
        <v>550</v>
      </c>
      <c r="T50" s="630"/>
      <c r="U50" s="630" t="s">
        <v>538</v>
      </c>
      <c r="V50" s="630">
        <v>1</v>
      </c>
      <c r="W50" s="630" t="s">
        <v>545</v>
      </c>
      <c r="X50" s="630" t="s">
        <v>540</v>
      </c>
      <c r="Y50" s="630" t="s">
        <v>541</v>
      </c>
      <c r="Z50" s="630">
        <v>0.25097999999999998</v>
      </c>
      <c r="AA50" s="630">
        <v>0.40391300000000002</v>
      </c>
      <c r="AB50" s="631">
        <v>28423</v>
      </c>
      <c r="AC50" s="631">
        <v>2560478</v>
      </c>
      <c r="AD50" s="631">
        <f t="shared" si="0"/>
        <v>642628.7684399999</v>
      </c>
    </row>
    <row r="51" spans="2:30" x14ac:dyDescent="0.15">
      <c r="B51" s="630">
        <v>17197006543</v>
      </c>
      <c r="C51" s="630">
        <v>17197004793</v>
      </c>
      <c r="D51" s="630">
        <v>17197004792</v>
      </c>
      <c r="E51" s="630" t="s">
        <v>533</v>
      </c>
      <c r="F51" s="630" t="s">
        <v>534</v>
      </c>
      <c r="G51" s="630" t="s">
        <v>377</v>
      </c>
      <c r="H51" s="630" t="s">
        <v>535</v>
      </c>
      <c r="I51" s="630"/>
      <c r="J51" s="630" t="s">
        <v>382</v>
      </c>
      <c r="K51" s="630" t="s">
        <v>536</v>
      </c>
      <c r="L51" s="630"/>
      <c r="M51" s="630"/>
      <c r="N51" s="630"/>
      <c r="O51" s="630"/>
      <c r="P51" s="630"/>
      <c r="Q51" s="630"/>
      <c r="R51" s="630"/>
      <c r="S51" s="630" t="s">
        <v>537</v>
      </c>
      <c r="T51" s="630"/>
      <c r="U51" s="630" t="s">
        <v>538</v>
      </c>
      <c r="V51" s="630">
        <v>2</v>
      </c>
      <c r="W51" s="630" t="s">
        <v>545</v>
      </c>
      <c r="X51" s="630" t="s">
        <v>540</v>
      </c>
      <c r="Y51" s="630" t="s">
        <v>549</v>
      </c>
      <c r="Z51" s="630">
        <v>0.15270500000000001</v>
      </c>
      <c r="AA51" s="630">
        <v>0.245756</v>
      </c>
      <c r="AB51" s="631">
        <v>30651</v>
      </c>
      <c r="AC51" s="631">
        <v>2787674</v>
      </c>
      <c r="AD51" s="631">
        <f t="shared" si="0"/>
        <v>425691.75817000004</v>
      </c>
    </row>
    <row r="52" spans="2:30" x14ac:dyDescent="0.15">
      <c r="B52" s="630">
        <v>17197007036</v>
      </c>
      <c r="C52" s="630">
        <v>17197005589</v>
      </c>
      <c r="D52" s="630">
        <v>17197005590</v>
      </c>
      <c r="E52" s="630" t="s">
        <v>533</v>
      </c>
      <c r="F52" s="630" t="s">
        <v>534</v>
      </c>
      <c r="G52" s="630" t="s">
        <v>377</v>
      </c>
      <c r="H52" s="630" t="s">
        <v>382</v>
      </c>
      <c r="I52" s="630"/>
      <c r="J52" s="630"/>
      <c r="K52" s="630"/>
      <c r="L52" s="630"/>
      <c r="M52" s="630"/>
      <c r="N52" s="630"/>
      <c r="O52" s="630"/>
      <c r="P52" s="630"/>
      <c r="Q52" s="630"/>
      <c r="R52" s="630"/>
      <c r="S52" s="630" t="s">
        <v>592</v>
      </c>
      <c r="T52" s="630" t="s">
        <v>593</v>
      </c>
      <c r="U52" s="630" t="s">
        <v>559</v>
      </c>
      <c r="V52" s="630">
        <v>1</v>
      </c>
      <c r="W52" s="630" t="s">
        <v>539</v>
      </c>
      <c r="X52" s="630" t="s">
        <v>541</v>
      </c>
      <c r="Y52" s="630" t="s">
        <v>541</v>
      </c>
      <c r="Z52" s="630">
        <v>0.265177</v>
      </c>
      <c r="AA52" s="630">
        <v>0.42676199999999997</v>
      </c>
      <c r="AB52" s="631">
        <v>0</v>
      </c>
      <c r="AC52" s="631">
        <v>0</v>
      </c>
      <c r="AD52" s="631">
        <f t="shared" si="0"/>
        <v>0</v>
      </c>
    </row>
    <row r="53" spans="2:30" x14ac:dyDescent="0.15">
      <c r="B53" s="630">
        <v>17197009294</v>
      </c>
      <c r="C53" s="630">
        <v>17197007420</v>
      </c>
      <c r="D53" s="630">
        <v>17197007418</v>
      </c>
      <c r="E53" s="630" t="s">
        <v>533</v>
      </c>
      <c r="F53" s="630" t="s">
        <v>534</v>
      </c>
      <c r="G53" s="630" t="s">
        <v>377</v>
      </c>
      <c r="H53" s="630" t="s">
        <v>551</v>
      </c>
      <c r="I53" s="630"/>
      <c r="J53" s="630" t="s">
        <v>535</v>
      </c>
      <c r="K53" s="630"/>
      <c r="L53" s="630"/>
      <c r="M53" s="630"/>
      <c r="N53" s="630"/>
      <c r="O53" s="630"/>
      <c r="P53" s="630"/>
      <c r="Q53" s="630"/>
      <c r="R53" s="630"/>
      <c r="S53" s="630" t="s">
        <v>594</v>
      </c>
      <c r="T53" s="630"/>
      <c r="U53" s="630" t="s">
        <v>559</v>
      </c>
      <c r="V53" s="630">
        <v>1</v>
      </c>
      <c r="W53" s="630" t="s">
        <v>560</v>
      </c>
      <c r="X53" s="630" t="s">
        <v>541</v>
      </c>
      <c r="Y53" s="630" t="s">
        <v>541</v>
      </c>
      <c r="Z53" s="630">
        <v>0.22359000000000001</v>
      </c>
      <c r="AA53" s="630">
        <v>0.35983399999999999</v>
      </c>
      <c r="AB53" s="631">
        <v>0</v>
      </c>
      <c r="AC53" s="631">
        <v>0</v>
      </c>
      <c r="AD53" s="631">
        <f t="shared" si="0"/>
        <v>0</v>
      </c>
    </row>
    <row r="54" spans="2:30" x14ac:dyDescent="0.15">
      <c r="B54" s="630">
        <v>17097009409</v>
      </c>
      <c r="C54" s="630">
        <v>17097007520</v>
      </c>
      <c r="D54" s="630">
        <v>17097004562</v>
      </c>
      <c r="E54" s="630" t="s">
        <v>533</v>
      </c>
      <c r="F54" s="630" t="s">
        <v>534</v>
      </c>
      <c r="G54" s="630" t="s">
        <v>373</v>
      </c>
      <c r="H54" s="630" t="s">
        <v>535</v>
      </c>
      <c r="I54" s="630"/>
      <c r="J54" s="630" t="s">
        <v>547</v>
      </c>
      <c r="K54" s="630"/>
      <c r="L54" s="630"/>
      <c r="M54" s="630"/>
      <c r="N54" s="630"/>
      <c r="O54" s="630"/>
      <c r="P54" s="630"/>
      <c r="Q54" s="630"/>
      <c r="R54" s="630"/>
      <c r="S54" s="630" t="s">
        <v>548</v>
      </c>
      <c r="T54" s="630"/>
      <c r="U54" s="630" t="s">
        <v>538</v>
      </c>
      <c r="V54" s="630">
        <v>3</v>
      </c>
      <c r="W54" s="630" t="s">
        <v>545</v>
      </c>
      <c r="X54" s="630" t="s">
        <v>546</v>
      </c>
      <c r="Y54" s="630" t="s">
        <v>549</v>
      </c>
      <c r="Z54" s="630">
        <v>0.18542400000000001</v>
      </c>
      <c r="AA54" s="630">
        <v>0.29841200000000001</v>
      </c>
      <c r="AB54" s="631">
        <v>805376</v>
      </c>
      <c r="AC54" s="631">
        <v>39329111</v>
      </c>
      <c r="AD54" s="631">
        <f t="shared" si="0"/>
        <v>7292561.0780640002</v>
      </c>
    </row>
    <row r="55" spans="2:30" x14ac:dyDescent="0.15">
      <c r="B55" s="630">
        <v>17097009434</v>
      </c>
      <c r="C55" s="630">
        <v>17097007541</v>
      </c>
      <c r="D55" s="630">
        <v>17097004545</v>
      </c>
      <c r="E55" s="630" t="s">
        <v>533</v>
      </c>
      <c r="F55" s="630" t="s">
        <v>534</v>
      </c>
      <c r="G55" s="630" t="s">
        <v>373</v>
      </c>
      <c r="H55" s="630" t="s">
        <v>382</v>
      </c>
      <c r="I55" s="630"/>
      <c r="J55" s="630"/>
      <c r="K55" s="630"/>
      <c r="L55" s="630"/>
      <c r="M55" s="630"/>
      <c r="N55" s="630"/>
      <c r="O55" s="630"/>
      <c r="P55" s="630"/>
      <c r="Q55" s="630"/>
      <c r="R55" s="630"/>
      <c r="S55" s="630" t="s">
        <v>586</v>
      </c>
      <c r="T55" s="630"/>
      <c r="U55" s="630" t="s">
        <v>538</v>
      </c>
      <c r="V55" s="630">
        <v>2</v>
      </c>
      <c r="W55" s="630" t="s">
        <v>582</v>
      </c>
      <c r="X55" s="630" t="s">
        <v>549</v>
      </c>
      <c r="Y55" s="630" t="s">
        <v>549</v>
      </c>
      <c r="Z55" s="630">
        <v>0.42982399999999998</v>
      </c>
      <c r="AA55" s="630">
        <v>0.69173600000000002</v>
      </c>
      <c r="AB55" s="631">
        <v>83089</v>
      </c>
      <c r="AC55" s="631">
        <v>9284627</v>
      </c>
      <c r="AD55" s="631">
        <f t="shared" si="0"/>
        <v>3990755.5156479999</v>
      </c>
    </row>
    <row r="56" spans="2:30" x14ac:dyDescent="0.15">
      <c r="B56" s="630">
        <v>17089001832</v>
      </c>
      <c r="C56" s="630">
        <v>17089001000</v>
      </c>
      <c r="D56" s="630">
        <v>17089001012</v>
      </c>
      <c r="E56" s="630" t="s">
        <v>533</v>
      </c>
      <c r="F56" s="630" t="s">
        <v>534</v>
      </c>
      <c r="G56" s="630" t="s">
        <v>369</v>
      </c>
      <c r="H56" s="630" t="s">
        <v>381</v>
      </c>
      <c r="I56" s="630"/>
      <c r="J56" s="630"/>
      <c r="K56" s="630"/>
      <c r="L56" s="630"/>
      <c r="M56" s="630"/>
      <c r="N56" s="630"/>
      <c r="O56" s="630"/>
      <c r="P56" s="630"/>
      <c r="Q56" s="630"/>
      <c r="R56" s="630"/>
      <c r="S56" s="630" t="s">
        <v>595</v>
      </c>
      <c r="T56" s="630"/>
      <c r="U56" s="630" t="s">
        <v>538</v>
      </c>
      <c r="V56" s="630">
        <v>1</v>
      </c>
      <c r="W56" s="630" t="s">
        <v>545</v>
      </c>
      <c r="X56" s="630" t="s">
        <v>546</v>
      </c>
      <c r="Y56" s="630" t="s">
        <v>549</v>
      </c>
      <c r="Z56" s="630">
        <v>4.6961310000000003</v>
      </c>
      <c r="AA56" s="630">
        <v>7.5577050000000003</v>
      </c>
      <c r="AB56" s="631">
        <v>879655</v>
      </c>
      <c r="AC56" s="631">
        <v>28015781</v>
      </c>
      <c r="AD56" s="631">
        <f t="shared" si="0"/>
        <v>131565777.64331101</v>
      </c>
    </row>
    <row r="57" spans="2:30" x14ac:dyDescent="0.15">
      <c r="B57" s="630">
        <v>17031002135</v>
      </c>
      <c r="C57" s="630">
        <v>17999020579</v>
      </c>
      <c r="D57" s="630">
        <v>17031000514</v>
      </c>
      <c r="E57" s="630" t="s">
        <v>533</v>
      </c>
      <c r="F57" s="630" t="s">
        <v>534</v>
      </c>
      <c r="G57" s="630" t="s">
        <v>365</v>
      </c>
      <c r="H57" s="630" t="s">
        <v>382</v>
      </c>
      <c r="I57" s="630"/>
      <c r="J57" s="630"/>
      <c r="K57" s="630"/>
      <c r="L57" s="630"/>
      <c r="M57" s="630"/>
      <c r="N57" s="630"/>
      <c r="O57" s="630"/>
      <c r="P57" s="630"/>
      <c r="Q57" s="630"/>
      <c r="R57" s="630"/>
      <c r="S57" s="630" t="s">
        <v>586</v>
      </c>
      <c r="T57" s="630"/>
      <c r="U57" s="630" t="s">
        <v>538</v>
      </c>
      <c r="V57" s="630">
        <v>2</v>
      </c>
      <c r="W57" s="630" t="s">
        <v>582</v>
      </c>
      <c r="X57" s="630" t="s">
        <v>540</v>
      </c>
      <c r="Y57" s="630" t="s">
        <v>554</v>
      </c>
      <c r="Z57" s="630">
        <v>0.15142700000000001</v>
      </c>
      <c r="AA57" s="630">
        <v>0.243698</v>
      </c>
      <c r="AB57" s="631">
        <v>94962</v>
      </c>
      <c r="AC57" s="631">
        <v>10396324</v>
      </c>
      <c r="AD57" s="631">
        <f t="shared" si="0"/>
        <v>1574284.154348</v>
      </c>
    </row>
    <row r="58" spans="2:30" x14ac:dyDescent="0.15">
      <c r="B58" s="630">
        <v>17097002147</v>
      </c>
      <c r="C58" s="630">
        <v>17097004537</v>
      </c>
      <c r="D58" s="630">
        <v>17097000083</v>
      </c>
      <c r="E58" s="630" t="s">
        <v>533</v>
      </c>
      <c r="F58" s="630" t="s">
        <v>534</v>
      </c>
      <c r="G58" s="630" t="s">
        <v>373</v>
      </c>
      <c r="H58" s="630" t="s">
        <v>552</v>
      </c>
      <c r="I58" s="630"/>
      <c r="J58" s="630" t="s">
        <v>542</v>
      </c>
      <c r="K58" s="630" t="s">
        <v>547</v>
      </c>
      <c r="L58" s="630" t="s">
        <v>563</v>
      </c>
      <c r="M58" s="630"/>
      <c r="N58" s="630"/>
      <c r="O58" s="630"/>
      <c r="P58" s="630"/>
      <c r="Q58" s="630"/>
      <c r="R58" s="630"/>
      <c r="S58" s="630" t="s">
        <v>564</v>
      </c>
      <c r="T58" s="630"/>
      <c r="U58" s="630" t="s">
        <v>538</v>
      </c>
      <c r="V58" s="630">
        <v>2</v>
      </c>
      <c r="W58" s="630" t="s">
        <v>545</v>
      </c>
      <c r="X58" s="630" t="s">
        <v>549</v>
      </c>
      <c r="Y58" s="630" t="s">
        <v>540</v>
      </c>
      <c r="Z58" s="630">
        <v>3.8560370000000002</v>
      </c>
      <c r="AA58" s="630">
        <v>6.2057029999999997</v>
      </c>
      <c r="AB58" s="631">
        <v>529599</v>
      </c>
      <c r="AC58" s="631">
        <v>32992685</v>
      </c>
      <c r="AD58" s="631">
        <f t="shared" si="0"/>
        <v>127221014.08934501</v>
      </c>
    </row>
    <row r="59" spans="2:30" x14ac:dyDescent="0.15">
      <c r="B59" s="630">
        <v>17031002173</v>
      </c>
      <c r="C59" s="630">
        <v>17031001411</v>
      </c>
      <c r="D59" s="630">
        <v>17031007662</v>
      </c>
      <c r="E59" s="630" t="s">
        <v>533</v>
      </c>
      <c r="F59" s="630" t="s">
        <v>534</v>
      </c>
      <c r="G59" s="630" t="s">
        <v>365</v>
      </c>
      <c r="H59" s="630" t="s">
        <v>551</v>
      </c>
      <c r="I59" s="630" t="s">
        <v>535</v>
      </c>
      <c r="J59" s="630"/>
      <c r="K59" s="630"/>
      <c r="L59" s="630"/>
      <c r="M59" s="630"/>
      <c r="N59" s="630"/>
      <c r="O59" s="630"/>
      <c r="P59" s="630"/>
      <c r="Q59" s="630"/>
      <c r="R59" s="630"/>
      <c r="S59" s="630" t="s">
        <v>553</v>
      </c>
      <c r="T59" s="630"/>
      <c r="U59" s="630" t="s">
        <v>538</v>
      </c>
      <c r="V59" s="630">
        <v>2</v>
      </c>
      <c r="W59" s="630" t="s">
        <v>545</v>
      </c>
      <c r="X59" s="630" t="s">
        <v>540</v>
      </c>
      <c r="Y59" s="630" t="s">
        <v>549</v>
      </c>
      <c r="Z59" s="630">
        <v>1.9135720000000001</v>
      </c>
      <c r="AA59" s="630">
        <v>3.079602</v>
      </c>
      <c r="AB59" s="631">
        <v>681996</v>
      </c>
      <c r="AC59" s="631">
        <v>24444990</v>
      </c>
      <c r="AD59" s="631">
        <f t="shared" si="0"/>
        <v>46777248.404279999</v>
      </c>
    </row>
    <row r="60" spans="2:30" x14ac:dyDescent="0.15">
      <c r="B60" s="630">
        <v>17031002197</v>
      </c>
      <c r="C60" s="630">
        <v>17031004595</v>
      </c>
      <c r="D60" s="630">
        <v>17031000331</v>
      </c>
      <c r="E60" s="630" t="s">
        <v>533</v>
      </c>
      <c r="F60" s="630" t="s">
        <v>534</v>
      </c>
      <c r="G60" s="630" t="s">
        <v>365</v>
      </c>
      <c r="H60" s="630" t="s">
        <v>552</v>
      </c>
      <c r="I60" s="630"/>
      <c r="J60" s="630" t="s">
        <v>547</v>
      </c>
      <c r="K60" s="630"/>
      <c r="L60" s="630"/>
      <c r="M60" s="630"/>
      <c r="N60" s="630"/>
      <c r="O60" s="630"/>
      <c r="P60" s="630"/>
      <c r="Q60" s="630"/>
      <c r="R60" s="630"/>
      <c r="S60" s="630" t="s">
        <v>589</v>
      </c>
      <c r="T60" s="630"/>
      <c r="U60" s="630" t="s">
        <v>538</v>
      </c>
      <c r="V60" s="630">
        <v>2</v>
      </c>
      <c r="W60" s="630" t="s">
        <v>545</v>
      </c>
      <c r="X60" s="630" t="s">
        <v>540</v>
      </c>
      <c r="Y60" s="630" t="s">
        <v>549</v>
      </c>
      <c r="Z60" s="630">
        <v>2.565264</v>
      </c>
      <c r="AA60" s="630">
        <v>4.1284010000000002</v>
      </c>
      <c r="AB60" s="631">
        <v>73983</v>
      </c>
      <c r="AC60" s="631">
        <v>7748144</v>
      </c>
      <c r="AD60" s="631">
        <f t="shared" si="0"/>
        <v>19876034.870016001</v>
      </c>
    </row>
    <row r="61" spans="2:30" x14ac:dyDescent="0.15">
      <c r="B61" s="630">
        <v>17043002230</v>
      </c>
      <c r="C61" s="630">
        <v>17043000385</v>
      </c>
      <c r="D61" s="630">
        <v>17043000367</v>
      </c>
      <c r="E61" s="630" t="s">
        <v>533</v>
      </c>
      <c r="F61" s="630" t="s">
        <v>534</v>
      </c>
      <c r="G61" s="630" t="s">
        <v>367</v>
      </c>
      <c r="H61" s="630" t="s">
        <v>552</v>
      </c>
      <c r="I61" s="630"/>
      <c r="J61" s="630" t="s">
        <v>547</v>
      </c>
      <c r="K61" s="630"/>
      <c r="L61" s="630"/>
      <c r="M61" s="630"/>
      <c r="N61" s="630"/>
      <c r="O61" s="630"/>
      <c r="P61" s="630"/>
      <c r="Q61" s="630"/>
      <c r="R61" s="630"/>
      <c r="S61" s="630" t="s">
        <v>589</v>
      </c>
      <c r="T61" s="630"/>
      <c r="U61" s="630" t="s">
        <v>538</v>
      </c>
      <c r="V61" s="630">
        <v>2</v>
      </c>
      <c r="W61" s="630" t="s">
        <v>545</v>
      </c>
      <c r="X61" s="630" t="s">
        <v>540</v>
      </c>
      <c r="Y61" s="630" t="s">
        <v>549</v>
      </c>
      <c r="Z61" s="630">
        <v>0.67397200000000002</v>
      </c>
      <c r="AA61" s="630">
        <v>1.0846549999999999</v>
      </c>
      <c r="AB61" s="631">
        <v>74103</v>
      </c>
      <c r="AC61" s="631">
        <v>7759864</v>
      </c>
      <c r="AD61" s="631">
        <f t="shared" si="0"/>
        <v>5229931.059808</v>
      </c>
    </row>
    <row r="62" spans="2:30" x14ac:dyDescent="0.15">
      <c r="B62" s="630">
        <v>17031002234</v>
      </c>
      <c r="C62" s="630">
        <v>17031007545</v>
      </c>
      <c r="D62" s="630">
        <v>17999019825</v>
      </c>
      <c r="E62" s="630" t="s">
        <v>533</v>
      </c>
      <c r="F62" s="630" t="s">
        <v>534</v>
      </c>
      <c r="G62" s="630" t="s">
        <v>365</v>
      </c>
      <c r="H62" s="630" t="s">
        <v>552</v>
      </c>
      <c r="I62" s="630"/>
      <c r="J62" s="630" t="s">
        <v>547</v>
      </c>
      <c r="K62" s="630"/>
      <c r="L62" s="630"/>
      <c r="M62" s="630"/>
      <c r="N62" s="630"/>
      <c r="O62" s="630"/>
      <c r="P62" s="630"/>
      <c r="Q62" s="630"/>
      <c r="R62" s="630"/>
      <c r="S62" s="630" t="s">
        <v>589</v>
      </c>
      <c r="T62" s="630"/>
      <c r="U62" s="630" t="s">
        <v>538</v>
      </c>
      <c r="V62" s="630">
        <v>2</v>
      </c>
      <c r="W62" s="630" t="s">
        <v>545</v>
      </c>
      <c r="X62" s="630" t="s">
        <v>540</v>
      </c>
      <c r="Y62" s="630" t="s">
        <v>549</v>
      </c>
      <c r="Z62" s="630">
        <v>1.114495</v>
      </c>
      <c r="AA62" s="630">
        <v>1.793609</v>
      </c>
      <c r="AB62" s="631">
        <v>73903</v>
      </c>
      <c r="AC62" s="631">
        <v>7739424</v>
      </c>
      <c r="AD62" s="631">
        <f t="shared" si="0"/>
        <v>8625549.3508800007</v>
      </c>
    </row>
    <row r="63" spans="2:30" x14ac:dyDescent="0.15">
      <c r="B63" s="630">
        <v>17197002416</v>
      </c>
      <c r="C63" s="630">
        <v>17197006613</v>
      </c>
      <c r="D63" s="630">
        <v>17197006615</v>
      </c>
      <c r="E63" s="630" t="s">
        <v>533</v>
      </c>
      <c r="F63" s="630" t="s">
        <v>534</v>
      </c>
      <c r="G63" s="630" t="s">
        <v>377</v>
      </c>
      <c r="H63" s="630" t="s">
        <v>535</v>
      </c>
      <c r="I63" s="630"/>
      <c r="J63" s="630" t="s">
        <v>382</v>
      </c>
      <c r="K63" s="630" t="s">
        <v>536</v>
      </c>
      <c r="L63" s="630"/>
      <c r="M63" s="630"/>
      <c r="N63" s="630"/>
      <c r="O63" s="630"/>
      <c r="P63" s="630"/>
      <c r="Q63" s="630"/>
      <c r="R63" s="630"/>
      <c r="S63" s="630" t="s">
        <v>537</v>
      </c>
      <c r="T63" s="630" t="s">
        <v>596</v>
      </c>
      <c r="U63" s="630" t="s">
        <v>538</v>
      </c>
      <c r="V63" s="630">
        <v>2</v>
      </c>
      <c r="W63" s="630" t="s">
        <v>539</v>
      </c>
      <c r="X63" s="630" t="s">
        <v>540</v>
      </c>
      <c r="Y63" s="630" t="s">
        <v>541</v>
      </c>
      <c r="Z63" s="630">
        <v>0.84625600000000001</v>
      </c>
      <c r="AA63" s="630">
        <v>1.3619190000000001</v>
      </c>
      <c r="AB63" s="631">
        <v>26971</v>
      </c>
      <c r="AC63" s="631">
        <v>2482114</v>
      </c>
      <c r="AD63" s="631">
        <f t="shared" si="0"/>
        <v>2100503.8651840002</v>
      </c>
    </row>
    <row r="64" spans="2:30" x14ac:dyDescent="0.15">
      <c r="B64" s="630">
        <v>17031002600</v>
      </c>
      <c r="C64" s="630">
        <v>17031001432</v>
      </c>
      <c r="D64" s="630">
        <v>17031004715</v>
      </c>
      <c r="E64" s="630" t="s">
        <v>533</v>
      </c>
      <c r="F64" s="630" t="s">
        <v>534</v>
      </c>
      <c r="G64" s="630" t="s">
        <v>365</v>
      </c>
      <c r="H64" s="630" t="s">
        <v>551</v>
      </c>
      <c r="I64" s="630" t="s">
        <v>535</v>
      </c>
      <c r="J64" s="630" t="s">
        <v>542</v>
      </c>
      <c r="K64" s="630"/>
      <c r="L64" s="630"/>
      <c r="M64" s="630"/>
      <c r="N64" s="630"/>
      <c r="O64" s="630"/>
      <c r="P64" s="630"/>
      <c r="Q64" s="630"/>
      <c r="R64" s="630"/>
      <c r="S64" s="630" t="s">
        <v>553</v>
      </c>
      <c r="T64" s="630"/>
      <c r="U64" s="630" t="s">
        <v>538</v>
      </c>
      <c r="V64" s="630">
        <v>2</v>
      </c>
      <c r="W64" s="630" t="s">
        <v>545</v>
      </c>
      <c r="X64" s="630" t="s">
        <v>546</v>
      </c>
      <c r="Y64" s="630" t="s">
        <v>549</v>
      </c>
      <c r="Z64" s="630">
        <v>3.4033310000000001</v>
      </c>
      <c r="AA64" s="630">
        <v>5.4771409999999996</v>
      </c>
      <c r="AB64" s="631">
        <v>474627</v>
      </c>
      <c r="AC64" s="631">
        <v>19205131</v>
      </c>
      <c r="AD64" s="631">
        <f t="shared" si="0"/>
        <v>65361417.691361003</v>
      </c>
    </row>
    <row r="65" spans="2:30" x14ac:dyDescent="0.15">
      <c r="B65" s="630">
        <v>17031003265</v>
      </c>
      <c r="C65" s="630">
        <v>17031001095</v>
      </c>
      <c r="D65" s="630">
        <v>17031006705</v>
      </c>
      <c r="E65" s="630" t="s">
        <v>533</v>
      </c>
      <c r="F65" s="630" t="s">
        <v>534</v>
      </c>
      <c r="G65" s="630" t="s">
        <v>365</v>
      </c>
      <c r="H65" s="630" t="s">
        <v>535</v>
      </c>
      <c r="I65" s="630"/>
      <c r="J65" s="630"/>
      <c r="K65" s="630"/>
      <c r="L65" s="630"/>
      <c r="M65" s="630"/>
      <c r="N65" s="630"/>
      <c r="O65" s="630"/>
      <c r="P65" s="630"/>
      <c r="Q65" s="630"/>
      <c r="R65" s="630"/>
      <c r="S65" s="630" t="s">
        <v>597</v>
      </c>
      <c r="T65" s="630" t="s">
        <v>598</v>
      </c>
      <c r="U65" s="630" t="s">
        <v>538</v>
      </c>
      <c r="V65" s="630">
        <v>1</v>
      </c>
      <c r="W65" s="630" t="s">
        <v>539</v>
      </c>
      <c r="X65" s="630" t="s">
        <v>541</v>
      </c>
      <c r="Y65" s="630" t="s">
        <v>541</v>
      </c>
      <c r="Z65" s="630">
        <v>0.44065799999999999</v>
      </c>
      <c r="AA65" s="630">
        <v>0.709171</v>
      </c>
      <c r="AB65" s="631">
        <v>0</v>
      </c>
      <c r="AC65" s="631">
        <v>0</v>
      </c>
      <c r="AD65" s="631">
        <f t="shared" si="0"/>
        <v>0</v>
      </c>
    </row>
    <row r="66" spans="2:30" x14ac:dyDescent="0.15">
      <c r="B66" s="630">
        <v>17031003561</v>
      </c>
      <c r="C66" s="630">
        <v>17031001587</v>
      </c>
      <c r="D66" s="630">
        <v>17031001575</v>
      </c>
      <c r="E66" s="630" t="s">
        <v>533</v>
      </c>
      <c r="F66" s="630" t="s">
        <v>534</v>
      </c>
      <c r="G66" s="630" t="s">
        <v>365</v>
      </c>
      <c r="H66" s="630" t="s">
        <v>382</v>
      </c>
      <c r="I66" s="630"/>
      <c r="J66" s="630" t="s">
        <v>551</v>
      </c>
      <c r="K66" s="630" t="s">
        <v>555</v>
      </c>
      <c r="L66" s="630"/>
      <c r="M66" s="630"/>
      <c r="N66" s="630"/>
      <c r="O66" s="630"/>
      <c r="P66" s="630"/>
      <c r="Q66" s="630"/>
      <c r="R66" s="630"/>
      <c r="S66" s="630" t="s">
        <v>556</v>
      </c>
      <c r="T66" s="630" t="s">
        <v>599</v>
      </c>
      <c r="U66" s="630" t="s">
        <v>538</v>
      </c>
      <c r="V66" s="630">
        <v>2</v>
      </c>
      <c r="W66" s="630" t="s">
        <v>545</v>
      </c>
      <c r="X66" s="630" t="s">
        <v>580</v>
      </c>
      <c r="Y66" s="630" t="s">
        <v>540</v>
      </c>
      <c r="Z66" s="630">
        <v>0.64715299999999998</v>
      </c>
      <c r="AA66" s="630">
        <v>1.0414939999999999</v>
      </c>
      <c r="AB66" s="631">
        <v>865570</v>
      </c>
      <c r="AC66" s="631">
        <v>33878501</v>
      </c>
      <c r="AD66" s="631">
        <f t="shared" si="0"/>
        <v>21924573.557652999</v>
      </c>
    </row>
    <row r="67" spans="2:30" x14ac:dyDescent="0.15">
      <c r="B67" s="630">
        <v>17031003684</v>
      </c>
      <c r="C67" s="630">
        <v>17031001176</v>
      </c>
      <c r="D67" s="630">
        <v>17031004721</v>
      </c>
      <c r="E67" s="630" t="s">
        <v>533</v>
      </c>
      <c r="F67" s="630" t="s">
        <v>534</v>
      </c>
      <c r="G67" s="630" t="s">
        <v>365</v>
      </c>
      <c r="H67" s="630" t="s">
        <v>551</v>
      </c>
      <c r="I67" s="630"/>
      <c r="J67" s="630"/>
      <c r="K67" s="630"/>
      <c r="L67" s="630"/>
      <c r="M67" s="630"/>
      <c r="N67" s="630"/>
      <c r="O67" s="630"/>
      <c r="P67" s="630"/>
      <c r="Q67" s="630"/>
      <c r="R67" s="630"/>
      <c r="S67" s="630" t="s">
        <v>600</v>
      </c>
      <c r="T67" s="630"/>
      <c r="U67" s="630" t="s">
        <v>538</v>
      </c>
      <c r="V67" s="630">
        <v>2</v>
      </c>
      <c r="W67" s="630" t="s">
        <v>582</v>
      </c>
      <c r="X67" s="630" t="s">
        <v>575</v>
      </c>
      <c r="Y67" s="630" t="s">
        <v>540</v>
      </c>
      <c r="Z67" s="630">
        <v>2.6328870000000002</v>
      </c>
      <c r="AA67" s="630">
        <v>4.2372290000000001</v>
      </c>
      <c r="AB67" s="631">
        <v>463665</v>
      </c>
      <c r="AC67" s="631">
        <v>9721522</v>
      </c>
      <c r="AD67" s="631">
        <f t="shared" si="0"/>
        <v>25595668.894014001</v>
      </c>
    </row>
    <row r="68" spans="2:30" x14ac:dyDescent="0.15">
      <c r="B68" s="630">
        <v>17031003844</v>
      </c>
      <c r="C68" s="630">
        <v>17031000812</v>
      </c>
      <c r="D68" s="630">
        <v>17031000780</v>
      </c>
      <c r="E68" s="630" t="s">
        <v>533</v>
      </c>
      <c r="F68" s="630" t="s">
        <v>534</v>
      </c>
      <c r="G68" s="630" t="s">
        <v>365</v>
      </c>
      <c r="H68" s="630" t="s">
        <v>535</v>
      </c>
      <c r="I68" s="630"/>
      <c r="J68" s="630" t="s">
        <v>542</v>
      </c>
      <c r="K68" s="630" t="s">
        <v>572</v>
      </c>
      <c r="L68" s="630" t="s">
        <v>547</v>
      </c>
      <c r="M68" s="630" t="s">
        <v>382</v>
      </c>
      <c r="N68" s="630"/>
      <c r="O68" s="630"/>
      <c r="P68" s="630"/>
      <c r="Q68" s="630"/>
      <c r="R68" s="630"/>
      <c r="S68" s="630" t="s">
        <v>601</v>
      </c>
      <c r="T68" s="630"/>
      <c r="U68" s="630" t="s">
        <v>538</v>
      </c>
      <c r="V68" s="630">
        <v>2</v>
      </c>
      <c r="W68" s="630" t="s">
        <v>545</v>
      </c>
      <c r="X68" s="630" t="s">
        <v>540</v>
      </c>
      <c r="Y68" s="630" t="s">
        <v>549</v>
      </c>
      <c r="Z68" s="630">
        <v>1.3319000000000001</v>
      </c>
      <c r="AA68" s="630">
        <v>2.1434899999999999</v>
      </c>
      <c r="AB68" s="631">
        <v>76864</v>
      </c>
      <c r="AC68" s="631">
        <v>4016805</v>
      </c>
      <c r="AD68" s="631">
        <f t="shared" si="0"/>
        <v>5349982.5795</v>
      </c>
    </row>
    <row r="69" spans="2:30" x14ac:dyDescent="0.15">
      <c r="B69" s="630">
        <v>17031004021</v>
      </c>
      <c r="C69" s="630">
        <v>17031000705</v>
      </c>
      <c r="D69" s="630">
        <v>17031000787</v>
      </c>
      <c r="E69" s="630" t="s">
        <v>533</v>
      </c>
      <c r="F69" s="630" t="s">
        <v>534</v>
      </c>
      <c r="G69" s="630" t="s">
        <v>365</v>
      </c>
      <c r="H69" s="630" t="s">
        <v>547</v>
      </c>
      <c r="I69" s="630"/>
      <c r="J69" s="630" t="s">
        <v>382</v>
      </c>
      <c r="K69" s="630"/>
      <c r="L69" s="630"/>
      <c r="M69" s="630"/>
      <c r="N69" s="630"/>
      <c r="O69" s="630"/>
      <c r="P69" s="630"/>
      <c r="Q69" s="630"/>
      <c r="R69" s="630"/>
      <c r="S69" s="630" t="s">
        <v>602</v>
      </c>
      <c r="T69" s="630"/>
      <c r="U69" s="630" t="s">
        <v>538</v>
      </c>
      <c r="V69" s="630">
        <v>2</v>
      </c>
      <c r="W69" s="630" t="s">
        <v>545</v>
      </c>
      <c r="X69" s="630" t="s">
        <v>541</v>
      </c>
      <c r="Y69" s="630" t="s">
        <v>540</v>
      </c>
      <c r="Z69" s="630">
        <v>1.7369049999999999</v>
      </c>
      <c r="AA69" s="630">
        <v>2.795283</v>
      </c>
      <c r="AB69" s="631">
        <v>0</v>
      </c>
      <c r="AC69" s="631">
        <v>0</v>
      </c>
      <c r="AD69" s="631">
        <f t="shared" si="0"/>
        <v>0</v>
      </c>
    </row>
    <row r="70" spans="2:30" x14ac:dyDescent="0.15">
      <c r="B70" s="630">
        <v>17031005680</v>
      </c>
      <c r="C70" s="630">
        <v>17031001396</v>
      </c>
      <c r="D70" s="630">
        <v>17031001391</v>
      </c>
      <c r="E70" s="630" t="s">
        <v>533</v>
      </c>
      <c r="F70" s="630" t="s">
        <v>534</v>
      </c>
      <c r="G70" s="630" t="s">
        <v>365</v>
      </c>
      <c r="H70" s="630" t="s">
        <v>551</v>
      </c>
      <c r="I70" s="630"/>
      <c r="J70" s="630"/>
      <c r="K70" s="630"/>
      <c r="L70" s="630"/>
      <c r="M70" s="630"/>
      <c r="N70" s="630"/>
      <c r="O70" s="630"/>
      <c r="P70" s="630"/>
      <c r="Q70" s="630"/>
      <c r="R70" s="630"/>
      <c r="S70" s="630" t="s">
        <v>603</v>
      </c>
      <c r="T70" s="630"/>
      <c r="U70" s="630" t="s">
        <v>538</v>
      </c>
      <c r="V70" s="630">
        <v>1</v>
      </c>
      <c r="W70" s="630" t="s">
        <v>545</v>
      </c>
      <c r="X70" s="630" t="s">
        <v>575</v>
      </c>
      <c r="Y70" s="630" t="s">
        <v>554</v>
      </c>
      <c r="Z70" s="630">
        <v>0.12209</v>
      </c>
      <c r="AA70" s="630">
        <v>0.19648499999999999</v>
      </c>
      <c r="AB70" s="631">
        <v>1464997</v>
      </c>
      <c r="AC70" s="631">
        <v>50040672</v>
      </c>
      <c r="AD70" s="631">
        <f t="shared" ref="AD70:AD133" si="1">AC70*Z70</f>
        <v>6109465.6444800003</v>
      </c>
    </row>
    <row r="71" spans="2:30" x14ac:dyDescent="0.15">
      <c r="B71" s="630">
        <v>17031005734</v>
      </c>
      <c r="C71" s="630">
        <v>17031001034</v>
      </c>
      <c r="D71" s="630">
        <v>17031001051</v>
      </c>
      <c r="E71" s="630" t="s">
        <v>533</v>
      </c>
      <c r="F71" s="630" t="s">
        <v>534</v>
      </c>
      <c r="G71" s="630" t="s">
        <v>365</v>
      </c>
      <c r="H71" s="630" t="s">
        <v>543</v>
      </c>
      <c r="I71" s="630"/>
      <c r="J71" s="630"/>
      <c r="K71" s="630"/>
      <c r="L71" s="630"/>
      <c r="M71" s="630"/>
      <c r="N71" s="630"/>
      <c r="O71" s="630"/>
      <c r="P71" s="630"/>
      <c r="Q71" s="630"/>
      <c r="R71" s="630"/>
      <c r="S71" s="630" t="s">
        <v>604</v>
      </c>
      <c r="T71" s="630"/>
      <c r="U71" s="630" t="s">
        <v>538</v>
      </c>
      <c r="V71" s="630">
        <v>1</v>
      </c>
      <c r="W71" s="630" t="s">
        <v>582</v>
      </c>
      <c r="X71" s="630" t="s">
        <v>549</v>
      </c>
      <c r="Y71" s="630" t="s">
        <v>554</v>
      </c>
      <c r="Z71" s="630">
        <v>0.52502400000000005</v>
      </c>
      <c r="AA71" s="630">
        <v>0.844947</v>
      </c>
      <c r="AB71" s="631">
        <v>0</v>
      </c>
      <c r="AC71" s="631">
        <v>0</v>
      </c>
      <c r="AD71" s="631">
        <f t="shared" si="1"/>
        <v>0</v>
      </c>
    </row>
    <row r="72" spans="2:30" x14ac:dyDescent="0.15">
      <c r="B72" s="630">
        <v>17031005984</v>
      </c>
      <c r="C72" s="630">
        <v>17031000534</v>
      </c>
      <c r="D72" s="630">
        <v>17031000540</v>
      </c>
      <c r="E72" s="630" t="s">
        <v>533</v>
      </c>
      <c r="F72" s="630" t="s">
        <v>534</v>
      </c>
      <c r="G72" s="630" t="s">
        <v>365</v>
      </c>
      <c r="H72" s="630" t="s">
        <v>382</v>
      </c>
      <c r="I72" s="630"/>
      <c r="J72" s="630" t="s">
        <v>535</v>
      </c>
      <c r="K72" s="630" t="s">
        <v>552</v>
      </c>
      <c r="L72" s="630" t="s">
        <v>557</v>
      </c>
      <c r="M72" s="630" t="s">
        <v>543</v>
      </c>
      <c r="N72" s="630"/>
      <c r="O72" s="630"/>
      <c r="P72" s="630"/>
      <c r="Q72" s="630"/>
      <c r="R72" s="630"/>
      <c r="S72" s="630"/>
      <c r="T72" s="630"/>
      <c r="U72" s="630" t="s">
        <v>559</v>
      </c>
      <c r="V72" s="630">
        <v>1</v>
      </c>
      <c r="W72" s="630" t="s">
        <v>539</v>
      </c>
      <c r="X72" s="630" t="s">
        <v>541</v>
      </c>
      <c r="Y72" s="630" t="s">
        <v>541</v>
      </c>
      <c r="Z72" s="630">
        <v>0.30993500000000002</v>
      </c>
      <c r="AA72" s="630">
        <v>0.49879400000000002</v>
      </c>
      <c r="AB72" s="631">
        <v>6964</v>
      </c>
      <c r="AC72" s="631">
        <v>493488</v>
      </c>
      <c r="AD72" s="631">
        <f t="shared" si="1"/>
        <v>152949.20328000002</v>
      </c>
    </row>
    <row r="73" spans="2:30" x14ac:dyDescent="0.15">
      <c r="B73" s="630">
        <v>17031006356</v>
      </c>
      <c r="C73" s="630">
        <v>17031000486</v>
      </c>
      <c r="D73" s="630">
        <v>17031004642</v>
      </c>
      <c r="E73" s="630" t="s">
        <v>533</v>
      </c>
      <c r="F73" s="630" t="s">
        <v>534</v>
      </c>
      <c r="G73" s="630" t="s">
        <v>365</v>
      </c>
      <c r="H73" s="630" t="s">
        <v>552</v>
      </c>
      <c r="I73" s="630"/>
      <c r="J73" s="630" t="s">
        <v>551</v>
      </c>
      <c r="K73" s="630" t="s">
        <v>547</v>
      </c>
      <c r="L73" s="630" t="s">
        <v>382</v>
      </c>
      <c r="M73" s="630" t="s">
        <v>563</v>
      </c>
      <c r="N73" s="630"/>
      <c r="O73" s="630"/>
      <c r="P73" s="630"/>
      <c r="Q73" s="630"/>
      <c r="R73" s="630"/>
      <c r="S73" s="630" t="s">
        <v>589</v>
      </c>
      <c r="T73" s="630"/>
      <c r="U73" s="630" t="s">
        <v>538</v>
      </c>
      <c r="V73" s="630">
        <v>3</v>
      </c>
      <c r="W73" s="630" t="s">
        <v>545</v>
      </c>
      <c r="X73" s="630" t="s">
        <v>549</v>
      </c>
      <c r="Y73" s="630" t="s">
        <v>549</v>
      </c>
      <c r="Z73" s="630">
        <v>5.2434000000000001E-2</v>
      </c>
      <c r="AA73" s="630">
        <v>8.4385000000000002E-2</v>
      </c>
      <c r="AB73" s="631">
        <v>313574</v>
      </c>
      <c r="AC73" s="631">
        <v>20645328</v>
      </c>
      <c r="AD73" s="631">
        <f t="shared" si="1"/>
        <v>1082517.1283520001</v>
      </c>
    </row>
    <row r="74" spans="2:30" x14ac:dyDescent="0.15">
      <c r="B74" s="630">
        <v>17031006424</v>
      </c>
      <c r="C74" s="630">
        <v>17031004730</v>
      </c>
      <c r="D74" s="630">
        <v>17031000981</v>
      </c>
      <c r="E74" s="630" t="s">
        <v>533</v>
      </c>
      <c r="F74" s="630" t="s">
        <v>534</v>
      </c>
      <c r="G74" s="630" t="s">
        <v>365</v>
      </c>
      <c r="H74" s="630" t="s">
        <v>571</v>
      </c>
      <c r="I74" s="630"/>
      <c r="J74" s="630" t="s">
        <v>381</v>
      </c>
      <c r="K74" s="630" t="s">
        <v>535</v>
      </c>
      <c r="L74" s="630" t="s">
        <v>552</v>
      </c>
      <c r="M74" s="630" t="s">
        <v>572</v>
      </c>
      <c r="N74" s="630" t="s">
        <v>551</v>
      </c>
      <c r="O74" s="630" t="s">
        <v>555</v>
      </c>
      <c r="P74" s="630" t="s">
        <v>543</v>
      </c>
      <c r="Q74" s="630" t="s">
        <v>382</v>
      </c>
      <c r="R74" s="630" t="s">
        <v>563</v>
      </c>
      <c r="S74" s="630" t="s">
        <v>605</v>
      </c>
      <c r="T74" s="630" t="s">
        <v>574</v>
      </c>
      <c r="U74" s="630" t="s">
        <v>538</v>
      </c>
      <c r="V74" s="630">
        <v>2</v>
      </c>
      <c r="W74" s="630" t="s">
        <v>545</v>
      </c>
      <c r="X74" s="630" t="s">
        <v>575</v>
      </c>
      <c r="Y74" s="630" t="s">
        <v>554</v>
      </c>
      <c r="Z74" s="630">
        <v>0.76854500000000003</v>
      </c>
      <c r="AA74" s="630">
        <v>1.236855</v>
      </c>
      <c r="AB74" s="631">
        <v>269567</v>
      </c>
      <c r="AC74" s="631">
        <v>14123853</v>
      </c>
      <c r="AD74" s="631">
        <f t="shared" si="1"/>
        <v>10854816.603885001</v>
      </c>
    </row>
    <row r="75" spans="2:30" x14ac:dyDescent="0.15">
      <c r="B75" s="630">
        <v>17197007048</v>
      </c>
      <c r="C75" s="630">
        <v>17197005596</v>
      </c>
      <c r="D75" s="630">
        <v>17197005594</v>
      </c>
      <c r="E75" s="630" t="s">
        <v>533</v>
      </c>
      <c r="F75" s="630" t="s">
        <v>534</v>
      </c>
      <c r="G75" s="630" t="s">
        <v>377</v>
      </c>
      <c r="H75" s="630" t="s">
        <v>382</v>
      </c>
      <c r="I75" s="630"/>
      <c r="J75" s="630" t="s">
        <v>542</v>
      </c>
      <c r="K75" s="630"/>
      <c r="L75" s="630"/>
      <c r="M75" s="630"/>
      <c r="N75" s="630"/>
      <c r="O75" s="630"/>
      <c r="P75" s="630"/>
      <c r="Q75" s="630"/>
      <c r="R75" s="630"/>
      <c r="S75" s="630" t="s">
        <v>606</v>
      </c>
      <c r="T75" s="630"/>
      <c r="U75" s="630" t="s">
        <v>538</v>
      </c>
      <c r="V75" s="630">
        <v>1</v>
      </c>
      <c r="W75" s="630" t="s">
        <v>545</v>
      </c>
      <c r="X75" s="630" t="s">
        <v>541</v>
      </c>
      <c r="Y75" s="630" t="s">
        <v>549</v>
      </c>
      <c r="Z75" s="630">
        <v>1.1318889999999999</v>
      </c>
      <c r="AA75" s="630">
        <v>1.8216019999999999</v>
      </c>
      <c r="AB75" s="631">
        <v>80</v>
      </c>
      <c r="AC75" s="631">
        <v>7840</v>
      </c>
      <c r="AD75" s="631">
        <f t="shared" si="1"/>
        <v>8874.009759999999</v>
      </c>
    </row>
    <row r="76" spans="2:30" x14ac:dyDescent="0.15">
      <c r="B76" s="630">
        <v>17197009298</v>
      </c>
      <c r="C76" s="630">
        <v>17197007418</v>
      </c>
      <c r="D76" s="630">
        <v>17197007421</v>
      </c>
      <c r="E76" s="630" t="s">
        <v>533</v>
      </c>
      <c r="F76" s="630" t="s">
        <v>534</v>
      </c>
      <c r="G76" s="630" t="s">
        <v>377</v>
      </c>
      <c r="H76" s="630" t="s">
        <v>551</v>
      </c>
      <c r="I76" s="630"/>
      <c r="J76" s="630" t="s">
        <v>535</v>
      </c>
      <c r="K76" s="630"/>
      <c r="L76" s="630"/>
      <c r="M76" s="630"/>
      <c r="N76" s="630"/>
      <c r="O76" s="630"/>
      <c r="P76" s="630"/>
      <c r="Q76" s="630"/>
      <c r="R76" s="630"/>
      <c r="S76" s="630" t="s">
        <v>594</v>
      </c>
      <c r="T76" s="630"/>
      <c r="U76" s="630" t="s">
        <v>559</v>
      </c>
      <c r="V76" s="630">
        <v>1</v>
      </c>
      <c r="W76" s="630" t="s">
        <v>560</v>
      </c>
      <c r="X76" s="630" t="s">
        <v>541</v>
      </c>
      <c r="Y76" s="630" t="s">
        <v>541</v>
      </c>
      <c r="Z76" s="630">
        <v>0.276337</v>
      </c>
      <c r="AA76" s="630">
        <v>0.44472200000000001</v>
      </c>
      <c r="AB76" s="631">
        <v>0</v>
      </c>
      <c r="AC76" s="631">
        <v>0</v>
      </c>
      <c r="AD76" s="631">
        <f t="shared" si="1"/>
        <v>0</v>
      </c>
    </row>
    <row r="77" spans="2:30" x14ac:dyDescent="0.15">
      <c r="B77" s="630">
        <v>17089001831</v>
      </c>
      <c r="C77" s="630">
        <v>17089001000</v>
      </c>
      <c r="D77" s="630">
        <v>17089000989</v>
      </c>
      <c r="E77" s="630" t="s">
        <v>533</v>
      </c>
      <c r="F77" s="630" t="s">
        <v>534</v>
      </c>
      <c r="G77" s="630" t="s">
        <v>369</v>
      </c>
      <c r="H77" s="630" t="s">
        <v>381</v>
      </c>
      <c r="I77" s="630"/>
      <c r="J77" s="630"/>
      <c r="K77" s="630"/>
      <c r="L77" s="630"/>
      <c r="M77" s="630"/>
      <c r="N77" s="630"/>
      <c r="O77" s="630"/>
      <c r="P77" s="630"/>
      <c r="Q77" s="630"/>
      <c r="R77" s="630"/>
      <c r="S77" s="630" t="s">
        <v>595</v>
      </c>
      <c r="T77" s="630"/>
      <c r="U77" s="630" t="s">
        <v>538</v>
      </c>
      <c r="V77" s="630">
        <v>1</v>
      </c>
      <c r="W77" s="630" t="s">
        <v>545</v>
      </c>
      <c r="X77" s="630" t="s">
        <v>546</v>
      </c>
      <c r="Y77" s="630" t="s">
        <v>549</v>
      </c>
      <c r="Z77" s="630">
        <v>1.485951</v>
      </c>
      <c r="AA77" s="630">
        <v>2.3914119999999999</v>
      </c>
      <c r="AB77" s="631">
        <v>879615</v>
      </c>
      <c r="AC77" s="631">
        <v>28014261</v>
      </c>
      <c r="AD77" s="631">
        <f t="shared" si="1"/>
        <v>41627819.147211</v>
      </c>
    </row>
    <row r="78" spans="2:30" x14ac:dyDescent="0.15">
      <c r="B78" s="630">
        <v>17089002059</v>
      </c>
      <c r="C78" s="630">
        <v>17089000284</v>
      </c>
      <c r="D78" s="630">
        <v>17089004855</v>
      </c>
      <c r="E78" s="630" t="s">
        <v>533</v>
      </c>
      <c r="F78" s="630" t="s">
        <v>534</v>
      </c>
      <c r="G78" s="630" t="s">
        <v>369</v>
      </c>
      <c r="H78" s="630" t="s">
        <v>552</v>
      </c>
      <c r="I78" s="630"/>
      <c r="J78" s="630"/>
      <c r="K78" s="630"/>
      <c r="L78" s="630"/>
      <c r="M78" s="630"/>
      <c r="N78" s="630"/>
      <c r="O78" s="630"/>
      <c r="P78" s="630"/>
      <c r="Q78" s="630"/>
      <c r="R78" s="630"/>
      <c r="S78" s="630" t="s">
        <v>607</v>
      </c>
      <c r="T78" s="630"/>
      <c r="U78" s="630" t="s">
        <v>538</v>
      </c>
      <c r="V78" s="630">
        <v>1</v>
      </c>
      <c r="W78" s="630" t="s">
        <v>582</v>
      </c>
      <c r="X78" s="630" t="s">
        <v>540</v>
      </c>
      <c r="Y78" s="630" t="s">
        <v>540</v>
      </c>
      <c r="Z78" s="630">
        <v>6.3309290000000003</v>
      </c>
      <c r="AA78" s="630">
        <v>10.188663</v>
      </c>
      <c r="AB78" s="631">
        <v>73783</v>
      </c>
      <c r="AC78" s="631">
        <v>7728344</v>
      </c>
      <c r="AD78" s="631">
        <f t="shared" si="1"/>
        <v>48927597.151576005</v>
      </c>
    </row>
    <row r="79" spans="2:30" x14ac:dyDescent="0.15">
      <c r="B79" s="630">
        <v>17097002098</v>
      </c>
      <c r="C79" s="630">
        <v>17999019040</v>
      </c>
      <c r="D79" s="630">
        <v>17097007520</v>
      </c>
      <c r="E79" s="630" t="s">
        <v>533</v>
      </c>
      <c r="F79" s="630" t="s">
        <v>534</v>
      </c>
      <c r="G79" s="630" t="s">
        <v>373</v>
      </c>
      <c r="H79" s="630" t="s">
        <v>535</v>
      </c>
      <c r="I79" s="630"/>
      <c r="J79" s="630" t="s">
        <v>547</v>
      </c>
      <c r="K79" s="630"/>
      <c r="L79" s="630"/>
      <c r="M79" s="630"/>
      <c r="N79" s="630"/>
      <c r="O79" s="630"/>
      <c r="P79" s="630"/>
      <c r="Q79" s="630"/>
      <c r="R79" s="630"/>
      <c r="S79" s="630" t="s">
        <v>548</v>
      </c>
      <c r="T79" s="630"/>
      <c r="U79" s="630" t="s">
        <v>538</v>
      </c>
      <c r="V79" s="630">
        <v>3</v>
      </c>
      <c r="W79" s="630" t="s">
        <v>545</v>
      </c>
      <c r="X79" s="630" t="s">
        <v>546</v>
      </c>
      <c r="Y79" s="630" t="s">
        <v>549</v>
      </c>
      <c r="Z79" s="630">
        <v>0.95903700000000003</v>
      </c>
      <c r="AA79" s="630">
        <v>1.5434239999999999</v>
      </c>
      <c r="AB79" s="631">
        <v>805376</v>
      </c>
      <c r="AC79" s="631">
        <v>39329111</v>
      </c>
      <c r="AD79" s="631">
        <f t="shared" si="1"/>
        <v>37718072.626107</v>
      </c>
    </row>
    <row r="80" spans="2:30" x14ac:dyDescent="0.15">
      <c r="B80" s="630">
        <v>17031002254</v>
      </c>
      <c r="C80" s="630">
        <v>17031004662</v>
      </c>
      <c r="D80" s="630">
        <v>17031004663</v>
      </c>
      <c r="E80" s="630" t="s">
        <v>533</v>
      </c>
      <c r="F80" s="630" t="s">
        <v>534</v>
      </c>
      <c r="G80" s="630" t="s">
        <v>365</v>
      </c>
      <c r="H80" s="630" t="s">
        <v>381</v>
      </c>
      <c r="I80" s="630"/>
      <c r="J80" s="630" t="s">
        <v>542</v>
      </c>
      <c r="K80" s="630" t="s">
        <v>547</v>
      </c>
      <c r="L80" s="630" t="s">
        <v>382</v>
      </c>
      <c r="M80" s="630"/>
      <c r="N80" s="630"/>
      <c r="O80" s="630"/>
      <c r="P80" s="630"/>
      <c r="Q80" s="630"/>
      <c r="R80" s="630"/>
      <c r="S80" s="630" t="s">
        <v>579</v>
      </c>
      <c r="T80" s="630"/>
      <c r="U80" s="630" t="s">
        <v>538</v>
      </c>
      <c r="V80" s="630">
        <v>3</v>
      </c>
      <c r="W80" s="630" t="s">
        <v>545</v>
      </c>
      <c r="X80" s="630" t="s">
        <v>580</v>
      </c>
      <c r="Y80" s="630" t="s">
        <v>549</v>
      </c>
      <c r="Z80" s="630">
        <v>0.49629800000000002</v>
      </c>
      <c r="AA80" s="630">
        <v>0.79871599999999998</v>
      </c>
      <c r="AB80" s="631">
        <v>945771</v>
      </c>
      <c r="AC80" s="631">
        <v>40638017</v>
      </c>
      <c r="AD80" s="631">
        <f t="shared" si="1"/>
        <v>20168566.561066002</v>
      </c>
    </row>
    <row r="81" spans="2:30" x14ac:dyDescent="0.15">
      <c r="B81" s="630">
        <v>17031002257</v>
      </c>
      <c r="C81" s="630">
        <v>17031004659</v>
      </c>
      <c r="D81" s="630">
        <v>17031004660</v>
      </c>
      <c r="E81" s="630" t="s">
        <v>533</v>
      </c>
      <c r="F81" s="630" t="s">
        <v>534</v>
      </c>
      <c r="G81" s="630" t="s">
        <v>365</v>
      </c>
      <c r="H81" s="630" t="s">
        <v>381</v>
      </c>
      <c r="I81" s="630"/>
      <c r="J81" s="630" t="s">
        <v>542</v>
      </c>
      <c r="K81" s="630" t="s">
        <v>547</v>
      </c>
      <c r="L81" s="630" t="s">
        <v>382</v>
      </c>
      <c r="M81" s="630"/>
      <c r="N81" s="630"/>
      <c r="O81" s="630"/>
      <c r="P81" s="630"/>
      <c r="Q81" s="630"/>
      <c r="R81" s="630"/>
      <c r="S81" s="630" t="s">
        <v>579</v>
      </c>
      <c r="T81" s="630"/>
      <c r="U81" s="630" t="s">
        <v>538</v>
      </c>
      <c r="V81" s="630">
        <v>3</v>
      </c>
      <c r="W81" s="630" t="s">
        <v>545</v>
      </c>
      <c r="X81" s="630" t="s">
        <v>580</v>
      </c>
      <c r="Y81" s="630" t="s">
        <v>549</v>
      </c>
      <c r="Z81" s="630">
        <v>0.69520000000000004</v>
      </c>
      <c r="AA81" s="630">
        <v>1.118819</v>
      </c>
      <c r="AB81" s="631">
        <v>945771</v>
      </c>
      <c r="AC81" s="631">
        <v>40638017</v>
      </c>
      <c r="AD81" s="631">
        <f t="shared" si="1"/>
        <v>28251549.418400001</v>
      </c>
    </row>
    <row r="82" spans="2:30" x14ac:dyDescent="0.15">
      <c r="B82" s="630">
        <v>17043002405</v>
      </c>
      <c r="C82" s="630">
        <v>17043000605</v>
      </c>
      <c r="D82" s="630">
        <v>17043000552</v>
      </c>
      <c r="E82" s="630" t="s">
        <v>533</v>
      </c>
      <c r="F82" s="630" t="s">
        <v>534</v>
      </c>
      <c r="G82" s="630" t="s">
        <v>367</v>
      </c>
      <c r="H82" s="630" t="s">
        <v>382</v>
      </c>
      <c r="I82" s="630"/>
      <c r="J82" s="630" t="s">
        <v>547</v>
      </c>
      <c r="K82" s="630"/>
      <c r="L82" s="630"/>
      <c r="M82" s="630"/>
      <c r="N82" s="630"/>
      <c r="O82" s="630"/>
      <c r="P82" s="630"/>
      <c r="Q82" s="630"/>
      <c r="R82" s="630"/>
      <c r="S82" s="630" t="s">
        <v>583</v>
      </c>
      <c r="T82" s="630"/>
      <c r="U82" s="630" t="s">
        <v>538</v>
      </c>
      <c r="V82" s="630">
        <v>3</v>
      </c>
      <c r="W82" s="630" t="s">
        <v>588</v>
      </c>
      <c r="X82" s="630" t="s">
        <v>575</v>
      </c>
      <c r="Y82" s="630" t="s">
        <v>549</v>
      </c>
      <c r="Z82" s="630">
        <v>2.461951</v>
      </c>
      <c r="AA82" s="630">
        <v>3.9621339999999998</v>
      </c>
      <c r="AB82" s="631">
        <v>1830855</v>
      </c>
      <c r="AC82" s="631">
        <v>57776893</v>
      </c>
      <c r="AD82" s="631">
        <f t="shared" si="1"/>
        <v>142243879.498243</v>
      </c>
    </row>
    <row r="83" spans="2:30" x14ac:dyDescent="0.15">
      <c r="B83" s="630">
        <v>17111002554</v>
      </c>
      <c r="C83" s="630">
        <v>17111000114</v>
      </c>
      <c r="D83" s="630">
        <v>17111000115</v>
      </c>
      <c r="E83" s="630" t="s">
        <v>533</v>
      </c>
      <c r="F83" s="630" t="s">
        <v>534</v>
      </c>
      <c r="G83" s="630" t="s">
        <v>375</v>
      </c>
      <c r="H83" s="630" t="s">
        <v>382</v>
      </c>
      <c r="I83" s="630"/>
      <c r="J83" s="630" t="s">
        <v>547</v>
      </c>
      <c r="K83" s="630"/>
      <c r="L83" s="630"/>
      <c r="M83" s="630"/>
      <c r="N83" s="630"/>
      <c r="O83" s="630"/>
      <c r="P83" s="630"/>
      <c r="Q83" s="630"/>
      <c r="R83" s="630"/>
      <c r="S83" s="630" t="s">
        <v>608</v>
      </c>
      <c r="T83" s="630"/>
      <c r="U83" s="630" t="s">
        <v>538</v>
      </c>
      <c r="V83" s="630">
        <v>2</v>
      </c>
      <c r="W83" s="630" t="s">
        <v>566</v>
      </c>
      <c r="X83" s="630" t="s">
        <v>549</v>
      </c>
      <c r="Y83" s="630" t="s">
        <v>549</v>
      </c>
      <c r="Z83" s="630">
        <v>7.0084999999999995E-2</v>
      </c>
      <c r="AA83" s="630">
        <v>0.112791</v>
      </c>
      <c r="AB83" s="631">
        <v>9512</v>
      </c>
      <c r="AC83" s="631">
        <v>859173</v>
      </c>
      <c r="AD83" s="631">
        <f t="shared" si="1"/>
        <v>60215.139704999994</v>
      </c>
    </row>
    <row r="84" spans="2:30" x14ac:dyDescent="0.15">
      <c r="B84" s="630">
        <v>17197002594</v>
      </c>
      <c r="C84" s="630">
        <v>17197001479</v>
      </c>
      <c r="D84" s="630">
        <v>17197004800</v>
      </c>
      <c r="E84" s="630" t="s">
        <v>533</v>
      </c>
      <c r="F84" s="630" t="s">
        <v>534</v>
      </c>
      <c r="G84" s="630" t="s">
        <v>377</v>
      </c>
      <c r="H84" s="630" t="s">
        <v>535</v>
      </c>
      <c r="I84" s="630"/>
      <c r="J84" s="630"/>
      <c r="K84" s="630"/>
      <c r="L84" s="630"/>
      <c r="M84" s="630"/>
      <c r="N84" s="630"/>
      <c r="O84" s="630"/>
      <c r="P84" s="630"/>
      <c r="Q84" s="630"/>
      <c r="R84" s="630"/>
      <c r="S84" s="630"/>
      <c r="T84" s="630" t="s">
        <v>596</v>
      </c>
      <c r="U84" s="630" t="s">
        <v>559</v>
      </c>
      <c r="V84" s="630">
        <v>1</v>
      </c>
      <c r="W84" s="630" t="s">
        <v>560</v>
      </c>
      <c r="X84" s="630" t="s">
        <v>541</v>
      </c>
      <c r="Y84" s="630" t="s">
        <v>541</v>
      </c>
      <c r="Z84" s="630">
        <v>0.70780600000000005</v>
      </c>
      <c r="AA84" s="630">
        <v>1.139106</v>
      </c>
      <c r="AB84" s="631">
        <v>2160</v>
      </c>
      <c r="AC84" s="631">
        <v>187560</v>
      </c>
      <c r="AD84" s="631">
        <f t="shared" si="1"/>
        <v>132756.09336</v>
      </c>
    </row>
    <row r="85" spans="2:30" x14ac:dyDescent="0.15">
      <c r="B85" s="630">
        <v>17031002980</v>
      </c>
      <c r="C85" s="630">
        <v>17031000655</v>
      </c>
      <c r="D85" s="630">
        <v>17031000656</v>
      </c>
      <c r="E85" s="630" t="s">
        <v>533</v>
      </c>
      <c r="F85" s="630" t="s">
        <v>534</v>
      </c>
      <c r="G85" s="630" t="s">
        <v>365</v>
      </c>
      <c r="H85" s="630" t="s">
        <v>382</v>
      </c>
      <c r="I85" s="630"/>
      <c r="J85" s="630" t="s">
        <v>572</v>
      </c>
      <c r="K85" s="630"/>
      <c r="L85" s="630"/>
      <c r="M85" s="630"/>
      <c r="N85" s="630"/>
      <c r="O85" s="630"/>
      <c r="P85" s="630"/>
      <c r="Q85" s="630"/>
      <c r="R85" s="630"/>
      <c r="S85" s="630" t="s">
        <v>609</v>
      </c>
      <c r="T85" s="630" t="s">
        <v>610</v>
      </c>
      <c r="U85" s="630" t="s">
        <v>538</v>
      </c>
      <c r="V85" s="630">
        <v>1</v>
      </c>
      <c r="W85" s="630" t="s">
        <v>539</v>
      </c>
      <c r="X85" s="630" t="s">
        <v>540</v>
      </c>
      <c r="Y85" s="630" t="s">
        <v>541</v>
      </c>
      <c r="Z85" s="630">
        <v>0.85373100000000002</v>
      </c>
      <c r="AA85" s="630">
        <v>1.3739490000000001</v>
      </c>
      <c r="AB85" s="631">
        <v>518784</v>
      </c>
      <c r="AC85" s="631">
        <v>21506516</v>
      </c>
      <c r="AD85" s="631">
        <f t="shared" si="1"/>
        <v>18360779.411196001</v>
      </c>
    </row>
    <row r="86" spans="2:30" x14ac:dyDescent="0.15">
      <c r="B86" s="630">
        <v>17089003147</v>
      </c>
      <c r="C86" s="630">
        <v>17089001083</v>
      </c>
      <c r="D86" s="630">
        <v>17089001055</v>
      </c>
      <c r="E86" s="630" t="s">
        <v>533</v>
      </c>
      <c r="F86" s="630" t="s">
        <v>534</v>
      </c>
      <c r="G86" s="630" t="s">
        <v>369</v>
      </c>
      <c r="H86" s="630" t="s">
        <v>381</v>
      </c>
      <c r="I86" s="630"/>
      <c r="J86" s="630" t="s">
        <v>542</v>
      </c>
      <c r="K86" s="630" t="s">
        <v>578</v>
      </c>
      <c r="L86" s="630" t="s">
        <v>382</v>
      </c>
      <c r="M86" s="630"/>
      <c r="N86" s="630"/>
      <c r="O86" s="630"/>
      <c r="P86" s="630"/>
      <c r="Q86" s="630"/>
      <c r="R86" s="630"/>
      <c r="S86" s="630" t="s">
        <v>579</v>
      </c>
      <c r="T86" s="630"/>
      <c r="U86" s="630" t="s">
        <v>538</v>
      </c>
      <c r="V86" s="630">
        <v>2</v>
      </c>
      <c r="W86" s="630" t="s">
        <v>545</v>
      </c>
      <c r="X86" s="630" t="s">
        <v>580</v>
      </c>
      <c r="Y86" s="630" t="s">
        <v>549</v>
      </c>
      <c r="Z86" s="630">
        <v>0.95799500000000004</v>
      </c>
      <c r="AA86" s="630">
        <v>1.5417460000000001</v>
      </c>
      <c r="AB86" s="631">
        <v>327388</v>
      </c>
      <c r="AC86" s="631">
        <v>21126397</v>
      </c>
      <c r="AD86" s="631">
        <f t="shared" si="1"/>
        <v>20238982.694015</v>
      </c>
    </row>
    <row r="87" spans="2:30" x14ac:dyDescent="0.15">
      <c r="B87" s="630">
        <v>17031003226</v>
      </c>
      <c r="C87" s="630">
        <v>17031000787</v>
      </c>
      <c r="D87" s="630">
        <v>17031000799</v>
      </c>
      <c r="E87" s="630" t="s">
        <v>533</v>
      </c>
      <c r="F87" s="630" t="s">
        <v>534</v>
      </c>
      <c r="G87" s="630" t="s">
        <v>365</v>
      </c>
      <c r="H87" s="630" t="s">
        <v>543</v>
      </c>
      <c r="I87" s="630"/>
      <c r="J87" s="630" t="s">
        <v>382</v>
      </c>
      <c r="K87" s="630"/>
      <c r="L87" s="630"/>
      <c r="M87" s="630"/>
      <c r="N87" s="630"/>
      <c r="O87" s="630"/>
      <c r="P87" s="630"/>
      <c r="Q87" s="630"/>
      <c r="R87" s="630"/>
      <c r="S87" s="630"/>
      <c r="T87" s="630"/>
      <c r="U87" s="630" t="s">
        <v>559</v>
      </c>
      <c r="V87" s="630">
        <v>1</v>
      </c>
      <c r="W87" s="630" t="s">
        <v>560</v>
      </c>
      <c r="X87" s="630" t="s">
        <v>541</v>
      </c>
      <c r="Y87" s="630" t="s">
        <v>541</v>
      </c>
      <c r="Z87" s="630">
        <v>0.28874899999999998</v>
      </c>
      <c r="AA87" s="630">
        <v>0.46469700000000003</v>
      </c>
      <c r="AB87" s="631">
        <v>200</v>
      </c>
      <c r="AC87" s="631">
        <v>13360</v>
      </c>
      <c r="AD87" s="631">
        <f t="shared" si="1"/>
        <v>3857.6866399999999</v>
      </c>
    </row>
    <row r="88" spans="2:30" x14ac:dyDescent="0.15">
      <c r="B88" s="630">
        <v>17031003556</v>
      </c>
      <c r="C88" s="630">
        <v>17031001293</v>
      </c>
      <c r="D88" s="630">
        <v>17031004698</v>
      </c>
      <c r="E88" s="630" t="s">
        <v>533</v>
      </c>
      <c r="F88" s="630" t="s">
        <v>534</v>
      </c>
      <c r="G88" s="630" t="s">
        <v>365</v>
      </c>
      <c r="H88" s="630" t="s">
        <v>547</v>
      </c>
      <c r="I88" s="630"/>
      <c r="J88" s="630"/>
      <c r="K88" s="630"/>
      <c r="L88" s="630"/>
      <c r="M88" s="630"/>
      <c r="N88" s="630"/>
      <c r="O88" s="630"/>
      <c r="P88" s="630"/>
      <c r="Q88" s="630"/>
      <c r="R88" s="630"/>
      <c r="S88" s="630" t="s">
        <v>611</v>
      </c>
      <c r="T88" s="630"/>
      <c r="U88" s="630" t="s">
        <v>538</v>
      </c>
      <c r="V88" s="630">
        <v>1</v>
      </c>
      <c r="W88" s="630" t="s">
        <v>582</v>
      </c>
      <c r="X88" s="630" t="s">
        <v>541</v>
      </c>
      <c r="Y88" s="630" t="s">
        <v>540</v>
      </c>
      <c r="Z88" s="630">
        <v>0.55063499999999999</v>
      </c>
      <c r="AA88" s="630">
        <v>0.88616300000000003</v>
      </c>
      <c r="AB88" s="631">
        <v>0</v>
      </c>
      <c r="AC88" s="631">
        <v>0</v>
      </c>
      <c r="AD88" s="631">
        <f t="shared" si="1"/>
        <v>0</v>
      </c>
    </row>
    <row r="89" spans="2:30" x14ac:dyDescent="0.15">
      <c r="B89" s="630">
        <v>17031003619</v>
      </c>
      <c r="C89" s="630">
        <v>17031001325</v>
      </c>
      <c r="D89" s="630">
        <v>17031001317</v>
      </c>
      <c r="E89" s="630" t="s">
        <v>533</v>
      </c>
      <c r="F89" s="630" t="s">
        <v>534</v>
      </c>
      <c r="G89" s="630" t="s">
        <v>365</v>
      </c>
      <c r="H89" s="630" t="s">
        <v>551</v>
      </c>
      <c r="I89" s="630"/>
      <c r="J89" s="630" t="s">
        <v>381</v>
      </c>
      <c r="K89" s="630" t="s">
        <v>535</v>
      </c>
      <c r="L89" s="630" t="s">
        <v>552</v>
      </c>
      <c r="M89" s="630"/>
      <c r="N89" s="630"/>
      <c r="O89" s="630"/>
      <c r="P89" s="630"/>
      <c r="Q89" s="630"/>
      <c r="R89" s="630"/>
      <c r="S89" s="630" t="s">
        <v>603</v>
      </c>
      <c r="T89" s="630"/>
      <c r="U89" s="630" t="s">
        <v>538</v>
      </c>
      <c r="V89" s="630">
        <v>2</v>
      </c>
      <c r="W89" s="630" t="s">
        <v>545</v>
      </c>
      <c r="X89" s="630" t="s">
        <v>575</v>
      </c>
      <c r="Y89" s="630" t="s">
        <v>540</v>
      </c>
      <c r="Z89" s="630">
        <v>0.26160600000000001</v>
      </c>
      <c r="AA89" s="630">
        <v>0.42101499999999997</v>
      </c>
      <c r="AB89" s="631">
        <v>580845</v>
      </c>
      <c r="AC89" s="631">
        <v>17094086</v>
      </c>
      <c r="AD89" s="631">
        <f t="shared" si="1"/>
        <v>4471915.4621160002</v>
      </c>
    </row>
    <row r="90" spans="2:30" x14ac:dyDescent="0.15">
      <c r="B90" s="630">
        <v>17031003654</v>
      </c>
      <c r="C90" s="630">
        <v>17031001034</v>
      </c>
      <c r="D90" s="630">
        <v>17031001048</v>
      </c>
      <c r="E90" s="630" t="s">
        <v>533</v>
      </c>
      <c r="F90" s="630" t="s">
        <v>534</v>
      </c>
      <c r="G90" s="630" t="s">
        <v>365</v>
      </c>
      <c r="H90" s="630" t="s">
        <v>571</v>
      </c>
      <c r="I90" s="630"/>
      <c r="J90" s="630" t="s">
        <v>542</v>
      </c>
      <c r="K90" s="630" t="s">
        <v>552</v>
      </c>
      <c r="L90" s="630" t="s">
        <v>572</v>
      </c>
      <c r="M90" s="630" t="s">
        <v>555</v>
      </c>
      <c r="N90" s="630" t="s">
        <v>543</v>
      </c>
      <c r="O90" s="630" t="s">
        <v>382</v>
      </c>
      <c r="P90" s="630"/>
      <c r="Q90" s="630"/>
      <c r="R90" s="630"/>
      <c r="S90" s="630" t="s">
        <v>573</v>
      </c>
      <c r="T90" s="630"/>
      <c r="U90" s="630" t="s">
        <v>538</v>
      </c>
      <c r="V90" s="630">
        <v>3</v>
      </c>
      <c r="W90" s="630" t="s">
        <v>545</v>
      </c>
      <c r="X90" s="630" t="s">
        <v>575</v>
      </c>
      <c r="Y90" s="630" t="s">
        <v>554</v>
      </c>
      <c r="Z90" s="630">
        <v>0.408665</v>
      </c>
      <c r="AA90" s="630">
        <v>0.65768300000000002</v>
      </c>
      <c r="AB90" s="631">
        <v>218414</v>
      </c>
      <c r="AC90" s="631">
        <v>11103975</v>
      </c>
      <c r="AD90" s="631">
        <f t="shared" si="1"/>
        <v>4537805.9433749998</v>
      </c>
    </row>
    <row r="91" spans="2:30" x14ac:dyDescent="0.15">
      <c r="B91" s="630">
        <v>17031004282</v>
      </c>
      <c r="C91" s="630">
        <v>17031000636</v>
      </c>
      <c r="D91" s="630">
        <v>17031000631</v>
      </c>
      <c r="E91" s="630" t="s">
        <v>533</v>
      </c>
      <c r="F91" s="630" t="s">
        <v>534</v>
      </c>
      <c r="G91" s="630" t="s">
        <v>365</v>
      </c>
      <c r="H91" s="630" t="s">
        <v>571</v>
      </c>
      <c r="I91" s="630"/>
      <c r="J91" s="630" t="s">
        <v>535</v>
      </c>
      <c r="K91" s="630" t="s">
        <v>552</v>
      </c>
      <c r="L91" s="630" t="s">
        <v>551</v>
      </c>
      <c r="M91" s="630" t="s">
        <v>563</v>
      </c>
      <c r="N91" s="630"/>
      <c r="O91" s="630"/>
      <c r="P91" s="630"/>
      <c r="Q91" s="630"/>
      <c r="R91" s="630"/>
      <c r="S91" s="630" t="s">
        <v>573</v>
      </c>
      <c r="T91" s="630" t="s">
        <v>612</v>
      </c>
      <c r="U91" s="630" t="s">
        <v>538</v>
      </c>
      <c r="V91" s="630">
        <v>2</v>
      </c>
      <c r="W91" s="630" t="s">
        <v>545</v>
      </c>
      <c r="X91" s="630" t="s">
        <v>546</v>
      </c>
      <c r="Y91" s="630" t="s">
        <v>554</v>
      </c>
      <c r="Z91" s="630">
        <v>0.175759</v>
      </c>
      <c r="AA91" s="630">
        <v>0.282858</v>
      </c>
      <c r="AB91" s="631">
        <v>125774</v>
      </c>
      <c r="AC91" s="631">
        <v>4377521</v>
      </c>
      <c r="AD91" s="631">
        <f t="shared" si="1"/>
        <v>769388.71343899996</v>
      </c>
    </row>
    <row r="92" spans="2:30" x14ac:dyDescent="0.15">
      <c r="B92" s="630">
        <v>17031004883</v>
      </c>
      <c r="C92" s="630">
        <v>17031001253</v>
      </c>
      <c r="D92" s="630">
        <v>17031001257</v>
      </c>
      <c r="E92" s="630" t="s">
        <v>533</v>
      </c>
      <c r="F92" s="630" t="s">
        <v>534</v>
      </c>
      <c r="G92" s="630" t="s">
        <v>365</v>
      </c>
      <c r="H92" s="630" t="s">
        <v>613</v>
      </c>
      <c r="I92" s="630"/>
      <c r="J92" s="630" t="s">
        <v>577</v>
      </c>
      <c r="K92" s="630" t="s">
        <v>572</v>
      </c>
      <c r="L92" s="630"/>
      <c r="M92" s="630"/>
      <c r="N92" s="630"/>
      <c r="O92" s="630"/>
      <c r="P92" s="630"/>
      <c r="Q92" s="630"/>
      <c r="R92" s="630"/>
      <c r="S92" s="630"/>
      <c r="T92" s="630"/>
      <c r="U92" s="630" t="s">
        <v>559</v>
      </c>
      <c r="V92" s="630">
        <v>1</v>
      </c>
      <c r="W92" s="630" t="s">
        <v>560</v>
      </c>
      <c r="X92" s="630" t="s">
        <v>541</v>
      </c>
      <c r="Y92" s="630" t="s">
        <v>541</v>
      </c>
      <c r="Z92" s="630">
        <v>9.9544999999999995E-2</v>
      </c>
      <c r="AA92" s="630">
        <v>0.16020200000000001</v>
      </c>
      <c r="AB92" s="631">
        <v>0</v>
      </c>
      <c r="AC92" s="631">
        <v>0</v>
      </c>
      <c r="AD92" s="631">
        <f t="shared" si="1"/>
        <v>0</v>
      </c>
    </row>
    <row r="93" spans="2:30" x14ac:dyDescent="0.15">
      <c r="B93" s="630">
        <v>17031004887</v>
      </c>
      <c r="C93" s="630">
        <v>17031001285</v>
      </c>
      <c r="D93" s="630">
        <v>17031001313</v>
      </c>
      <c r="E93" s="630" t="s">
        <v>533</v>
      </c>
      <c r="F93" s="630" t="s">
        <v>534</v>
      </c>
      <c r="G93" s="630" t="s">
        <v>365</v>
      </c>
      <c r="H93" s="630" t="s">
        <v>551</v>
      </c>
      <c r="I93" s="630"/>
      <c r="J93" s="630"/>
      <c r="K93" s="630"/>
      <c r="L93" s="630"/>
      <c r="M93" s="630"/>
      <c r="N93" s="630"/>
      <c r="O93" s="630"/>
      <c r="P93" s="630"/>
      <c r="Q93" s="630"/>
      <c r="R93" s="630"/>
      <c r="S93" s="630" t="s">
        <v>614</v>
      </c>
      <c r="T93" s="630"/>
      <c r="U93" s="630" t="s">
        <v>559</v>
      </c>
      <c r="V93" s="630">
        <v>1</v>
      </c>
      <c r="W93" s="630" t="s">
        <v>560</v>
      </c>
      <c r="X93" s="630" t="s">
        <v>541</v>
      </c>
      <c r="Y93" s="630" t="s">
        <v>541</v>
      </c>
      <c r="Z93" s="630">
        <v>0.71516400000000002</v>
      </c>
      <c r="AA93" s="630">
        <v>1.1509469999999999</v>
      </c>
      <c r="AB93" s="631">
        <v>0</v>
      </c>
      <c r="AC93" s="631">
        <v>0</v>
      </c>
      <c r="AD93" s="631">
        <f t="shared" si="1"/>
        <v>0</v>
      </c>
    </row>
    <row r="94" spans="2:30" x14ac:dyDescent="0.15">
      <c r="B94" s="630">
        <v>17197005461</v>
      </c>
      <c r="C94" s="630">
        <v>17197004790</v>
      </c>
      <c r="D94" s="630">
        <v>17999023625</v>
      </c>
      <c r="E94" s="630" t="s">
        <v>533</v>
      </c>
      <c r="F94" s="630" t="s">
        <v>534</v>
      </c>
      <c r="G94" s="630" t="s">
        <v>377</v>
      </c>
      <c r="H94" s="630" t="s">
        <v>547</v>
      </c>
      <c r="I94" s="630"/>
      <c r="J94" s="630" t="s">
        <v>577</v>
      </c>
      <c r="K94" s="630" t="s">
        <v>551</v>
      </c>
      <c r="L94" s="630" t="s">
        <v>615</v>
      </c>
      <c r="M94" s="630"/>
      <c r="N94" s="630"/>
      <c r="O94" s="630"/>
      <c r="P94" s="630"/>
      <c r="Q94" s="630"/>
      <c r="R94" s="630"/>
      <c r="S94" s="630" t="s">
        <v>581</v>
      </c>
      <c r="T94" s="630"/>
      <c r="U94" s="630" t="s">
        <v>538</v>
      </c>
      <c r="V94" s="630">
        <v>2</v>
      </c>
      <c r="W94" s="630" t="s">
        <v>582</v>
      </c>
      <c r="X94" s="630" t="s">
        <v>540</v>
      </c>
      <c r="Y94" s="630" t="s">
        <v>540</v>
      </c>
      <c r="Z94" s="630">
        <v>1.111345</v>
      </c>
      <c r="AA94" s="630">
        <v>1.78854</v>
      </c>
      <c r="AB94" s="631">
        <v>89629</v>
      </c>
      <c r="AC94" s="631">
        <v>8779272</v>
      </c>
      <c r="AD94" s="631">
        <f t="shared" si="1"/>
        <v>9756800.0408399999</v>
      </c>
    </row>
    <row r="95" spans="2:30" x14ac:dyDescent="0.15">
      <c r="B95" s="630">
        <v>17031005688</v>
      </c>
      <c r="C95" s="630">
        <v>17031001566</v>
      </c>
      <c r="D95" s="630">
        <v>17031001563</v>
      </c>
      <c r="E95" s="630" t="s">
        <v>533</v>
      </c>
      <c r="F95" s="630" t="s">
        <v>534</v>
      </c>
      <c r="G95" s="630" t="s">
        <v>365</v>
      </c>
      <c r="H95" s="630" t="s">
        <v>535</v>
      </c>
      <c r="I95" s="630"/>
      <c r="J95" s="630" t="s">
        <v>382</v>
      </c>
      <c r="K95" s="630" t="s">
        <v>536</v>
      </c>
      <c r="L95" s="630"/>
      <c r="M95" s="630"/>
      <c r="N95" s="630"/>
      <c r="O95" s="630"/>
      <c r="P95" s="630"/>
      <c r="Q95" s="630"/>
      <c r="R95" s="630"/>
      <c r="S95" s="630"/>
      <c r="T95" s="630"/>
      <c r="U95" s="630" t="s">
        <v>538</v>
      </c>
      <c r="V95" s="630">
        <v>1</v>
      </c>
      <c r="W95" s="630" t="s">
        <v>560</v>
      </c>
      <c r="X95" s="630" t="s">
        <v>541</v>
      </c>
      <c r="Y95" s="630" t="s">
        <v>541</v>
      </c>
      <c r="Z95" s="630">
        <v>0.12982299999999999</v>
      </c>
      <c r="AA95" s="630">
        <v>0.20893100000000001</v>
      </c>
      <c r="AB95" s="631">
        <v>11124</v>
      </c>
      <c r="AC95" s="631">
        <v>882916</v>
      </c>
      <c r="AD95" s="631">
        <f t="shared" si="1"/>
        <v>114622.80386799999</v>
      </c>
    </row>
    <row r="96" spans="2:30" x14ac:dyDescent="0.15">
      <c r="B96" s="630">
        <v>17031006129</v>
      </c>
      <c r="C96" s="630">
        <v>17031007600</v>
      </c>
      <c r="D96" s="630">
        <v>17031000375</v>
      </c>
      <c r="E96" s="630" t="s">
        <v>533</v>
      </c>
      <c r="F96" s="630" t="s">
        <v>534</v>
      </c>
      <c r="G96" s="630" t="s">
        <v>365</v>
      </c>
      <c r="H96" s="630" t="s">
        <v>382</v>
      </c>
      <c r="I96" s="630"/>
      <c r="J96" s="630"/>
      <c r="K96" s="630"/>
      <c r="L96" s="630"/>
      <c r="M96" s="630"/>
      <c r="N96" s="630"/>
      <c r="O96" s="630"/>
      <c r="P96" s="630"/>
      <c r="Q96" s="630"/>
      <c r="R96" s="630"/>
      <c r="S96" s="630" t="s">
        <v>616</v>
      </c>
      <c r="T96" s="630"/>
      <c r="U96" s="630" t="s">
        <v>559</v>
      </c>
      <c r="V96" s="630">
        <v>1</v>
      </c>
      <c r="W96" s="630" t="s">
        <v>560</v>
      </c>
      <c r="X96" s="630" t="s">
        <v>541</v>
      </c>
      <c r="Y96" s="630" t="s">
        <v>541</v>
      </c>
      <c r="Z96" s="630">
        <v>1.3308439999999999</v>
      </c>
      <c r="AA96" s="630">
        <v>2.1417899999999999</v>
      </c>
      <c r="AB96" s="631">
        <v>0</v>
      </c>
      <c r="AC96" s="631">
        <v>0</v>
      </c>
      <c r="AD96" s="631">
        <f t="shared" si="1"/>
        <v>0</v>
      </c>
    </row>
    <row r="97" spans="2:30" x14ac:dyDescent="0.15">
      <c r="B97" s="630">
        <v>17031006130</v>
      </c>
      <c r="C97" s="630">
        <v>17031000492</v>
      </c>
      <c r="D97" s="630">
        <v>17031000496</v>
      </c>
      <c r="E97" s="630" t="s">
        <v>533</v>
      </c>
      <c r="F97" s="630" t="s">
        <v>534</v>
      </c>
      <c r="G97" s="630" t="s">
        <v>365</v>
      </c>
      <c r="H97" s="630" t="s">
        <v>552</v>
      </c>
      <c r="I97" s="630"/>
      <c r="J97" s="630" t="s">
        <v>547</v>
      </c>
      <c r="K97" s="630"/>
      <c r="L97" s="630"/>
      <c r="M97" s="630"/>
      <c r="N97" s="630"/>
      <c r="O97" s="630"/>
      <c r="P97" s="630"/>
      <c r="Q97" s="630"/>
      <c r="R97" s="630"/>
      <c r="S97" s="630" t="s">
        <v>589</v>
      </c>
      <c r="T97" s="630"/>
      <c r="U97" s="630" t="s">
        <v>538</v>
      </c>
      <c r="V97" s="630">
        <v>3</v>
      </c>
      <c r="W97" s="630" t="s">
        <v>545</v>
      </c>
      <c r="X97" s="630" t="s">
        <v>541</v>
      </c>
      <c r="Y97" s="630" t="s">
        <v>540</v>
      </c>
      <c r="Z97" s="630">
        <v>0.20166799999999999</v>
      </c>
      <c r="AA97" s="630">
        <v>0.32455400000000001</v>
      </c>
      <c r="AB97" s="631">
        <v>26416</v>
      </c>
      <c r="AC97" s="631">
        <v>1321473</v>
      </c>
      <c r="AD97" s="631">
        <f t="shared" si="1"/>
        <v>266498.816964</v>
      </c>
    </row>
    <row r="98" spans="2:30" x14ac:dyDescent="0.15">
      <c r="B98" s="630">
        <v>17031006445</v>
      </c>
      <c r="C98" s="630">
        <v>17031004740</v>
      </c>
      <c r="D98" s="630">
        <v>17031001261</v>
      </c>
      <c r="E98" s="630" t="s">
        <v>533</v>
      </c>
      <c r="F98" s="630" t="s">
        <v>534</v>
      </c>
      <c r="G98" s="630" t="s">
        <v>365</v>
      </c>
      <c r="H98" s="630" t="s">
        <v>543</v>
      </c>
      <c r="I98" s="630"/>
      <c r="J98" s="630"/>
      <c r="K98" s="630"/>
      <c r="L98" s="630"/>
      <c r="M98" s="630"/>
      <c r="N98" s="630"/>
      <c r="O98" s="630"/>
      <c r="P98" s="630"/>
      <c r="Q98" s="630"/>
      <c r="R98" s="630"/>
      <c r="S98" s="630" t="s">
        <v>617</v>
      </c>
      <c r="T98" s="630"/>
      <c r="U98" s="630" t="s">
        <v>559</v>
      </c>
      <c r="V98" s="630">
        <v>1</v>
      </c>
      <c r="W98" s="630" t="s">
        <v>560</v>
      </c>
      <c r="X98" s="630" t="s">
        <v>541</v>
      </c>
      <c r="Y98" s="630" t="s">
        <v>541</v>
      </c>
      <c r="Z98" s="630">
        <v>0.402839</v>
      </c>
      <c r="AA98" s="630">
        <v>0.64830699999999997</v>
      </c>
      <c r="AB98" s="631">
        <v>0</v>
      </c>
      <c r="AC98" s="631">
        <v>0</v>
      </c>
      <c r="AD98" s="631">
        <f t="shared" si="1"/>
        <v>0</v>
      </c>
    </row>
    <row r="99" spans="2:30" x14ac:dyDescent="0.15">
      <c r="B99" s="630">
        <v>17043009168</v>
      </c>
      <c r="C99" s="630">
        <v>17043007373</v>
      </c>
      <c r="D99" s="630">
        <v>17043000872</v>
      </c>
      <c r="E99" s="630" t="s">
        <v>533</v>
      </c>
      <c r="F99" s="630" t="s">
        <v>534</v>
      </c>
      <c r="G99" s="630" t="s">
        <v>367</v>
      </c>
      <c r="H99" s="630" t="s">
        <v>381</v>
      </c>
      <c r="I99" s="630"/>
      <c r="J99" s="630" t="s">
        <v>542</v>
      </c>
      <c r="K99" s="630" t="s">
        <v>547</v>
      </c>
      <c r="L99" s="630" t="s">
        <v>382</v>
      </c>
      <c r="M99" s="630"/>
      <c r="N99" s="630"/>
      <c r="O99" s="630"/>
      <c r="P99" s="630"/>
      <c r="Q99" s="630"/>
      <c r="R99" s="630"/>
      <c r="S99" s="630" t="s">
        <v>579</v>
      </c>
      <c r="T99" s="630"/>
      <c r="U99" s="630" t="s">
        <v>538</v>
      </c>
      <c r="V99" s="630">
        <v>3</v>
      </c>
      <c r="W99" s="630" t="s">
        <v>545</v>
      </c>
      <c r="X99" s="630" t="s">
        <v>580</v>
      </c>
      <c r="Y99" s="630" t="s">
        <v>549</v>
      </c>
      <c r="Z99" s="630">
        <v>0.34250000000000003</v>
      </c>
      <c r="AA99" s="630">
        <v>0.55120100000000005</v>
      </c>
      <c r="AB99" s="631">
        <v>1180642</v>
      </c>
      <c r="AC99" s="631">
        <v>46493460</v>
      </c>
      <c r="AD99" s="631">
        <f t="shared" si="1"/>
        <v>15924010.050000001</v>
      </c>
    </row>
    <row r="100" spans="2:30" x14ac:dyDescent="0.15">
      <c r="B100" s="630">
        <v>17031009598</v>
      </c>
      <c r="C100" s="630">
        <v>17031001386</v>
      </c>
      <c r="D100" s="630">
        <v>17031007685</v>
      </c>
      <c r="E100" s="630" t="s">
        <v>533</v>
      </c>
      <c r="F100" s="630" t="s">
        <v>534</v>
      </c>
      <c r="G100" s="630" t="s">
        <v>365</v>
      </c>
      <c r="H100" s="630" t="s">
        <v>557</v>
      </c>
      <c r="I100" s="630"/>
      <c r="J100" s="630"/>
      <c r="K100" s="630"/>
      <c r="L100" s="630"/>
      <c r="M100" s="630"/>
      <c r="N100" s="630"/>
      <c r="O100" s="630"/>
      <c r="P100" s="630"/>
      <c r="Q100" s="630"/>
      <c r="R100" s="630"/>
      <c r="S100" s="630" t="s">
        <v>618</v>
      </c>
      <c r="T100" s="630"/>
      <c r="U100" s="630" t="s">
        <v>559</v>
      </c>
      <c r="V100" s="630">
        <v>1</v>
      </c>
      <c r="W100" s="630" t="s">
        <v>560</v>
      </c>
      <c r="X100" s="630" t="s">
        <v>541</v>
      </c>
      <c r="Y100" s="630" t="s">
        <v>541</v>
      </c>
      <c r="Z100" s="630">
        <v>0.49998100000000001</v>
      </c>
      <c r="AA100" s="630">
        <v>0.80464400000000003</v>
      </c>
      <c r="AB100" s="631">
        <v>0</v>
      </c>
      <c r="AC100" s="631">
        <v>0</v>
      </c>
      <c r="AD100" s="631">
        <f t="shared" si="1"/>
        <v>0</v>
      </c>
    </row>
    <row r="101" spans="2:30" x14ac:dyDescent="0.15">
      <c r="B101" s="630">
        <v>17093001810</v>
      </c>
      <c r="C101" s="630">
        <v>17093008039</v>
      </c>
      <c r="D101" s="630">
        <v>17093008041</v>
      </c>
      <c r="E101" s="630" t="s">
        <v>533</v>
      </c>
      <c r="F101" s="630" t="s">
        <v>534</v>
      </c>
      <c r="G101" s="630" t="s">
        <v>371</v>
      </c>
      <c r="H101" s="630" t="s">
        <v>381</v>
      </c>
      <c r="I101" s="630"/>
      <c r="J101" s="630" t="s">
        <v>542</v>
      </c>
      <c r="K101" s="630" t="s">
        <v>382</v>
      </c>
      <c r="L101" s="630"/>
      <c r="M101" s="630"/>
      <c r="N101" s="630"/>
      <c r="O101" s="630"/>
      <c r="P101" s="630"/>
      <c r="Q101" s="630"/>
      <c r="R101" s="630"/>
      <c r="S101" s="630" t="s">
        <v>619</v>
      </c>
      <c r="T101" s="630"/>
      <c r="U101" s="630" t="s">
        <v>538</v>
      </c>
      <c r="V101" s="630">
        <v>2</v>
      </c>
      <c r="W101" s="630" t="s">
        <v>545</v>
      </c>
      <c r="X101" s="630" t="s">
        <v>580</v>
      </c>
      <c r="Y101" s="630" t="s">
        <v>549</v>
      </c>
      <c r="Z101" s="630">
        <v>3.0830500000000001</v>
      </c>
      <c r="AA101" s="630">
        <v>4.9616980000000002</v>
      </c>
      <c r="AB101" s="631">
        <v>345346</v>
      </c>
      <c r="AC101" s="631">
        <v>23246524</v>
      </c>
      <c r="AD101" s="631">
        <f t="shared" si="1"/>
        <v>71670195.818200007</v>
      </c>
    </row>
    <row r="102" spans="2:30" x14ac:dyDescent="0.15">
      <c r="B102" s="630">
        <v>17197002068</v>
      </c>
      <c r="C102" s="630">
        <v>17197001638</v>
      </c>
      <c r="D102" s="630">
        <v>17197001606</v>
      </c>
      <c r="E102" s="630" t="s">
        <v>533</v>
      </c>
      <c r="F102" s="630" t="s">
        <v>534</v>
      </c>
      <c r="G102" s="630" t="s">
        <v>377</v>
      </c>
      <c r="H102" s="630" t="s">
        <v>382</v>
      </c>
      <c r="I102" s="630"/>
      <c r="J102" s="630" t="s">
        <v>551</v>
      </c>
      <c r="K102" s="630" t="s">
        <v>555</v>
      </c>
      <c r="L102" s="630"/>
      <c r="M102" s="630"/>
      <c r="N102" s="630"/>
      <c r="O102" s="630"/>
      <c r="P102" s="630"/>
      <c r="Q102" s="630"/>
      <c r="R102" s="630"/>
      <c r="S102" s="630" t="s">
        <v>556</v>
      </c>
      <c r="T102" s="630"/>
      <c r="U102" s="630" t="s">
        <v>538</v>
      </c>
      <c r="V102" s="630">
        <v>2</v>
      </c>
      <c r="W102" s="630" t="s">
        <v>545</v>
      </c>
      <c r="X102" s="630" t="s">
        <v>580</v>
      </c>
      <c r="Y102" s="630" t="s">
        <v>540</v>
      </c>
      <c r="Z102" s="630">
        <v>3.7811849999999998</v>
      </c>
      <c r="AA102" s="630">
        <v>6.0852399999999998</v>
      </c>
      <c r="AB102" s="631">
        <v>865530</v>
      </c>
      <c r="AC102" s="631">
        <v>33874541</v>
      </c>
      <c r="AD102" s="631">
        <f t="shared" si="1"/>
        <v>128085906.31108499</v>
      </c>
    </row>
    <row r="103" spans="2:30" x14ac:dyDescent="0.15">
      <c r="B103" s="630">
        <v>17031005559</v>
      </c>
      <c r="C103" s="630">
        <v>17031000702</v>
      </c>
      <c r="D103" s="630">
        <v>17031000700</v>
      </c>
      <c r="E103" s="630" t="s">
        <v>533</v>
      </c>
      <c r="F103" s="630" t="s">
        <v>534</v>
      </c>
      <c r="G103" s="630" t="s">
        <v>365</v>
      </c>
      <c r="H103" s="630" t="s">
        <v>381</v>
      </c>
      <c r="I103" s="630"/>
      <c r="J103" s="630"/>
      <c r="K103" s="630"/>
      <c r="L103" s="630"/>
      <c r="M103" s="630"/>
      <c r="N103" s="630"/>
      <c r="O103" s="630"/>
      <c r="P103" s="630"/>
      <c r="Q103" s="630"/>
      <c r="R103" s="630"/>
      <c r="S103" s="630"/>
      <c r="T103" s="630"/>
      <c r="U103" s="630" t="s">
        <v>559</v>
      </c>
      <c r="V103" s="630">
        <v>1</v>
      </c>
      <c r="W103" s="630" t="s">
        <v>560</v>
      </c>
      <c r="X103" s="630" t="s">
        <v>541</v>
      </c>
      <c r="Y103" s="630" t="s">
        <v>541</v>
      </c>
      <c r="Z103" s="630">
        <v>0.23491699999999999</v>
      </c>
      <c r="AA103" s="630">
        <v>0.37806200000000001</v>
      </c>
      <c r="AB103" s="631">
        <v>0</v>
      </c>
      <c r="AC103" s="631">
        <v>0</v>
      </c>
      <c r="AD103" s="631">
        <f t="shared" si="1"/>
        <v>0</v>
      </c>
    </row>
    <row r="104" spans="2:30" x14ac:dyDescent="0.15">
      <c r="B104" s="630">
        <v>17111005952</v>
      </c>
      <c r="C104" s="630">
        <v>17111004831</v>
      </c>
      <c r="D104" s="630">
        <v>17111000138</v>
      </c>
      <c r="E104" s="630" t="s">
        <v>533</v>
      </c>
      <c r="F104" s="630" t="s">
        <v>534</v>
      </c>
      <c r="G104" s="630" t="s">
        <v>375</v>
      </c>
      <c r="H104" s="630" t="s">
        <v>382</v>
      </c>
      <c r="I104" s="630"/>
      <c r="J104" s="630"/>
      <c r="K104" s="630"/>
      <c r="L104" s="630"/>
      <c r="M104" s="630"/>
      <c r="N104" s="630"/>
      <c r="O104" s="630"/>
      <c r="P104" s="630"/>
      <c r="Q104" s="630"/>
      <c r="R104" s="630"/>
      <c r="S104" s="630" t="s">
        <v>620</v>
      </c>
      <c r="T104" s="630"/>
      <c r="U104" s="630" t="s">
        <v>559</v>
      </c>
      <c r="V104" s="630">
        <v>1</v>
      </c>
      <c r="W104" s="630" t="s">
        <v>560</v>
      </c>
      <c r="X104" s="630" t="s">
        <v>541</v>
      </c>
      <c r="Y104" s="630" t="s">
        <v>541</v>
      </c>
      <c r="Z104" s="630">
        <v>0.68539700000000003</v>
      </c>
      <c r="AA104" s="630">
        <v>1.1030420000000001</v>
      </c>
      <c r="AB104" s="631">
        <v>0</v>
      </c>
      <c r="AC104" s="631">
        <v>0</v>
      </c>
      <c r="AD104" s="631">
        <f t="shared" si="1"/>
        <v>0</v>
      </c>
    </row>
    <row r="105" spans="2:30" x14ac:dyDescent="0.15">
      <c r="B105" s="630">
        <v>17031005956</v>
      </c>
      <c r="C105" s="630">
        <v>17031000610</v>
      </c>
      <c r="D105" s="630">
        <v>17031000634</v>
      </c>
      <c r="E105" s="630" t="s">
        <v>533</v>
      </c>
      <c r="F105" s="630" t="s">
        <v>534</v>
      </c>
      <c r="G105" s="630" t="s">
        <v>365</v>
      </c>
      <c r="H105" s="630" t="s">
        <v>547</v>
      </c>
      <c r="I105" s="630"/>
      <c r="J105" s="630"/>
      <c r="K105" s="630"/>
      <c r="L105" s="630"/>
      <c r="M105" s="630"/>
      <c r="N105" s="630"/>
      <c r="O105" s="630"/>
      <c r="P105" s="630"/>
      <c r="Q105" s="630"/>
      <c r="R105" s="630"/>
      <c r="S105" s="630" t="s">
        <v>581</v>
      </c>
      <c r="T105" s="630"/>
      <c r="U105" s="630" t="s">
        <v>538</v>
      </c>
      <c r="V105" s="630">
        <v>4</v>
      </c>
      <c r="W105" s="630" t="s">
        <v>582</v>
      </c>
      <c r="X105" s="630" t="s">
        <v>541</v>
      </c>
      <c r="Y105" s="630" t="s">
        <v>541</v>
      </c>
      <c r="Z105" s="630">
        <v>0.252774</v>
      </c>
      <c r="AA105" s="630">
        <v>0.40680100000000002</v>
      </c>
      <c r="AB105" s="631">
        <v>0</v>
      </c>
      <c r="AC105" s="631">
        <v>0</v>
      </c>
      <c r="AD105" s="631">
        <f t="shared" si="1"/>
        <v>0</v>
      </c>
    </row>
    <row r="106" spans="2:30" x14ac:dyDescent="0.15">
      <c r="B106" s="630">
        <v>17031006179</v>
      </c>
      <c r="C106" s="630">
        <v>17031001084</v>
      </c>
      <c r="D106" s="630">
        <v>17031001076</v>
      </c>
      <c r="E106" s="630" t="s">
        <v>533</v>
      </c>
      <c r="F106" s="630" t="s">
        <v>534</v>
      </c>
      <c r="G106" s="630" t="s">
        <v>365</v>
      </c>
      <c r="H106" s="630" t="s">
        <v>535</v>
      </c>
      <c r="I106" s="630"/>
      <c r="J106" s="630" t="s">
        <v>542</v>
      </c>
      <c r="K106" s="630" t="s">
        <v>572</v>
      </c>
      <c r="L106" s="630"/>
      <c r="M106" s="630"/>
      <c r="N106" s="630"/>
      <c r="O106" s="630"/>
      <c r="P106" s="630"/>
      <c r="Q106" s="630"/>
      <c r="R106" s="630"/>
      <c r="S106" s="630" t="s">
        <v>544</v>
      </c>
      <c r="T106" s="630"/>
      <c r="U106" s="630" t="s">
        <v>538</v>
      </c>
      <c r="V106" s="630">
        <v>2</v>
      </c>
      <c r="W106" s="630" t="s">
        <v>545</v>
      </c>
      <c r="X106" s="630" t="s">
        <v>549</v>
      </c>
      <c r="Y106" s="630" t="s">
        <v>549</v>
      </c>
      <c r="Z106" s="630">
        <v>0.23946000000000001</v>
      </c>
      <c r="AA106" s="630">
        <v>0.38537399999999999</v>
      </c>
      <c r="AB106" s="631">
        <v>17296</v>
      </c>
      <c r="AC106" s="631">
        <v>1486494</v>
      </c>
      <c r="AD106" s="631">
        <f t="shared" si="1"/>
        <v>355955.85324000003</v>
      </c>
    </row>
    <row r="107" spans="2:30" x14ac:dyDescent="0.15">
      <c r="B107" s="630">
        <v>17031006434</v>
      </c>
      <c r="C107" s="630">
        <v>17031001351</v>
      </c>
      <c r="D107" s="630">
        <v>17031001347</v>
      </c>
      <c r="E107" s="630" t="s">
        <v>533</v>
      </c>
      <c r="F107" s="630" t="s">
        <v>534</v>
      </c>
      <c r="G107" s="630" t="s">
        <v>365</v>
      </c>
      <c r="H107" s="630" t="s">
        <v>543</v>
      </c>
      <c r="I107" s="630"/>
      <c r="J107" s="630"/>
      <c r="K107" s="630"/>
      <c r="L107" s="630"/>
      <c r="M107" s="630"/>
      <c r="N107" s="630"/>
      <c r="O107" s="630"/>
      <c r="P107" s="630"/>
      <c r="Q107" s="630"/>
      <c r="R107" s="630"/>
      <c r="S107" s="630" t="s">
        <v>604</v>
      </c>
      <c r="T107" s="630"/>
      <c r="U107" s="630" t="s">
        <v>538</v>
      </c>
      <c r="V107" s="630">
        <v>2</v>
      </c>
      <c r="W107" s="630" t="s">
        <v>545</v>
      </c>
      <c r="X107" s="630" t="s">
        <v>546</v>
      </c>
      <c r="Y107" s="630" t="s">
        <v>554</v>
      </c>
      <c r="Z107" s="630">
        <v>0.36465799999999998</v>
      </c>
      <c r="AA107" s="630">
        <v>0.58686199999999999</v>
      </c>
      <c r="AB107" s="631">
        <v>10717</v>
      </c>
      <c r="AC107" s="631">
        <v>927989</v>
      </c>
      <c r="AD107" s="631">
        <f t="shared" si="1"/>
        <v>338398.612762</v>
      </c>
    </row>
    <row r="108" spans="2:30" x14ac:dyDescent="0.15">
      <c r="B108" s="630">
        <v>17197008968</v>
      </c>
      <c r="C108" s="630">
        <v>17197007190</v>
      </c>
      <c r="D108" s="630">
        <v>17999022163</v>
      </c>
      <c r="E108" s="630" t="s">
        <v>533</v>
      </c>
      <c r="F108" s="630" t="s">
        <v>534</v>
      </c>
      <c r="G108" s="630" t="s">
        <v>377</v>
      </c>
      <c r="H108" s="630" t="s">
        <v>381</v>
      </c>
      <c r="I108" s="630"/>
      <c r="J108" s="630"/>
      <c r="K108" s="630"/>
      <c r="L108" s="630"/>
      <c r="M108" s="630"/>
      <c r="N108" s="630"/>
      <c r="O108" s="630"/>
      <c r="P108" s="630"/>
      <c r="Q108" s="630"/>
      <c r="R108" s="630"/>
      <c r="S108" s="630"/>
      <c r="T108" s="630"/>
      <c r="U108" s="630" t="s">
        <v>559</v>
      </c>
      <c r="V108" s="630">
        <v>1</v>
      </c>
      <c r="W108" s="630" t="s">
        <v>560</v>
      </c>
      <c r="X108" s="630" t="s">
        <v>541</v>
      </c>
      <c r="Y108" s="630" t="s">
        <v>541</v>
      </c>
      <c r="Z108" s="630">
        <v>0.76834100000000005</v>
      </c>
      <c r="AA108" s="630">
        <v>1.2365280000000001</v>
      </c>
      <c r="AB108" s="631">
        <v>0</v>
      </c>
      <c r="AC108" s="631">
        <v>0</v>
      </c>
      <c r="AD108" s="631">
        <f t="shared" si="1"/>
        <v>0</v>
      </c>
    </row>
    <row r="109" spans="2:30" x14ac:dyDescent="0.15">
      <c r="B109" s="630">
        <v>17031009235</v>
      </c>
      <c r="C109" s="630">
        <v>17031000985</v>
      </c>
      <c r="D109" s="630">
        <v>17031007122</v>
      </c>
      <c r="E109" s="630" t="s">
        <v>533</v>
      </c>
      <c r="F109" s="630" t="s">
        <v>534</v>
      </c>
      <c r="G109" s="630" t="s">
        <v>365</v>
      </c>
      <c r="H109" s="630" t="s">
        <v>571</v>
      </c>
      <c r="I109" s="630"/>
      <c r="J109" s="630" t="s">
        <v>381</v>
      </c>
      <c r="K109" s="630" t="s">
        <v>535</v>
      </c>
      <c r="L109" s="630" t="s">
        <v>552</v>
      </c>
      <c r="M109" s="630" t="s">
        <v>551</v>
      </c>
      <c r="N109" s="630" t="s">
        <v>382</v>
      </c>
      <c r="O109" s="630"/>
      <c r="P109" s="630"/>
      <c r="Q109" s="630"/>
      <c r="R109" s="630"/>
      <c r="S109" s="630"/>
      <c r="T109" s="630" t="s">
        <v>574</v>
      </c>
      <c r="U109" s="630" t="s">
        <v>559</v>
      </c>
      <c r="V109" s="630">
        <v>1</v>
      </c>
      <c r="W109" s="630" t="s">
        <v>560</v>
      </c>
      <c r="X109" s="630" t="s">
        <v>541</v>
      </c>
      <c r="Y109" s="630" t="s">
        <v>541</v>
      </c>
      <c r="Z109" s="630">
        <v>6.8706000000000003E-2</v>
      </c>
      <c r="AA109" s="630">
        <v>0.110571</v>
      </c>
      <c r="AB109" s="631">
        <v>0</v>
      </c>
      <c r="AC109" s="631">
        <v>0</v>
      </c>
      <c r="AD109" s="631">
        <f t="shared" si="1"/>
        <v>0</v>
      </c>
    </row>
    <row r="110" spans="2:30" x14ac:dyDescent="0.15">
      <c r="B110" s="630">
        <v>17031009478</v>
      </c>
      <c r="C110" s="630">
        <v>17031007577</v>
      </c>
      <c r="D110" s="630">
        <v>17031000252</v>
      </c>
      <c r="E110" s="630" t="s">
        <v>533</v>
      </c>
      <c r="F110" s="630" t="s">
        <v>534</v>
      </c>
      <c r="G110" s="630" t="s">
        <v>365</v>
      </c>
      <c r="H110" s="630" t="s">
        <v>535</v>
      </c>
      <c r="I110" s="630"/>
      <c r="J110" s="630" t="s">
        <v>547</v>
      </c>
      <c r="K110" s="630"/>
      <c r="L110" s="630"/>
      <c r="M110" s="630"/>
      <c r="N110" s="630"/>
      <c r="O110" s="630"/>
      <c r="P110" s="630"/>
      <c r="Q110" s="630"/>
      <c r="R110" s="630"/>
      <c r="S110" s="630" t="s">
        <v>548</v>
      </c>
      <c r="T110" s="630"/>
      <c r="U110" s="630" t="s">
        <v>538</v>
      </c>
      <c r="V110" s="630">
        <v>2</v>
      </c>
      <c r="W110" s="630" t="s">
        <v>545</v>
      </c>
      <c r="X110" s="630" t="s">
        <v>546</v>
      </c>
      <c r="Y110" s="630" t="s">
        <v>549</v>
      </c>
      <c r="Z110" s="630">
        <v>0.550925</v>
      </c>
      <c r="AA110" s="630">
        <v>0.88663000000000003</v>
      </c>
      <c r="AB110" s="631">
        <v>805460</v>
      </c>
      <c r="AC110" s="631">
        <v>39336999</v>
      </c>
      <c r="AD110" s="631">
        <f t="shared" si="1"/>
        <v>21671736.174075</v>
      </c>
    </row>
    <row r="111" spans="2:30" x14ac:dyDescent="0.15">
      <c r="B111" s="630">
        <v>17031001122</v>
      </c>
      <c r="C111" s="630">
        <v>17031000866</v>
      </c>
      <c r="D111" s="630">
        <v>17031000915</v>
      </c>
      <c r="E111" s="630" t="s">
        <v>533</v>
      </c>
      <c r="F111" s="630" t="s">
        <v>534</v>
      </c>
      <c r="G111" s="630" t="s">
        <v>365</v>
      </c>
      <c r="H111" s="630" t="s">
        <v>571</v>
      </c>
      <c r="I111" s="630"/>
      <c r="J111" s="630" t="s">
        <v>381</v>
      </c>
      <c r="K111" s="630" t="s">
        <v>535</v>
      </c>
      <c r="L111" s="630" t="s">
        <v>552</v>
      </c>
      <c r="M111" s="630" t="s">
        <v>551</v>
      </c>
      <c r="N111" s="630" t="s">
        <v>382</v>
      </c>
      <c r="O111" s="630" t="s">
        <v>563</v>
      </c>
      <c r="P111" s="630" t="s">
        <v>543</v>
      </c>
      <c r="Q111" s="630"/>
      <c r="R111" s="630"/>
      <c r="S111" s="630" t="s">
        <v>573</v>
      </c>
      <c r="T111" s="630"/>
      <c r="U111" s="630" t="s">
        <v>538</v>
      </c>
      <c r="V111" s="630">
        <v>2</v>
      </c>
      <c r="W111" s="630" t="s">
        <v>545</v>
      </c>
      <c r="X111" s="630" t="s">
        <v>546</v>
      </c>
      <c r="Y111" s="630" t="s">
        <v>554</v>
      </c>
      <c r="Z111" s="630">
        <v>1.2216050000000001</v>
      </c>
      <c r="AA111" s="630">
        <v>1.9659869999999999</v>
      </c>
      <c r="AB111" s="631">
        <v>111630</v>
      </c>
      <c r="AC111" s="631">
        <v>3429842</v>
      </c>
      <c r="AD111" s="631">
        <f t="shared" si="1"/>
        <v>4189912.1364100003</v>
      </c>
    </row>
    <row r="112" spans="2:30" x14ac:dyDescent="0.15">
      <c r="B112" s="630">
        <v>17031002005</v>
      </c>
      <c r="C112" s="630">
        <v>17031000435</v>
      </c>
      <c r="D112" s="630">
        <v>17031000436</v>
      </c>
      <c r="E112" s="630" t="s">
        <v>533</v>
      </c>
      <c r="F112" s="630" t="s">
        <v>534</v>
      </c>
      <c r="G112" s="630" t="s">
        <v>365</v>
      </c>
      <c r="H112" s="630" t="s">
        <v>552</v>
      </c>
      <c r="I112" s="630"/>
      <c r="J112" s="630" t="s">
        <v>547</v>
      </c>
      <c r="K112" s="630" t="s">
        <v>551</v>
      </c>
      <c r="L112" s="630"/>
      <c r="M112" s="630"/>
      <c r="N112" s="630"/>
      <c r="O112" s="630"/>
      <c r="P112" s="630"/>
      <c r="Q112" s="630"/>
      <c r="R112" s="630"/>
      <c r="S112" s="630"/>
      <c r="T112" s="630"/>
      <c r="U112" s="630" t="s">
        <v>538</v>
      </c>
      <c r="V112" s="630">
        <v>2</v>
      </c>
      <c r="W112" s="630" t="s">
        <v>545</v>
      </c>
      <c r="X112" s="630" t="s">
        <v>541</v>
      </c>
      <c r="Y112" s="630" t="s">
        <v>554</v>
      </c>
      <c r="Z112" s="630">
        <v>0.21945600000000001</v>
      </c>
      <c r="AA112" s="630">
        <v>0.353182</v>
      </c>
      <c r="AB112" s="631">
        <v>72340</v>
      </c>
      <c r="AC112" s="631">
        <v>980088</v>
      </c>
      <c r="AD112" s="631">
        <f t="shared" si="1"/>
        <v>215086.19212800002</v>
      </c>
    </row>
    <row r="113" spans="2:30" x14ac:dyDescent="0.15">
      <c r="B113" s="630">
        <v>17043002130</v>
      </c>
      <c r="C113" s="630">
        <v>17043004894</v>
      </c>
      <c r="D113" s="630">
        <v>17043000980</v>
      </c>
      <c r="E113" s="630" t="s">
        <v>533</v>
      </c>
      <c r="F113" s="630" t="s">
        <v>534</v>
      </c>
      <c r="G113" s="630" t="s">
        <v>367</v>
      </c>
      <c r="H113" s="630" t="s">
        <v>535</v>
      </c>
      <c r="I113" s="630"/>
      <c r="J113" s="630" t="s">
        <v>382</v>
      </c>
      <c r="K113" s="630" t="s">
        <v>536</v>
      </c>
      <c r="L113" s="630"/>
      <c r="M113" s="630"/>
      <c r="N113" s="630"/>
      <c r="O113" s="630"/>
      <c r="P113" s="630"/>
      <c r="Q113" s="630"/>
      <c r="R113" s="630"/>
      <c r="S113" s="630" t="s">
        <v>550</v>
      </c>
      <c r="T113" s="630"/>
      <c r="U113" s="630" t="s">
        <v>538</v>
      </c>
      <c r="V113" s="630">
        <v>1</v>
      </c>
      <c r="W113" s="630" t="s">
        <v>545</v>
      </c>
      <c r="X113" s="630" t="s">
        <v>540</v>
      </c>
      <c r="Y113" s="630" t="s">
        <v>549</v>
      </c>
      <c r="Z113" s="630">
        <v>2.055021</v>
      </c>
      <c r="AA113" s="630">
        <v>3.307242</v>
      </c>
      <c r="AB113" s="631">
        <v>23785</v>
      </c>
      <c r="AC113" s="631">
        <v>2276384</v>
      </c>
      <c r="AD113" s="631">
        <f t="shared" si="1"/>
        <v>4678016.9240640001</v>
      </c>
    </row>
    <row r="114" spans="2:30" x14ac:dyDescent="0.15">
      <c r="B114" s="630">
        <v>17097002138</v>
      </c>
      <c r="C114" s="630">
        <v>17097000079</v>
      </c>
      <c r="D114" s="630">
        <v>17097000067</v>
      </c>
      <c r="E114" s="630" t="s">
        <v>533</v>
      </c>
      <c r="F114" s="630" t="s">
        <v>534</v>
      </c>
      <c r="G114" s="630" t="s">
        <v>373</v>
      </c>
      <c r="H114" s="630" t="s">
        <v>535</v>
      </c>
      <c r="I114" s="630"/>
      <c r="J114" s="630" t="s">
        <v>382</v>
      </c>
      <c r="K114" s="630"/>
      <c r="L114" s="630"/>
      <c r="M114" s="630"/>
      <c r="N114" s="630"/>
      <c r="O114" s="630"/>
      <c r="P114" s="630"/>
      <c r="Q114" s="630"/>
      <c r="R114" s="630"/>
      <c r="S114" s="630" t="s">
        <v>550</v>
      </c>
      <c r="T114" s="630"/>
      <c r="U114" s="630" t="s">
        <v>538</v>
      </c>
      <c r="V114" s="630">
        <v>1</v>
      </c>
      <c r="W114" s="630" t="s">
        <v>560</v>
      </c>
      <c r="X114" s="630" t="s">
        <v>541</v>
      </c>
      <c r="Y114" s="630" t="s">
        <v>554</v>
      </c>
      <c r="Z114" s="630">
        <v>3.8275769999999998</v>
      </c>
      <c r="AA114" s="630">
        <v>6.1599009999999996</v>
      </c>
      <c r="AB114" s="631">
        <v>520</v>
      </c>
      <c r="AC114" s="631">
        <v>37720</v>
      </c>
      <c r="AD114" s="631">
        <f t="shared" si="1"/>
        <v>144376.20444</v>
      </c>
    </row>
    <row r="115" spans="2:30" x14ac:dyDescent="0.15">
      <c r="B115" s="630">
        <v>17031002240</v>
      </c>
      <c r="C115" s="630">
        <v>17031004638</v>
      </c>
      <c r="D115" s="630">
        <v>17031000460</v>
      </c>
      <c r="E115" s="630" t="s">
        <v>533</v>
      </c>
      <c r="F115" s="630" t="s">
        <v>534</v>
      </c>
      <c r="G115" s="630" t="s">
        <v>365</v>
      </c>
      <c r="H115" s="630" t="s">
        <v>552</v>
      </c>
      <c r="I115" s="630"/>
      <c r="J115" s="630" t="s">
        <v>551</v>
      </c>
      <c r="K115" s="630" t="s">
        <v>547</v>
      </c>
      <c r="L115" s="630" t="s">
        <v>382</v>
      </c>
      <c r="M115" s="630" t="s">
        <v>563</v>
      </c>
      <c r="N115" s="630"/>
      <c r="O115" s="630"/>
      <c r="P115" s="630"/>
      <c r="Q115" s="630"/>
      <c r="R115" s="630"/>
      <c r="S115" s="630" t="s">
        <v>589</v>
      </c>
      <c r="T115" s="630"/>
      <c r="U115" s="630" t="s">
        <v>538</v>
      </c>
      <c r="V115" s="630">
        <v>3</v>
      </c>
      <c r="W115" s="630" t="s">
        <v>545</v>
      </c>
      <c r="X115" s="630" t="s">
        <v>549</v>
      </c>
      <c r="Y115" s="630" t="s">
        <v>549</v>
      </c>
      <c r="Z115" s="630">
        <v>0.71111199999999997</v>
      </c>
      <c r="AA115" s="630">
        <v>1.1444259999999999</v>
      </c>
      <c r="AB115" s="631">
        <v>313574</v>
      </c>
      <c r="AC115" s="631">
        <v>20645328</v>
      </c>
      <c r="AD115" s="631">
        <f t="shared" si="1"/>
        <v>14681140.484735999</v>
      </c>
    </row>
    <row r="116" spans="2:30" x14ac:dyDescent="0.15">
      <c r="B116" s="630">
        <v>17031002365</v>
      </c>
      <c r="C116" s="630">
        <v>17031007899</v>
      </c>
      <c r="D116" s="630">
        <v>17031004714</v>
      </c>
      <c r="E116" s="630" t="s">
        <v>533</v>
      </c>
      <c r="F116" s="630" t="s">
        <v>534</v>
      </c>
      <c r="G116" s="630" t="s">
        <v>365</v>
      </c>
      <c r="H116" s="630" t="s">
        <v>535</v>
      </c>
      <c r="I116" s="630"/>
      <c r="J116" s="630" t="s">
        <v>542</v>
      </c>
      <c r="K116" s="630" t="s">
        <v>543</v>
      </c>
      <c r="L116" s="630" t="s">
        <v>382</v>
      </c>
      <c r="M116" s="630"/>
      <c r="N116" s="630"/>
      <c r="O116" s="630"/>
      <c r="P116" s="630"/>
      <c r="Q116" s="630"/>
      <c r="R116" s="630"/>
      <c r="S116" s="630" t="s">
        <v>544</v>
      </c>
      <c r="T116" s="630"/>
      <c r="U116" s="630" t="s">
        <v>538</v>
      </c>
      <c r="V116" s="630">
        <v>2</v>
      </c>
      <c r="W116" s="630" t="s">
        <v>545</v>
      </c>
      <c r="X116" s="630" t="s">
        <v>546</v>
      </c>
      <c r="Y116" s="630" t="s">
        <v>540</v>
      </c>
      <c r="Z116" s="630">
        <v>2.1614490000000002</v>
      </c>
      <c r="AA116" s="630">
        <v>3.4785219999999999</v>
      </c>
      <c r="AB116" s="631">
        <v>420455</v>
      </c>
      <c r="AC116" s="631">
        <v>22300363</v>
      </c>
      <c r="AD116" s="631">
        <f t="shared" si="1"/>
        <v>48201097.305987</v>
      </c>
    </row>
    <row r="117" spans="2:30" x14ac:dyDescent="0.15">
      <c r="B117" s="630">
        <v>17031002366</v>
      </c>
      <c r="C117" s="630">
        <v>17031001575</v>
      </c>
      <c r="D117" s="630">
        <v>17031001566</v>
      </c>
      <c r="E117" s="630" t="s">
        <v>533</v>
      </c>
      <c r="F117" s="630" t="s">
        <v>534</v>
      </c>
      <c r="G117" s="630" t="s">
        <v>365</v>
      </c>
      <c r="H117" s="630" t="s">
        <v>382</v>
      </c>
      <c r="I117" s="630"/>
      <c r="J117" s="630" t="s">
        <v>551</v>
      </c>
      <c r="K117" s="630" t="s">
        <v>555</v>
      </c>
      <c r="L117" s="630"/>
      <c r="M117" s="630"/>
      <c r="N117" s="630"/>
      <c r="O117" s="630"/>
      <c r="P117" s="630"/>
      <c r="Q117" s="630"/>
      <c r="R117" s="630"/>
      <c r="S117" s="630" t="s">
        <v>556</v>
      </c>
      <c r="T117" s="630"/>
      <c r="U117" s="630" t="s">
        <v>538</v>
      </c>
      <c r="V117" s="630">
        <v>2</v>
      </c>
      <c r="W117" s="630" t="s">
        <v>545</v>
      </c>
      <c r="X117" s="630" t="s">
        <v>580</v>
      </c>
      <c r="Y117" s="630" t="s">
        <v>540</v>
      </c>
      <c r="Z117" s="630">
        <v>0.16676099999999999</v>
      </c>
      <c r="AA117" s="630">
        <v>0.268376</v>
      </c>
      <c r="AB117" s="631">
        <v>865570</v>
      </c>
      <c r="AC117" s="631">
        <v>33878501</v>
      </c>
      <c r="AD117" s="631">
        <f t="shared" si="1"/>
        <v>5649612.7052609995</v>
      </c>
    </row>
    <row r="118" spans="2:30" x14ac:dyDescent="0.15">
      <c r="B118" s="630">
        <v>17031003001</v>
      </c>
      <c r="C118" s="630">
        <v>17999021291</v>
      </c>
      <c r="D118" s="630">
        <v>17031004656</v>
      </c>
      <c r="E118" s="630" t="s">
        <v>533</v>
      </c>
      <c r="F118" s="630" t="s">
        <v>534</v>
      </c>
      <c r="G118" s="630" t="s">
        <v>365</v>
      </c>
      <c r="H118" s="630" t="s">
        <v>381</v>
      </c>
      <c r="I118" s="630"/>
      <c r="J118" s="630" t="s">
        <v>542</v>
      </c>
      <c r="K118" s="630" t="s">
        <v>547</v>
      </c>
      <c r="L118" s="630" t="s">
        <v>382</v>
      </c>
      <c r="M118" s="630"/>
      <c r="N118" s="630"/>
      <c r="O118" s="630"/>
      <c r="P118" s="630"/>
      <c r="Q118" s="630"/>
      <c r="R118" s="630"/>
      <c r="S118" s="630" t="s">
        <v>579</v>
      </c>
      <c r="T118" s="630"/>
      <c r="U118" s="630" t="s">
        <v>538</v>
      </c>
      <c r="V118" s="630">
        <v>3</v>
      </c>
      <c r="W118" s="630" t="s">
        <v>545</v>
      </c>
      <c r="X118" s="630" t="s">
        <v>580</v>
      </c>
      <c r="Y118" s="630" t="s">
        <v>549</v>
      </c>
      <c r="Z118" s="630">
        <v>0.87989300000000004</v>
      </c>
      <c r="AA118" s="630">
        <v>1.4160539999999999</v>
      </c>
      <c r="AB118" s="631">
        <v>1180642</v>
      </c>
      <c r="AC118" s="631">
        <v>46493460</v>
      </c>
      <c r="AD118" s="631">
        <f t="shared" si="1"/>
        <v>40909269.999779999</v>
      </c>
    </row>
    <row r="119" spans="2:30" x14ac:dyDescent="0.15">
      <c r="B119" s="630">
        <v>17031003233</v>
      </c>
      <c r="C119" s="630">
        <v>17031001434</v>
      </c>
      <c r="D119" s="630">
        <v>17031001422</v>
      </c>
      <c r="E119" s="630" t="s">
        <v>533</v>
      </c>
      <c r="F119" s="630" t="s">
        <v>534</v>
      </c>
      <c r="G119" s="630" t="s">
        <v>365</v>
      </c>
      <c r="H119" s="630" t="s">
        <v>535</v>
      </c>
      <c r="I119" s="630"/>
      <c r="J119" s="630" t="s">
        <v>542</v>
      </c>
      <c r="K119" s="630" t="s">
        <v>543</v>
      </c>
      <c r="L119" s="630" t="s">
        <v>382</v>
      </c>
      <c r="M119" s="630"/>
      <c r="N119" s="630"/>
      <c r="O119" s="630"/>
      <c r="P119" s="630"/>
      <c r="Q119" s="630"/>
      <c r="R119" s="630"/>
      <c r="S119" s="630" t="s">
        <v>544</v>
      </c>
      <c r="T119" s="630" t="s">
        <v>621</v>
      </c>
      <c r="U119" s="630" t="s">
        <v>538</v>
      </c>
      <c r="V119" s="630">
        <v>2</v>
      </c>
      <c r="W119" s="630" t="s">
        <v>545</v>
      </c>
      <c r="X119" s="630" t="s">
        <v>546</v>
      </c>
      <c r="Y119" s="630" t="s">
        <v>549</v>
      </c>
      <c r="Z119" s="630">
        <v>1.575858</v>
      </c>
      <c r="AA119" s="630">
        <v>2.5361030000000002</v>
      </c>
      <c r="AB119" s="631">
        <v>420495</v>
      </c>
      <c r="AC119" s="631">
        <v>22304483</v>
      </c>
      <c r="AD119" s="631">
        <f t="shared" si="1"/>
        <v>35148697.971414</v>
      </c>
    </row>
    <row r="120" spans="2:30" x14ac:dyDescent="0.15">
      <c r="B120" s="630">
        <v>17031003243</v>
      </c>
      <c r="C120" s="630">
        <v>17031004687</v>
      </c>
      <c r="D120" s="630">
        <v>17031004688</v>
      </c>
      <c r="E120" s="630" t="s">
        <v>533</v>
      </c>
      <c r="F120" s="630" t="s">
        <v>534</v>
      </c>
      <c r="G120" s="630" t="s">
        <v>365</v>
      </c>
      <c r="H120" s="630" t="s">
        <v>547</v>
      </c>
      <c r="I120" s="630"/>
      <c r="J120" s="630" t="s">
        <v>543</v>
      </c>
      <c r="K120" s="630"/>
      <c r="L120" s="630"/>
      <c r="M120" s="630"/>
      <c r="N120" s="630"/>
      <c r="O120" s="630"/>
      <c r="P120" s="630"/>
      <c r="Q120" s="630"/>
      <c r="R120" s="630"/>
      <c r="S120" s="630" t="s">
        <v>602</v>
      </c>
      <c r="T120" s="630"/>
      <c r="U120" s="630" t="s">
        <v>538</v>
      </c>
      <c r="V120" s="630">
        <v>2</v>
      </c>
      <c r="W120" s="630" t="s">
        <v>582</v>
      </c>
      <c r="X120" s="630" t="s">
        <v>541</v>
      </c>
      <c r="Y120" s="630" t="s">
        <v>540</v>
      </c>
      <c r="Z120" s="630">
        <v>1.1391819999999999</v>
      </c>
      <c r="AA120" s="630">
        <v>1.83334</v>
      </c>
      <c r="AB120" s="631">
        <v>320</v>
      </c>
      <c r="AC120" s="631">
        <v>23200</v>
      </c>
      <c r="AD120" s="631">
        <f t="shared" si="1"/>
        <v>26429.022399999998</v>
      </c>
    </row>
    <row r="121" spans="2:30" x14ac:dyDescent="0.15">
      <c r="B121" s="630">
        <v>17031003602</v>
      </c>
      <c r="C121" s="630">
        <v>17031000972</v>
      </c>
      <c r="D121" s="630">
        <v>17031000977</v>
      </c>
      <c r="E121" s="630" t="s">
        <v>533</v>
      </c>
      <c r="F121" s="630" t="s">
        <v>534</v>
      </c>
      <c r="G121" s="630" t="s">
        <v>365</v>
      </c>
      <c r="H121" s="630" t="s">
        <v>571</v>
      </c>
      <c r="I121" s="630"/>
      <c r="J121" s="630" t="s">
        <v>381</v>
      </c>
      <c r="K121" s="630" t="s">
        <v>535</v>
      </c>
      <c r="L121" s="630" t="s">
        <v>552</v>
      </c>
      <c r="M121" s="630" t="s">
        <v>572</v>
      </c>
      <c r="N121" s="630" t="s">
        <v>551</v>
      </c>
      <c r="O121" s="630" t="s">
        <v>555</v>
      </c>
      <c r="P121" s="630" t="s">
        <v>543</v>
      </c>
      <c r="Q121" s="630" t="s">
        <v>382</v>
      </c>
      <c r="R121" s="630" t="s">
        <v>563</v>
      </c>
      <c r="S121" s="630" t="s">
        <v>622</v>
      </c>
      <c r="T121" s="630" t="s">
        <v>574</v>
      </c>
      <c r="U121" s="630" t="s">
        <v>538</v>
      </c>
      <c r="V121" s="630">
        <v>1</v>
      </c>
      <c r="W121" s="630" t="s">
        <v>545</v>
      </c>
      <c r="X121" s="630" t="s">
        <v>575</v>
      </c>
      <c r="Y121" s="630" t="s">
        <v>541</v>
      </c>
      <c r="Z121" s="630">
        <v>0.23910999999999999</v>
      </c>
      <c r="AA121" s="630">
        <v>0.38481100000000001</v>
      </c>
      <c r="AB121" s="631">
        <v>266167</v>
      </c>
      <c r="AC121" s="631">
        <v>13741141</v>
      </c>
      <c r="AD121" s="631">
        <f t="shared" si="1"/>
        <v>3285644.2245099996</v>
      </c>
    </row>
    <row r="122" spans="2:30" x14ac:dyDescent="0.15">
      <c r="B122" s="630">
        <v>17031003691</v>
      </c>
      <c r="C122" s="630">
        <v>17031004585</v>
      </c>
      <c r="D122" s="630">
        <v>17031004584</v>
      </c>
      <c r="E122" s="630" t="s">
        <v>533</v>
      </c>
      <c r="F122" s="630" t="s">
        <v>534</v>
      </c>
      <c r="G122" s="630" t="s">
        <v>365</v>
      </c>
      <c r="H122" s="630" t="s">
        <v>382</v>
      </c>
      <c r="I122" s="630"/>
      <c r="J122" s="630" t="s">
        <v>547</v>
      </c>
      <c r="K122" s="630"/>
      <c r="L122" s="630"/>
      <c r="M122" s="630"/>
      <c r="N122" s="630"/>
      <c r="O122" s="630"/>
      <c r="P122" s="630"/>
      <c r="Q122" s="630"/>
      <c r="R122" s="630"/>
      <c r="S122" s="630" t="s">
        <v>565</v>
      </c>
      <c r="T122" s="630"/>
      <c r="U122" s="630" t="s">
        <v>538</v>
      </c>
      <c r="V122" s="630">
        <v>2</v>
      </c>
      <c r="W122" s="630" t="s">
        <v>566</v>
      </c>
      <c r="X122" s="630" t="s">
        <v>541</v>
      </c>
      <c r="Y122" s="630" t="s">
        <v>549</v>
      </c>
      <c r="Z122" s="630">
        <v>0.73214699999999999</v>
      </c>
      <c r="AA122" s="630">
        <v>1.1782790000000001</v>
      </c>
      <c r="AB122" s="631">
        <v>0</v>
      </c>
      <c r="AC122" s="631">
        <v>0</v>
      </c>
      <c r="AD122" s="631">
        <f t="shared" si="1"/>
        <v>0</v>
      </c>
    </row>
    <row r="123" spans="2:30" x14ac:dyDescent="0.15">
      <c r="B123" s="630">
        <v>17031004267</v>
      </c>
      <c r="C123" s="630">
        <v>17031000745</v>
      </c>
      <c r="D123" s="630">
        <v>17031000748</v>
      </c>
      <c r="E123" s="630" t="s">
        <v>533</v>
      </c>
      <c r="F123" s="630" t="s">
        <v>534</v>
      </c>
      <c r="G123" s="630" t="s">
        <v>365</v>
      </c>
      <c r="H123" s="630" t="s">
        <v>571</v>
      </c>
      <c r="I123" s="630"/>
      <c r="J123" s="630" t="s">
        <v>535</v>
      </c>
      <c r="K123" s="630"/>
      <c r="L123" s="630"/>
      <c r="M123" s="630"/>
      <c r="N123" s="630"/>
      <c r="O123" s="630"/>
      <c r="P123" s="630"/>
      <c r="Q123" s="630"/>
      <c r="R123" s="630"/>
      <c r="S123" s="630"/>
      <c r="T123" s="630"/>
      <c r="U123" s="630" t="s">
        <v>538</v>
      </c>
      <c r="V123" s="630">
        <v>1</v>
      </c>
      <c r="W123" s="630" t="s">
        <v>560</v>
      </c>
      <c r="X123" s="630" t="s">
        <v>541</v>
      </c>
      <c r="Y123" s="630" t="s">
        <v>541</v>
      </c>
      <c r="Z123" s="630">
        <v>0.17902399999999999</v>
      </c>
      <c r="AA123" s="630">
        <v>0.28811199999999998</v>
      </c>
      <c r="AB123" s="631">
        <v>0</v>
      </c>
      <c r="AC123" s="631">
        <v>0</v>
      </c>
      <c r="AD123" s="631">
        <f t="shared" si="1"/>
        <v>0</v>
      </c>
    </row>
    <row r="124" spans="2:30" x14ac:dyDescent="0.15">
      <c r="B124" s="630">
        <v>17031005364</v>
      </c>
      <c r="C124" s="630">
        <v>17031001141</v>
      </c>
      <c r="D124" s="630">
        <v>17031001184</v>
      </c>
      <c r="E124" s="630" t="s">
        <v>533</v>
      </c>
      <c r="F124" s="630" t="s">
        <v>534</v>
      </c>
      <c r="G124" s="630" t="s">
        <v>365</v>
      </c>
      <c r="H124" s="630" t="s">
        <v>543</v>
      </c>
      <c r="I124" s="630"/>
      <c r="J124" s="630"/>
      <c r="K124" s="630"/>
      <c r="L124" s="630"/>
      <c r="M124" s="630"/>
      <c r="N124" s="630"/>
      <c r="O124" s="630"/>
      <c r="P124" s="630"/>
      <c r="Q124" s="630"/>
      <c r="R124" s="630"/>
      <c r="S124" s="630" t="s">
        <v>604</v>
      </c>
      <c r="T124" s="630" t="s">
        <v>623</v>
      </c>
      <c r="U124" s="630" t="s">
        <v>538</v>
      </c>
      <c r="V124" s="630">
        <v>1</v>
      </c>
      <c r="W124" s="630" t="s">
        <v>545</v>
      </c>
      <c r="X124" s="630" t="s">
        <v>546</v>
      </c>
      <c r="Y124" s="630" t="s">
        <v>554</v>
      </c>
      <c r="Z124" s="630">
        <v>1.1110949999999999</v>
      </c>
      <c r="AA124" s="630">
        <v>1.788138</v>
      </c>
      <c r="AB124" s="631">
        <v>10277</v>
      </c>
      <c r="AC124" s="631">
        <v>921789</v>
      </c>
      <c r="AD124" s="631">
        <f t="shared" si="1"/>
        <v>1024195.148955</v>
      </c>
    </row>
    <row r="125" spans="2:30" x14ac:dyDescent="0.15">
      <c r="B125" s="630">
        <v>17031006183</v>
      </c>
      <c r="C125" s="630">
        <v>17031000729</v>
      </c>
      <c r="D125" s="630">
        <v>17031000730</v>
      </c>
      <c r="E125" s="630" t="s">
        <v>533</v>
      </c>
      <c r="F125" s="630" t="s">
        <v>534</v>
      </c>
      <c r="G125" s="630" t="s">
        <v>365</v>
      </c>
      <c r="H125" s="630" t="s">
        <v>535</v>
      </c>
      <c r="I125" s="630"/>
      <c r="J125" s="630" t="s">
        <v>542</v>
      </c>
      <c r="K125" s="630" t="s">
        <v>572</v>
      </c>
      <c r="L125" s="630" t="s">
        <v>547</v>
      </c>
      <c r="M125" s="630" t="s">
        <v>382</v>
      </c>
      <c r="N125" s="630"/>
      <c r="O125" s="630"/>
      <c r="P125" s="630"/>
      <c r="Q125" s="630"/>
      <c r="R125" s="630"/>
      <c r="S125" s="630" t="s">
        <v>624</v>
      </c>
      <c r="T125" s="630" t="s">
        <v>625</v>
      </c>
      <c r="U125" s="630" t="s">
        <v>538</v>
      </c>
      <c r="V125" s="630">
        <v>2</v>
      </c>
      <c r="W125" s="630" t="s">
        <v>545</v>
      </c>
      <c r="X125" s="630" t="s">
        <v>549</v>
      </c>
      <c r="Y125" s="630" t="s">
        <v>554</v>
      </c>
      <c r="Z125" s="630">
        <v>3.8067999999999998E-2</v>
      </c>
      <c r="AA125" s="630">
        <v>6.1265E-2</v>
      </c>
      <c r="AB125" s="631">
        <v>103316</v>
      </c>
      <c r="AC125" s="631">
        <v>4167946</v>
      </c>
      <c r="AD125" s="631">
        <f t="shared" si="1"/>
        <v>158665.36832799998</v>
      </c>
    </row>
    <row r="126" spans="2:30" x14ac:dyDescent="0.15">
      <c r="B126" s="630">
        <v>17097006322</v>
      </c>
      <c r="C126" s="630">
        <v>17097004550</v>
      </c>
      <c r="D126" s="630">
        <v>17097004548</v>
      </c>
      <c r="E126" s="630" t="s">
        <v>533</v>
      </c>
      <c r="F126" s="630" t="s">
        <v>534</v>
      </c>
      <c r="G126" s="630" t="s">
        <v>373</v>
      </c>
      <c r="H126" s="630" t="s">
        <v>382</v>
      </c>
      <c r="I126" s="630"/>
      <c r="J126" s="630" t="s">
        <v>535</v>
      </c>
      <c r="K126" s="630"/>
      <c r="L126" s="630"/>
      <c r="M126" s="630"/>
      <c r="N126" s="630"/>
      <c r="O126" s="630"/>
      <c r="P126" s="630"/>
      <c r="Q126" s="630"/>
      <c r="R126" s="630"/>
      <c r="S126" s="630"/>
      <c r="T126" s="630"/>
      <c r="U126" s="630" t="s">
        <v>559</v>
      </c>
      <c r="V126" s="630">
        <v>1</v>
      </c>
      <c r="W126" s="630" t="s">
        <v>560</v>
      </c>
      <c r="X126" s="630" t="s">
        <v>541</v>
      </c>
      <c r="Y126" s="630" t="s">
        <v>541</v>
      </c>
      <c r="Z126" s="630">
        <v>0.35782000000000003</v>
      </c>
      <c r="AA126" s="630">
        <v>0.57585699999999995</v>
      </c>
      <c r="AB126" s="631">
        <v>0</v>
      </c>
      <c r="AC126" s="631">
        <v>0</v>
      </c>
      <c r="AD126" s="631">
        <f t="shared" si="1"/>
        <v>0</v>
      </c>
    </row>
    <row r="127" spans="2:30" x14ac:dyDescent="0.15">
      <c r="B127" s="630">
        <v>17031006384</v>
      </c>
      <c r="C127" s="630">
        <v>17031004673</v>
      </c>
      <c r="D127" s="630">
        <v>17031000720</v>
      </c>
      <c r="E127" s="630" t="s">
        <v>533</v>
      </c>
      <c r="F127" s="630" t="s">
        <v>534</v>
      </c>
      <c r="G127" s="630" t="s">
        <v>365</v>
      </c>
      <c r="H127" s="630" t="s">
        <v>571</v>
      </c>
      <c r="I127" s="630"/>
      <c r="J127" s="630" t="s">
        <v>381</v>
      </c>
      <c r="K127" s="630" t="s">
        <v>535</v>
      </c>
      <c r="L127" s="630" t="s">
        <v>543</v>
      </c>
      <c r="M127" s="630"/>
      <c r="N127" s="630"/>
      <c r="O127" s="630"/>
      <c r="P127" s="630"/>
      <c r="Q127" s="630"/>
      <c r="R127" s="630"/>
      <c r="S127" s="630"/>
      <c r="T127" s="630"/>
      <c r="U127" s="630" t="s">
        <v>538</v>
      </c>
      <c r="V127" s="630">
        <v>1</v>
      </c>
      <c r="W127" s="630" t="s">
        <v>545</v>
      </c>
      <c r="X127" s="630" t="s">
        <v>540</v>
      </c>
      <c r="Y127" s="630" t="s">
        <v>541</v>
      </c>
      <c r="Z127" s="630">
        <v>0.248501</v>
      </c>
      <c r="AA127" s="630">
        <v>0.399924</v>
      </c>
      <c r="AB127" s="631">
        <v>867061</v>
      </c>
      <c r="AC127" s="631">
        <v>36833379</v>
      </c>
      <c r="AD127" s="631">
        <f t="shared" si="1"/>
        <v>9153131.5148789994</v>
      </c>
    </row>
    <row r="128" spans="2:30" x14ac:dyDescent="0.15">
      <c r="B128" s="630">
        <v>17031006421</v>
      </c>
      <c r="C128" s="630">
        <v>17031004728</v>
      </c>
      <c r="D128" s="630">
        <v>17031004729</v>
      </c>
      <c r="E128" s="630" t="s">
        <v>533</v>
      </c>
      <c r="F128" s="630" t="s">
        <v>534</v>
      </c>
      <c r="G128" s="630" t="s">
        <v>365</v>
      </c>
      <c r="H128" s="630" t="s">
        <v>571</v>
      </c>
      <c r="I128" s="630"/>
      <c r="J128" s="630" t="s">
        <v>381</v>
      </c>
      <c r="K128" s="630" t="s">
        <v>535</v>
      </c>
      <c r="L128" s="630" t="s">
        <v>552</v>
      </c>
      <c r="M128" s="630" t="s">
        <v>572</v>
      </c>
      <c r="N128" s="630" t="s">
        <v>551</v>
      </c>
      <c r="O128" s="630" t="s">
        <v>555</v>
      </c>
      <c r="P128" s="630" t="s">
        <v>543</v>
      </c>
      <c r="Q128" s="630" t="s">
        <v>382</v>
      </c>
      <c r="R128" s="630" t="s">
        <v>563</v>
      </c>
      <c r="S128" s="630" t="s">
        <v>605</v>
      </c>
      <c r="T128" s="630" t="s">
        <v>574</v>
      </c>
      <c r="U128" s="630" t="s">
        <v>538</v>
      </c>
      <c r="V128" s="630">
        <v>1</v>
      </c>
      <c r="W128" s="630" t="s">
        <v>545</v>
      </c>
      <c r="X128" s="630" t="s">
        <v>575</v>
      </c>
      <c r="Y128" s="630" t="s">
        <v>554</v>
      </c>
      <c r="Z128" s="630">
        <v>8.9332999999999996E-2</v>
      </c>
      <c r="AA128" s="630">
        <v>0.14376800000000001</v>
      </c>
      <c r="AB128" s="631">
        <v>269567</v>
      </c>
      <c r="AC128" s="631">
        <v>14123853</v>
      </c>
      <c r="AD128" s="631">
        <f t="shared" si="1"/>
        <v>1261726.1600489998</v>
      </c>
    </row>
    <row r="129" spans="2:30" x14ac:dyDescent="0.15">
      <c r="B129" s="630">
        <v>17031006494</v>
      </c>
      <c r="C129" s="630">
        <v>17031001415</v>
      </c>
      <c r="D129" s="630">
        <v>17031004752</v>
      </c>
      <c r="E129" s="630" t="s">
        <v>533</v>
      </c>
      <c r="F129" s="630" t="s">
        <v>534</v>
      </c>
      <c r="G129" s="630" t="s">
        <v>365</v>
      </c>
      <c r="H129" s="630" t="s">
        <v>547</v>
      </c>
      <c r="I129" s="630"/>
      <c r="J129" s="630"/>
      <c r="K129" s="630"/>
      <c r="L129" s="630"/>
      <c r="M129" s="630"/>
      <c r="N129" s="630"/>
      <c r="O129" s="630"/>
      <c r="P129" s="630"/>
      <c r="Q129" s="630"/>
      <c r="R129" s="630"/>
      <c r="S129" s="630"/>
      <c r="T129" s="630"/>
      <c r="U129" s="630" t="s">
        <v>538</v>
      </c>
      <c r="V129" s="630">
        <v>4</v>
      </c>
      <c r="W129" s="630" t="s">
        <v>545</v>
      </c>
      <c r="X129" s="630" t="s">
        <v>541</v>
      </c>
      <c r="Y129" s="630" t="s">
        <v>540</v>
      </c>
      <c r="Z129" s="630">
        <v>8.863073</v>
      </c>
      <c r="AA129" s="630">
        <v>14.263762</v>
      </c>
      <c r="AB129" s="631">
        <v>0</v>
      </c>
      <c r="AC129" s="631">
        <v>0</v>
      </c>
      <c r="AD129" s="631">
        <f t="shared" si="1"/>
        <v>0</v>
      </c>
    </row>
    <row r="130" spans="2:30" x14ac:dyDescent="0.15">
      <c r="B130" s="630">
        <v>17031000932</v>
      </c>
      <c r="C130" s="630">
        <v>17031001072</v>
      </c>
      <c r="D130" s="630">
        <v>17031001099</v>
      </c>
      <c r="E130" s="630" t="s">
        <v>533</v>
      </c>
      <c r="F130" s="630" t="s">
        <v>534</v>
      </c>
      <c r="G130" s="630" t="s">
        <v>365</v>
      </c>
      <c r="H130" s="630" t="s">
        <v>571</v>
      </c>
      <c r="I130" s="630"/>
      <c r="J130" s="630" t="s">
        <v>552</v>
      </c>
      <c r="K130" s="630" t="s">
        <v>572</v>
      </c>
      <c r="L130" s="630" t="s">
        <v>543</v>
      </c>
      <c r="M130" s="630"/>
      <c r="N130" s="630"/>
      <c r="O130" s="630"/>
      <c r="P130" s="630"/>
      <c r="Q130" s="630"/>
      <c r="R130" s="630"/>
      <c r="S130" s="630" t="s">
        <v>573</v>
      </c>
      <c r="T130" s="630"/>
      <c r="U130" s="630" t="s">
        <v>538</v>
      </c>
      <c r="V130" s="630">
        <v>2</v>
      </c>
      <c r="W130" s="630" t="s">
        <v>545</v>
      </c>
      <c r="X130" s="630" t="s">
        <v>546</v>
      </c>
      <c r="Y130" s="630" t="s">
        <v>554</v>
      </c>
      <c r="Z130" s="630">
        <v>1.703451</v>
      </c>
      <c r="AA130" s="630">
        <v>2.741444</v>
      </c>
      <c r="AB130" s="631">
        <v>173014</v>
      </c>
      <c r="AC130" s="631">
        <v>8999987</v>
      </c>
      <c r="AD130" s="631">
        <f t="shared" si="1"/>
        <v>15331036.855137</v>
      </c>
    </row>
    <row r="131" spans="2:30" x14ac:dyDescent="0.15">
      <c r="B131" s="630">
        <v>17097002150</v>
      </c>
      <c r="C131" s="630">
        <v>17097000110</v>
      </c>
      <c r="D131" s="630">
        <v>17097000082</v>
      </c>
      <c r="E131" s="630" t="s">
        <v>533</v>
      </c>
      <c r="F131" s="630" t="s">
        <v>534</v>
      </c>
      <c r="G131" s="630" t="s">
        <v>373</v>
      </c>
      <c r="H131" s="630" t="s">
        <v>535</v>
      </c>
      <c r="I131" s="630"/>
      <c r="J131" s="630" t="s">
        <v>382</v>
      </c>
      <c r="K131" s="630" t="s">
        <v>536</v>
      </c>
      <c r="L131" s="630"/>
      <c r="M131" s="630"/>
      <c r="N131" s="630"/>
      <c r="O131" s="630"/>
      <c r="P131" s="630"/>
      <c r="Q131" s="630"/>
      <c r="R131" s="630"/>
      <c r="S131" s="630" t="s">
        <v>550</v>
      </c>
      <c r="T131" s="630"/>
      <c r="U131" s="630" t="s">
        <v>538</v>
      </c>
      <c r="V131" s="630">
        <v>1</v>
      </c>
      <c r="W131" s="630" t="s">
        <v>545</v>
      </c>
      <c r="X131" s="630" t="s">
        <v>541</v>
      </c>
      <c r="Y131" s="630" t="s">
        <v>541</v>
      </c>
      <c r="Z131" s="630">
        <v>5.2855230000000004</v>
      </c>
      <c r="AA131" s="630">
        <v>8.5062409999999993</v>
      </c>
      <c r="AB131" s="631">
        <v>520</v>
      </c>
      <c r="AC131" s="631">
        <v>37720</v>
      </c>
      <c r="AD131" s="631">
        <f t="shared" si="1"/>
        <v>199369.92756000001</v>
      </c>
    </row>
    <row r="132" spans="2:30" x14ac:dyDescent="0.15">
      <c r="B132" s="630">
        <v>17031002212</v>
      </c>
      <c r="C132" s="630">
        <v>17031004599</v>
      </c>
      <c r="D132" s="630">
        <v>17031004598</v>
      </c>
      <c r="E132" s="630" t="s">
        <v>533</v>
      </c>
      <c r="F132" s="630" t="s">
        <v>534</v>
      </c>
      <c r="G132" s="630" t="s">
        <v>365</v>
      </c>
      <c r="H132" s="630" t="s">
        <v>382</v>
      </c>
      <c r="I132" s="630"/>
      <c r="J132" s="630" t="s">
        <v>535</v>
      </c>
      <c r="K132" s="630" t="s">
        <v>547</v>
      </c>
      <c r="L132" s="630"/>
      <c r="M132" s="630"/>
      <c r="N132" s="630"/>
      <c r="O132" s="630"/>
      <c r="P132" s="630"/>
      <c r="Q132" s="630"/>
      <c r="R132" s="630"/>
      <c r="S132" s="630" t="s">
        <v>608</v>
      </c>
      <c r="T132" s="630"/>
      <c r="U132" s="630" t="s">
        <v>538</v>
      </c>
      <c r="V132" s="630">
        <v>3</v>
      </c>
      <c r="W132" s="630" t="s">
        <v>566</v>
      </c>
      <c r="X132" s="630" t="s">
        <v>549</v>
      </c>
      <c r="Y132" s="630" t="s">
        <v>549</v>
      </c>
      <c r="Z132" s="630">
        <v>1.117022</v>
      </c>
      <c r="AA132" s="630">
        <v>1.7976760000000001</v>
      </c>
      <c r="AB132" s="631">
        <v>8866</v>
      </c>
      <c r="AC132" s="631">
        <v>836957</v>
      </c>
      <c r="AD132" s="631">
        <f t="shared" si="1"/>
        <v>934899.38205399993</v>
      </c>
    </row>
    <row r="133" spans="2:30" x14ac:dyDescent="0.15">
      <c r="B133" s="630">
        <v>17031002247</v>
      </c>
      <c r="C133" s="630">
        <v>17031000555</v>
      </c>
      <c r="D133" s="630">
        <v>17031000545</v>
      </c>
      <c r="E133" s="630" t="s">
        <v>533</v>
      </c>
      <c r="F133" s="630" t="s">
        <v>534</v>
      </c>
      <c r="G133" s="630" t="s">
        <v>365</v>
      </c>
      <c r="H133" s="630" t="s">
        <v>382</v>
      </c>
      <c r="I133" s="630"/>
      <c r="J133" s="630" t="s">
        <v>572</v>
      </c>
      <c r="K133" s="630" t="s">
        <v>547</v>
      </c>
      <c r="L133" s="630"/>
      <c r="M133" s="630"/>
      <c r="N133" s="630"/>
      <c r="O133" s="630"/>
      <c r="P133" s="630"/>
      <c r="Q133" s="630"/>
      <c r="R133" s="630"/>
      <c r="S133" s="630" t="s">
        <v>583</v>
      </c>
      <c r="T133" s="630"/>
      <c r="U133" s="630" t="s">
        <v>538</v>
      </c>
      <c r="V133" s="630">
        <v>3</v>
      </c>
      <c r="W133" s="630" t="s">
        <v>545</v>
      </c>
      <c r="X133" s="630" t="s">
        <v>580</v>
      </c>
      <c r="Y133" s="630" t="s">
        <v>549</v>
      </c>
      <c r="Z133" s="630">
        <v>0.58910300000000004</v>
      </c>
      <c r="AA133" s="630">
        <v>0.948071</v>
      </c>
      <c r="AB133" s="631">
        <v>858441</v>
      </c>
      <c r="AC133" s="631">
        <v>28505526</v>
      </c>
      <c r="AD133" s="631">
        <f t="shared" si="1"/>
        <v>16792690.883177999</v>
      </c>
    </row>
    <row r="134" spans="2:30" x14ac:dyDescent="0.15">
      <c r="B134" s="630">
        <v>17031002337</v>
      </c>
      <c r="C134" s="630">
        <v>17031000525</v>
      </c>
      <c r="D134" s="630">
        <v>17031000514</v>
      </c>
      <c r="E134" s="630" t="s">
        <v>533</v>
      </c>
      <c r="F134" s="630" t="s">
        <v>534</v>
      </c>
      <c r="G134" s="630" t="s">
        <v>365</v>
      </c>
      <c r="H134" s="630" t="s">
        <v>382</v>
      </c>
      <c r="I134" s="630"/>
      <c r="J134" s="630"/>
      <c r="K134" s="630"/>
      <c r="L134" s="630"/>
      <c r="M134" s="630"/>
      <c r="N134" s="630"/>
      <c r="O134" s="630"/>
      <c r="P134" s="630"/>
      <c r="Q134" s="630"/>
      <c r="R134" s="630"/>
      <c r="S134" s="630"/>
      <c r="T134" s="630" t="s">
        <v>626</v>
      </c>
      <c r="U134" s="630" t="s">
        <v>559</v>
      </c>
      <c r="V134" s="630">
        <v>1</v>
      </c>
      <c r="W134" s="630" t="s">
        <v>539</v>
      </c>
      <c r="X134" s="630" t="s">
        <v>541</v>
      </c>
      <c r="Y134" s="630" t="s">
        <v>541</v>
      </c>
      <c r="Z134" s="630">
        <v>0.31473899999999999</v>
      </c>
      <c r="AA134" s="630">
        <v>0.506525</v>
      </c>
      <c r="AB134" s="631">
        <v>0</v>
      </c>
      <c r="AC134" s="631">
        <v>0</v>
      </c>
      <c r="AD134" s="631">
        <f t="shared" ref="AD134:AD197" si="2">AC134*Z134</f>
        <v>0</v>
      </c>
    </row>
    <row r="135" spans="2:30" x14ac:dyDescent="0.15">
      <c r="B135" s="630">
        <v>17031003555</v>
      </c>
      <c r="C135" s="630">
        <v>17031001250</v>
      </c>
      <c r="D135" s="630">
        <v>17031004724</v>
      </c>
      <c r="E135" s="630" t="s">
        <v>533</v>
      </c>
      <c r="F135" s="630" t="s">
        <v>534</v>
      </c>
      <c r="G135" s="630" t="s">
        <v>365</v>
      </c>
      <c r="H135" s="630" t="s">
        <v>547</v>
      </c>
      <c r="I135" s="630"/>
      <c r="J135" s="630"/>
      <c r="K135" s="630"/>
      <c r="L135" s="630"/>
      <c r="M135" s="630"/>
      <c r="N135" s="630"/>
      <c r="O135" s="630"/>
      <c r="P135" s="630"/>
      <c r="Q135" s="630"/>
      <c r="R135" s="630"/>
      <c r="S135" s="630"/>
      <c r="T135" s="630"/>
      <c r="U135" s="630" t="s">
        <v>538</v>
      </c>
      <c r="V135" s="630">
        <v>1</v>
      </c>
      <c r="W135" s="630" t="s">
        <v>582</v>
      </c>
      <c r="X135" s="630" t="s">
        <v>541</v>
      </c>
      <c r="Y135" s="630" t="s">
        <v>541</v>
      </c>
      <c r="Z135" s="630">
        <v>0.48896400000000001</v>
      </c>
      <c r="AA135" s="630">
        <v>0.78691199999999994</v>
      </c>
      <c r="AB135" s="631">
        <v>0</v>
      </c>
      <c r="AC135" s="631">
        <v>0</v>
      </c>
      <c r="AD135" s="631">
        <f t="shared" si="2"/>
        <v>0</v>
      </c>
    </row>
    <row r="136" spans="2:30" x14ac:dyDescent="0.15">
      <c r="B136" s="630">
        <v>17031003601</v>
      </c>
      <c r="C136" s="630">
        <v>17031000974</v>
      </c>
      <c r="D136" s="630">
        <v>17031000972</v>
      </c>
      <c r="E136" s="630" t="s">
        <v>533</v>
      </c>
      <c r="F136" s="630" t="s">
        <v>534</v>
      </c>
      <c r="G136" s="630" t="s">
        <v>365</v>
      </c>
      <c r="H136" s="630" t="s">
        <v>571</v>
      </c>
      <c r="I136" s="630"/>
      <c r="J136" s="630" t="s">
        <v>381</v>
      </c>
      <c r="K136" s="630" t="s">
        <v>535</v>
      </c>
      <c r="L136" s="630" t="s">
        <v>572</v>
      </c>
      <c r="M136" s="630" t="s">
        <v>552</v>
      </c>
      <c r="N136" s="630" t="s">
        <v>551</v>
      </c>
      <c r="O136" s="630" t="s">
        <v>555</v>
      </c>
      <c r="P136" s="630" t="s">
        <v>543</v>
      </c>
      <c r="Q136" s="630" t="s">
        <v>382</v>
      </c>
      <c r="R136" s="630" t="s">
        <v>563</v>
      </c>
      <c r="S136" s="630" t="s">
        <v>622</v>
      </c>
      <c r="T136" s="630" t="s">
        <v>574</v>
      </c>
      <c r="U136" s="630" t="s">
        <v>538</v>
      </c>
      <c r="V136" s="630">
        <v>1</v>
      </c>
      <c r="W136" s="630" t="s">
        <v>545</v>
      </c>
      <c r="X136" s="630" t="s">
        <v>575</v>
      </c>
      <c r="Y136" s="630" t="s">
        <v>554</v>
      </c>
      <c r="Z136" s="630">
        <v>0.109761</v>
      </c>
      <c r="AA136" s="630">
        <v>0.17664299999999999</v>
      </c>
      <c r="AB136" s="631">
        <v>272599</v>
      </c>
      <c r="AC136" s="631">
        <v>14304613</v>
      </c>
      <c r="AD136" s="631">
        <f t="shared" si="2"/>
        <v>1570088.6274929999</v>
      </c>
    </row>
    <row r="137" spans="2:30" x14ac:dyDescent="0.15">
      <c r="B137" s="630">
        <v>17031003693</v>
      </c>
      <c r="C137" s="630">
        <v>17031000463</v>
      </c>
      <c r="D137" s="630">
        <v>17031000432</v>
      </c>
      <c r="E137" s="630" t="s">
        <v>533</v>
      </c>
      <c r="F137" s="630" t="s">
        <v>534</v>
      </c>
      <c r="G137" s="630" t="s">
        <v>365</v>
      </c>
      <c r="H137" s="630" t="s">
        <v>382</v>
      </c>
      <c r="I137" s="630"/>
      <c r="J137" s="630" t="s">
        <v>547</v>
      </c>
      <c r="K137" s="630"/>
      <c r="L137" s="630"/>
      <c r="M137" s="630"/>
      <c r="N137" s="630"/>
      <c r="O137" s="630"/>
      <c r="P137" s="630"/>
      <c r="Q137" s="630"/>
      <c r="R137" s="630"/>
      <c r="S137" s="630" t="s">
        <v>565</v>
      </c>
      <c r="T137" s="630"/>
      <c r="U137" s="630" t="s">
        <v>538</v>
      </c>
      <c r="V137" s="630">
        <v>2</v>
      </c>
      <c r="W137" s="630" t="s">
        <v>566</v>
      </c>
      <c r="X137" s="630" t="s">
        <v>541</v>
      </c>
      <c r="Y137" s="630" t="s">
        <v>540</v>
      </c>
      <c r="Z137" s="630">
        <v>0.95845100000000005</v>
      </c>
      <c r="AA137" s="630">
        <v>1.542481</v>
      </c>
      <c r="AB137" s="631">
        <v>0</v>
      </c>
      <c r="AC137" s="631">
        <v>0</v>
      </c>
      <c r="AD137" s="631">
        <f t="shared" si="2"/>
        <v>0</v>
      </c>
    </row>
    <row r="138" spans="2:30" x14ac:dyDescent="0.15">
      <c r="B138" s="630">
        <v>17043004084</v>
      </c>
      <c r="C138" s="630">
        <v>17043000511</v>
      </c>
      <c r="D138" s="630">
        <v>17043004767</v>
      </c>
      <c r="E138" s="630" t="s">
        <v>533</v>
      </c>
      <c r="F138" s="630" t="s">
        <v>534</v>
      </c>
      <c r="G138" s="630" t="s">
        <v>367</v>
      </c>
      <c r="H138" s="630" t="s">
        <v>535</v>
      </c>
      <c r="I138" s="630"/>
      <c r="J138" s="630"/>
      <c r="K138" s="630"/>
      <c r="L138" s="630"/>
      <c r="M138" s="630"/>
      <c r="N138" s="630"/>
      <c r="O138" s="630"/>
      <c r="P138" s="630"/>
      <c r="Q138" s="630"/>
      <c r="R138" s="630"/>
      <c r="S138" s="630" t="s">
        <v>624</v>
      </c>
      <c r="T138" s="630"/>
      <c r="U138" s="630" t="s">
        <v>538</v>
      </c>
      <c r="V138" s="630">
        <v>1</v>
      </c>
      <c r="W138" s="630" t="s">
        <v>582</v>
      </c>
      <c r="X138" s="630" t="s">
        <v>554</v>
      </c>
      <c r="Y138" s="630" t="s">
        <v>540</v>
      </c>
      <c r="Z138" s="630">
        <v>1.158128</v>
      </c>
      <c r="AA138" s="630">
        <v>1.8638300000000001</v>
      </c>
      <c r="AB138" s="631">
        <v>760</v>
      </c>
      <c r="AC138" s="631">
        <v>63280</v>
      </c>
      <c r="AD138" s="631">
        <f t="shared" si="2"/>
        <v>73286.339840000001</v>
      </c>
    </row>
    <row r="139" spans="2:30" x14ac:dyDescent="0.15">
      <c r="B139" s="630">
        <v>17031004105</v>
      </c>
      <c r="C139" s="630">
        <v>17031000825</v>
      </c>
      <c r="D139" s="630">
        <v>17031004761</v>
      </c>
      <c r="E139" s="630" t="s">
        <v>533</v>
      </c>
      <c r="F139" s="630" t="s">
        <v>534</v>
      </c>
      <c r="G139" s="630" t="s">
        <v>365</v>
      </c>
      <c r="H139" s="630" t="s">
        <v>547</v>
      </c>
      <c r="I139" s="630"/>
      <c r="J139" s="630" t="s">
        <v>542</v>
      </c>
      <c r="K139" s="630" t="s">
        <v>543</v>
      </c>
      <c r="L139" s="630" t="s">
        <v>382</v>
      </c>
      <c r="M139" s="630"/>
      <c r="N139" s="630"/>
      <c r="O139" s="630"/>
      <c r="P139" s="630"/>
      <c r="Q139" s="630"/>
      <c r="R139" s="630"/>
      <c r="S139" s="630" t="s">
        <v>602</v>
      </c>
      <c r="T139" s="630"/>
      <c r="U139" s="630" t="s">
        <v>538</v>
      </c>
      <c r="V139" s="630">
        <v>2</v>
      </c>
      <c r="W139" s="630" t="s">
        <v>545</v>
      </c>
      <c r="X139" s="630" t="s">
        <v>540</v>
      </c>
      <c r="Y139" s="630" t="s">
        <v>554</v>
      </c>
      <c r="Z139" s="630">
        <v>0.56299699999999997</v>
      </c>
      <c r="AA139" s="630">
        <v>0.90605800000000003</v>
      </c>
      <c r="AB139" s="631">
        <v>202799</v>
      </c>
      <c r="AC139" s="631">
        <v>7241376</v>
      </c>
      <c r="AD139" s="631">
        <f t="shared" si="2"/>
        <v>4076872.9638719996</v>
      </c>
    </row>
    <row r="140" spans="2:30" x14ac:dyDescent="0.15">
      <c r="B140" s="630">
        <v>17031004229</v>
      </c>
      <c r="C140" s="630">
        <v>17031001102</v>
      </c>
      <c r="D140" s="630">
        <v>17031001094</v>
      </c>
      <c r="E140" s="630" t="s">
        <v>533</v>
      </c>
      <c r="F140" s="630" t="s">
        <v>534</v>
      </c>
      <c r="G140" s="630" t="s">
        <v>365</v>
      </c>
      <c r="H140" s="630" t="s">
        <v>577</v>
      </c>
      <c r="I140" s="630"/>
      <c r="J140" s="630"/>
      <c r="K140" s="630"/>
      <c r="L140" s="630"/>
      <c r="M140" s="630"/>
      <c r="N140" s="630"/>
      <c r="O140" s="630"/>
      <c r="P140" s="630"/>
      <c r="Q140" s="630"/>
      <c r="R140" s="630"/>
      <c r="S140" s="630"/>
      <c r="T140" s="630"/>
      <c r="U140" s="630" t="s">
        <v>538</v>
      </c>
      <c r="V140" s="630">
        <v>1</v>
      </c>
      <c r="W140" s="630" t="s">
        <v>560</v>
      </c>
      <c r="X140" s="630" t="s">
        <v>541</v>
      </c>
      <c r="Y140" s="630" t="s">
        <v>541</v>
      </c>
      <c r="Z140" s="630">
        <v>0.22141</v>
      </c>
      <c r="AA140" s="630">
        <v>0.356325</v>
      </c>
      <c r="AB140" s="631">
        <v>0</v>
      </c>
      <c r="AC140" s="631">
        <v>0</v>
      </c>
      <c r="AD140" s="631">
        <f t="shared" si="2"/>
        <v>0</v>
      </c>
    </row>
    <row r="141" spans="2:30" x14ac:dyDescent="0.15">
      <c r="B141" s="630">
        <v>17197004239</v>
      </c>
      <c r="C141" s="630">
        <v>17197001622</v>
      </c>
      <c r="D141" s="630">
        <v>17197001623</v>
      </c>
      <c r="E141" s="630" t="s">
        <v>533</v>
      </c>
      <c r="F141" s="630" t="s">
        <v>534</v>
      </c>
      <c r="G141" s="630" t="s">
        <v>377</v>
      </c>
      <c r="H141" s="630" t="s">
        <v>547</v>
      </c>
      <c r="I141" s="630"/>
      <c r="J141" s="630"/>
      <c r="K141" s="630"/>
      <c r="L141" s="630"/>
      <c r="M141" s="630"/>
      <c r="N141" s="630"/>
      <c r="O141" s="630"/>
      <c r="P141" s="630"/>
      <c r="Q141" s="630"/>
      <c r="R141" s="630"/>
      <c r="S141" s="630" t="s">
        <v>602</v>
      </c>
      <c r="T141" s="630"/>
      <c r="U141" s="630" t="s">
        <v>538</v>
      </c>
      <c r="V141" s="630">
        <v>1</v>
      </c>
      <c r="W141" s="630" t="s">
        <v>582</v>
      </c>
      <c r="X141" s="630" t="s">
        <v>541</v>
      </c>
      <c r="Y141" s="630" t="s">
        <v>540</v>
      </c>
      <c r="Z141" s="630">
        <v>0.10580000000000001</v>
      </c>
      <c r="AA141" s="630">
        <v>0.170268</v>
      </c>
      <c r="AB141" s="631">
        <v>0</v>
      </c>
      <c r="AC141" s="631">
        <v>0</v>
      </c>
      <c r="AD141" s="631">
        <f t="shared" si="2"/>
        <v>0</v>
      </c>
    </row>
    <row r="142" spans="2:30" x14ac:dyDescent="0.15">
      <c r="B142" s="630">
        <v>17031004261</v>
      </c>
      <c r="C142" s="630">
        <v>17031004616</v>
      </c>
      <c r="D142" s="630">
        <v>17031000286</v>
      </c>
      <c r="E142" s="630" t="s">
        <v>533</v>
      </c>
      <c r="F142" s="630" t="s">
        <v>534</v>
      </c>
      <c r="G142" s="630" t="s">
        <v>365</v>
      </c>
      <c r="H142" s="630" t="s">
        <v>552</v>
      </c>
      <c r="I142" s="630"/>
      <c r="J142" s="630" t="s">
        <v>542</v>
      </c>
      <c r="K142" s="630" t="s">
        <v>547</v>
      </c>
      <c r="L142" s="630" t="s">
        <v>563</v>
      </c>
      <c r="M142" s="630"/>
      <c r="N142" s="630"/>
      <c r="O142" s="630"/>
      <c r="P142" s="630"/>
      <c r="Q142" s="630"/>
      <c r="R142" s="630"/>
      <c r="S142" s="630" t="s">
        <v>564</v>
      </c>
      <c r="T142" s="630"/>
      <c r="U142" s="630" t="s">
        <v>538</v>
      </c>
      <c r="V142" s="630">
        <v>2</v>
      </c>
      <c r="W142" s="630" t="s">
        <v>545</v>
      </c>
      <c r="X142" s="630" t="s">
        <v>541</v>
      </c>
      <c r="Y142" s="630" t="s">
        <v>549</v>
      </c>
      <c r="Z142" s="630">
        <v>1.2281979999999999</v>
      </c>
      <c r="AA142" s="630">
        <v>1.9765980000000001</v>
      </c>
      <c r="AB142" s="631">
        <v>27538</v>
      </c>
      <c r="AC142" s="631">
        <v>2609253</v>
      </c>
      <c r="AD142" s="631">
        <f t="shared" si="2"/>
        <v>3204679.3160939999</v>
      </c>
    </row>
    <row r="143" spans="2:30" x14ac:dyDescent="0.15">
      <c r="B143" s="630">
        <v>17031004289</v>
      </c>
      <c r="C143" s="630">
        <v>17031000795</v>
      </c>
      <c r="D143" s="630">
        <v>17031000813</v>
      </c>
      <c r="E143" s="630" t="s">
        <v>533</v>
      </c>
      <c r="F143" s="630" t="s">
        <v>534</v>
      </c>
      <c r="G143" s="630" t="s">
        <v>365</v>
      </c>
      <c r="H143" s="630" t="s">
        <v>571</v>
      </c>
      <c r="I143" s="630"/>
      <c r="J143" s="630" t="s">
        <v>381</v>
      </c>
      <c r="K143" s="630" t="s">
        <v>535</v>
      </c>
      <c r="L143" s="630" t="s">
        <v>552</v>
      </c>
      <c r="M143" s="630" t="s">
        <v>551</v>
      </c>
      <c r="N143" s="630" t="s">
        <v>382</v>
      </c>
      <c r="O143" s="630" t="s">
        <v>563</v>
      </c>
      <c r="P143" s="630" t="s">
        <v>543</v>
      </c>
      <c r="Q143" s="630"/>
      <c r="R143" s="630"/>
      <c r="S143" s="630" t="s">
        <v>573</v>
      </c>
      <c r="T143" s="630"/>
      <c r="U143" s="630" t="s">
        <v>538</v>
      </c>
      <c r="V143" s="630">
        <v>2</v>
      </c>
      <c r="W143" s="630" t="s">
        <v>545</v>
      </c>
      <c r="X143" s="630" t="s">
        <v>580</v>
      </c>
      <c r="Y143" s="630" t="s">
        <v>554</v>
      </c>
      <c r="Z143" s="630">
        <v>0.13969699999999999</v>
      </c>
      <c r="AA143" s="630">
        <v>0.22482199999999999</v>
      </c>
      <c r="AB143" s="631">
        <v>130760</v>
      </c>
      <c r="AC143" s="631">
        <v>4797687</v>
      </c>
      <c r="AD143" s="631">
        <f t="shared" si="2"/>
        <v>670222.48083899997</v>
      </c>
    </row>
    <row r="144" spans="2:30" x14ac:dyDescent="0.15">
      <c r="B144" s="630">
        <v>17031004542</v>
      </c>
      <c r="C144" s="630">
        <v>17999024401</v>
      </c>
      <c r="D144" s="630">
        <v>17031004709</v>
      </c>
      <c r="E144" s="630" t="s">
        <v>533</v>
      </c>
      <c r="F144" s="630" t="s">
        <v>534</v>
      </c>
      <c r="G144" s="630" t="s">
        <v>365</v>
      </c>
      <c r="H144" s="630" t="s">
        <v>382</v>
      </c>
      <c r="I144" s="630"/>
      <c r="J144" s="630" t="s">
        <v>551</v>
      </c>
      <c r="K144" s="630" t="s">
        <v>555</v>
      </c>
      <c r="L144" s="630"/>
      <c r="M144" s="630"/>
      <c r="N144" s="630"/>
      <c r="O144" s="630"/>
      <c r="P144" s="630"/>
      <c r="Q144" s="630"/>
      <c r="R144" s="630"/>
      <c r="S144" s="630" t="s">
        <v>556</v>
      </c>
      <c r="T144" s="630"/>
      <c r="U144" s="630" t="s">
        <v>538</v>
      </c>
      <c r="V144" s="630">
        <v>2</v>
      </c>
      <c r="W144" s="630" t="s">
        <v>545</v>
      </c>
      <c r="X144" s="630" t="s">
        <v>580</v>
      </c>
      <c r="Y144" s="630" t="s">
        <v>540</v>
      </c>
      <c r="Z144" s="630">
        <v>4.1378999999999999E-2</v>
      </c>
      <c r="AA144" s="630">
        <v>6.6592999999999999E-2</v>
      </c>
      <c r="AB144" s="631">
        <v>865530</v>
      </c>
      <c r="AC144" s="631">
        <v>33874541</v>
      </c>
      <c r="AD144" s="631">
        <f t="shared" si="2"/>
        <v>1401694.632039</v>
      </c>
    </row>
    <row r="145" spans="2:30" x14ac:dyDescent="0.15">
      <c r="B145" s="630">
        <v>17031005328</v>
      </c>
      <c r="C145" s="630">
        <v>17031000343</v>
      </c>
      <c r="D145" s="630">
        <v>17031007546</v>
      </c>
      <c r="E145" s="630" t="s">
        <v>533</v>
      </c>
      <c r="F145" s="630" t="s">
        <v>534</v>
      </c>
      <c r="G145" s="630" t="s">
        <v>365</v>
      </c>
      <c r="H145" s="630" t="s">
        <v>552</v>
      </c>
      <c r="I145" s="630"/>
      <c r="J145" s="630"/>
      <c r="K145" s="630"/>
      <c r="L145" s="630"/>
      <c r="M145" s="630"/>
      <c r="N145" s="630"/>
      <c r="O145" s="630"/>
      <c r="P145" s="630"/>
      <c r="Q145" s="630"/>
      <c r="R145" s="630"/>
      <c r="S145" s="630" t="s">
        <v>589</v>
      </c>
      <c r="T145" s="630"/>
      <c r="U145" s="630" t="s">
        <v>538</v>
      </c>
      <c r="V145" s="630">
        <v>1</v>
      </c>
      <c r="W145" s="630" t="s">
        <v>560</v>
      </c>
      <c r="X145" s="630" t="s">
        <v>541</v>
      </c>
      <c r="Y145" s="630" t="s">
        <v>541</v>
      </c>
      <c r="Z145" s="630">
        <v>0.20066700000000001</v>
      </c>
      <c r="AA145" s="630">
        <v>0.32294299999999998</v>
      </c>
      <c r="AB145" s="631">
        <v>80</v>
      </c>
      <c r="AC145" s="631">
        <v>8720</v>
      </c>
      <c r="AD145" s="631">
        <f t="shared" si="2"/>
        <v>1749.8162400000001</v>
      </c>
    </row>
    <row r="146" spans="2:30" x14ac:dyDescent="0.15">
      <c r="B146" s="630">
        <v>17031005367</v>
      </c>
      <c r="C146" s="630">
        <v>99999022913</v>
      </c>
      <c r="D146" s="630">
        <v>17031001388</v>
      </c>
      <c r="E146" s="630" t="s">
        <v>533</v>
      </c>
      <c r="F146" s="630" t="s">
        <v>534</v>
      </c>
      <c r="G146" s="630" t="s">
        <v>365</v>
      </c>
      <c r="H146" s="630" t="s">
        <v>543</v>
      </c>
      <c r="I146" s="630"/>
      <c r="J146" s="630"/>
      <c r="K146" s="630"/>
      <c r="L146" s="630"/>
      <c r="M146" s="630"/>
      <c r="N146" s="630"/>
      <c r="O146" s="630"/>
      <c r="P146" s="630"/>
      <c r="Q146" s="630"/>
      <c r="R146" s="630"/>
      <c r="S146" s="630" t="s">
        <v>604</v>
      </c>
      <c r="T146" s="630"/>
      <c r="U146" s="630" t="s">
        <v>538</v>
      </c>
      <c r="V146" s="630">
        <v>2</v>
      </c>
      <c r="W146" s="630" t="s">
        <v>582</v>
      </c>
      <c r="X146" s="630" t="s">
        <v>546</v>
      </c>
      <c r="Y146" s="630" t="s">
        <v>554</v>
      </c>
      <c r="Z146" s="630">
        <v>8.6748000000000006E-2</v>
      </c>
      <c r="AA146" s="630">
        <v>0.13960700000000001</v>
      </c>
      <c r="AB146" s="631">
        <v>12065</v>
      </c>
      <c r="AC146" s="631">
        <v>1054065</v>
      </c>
      <c r="AD146" s="631">
        <f t="shared" si="2"/>
        <v>91438.030620000005</v>
      </c>
    </row>
    <row r="147" spans="2:30" x14ac:dyDescent="0.15">
      <c r="B147" s="630">
        <v>17031005850</v>
      </c>
      <c r="C147" s="630">
        <v>17031000698</v>
      </c>
      <c r="D147" s="630">
        <v>17031000689</v>
      </c>
      <c r="E147" s="630" t="s">
        <v>533</v>
      </c>
      <c r="F147" s="630" t="s">
        <v>534</v>
      </c>
      <c r="G147" s="630" t="s">
        <v>365</v>
      </c>
      <c r="H147" s="630" t="s">
        <v>535</v>
      </c>
      <c r="I147" s="630"/>
      <c r="J147" s="630" t="s">
        <v>542</v>
      </c>
      <c r="K147" s="630" t="s">
        <v>547</v>
      </c>
      <c r="L147" s="630" t="s">
        <v>382</v>
      </c>
      <c r="M147" s="630"/>
      <c r="N147" s="630"/>
      <c r="O147" s="630"/>
      <c r="P147" s="630"/>
      <c r="Q147" s="630"/>
      <c r="R147" s="630"/>
      <c r="S147" s="630"/>
      <c r="T147" s="630"/>
      <c r="U147" s="630" t="s">
        <v>538</v>
      </c>
      <c r="V147" s="630">
        <v>2</v>
      </c>
      <c r="W147" s="630" t="s">
        <v>545</v>
      </c>
      <c r="X147" s="630" t="s">
        <v>541</v>
      </c>
      <c r="Y147" s="630" t="s">
        <v>541</v>
      </c>
      <c r="Z147" s="630">
        <v>0.271534</v>
      </c>
      <c r="AA147" s="630">
        <v>0.43699300000000002</v>
      </c>
      <c r="AB147" s="631">
        <v>102476</v>
      </c>
      <c r="AC147" s="631">
        <v>4085986</v>
      </c>
      <c r="AD147" s="631">
        <f t="shared" si="2"/>
        <v>1109484.122524</v>
      </c>
    </row>
    <row r="148" spans="2:30" x14ac:dyDescent="0.15">
      <c r="B148" s="630">
        <v>17031006312</v>
      </c>
      <c r="C148" s="630">
        <v>17031001494</v>
      </c>
      <c r="D148" s="630">
        <v>17031007658</v>
      </c>
      <c r="E148" s="630" t="s">
        <v>533</v>
      </c>
      <c r="F148" s="630" t="s">
        <v>534</v>
      </c>
      <c r="G148" s="630" t="s">
        <v>365</v>
      </c>
      <c r="H148" s="630" t="s">
        <v>382</v>
      </c>
      <c r="I148" s="630"/>
      <c r="J148" s="630"/>
      <c r="K148" s="630"/>
      <c r="L148" s="630"/>
      <c r="M148" s="630"/>
      <c r="N148" s="630"/>
      <c r="O148" s="630"/>
      <c r="P148" s="630"/>
      <c r="Q148" s="630"/>
      <c r="R148" s="630"/>
      <c r="S148" s="630" t="s">
        <v>576</v>
      </c>
      <c r="T148" s="630"/>
      <c r="U148" s="630" t="s">
        <v>559</v>
      </c>
      <c r="V148" s="630">
        <v>1</v>
      </c>
      <c r="W148" s="630" t="s">
        <v>560</v>
      </c>
      <c r="X148" s="630" t="s">
        <v>541</v>
      </c>
      <c r="Y148" s="630" t="s">
        <v>541</v>
      </c>
      <c r="Z148" s="630">
        <v>0.25278800000000001</v>
      </c>
      <c r="AA148" s="630">
        <v>0.40682400000000002</v>
      </c>
      <c r="AB148" s="631">
        <v>0</v>
      </c>
      <c r="AC148" s="631">
        <v>0</v>
      </c>
      <c r="AD148" s="631">
        <f t="shared" si="2"/>
        <v>0</v>
      </c>
    </row>
    <row r="149" spans="2:30" x14ac:dyDescent="0.15">
      <c r="B149" s="630">
        <v>17031006373</v>
      </c>
      <c r="C149" s="630">
        <v>17031000686</v>
      </c>
      <c r="D149" s="630">
        <v>17031000691</v>
      </c>
      <c r="E149" s="630" t="s">
        <v>533</v>
      </c>
      <c r="F149" s="630" t="s">
        <v>534</v>
      </c>
      <c r="G149" s="630" t="s">
        <v>365</v>
      </c>
      <c r="H149" s="630" t="s">
        <v>381</v>
      </c>
      <c r="I149" s="630"/>
      <c r="J149" s="630" t="s">
        <v>542</v>
      </c>
      <c r="K149" s="630" t="s">
        <v>572</v>
      </c>
      <c r="L149" s="630" t="s">
        <v>547</v>
      </c>
      <c r="M149" s="630" t="s">
        <v>382</v>
      </c>
      <c r="N149" s="630" t="s">
        <v>551</v>
      </c>
      <c r="O149" s="630"/>
      <c r="P149" s="630"/>
      <c r="Q149" s="630"/>
      <c r="R149" s="630"/>
      <c r="S149" s="630" t="s">
        <v>579</v>
      </c>
      <c r="T149" s="630"/>
      <c r="U149" s="630" t="s">
        <v>538</v>
      </c>
      <c r="V149" s="630">
        <v>4</v>
      </c>
      <c r="W149" s="630" t="s">
        <v>545</v>
      </c>
      <c r="X149" s="630" t="s">
        <v>549</v>
      </c>
      <c r="Y149" s="630" t="s">
        <v>540</v>
      </c>
      <c r="Z149" s="630">
        <v>6.4413999999999999E-2</v>
      </c>
      <c r="AA149" s="630">
        <v>0.10366499999999999</v>
      </c>
      <c r="AB149" s="631">
        <v>79786</v>
      </c>
      <c r="AC149" s="631">
        <v>3912720</v>
      </c>
      <c r="AD149" s="631">
        <f t="shared" si="2"/>
        <v>252033.94607999999</v>
      </c>
    </row>
    <row r="150" spans="2:30" x14ac:dyDescent="0.15">
      <c r="B150" s="630">
        <v>17031006486</v>
      </c>
      <c r="C150" s="630">
        <v>17031004746</v>
      </c>
      <c r="D150" s="630">
        <v>17031004745</v>
      </c>
      <c r="E150" s="630" t="s">
        <v>533</v>
      </c>
      <c r="F150" s="630" t="s">
        <v>534</v>
      </c>
      <c r="G150" s="630" t="s">
        <v>365</v>
      </c>
      <c r="H150" s="630" t="s">
        <v>551</v>
      </c>
      <c r="I150" s="630"/>
      <c r="J150" s="630"/>
      <c r="K150" s="630"/>
      <c r="L150" s="630"/>
      <c r="M150" s="630"/>
      <c r="N150" s="630"/>
      <c r="O150" s="630"/>
      <c r="P150" s="630"/>
      <c r="Q150" s="630"/>
      <c r="R150" s="630"/>
      <c r="S150" s="630"/>
      <c r="T150" s="630"/>
      <c r="U150" s="630" t="s">
        <v>538</v>
      </c>
      <c r="V150" s="630">
        <v>1</v>
      </c>
      <c r="W150" s="630" t="s">
        <v>545</v>
      </c>
      <c r="X150" s="630" t="s">
        <v>541</v>
      </c>
      <c r="Y150" s="630" t="s">
        <v>540</v>
      </c>
      <c r="Z150" s="630">
        <v>0.32526899999999997</v>
      </c>
      <c r="AA150" s="630">
        <v>0.52347100000000002</v>
      </c>
      <c r="AB150" s="631">
        <v>595622</v>
      </c>
      <c r="AC150" s="631">
        <v>11554084</v>
      </c>
      <c r="AD150" s="631">
        <f t="shared" si="2"/>
        <v>3758185.3485959996</v>
      </c>
    </row>
    <row r="151" spans="2:30" x14ac:dyDescent="0.15">
      <c r="B151" s="630">
        <v>17031008546</v>
      </c>
      <c r="C151" s="630">
        <v>17031007019</v>
      </c>
      <c r="D151" s="630">
        <v>17031007031</v>
      </c>
      <c r="E151" s="630" t="s">
        <v>533</v>
      </c>
      <c r="F151" s="630" t="s">
        <v>534</v>
      </c>
      <c r="G151" s="630" t="s">
        <v>365</v>
      </c>
      <c r="H151" s="630" t="s">
        <v>627</v>
      </c>
      <c r="I151" s="630"/>
      <c r="J151" s="630" t="s">
        <v>572</v>
      </c>
      <c r="K151" s="630"/>
      <c r="L151" s="630"/>
      <c r="M151" s="630"/>
      <c r="N151" s="630"/>
      <c r="O151" s="630"/>
      <c r="P151" s="630"/>
      <c r="Q151" s="630"/>
      <c r="R151" s="630"/>
      <c r="S151" s="630"/>
      <c r="T151" s="630"/>
      <c r="U151" s="630" t="s">
        <v>538</v>
      </c>
      <c r="V151" s="630">
        <v>2</v>
      </c>
      <c r="W151" s="630" t="s">
        <v>545</v>
      </c>
      <c r="X151" s="630" t="s">
        <v>541</v>
      </c>
      <c r="Y151" s="630" t="s">
        <v>540</v>
      </c>
      <c r="Z151" s="630">
        <v>0.196438</v>
      </c>
      <c r="AA151" s="630">
        <v>0.316137</v>
      </c>
      <c r="AB151" s="631">
        <v>23086</v>
      </c>
      <c r="AC151" s="631">
        <v>2039650</v>
      </c>
      <c r="AD151" s="631">
        <f t="shared" si="2"/>
        <v>400664.76669999998</v>
      </c>
    </row>
    <row r="152" spans="2:30" x14ac:dyDescent="0.15">
      <c r="B152" s="630">
        <v>17197009029</v>
      </c>
      <c r="C152" s="630">
        <v>17197007239</v>
      </c>
      <c r="D152" s="630">
        <v>17197007230</v>
      </c>
      <c r="E152" s="630" t="s">
        <v>533</v>
      </c>
      <c r="F152" s="630" t="s">
        <v>534</v>
      </c>
      <c r="G152" s="630" t="s">
        <v>377</v>
      </c>
      <c r="H152" s="630" t="s">
        <v>381</v>
      </c>
      <c r="I152" s="630"/>
      <c r="J152" s="630"/>
      <c r="K152" s="630"/>
      <c r="L152" s="630"/>
      <c r="M152" s="630"/>
      <c r="N152" s="630"/>
      <c r="O152" s="630"/>
      <c r="P152" s="630"/>
      <c r="Q152" s="630"/>
      <c r="R152" s="630"/>
      <c r="S152" s="630" t="s">
        <v>591</v>
      </c>
      <c r="T152" s="630"/>
      <c r="U152" s="630" t="s">
        <v>559</v>
      </c>
      <c r="V152" s="630">
        <v>1</v>
      </c>
      <c r="W152" s="630" t="s">
        <v>560</v>
      </c>
      <c r="X152" s="630" t="s">
        <v>541</v>
      </c>
      <c r="Y152" s="630" t="s">
        <v>541</v>
      </c>
      <c r="Z152" s="630">
        <v>2.9349E-2</v>
      </c>
      <c r="AA152" s="630">
        <v>4.7232000000000003E-2</v>
      </c>
      <c r="AB152" s="631">
        <v>0</v>
      </c>
      <c r="AC152" s="631">
        <v>0</v>
      </c>
      <c r="AD152" s="631">
        <f t="shared" si="2"/>
        <v>0</v>
      </c>
    </row>
    <row r="153" spans="2:30" x14ac:dyDescent="0.15">
      <c r="B153" s="630">
        <v>17043009101</v>
      </c>
      <c r="C153" s="630">
        <v>17043007376</v>
      </c>
      <c r="D153" s="630">
        <v>17043000511</v>
      </c>
      <c r="E153" s="630" t="s">
        <v>533</v>
      </c>
      <c r="F153" s="630" t="s">
        <v>534</v>
      </c>
      <c r="G153" s="630" t="s">
        <v>367</v>
      </c>
      <c r="H153" s="630" t="s">
        <v>535</v>
      </c>
      <c r="I153" s="630"/>
      <c r="J153" s="630"/>
      <c r="K153" s="630"/>
      <c r="L153" s="630"/>
      <c r="M153" s="630"/>
      <c r="N153" s="630"/>
      <c r="O153" s="630"/>
      <c r="P153" s="630"/>
      <c r="Q153" s="630"/>
      <c r="R153" s="630"/>
      <c r="S153" s="630" t="s">
        <v>624</v>
      </c>
      <c r="T153" s="630"/>
      <c r="U153" s="630" t="s">
        <v>538</v>
      </c>
      <c r="V153" s="630">
        <v>1</v>
      </c>
      <c r="W153" s="630" t="s">
        <v>582</v>
      </c>
      <c r="X153" s="630" t="s">
        <v>554</v>
      </c>
      <c r="Y153" s="630" t="s">
        <v>540</v>
      </c>
      <c r="Z153" s="630">
        <v>1.1332850000000001</v>
      </c>
      <c r="AA153" s="630">
        <v>1.8238490000000001</v>
      </c>
      <c r="AB153" s="631">
        <v>440</v>
      </c>
      <c r="AC153" s="631">
        <v>36560</v>
      </c>
      <c r="AD153" s="631">
        <f t="shared" si="2"/>
        <v>41432.899600000004</v>
      </c>
    </row>
    <row r="154" spans="2:30" x14ac:dyDescent="0.15">
      <c r="B154" s="630">
        <v>17197009260</v>
      </c>
      <c r="C154" s="630">
        <v>17197007386</v>
      </c>
      <c r="D154" s="630">
        <v>17197004786</v>
      </c>
      <c r="E154" s="630" t="s">
        <v>533</v>
      </c>
      <c r="F154" s="630" t="s">
        <v>534</v>
      </c>
      <c r="G154" s="630" t="s">
        <v>377</v>
      </c>
      <c r="H154" s="630" t="s">
        <v>535</v>
      </c>
      <c r="I154" s="630"/>
      <c r="J154" s="630" t="s">
        <v>542</v>
      </c>
      <c r="K154" s="630" t="s">
        <v>543</v>
      </c>
      <c r="L154" s="630" t="s">
        <v>382</v>
      </c>
      <c r="M154" s="630"/>
      <c r="N154" s="630"/>
      <c r="O154" s="630"/>
      <c r="P154" s="630"/>
      <c r="Q154" s="630"/>
      <c r="R154" s="630"/>
      <c r="S154" s="630" t="s">
        <v>544</v>
      </c>
      <c r="T154" s="630"/>
      <c r="U154" s="630" t="s">
        <v>538</v>
      </c>
      <c r="V154" s="630">
        <v>1</v>
      </c>
      <c r="W154" s="630" t="s">
        <v>545</v>
      </c>
      <c r="X154" s="630" t="s">
        <v>546</v>
      </c>
      <c r="Y154" s="630" t="s">
        <v>549</v>
      </c>
      <c r="Z154" s="630">
        <v>0.47660799999999998</v>
      </c>
      <c r="AA154" s="630">
        <v>0.76702800000000004</v>
      </c>
      <c r="AB154" s="631">
        <v>436246</v>
      </c>
      <c r="AC154" s="631">
        <v>24014023</v>
      </c>
      <c r="AD154" s="631">
        <f t="shared" si="2"/>
        <v>11445275.473983999</v>
      </c>
    </row>
    <row r="155" spans="2:30" x14ac:dyDescent="0.15">
      <c r="B155" s="630">
        <v>17031009508</v>
      </c>
      <c r="C155" s="630">
        <v>17031007607</v>
      </c>
      <c r="D155" s="630">
        <v>17031000548</v>
      </c>
      <c r="E155" s="630" t="s">
        <v>533</v>
      </c>
      <c r="F155" s="630" t="s">
        <v>534</v>
      </c>
      <c r="G155" s="630" t="s">
        <v>365</v>
      </c>
      <c r="H155" s="630" t="s">
        <v>382</v>
      </c>
      <c r="I155" s="630"/>
      <c r="J155" s="630"/>
      <c r="K155" s="630"/>
      <c r="L155" s="630"/>
      <c r="M155" s="630"/>
      <c r="N155" s="630"/>
      <c r="O155" s="630"/>
      <c r="P155" s="630"/>
      <c r="Q155" s="630"/>
      <c r="R155" s="630"/>
      <c r="S155" s="630"/>
      <c r="T155" s="630"/>
      <c r="U155" s="630" t="s">
        <v>559</v>
      </c>
      <c r="V155" s="630">
        <v>1</v>
      </c>
      <c r="W155" s="630" t="s">
        <v>560</v>
      </c>
      <c r="X155" s="630" t="s">
        <v>541</v>
      </c>
      <c r="Y155" s="630" t="s">
        <v>541</v>
      </c>
      <c r="Z155" s="630">
        <v>9.7130999999999995E-2</v>
      </c>
      <c r="AA155" s="630">
        <v>0.15631800000000001</v>
      </c>
      <c r="AB155" s="631">
        <v>0</v>
      </c>
      <c r="AC155" s="631">
        <v>0</v>
      </c>
      <c r="AD155" s="631">
        <f t="shared" si="2"/>
        <v>0</v>
      </c>
    </row>
    <row r="156" spans="2:30" x14ac:dyDescent="0.15">
      <c r="B156" s="630">
        <v>17031009565</v>
      </c>
      <c r="C156" s="630">
        <v>17031007660</v>
      </c>
      <c r="D156" s="630">
        <v>17031001411</v>
      </c>
      <c r="E156" s="630" t="s">
        <v>533</v>
      </c>
      <c r="F156" s="630" t="s">
        <v>534</v>
      </c>
      <c r="G156" s="630" t="s">
        <v>365</v>
      </c>
      <c r="H156" s="630" t="s">
        <v>551</v>
      </c>
      <c r="I156" s="630" t="s">
        <v>535</v>
      </c>
      <c r="J156" s="630" t="s">
        <v>381</v>
      </c>
      <c r="K156" s="630" t="s">
        <v>552</v>
      </c>
      <c r="L156" s="630"/>
      <c r="M156" s="630"/>
      <c r="N156" s="630"/>
      <c r="O156" s="630"/>
      <c r="P156" s="630"/>
      <c r="Q156" s="630"/>
      <c r="R156" s="630"/>
      <c r="S156" s="630" t="s">
        <v>628</v>
      </c>
      <c r="T156" s="630"/>
      <c r="U156" s="630" t="s">
        <v>538</v>
      </c>
      <c r="V156" s="630">
        <v>1</v>
      </c>
      <c r="W156" s="630" t="s">
        <v>539</v>
      </c>
      <c r="X156" s="630" t="s">
        <v>541</v>
      </c>
      <c r="Y156" s="630" t="s">
        <v>541</v>
      </c>
      <c r="Z156" s="630">
        <v>0.89297599999999999</v>
      </c>
      <c r="AA156" s="630">
        <v>1.437109</v>
      </c>
      <c r="AB156" s="631">
        <v>120</v>
      </c>
      <c r="AC156" s="631">
        <v>12080</v>
      </c>
      <c r="AD156" s="631">
        <f t="shared" si="2"/>
        <v>10787.150079999999</v>
      </c>
    </row>
    <row r="157" spans="2:30" x14ac:dyDescent="0.15">
      <c r="B157" s="630">
        <v>17089001824</v>
      </c>
      <c r="C157" s="630">
        <v>17089001056</v>
      </c>
      <c r="D157" s="630">
        <v>17089001012</v>
      </c>
      <c r="E157" s="630" t="s">
        <v>533</v>
      </c>
      <c r="F157" s="630" t="s">
        <v>534</v>
      </c>
      <c r="G157" s="630" t="s">
        <v>369</v>
      </c>
      <c r="H157" s="630" t="s">
        <v>381</v>
      </c>
      <c r="I157" s="630"/>
      <c r="J157" s="630"/>
      <c r="K157" s="630"/>
      <c r="L157" s="630"/>
      <c r="M157" s="630"/>
      <c r="N157" s="630"/>
      <c r="O157" s="630"/>
      <c r="P157" s="630"/>
      <c r="Q157" s="630"/>
      <c r="R157" s="630"/>
      <c r="S157" s="630" t="s">
        <v>595</v>
      </c>
      <c r="T157" s="630"/>
      <c r="U157" s="630" t="s">
        <v>538</v>
      </c>
      <c r="V157" s="630">
        <v>1</v>
      </c>
      <c r="W157" s="630" t="s">
        <v>545</v>
      </c>
      <c r="X157" s="630" t="s">
        <v>546</v>
      </c>
      <c r="Y157" s="630" t="s">
        <v>549</v>
      </c>
      <c r="Z157" s="630">
        <v>5.7592350000000003</v>
      </c>
      <c r="AA157" s="630">
        <v>9.2686080000000004</v>
      </c>
      <c r="AB157" s="631">
        <v>879655</v>
      </c>
      <c r="AC157" s="631">
        <v>28015781</v>
      </c>
      <c r="AD157" s="631">
        <f t="shared" si="2"/>
        <v>161349466.487535</v>
      </c>
    </row>
    <row r="158" spans="2:30" x14ac:dyDescent="0.15">
      <c r="B158" s="630">
        <v>17097002144</v>
      </c>
      <c r="C158" s="630">
        <v>17097004529</v>
      </c>
      <c r="D158" s="630">
        <v>17999017375</v>
      </c>
      <c r="E158" s="630" t="s">
        <v>533</v>
      </c>
      <c r="F158" s="630" t="s">
        <v>534</v>
      </c>
      <c r="G158" s="630" t="s">
        <v>373</v>
      </c>
      <c r="H158" s="630" t="s">
        <v>563</v>
      </c>
      <c r="I158" s="630"/>
      <c r="J158" s="630"/>
      <c r="K158" s="630"/>
      <c r="L158" s="630"/>
      <c r="M158" s="630"/>
      <c r="N158" s="630"/>
      <c r="O158" s="630"/>
      <c r="P158" s="630"/>
      <c r="Q158" s="630"/>
      <c r="R158" s="630"/>
      <c r="S158" s="630" t="s">
        <v>629</v>
      </c>
      <c r="T158" s="630"/>
      <c r="U158" s="630" t="s">
        <v>538</v>
      </c>
      <c r="V158" s="630">
        <v>1</v>
      </c>
      <c r="W158" s="630" t="s">
        <v>562</v>
      </c>
      <c r="X158" s="630" t="s">
        <v>554</v>
      </c>
      <c r="Y158" s="630" t="s">
        <v>540</v>
      </c>
      <c r="Z158" s="630">
        <v>1.2516350000000001</v>
      </c>
      <c r="AA158" s="630">
        <v>2.0143149999999999</v>
      </c>
      <c r="AB158" s="631">
        <v>27538</v>
      </c>
      <c r="AC158" s="631">
        <v>2609253</v>
      </c>
      <c r="AD158" s="631">
        <f t="shared" si="2"/>
        <v>3265832.3786550001</v>
      </c>
    </row>
    <row r="159" spans="2:30" x14ac:dyDescent="0.15">
      <c r="B159" s="630">
        <v>17043002406</v>
      </c>
      <c r="C159" s="630">
        <v>17043004777</v>
      </c>
      <c r="D159" s="630">
        <v>17043000605</v>
      </c>
      <c r="E159" s="630" t="s">
        <v>533</v>
      </c>
      <c r="F159" s="630" t="s">
        <v>534</v>
      </c>
      <c r="G159" s="630" t="s">
        <v>367</v>
      </c>
      <c r="H159" s="630" t="s">
        <v>382</v>
      </c>
      <c r="I159" s="630"/>
      <c r="J159" s="630" t="s">
        <v>547</v>
      </c>
      <c r="K159" s="630"/>
      <c r="L159" s="630"/>
      <c r="M159" s="630"/>
      <c r="N159" s="630"/>
      <c r="O159" s="630"/>
      <c r="P159" s="630"/>
      <c r="Q159" s="630"/>
      <c r="R159" s="630"/>
      <c r="S159" s="630" t="s">
        <v>583</v>
      </c>
      <c r="T159" s="630"/>
      <c r="U159" s="630" t="s">
        <v>538</v>
      </c>
      <c r="V159" s="630">
        <v>3</v>
      </c>
      <c r="W159" s="630" t="s">
        <v>588</v>
      </c>
      <c r="X159" s="630" t="s">
        <v>575</v>
      </c>
      <c r="Y159" s="630" t="s">
        <v>549</v>
      </c>
      <c r="Z159" s="630">
        <v>1.5429189999999999</v>
      </c>
      <c r="AA159" s="630">
        <v>2.4830920000000001</v>
      </c>
      <c r="AB159" s="631">
        <v>1830855</v>
      </c>
      <c r="AC159" s="631">
        <v>57776893</v>
      </c>
      <c r="AD159" s="631">
        <f t="shared" si="2"/>
        <v>89145065.97066699</v>
      </c>
    </row>
    <row r="160" spans="2:30" x14ac:dyDescent="0.15">
      <c r="B160" s="630">
        <v>17043003278</v>
      </c>
      <c r="C160" s="630">
        <v>17043000935</v>
      </c>
      <c r="D160" s="630">
        <v>17043000913</v>
      </c>
      <c r="E160" s="630" t="s">
        <v>533</v>
      </c>
      <c r="F160" s="630" t="s">
        <v>534</v>
      </c>
      <c r="G160" s="630" t="s">
        <v>367</v>
      </c>
      <c r="H160" s="630" t="s">
        <v>535</v>
      </c>
      <c r="I160" s="630"/>
      <c r="J160" s="630" t="s">
        <v>536</v>
      </c>
      <c r="K160" s="630" t="s">
        <v>382</v>
      </c>
      <c r="L160" s="630"/>
      <c r="M160" s="630"/>
      <c r="N160" s="630"/>
      <c r="O160" s="630"/>
      <c r="P160" s="630"/>
      <c r="Q160" s="630"/>
      <c r="R160" s="630"/>
      <c r="S160" s="630" t="s">
        <v>550</v>
      </c>
      <c r="T160" s="630"/>
      <c r="U160" s="630" t="s">
        <v>538</v>
      </c>
      <c r="V160" s="630">
        <v>1</v>
      </c>
      <c r="W160" s="630" t="s">
        <v>560</v>
      </c>
      <c r="X160" s="630" t="s">
        <v>549</v>
      </c>
      <c r="Y160" s="630" t="s">
        <v>541</v>
      </c>
      <c r="Z160" s="630">
        <v>0.95493300000000003</v>
      </c>
      <c r="AA160" s="630">
        <v>1.536818</v>
      </c>
      <c r="AB160" s="631">
        <v>5784</v>
      </c>
      <c r="AC160" s="631">
        <v>449567</v>
      </c>
      <c r="AD160" s="631">
        <f t="shared" si="2"/>
        <v>429306.36401100003</v>
      </c>
    </row>
    <row r="161" spans="2:30" x14ac:dyDescent="0.15">
      <c r="B161" s="630">
        <v>17031003680</v>
      </c>
      <c r="C161" s="630">
        <v>17031001340</v>
      </c>
      <c r="D161" s="630">
        <v>17031001357</v>
      </c>
      <c r="E161" s="630" t="s">
        <v>533</v>
      </c>
      <c r="F161" s="630" t="s">
        <v>534</v>
      </c>
      <c r="G161" s="630" t="s">
        <v>365</v>
      </c>
      <c r="H161" s="630" t="s">
        <v>551</v>
      </c>
      <c r="I161" s="630" t="s">
        <v>535</v>
      </c>
      <c r="J161" s="630" t="s">
        <v>381</v>
      </c>
      <c r="K161" s="630" t="s">
        <v>552</v>
      </c>
      <c r="L161" s="630"/>
      <c r="M161" s="630"/>
      <c r="N161" s="630"/>
      <c r="O161" s="630"/>
      <c r="P161" s="630"/>
      <c r="Q161" s="630"/>
      <c r="R161" s="630"/>
      <c r="S161" s="630" t="s">
        <v>628</v>
      </c>
      <c r="T161" s="630"/>
      <c r="U161" s="630" t="s">
        <v>538</v>
      </c>
      <c r="V161" s="630">
        <v>1</v>
      </c>
      <c r="W161" s="630" t="s">
        <v>545</v>
      </c>
      <c r="X161" s="630" t="s">
        <v>541</v>
      </c>
      <c r="Y161" s="630" t="s">
        <v>541</v>
      </c>
      <c r="Z161" s="630">
        <v>0.34460099999999999</v>
      </c>
      <c r="AA161" s="630">
        <v>0.55458300000000005</v>
      </c>
      <c r="AB161" s="631">
        <v>6436</v>
      </c>
      <c r="AC161" s="631">
        <v>553848</v>
      </c>
      <c r="AD161" s="631">
        <f t="shared" si="2"/>
        <v>190856.57464800001</v>
      </c>
    </row>
    <row r="162" spans="2:30" x14ac:dyDescent="0.15">
      <c r="B162" s="630">
        <v>17031004008</v>
      </c>
      <c r="C162" s="630">
        <v>17031004758</v>
      </c>
      <c r="D162" s="630">
        <v>17031004756</v>
      </c>
      <c r="E162" s="630" t="s">
        <v>533</v>
      </c>
      <c r="F162" s="630" t="s">
        <v>534</v>
      </c>
      <c r="G162" s="630" t="s">
        <v>365</v>
      </c>
      <c r="H162" s="630" t="s">
        <v>547</v>
      </c>
      <c r="I162" s="630"/>
      <c r="J162" s="630" t="s">
        <v>577</v>
      </c>
      <c r="K162" s="630"/>
      <c r="L162" s="630"/>
      <c r="M162" s="630"/>
      <c r="N162" s="630"/>
      <c r="O162" s="630"/>
      <c r="P162" s="630"/>
      <c r="Q162" s="630"/>
      <c r="R162" s="630"/>
      <c r="S162" s="630" t="s">
        <v>581</v>
      </c>
      <c r="T162" s="630"/>
      <c r="U162" s="630" t="s">
        <v>538</v>
      </c>
      <c r="V162" s="630">
        <v>2</v>
      </c>
      <c r="W162" s="630" t="s">
        <v>582</v>
      </c>
      <c r="X162" s="630" t="s">
        <v>541</v>
      </c>
      <c r="Y162" s="630" t="s">
        <v>540</v>
      </c>
      <c r="Z162" s="630">
        <v>1.6078939999999999</v>
      </c>
      <c r="AA162" s="630">
        <v>2.5876600000000001</v>
      </c>
      <c r="AB162" s="631">
        <v>0</v>
      </c>
      <c r="AC162" s="631">
        <v>0</v>
      </c>
      <c r="AD162" s="631">
        <f t="shared" si="2"/>
        <v>0</v>
      </c>
    </row>
    <row r="163" spans="2:30" x14ac:dyDescent="0.15">
      <c r="B163" s="630">
        <v>17031004040</v>
      </c>
      <c r="C163" s="630">
        <v>17031000401</v>
      </c>
      <c r="D163" s="630">
        <v>17031000395</v>
      </c>
      <c r="E163" s="630" t="s">
        <v>533</v>
      </c>
      <c r="F163" s="630" t="s">
        <v>534</v>
      </c>
      <c r="G163" s="630" t="s">
        <v>365</v>
      </c>
      <c r="H163" s="630" t="s">
        <v>382</v>
      </c>
      <c r="I163" s="630"/>
      <c r="J163" s="630" t="s">
        <v>547</v>
      </c>
      <c r="K163" s="630"/>
      <c r="L163" s="630"/>
      <c r="M163" s="630"/>
      <c r="N163" s="630"/>
      <c r="O163" s="630"/>
      <c r="P163" s="630"/>
      <c r="Q163" s="630"/>
      <c r="R163" s="630"/>
      <c r="S163" s="630" t="s">
        <v>608</v>
      </c>
      <c r="T163" s="630"/>
      <c r="U163" s="630" t="s">
        <v>538</v>
      </c>
      <c r="V163" s="630">
        <v>3</v>
      </c>
      <c r="W163" s="630" t="s">
        <v>566</v>
      </c>
      <c r="X163" s="630" t="s">
        <v>554</v>
      </c>
      <c r="Y163" s="630" t="s">
        <v>549</v>
      </c>
      <c r="Z163" s="630">
        <v>0.99978599999999995</v>
      </c>
      <c r="AA163" s="630">
        <v>1.609003</v>
      </c>
      <c r="AB163" s="631">
        <v>0</v>
      </c>
      <c r="AC163" s="631">
        <v>0</v>
      </c>
      <c r="AD163" s="631">
        <f t="shared" si="2"/>
        <v>0</v>
      </c>
    </row>
    <row r="164" spans="2:30" x14ac:dyDescent="0.15">
      <c r="B164" s="630">
        <v>17031004049</v>
      </c>
      <c r="C164" s="630">
        <v>17031000730</v>
      </c>
      <c r="D164" s="630">
        <v>17031000714</v>
      </c>
      <c r="E164" s="630" t="s">
        <v>533</v>
      </c>
      <c r="F164" s="630" t="s">
        <v>534</v>
      </c>
      <c r="G164" s="630" t="s">
        <v>365</v>
      </c>
      <c r="H164" s="630" t="s">
        <v>535</v>
      </c>
      <c r="I164" s="630"/>
      <c r="J164" s="630" t="s">
        <v>542</v>
      </c>
      <c r="K164" s="630" t="s">
        <v>572</v>
      </c>
      <c r="L164" s="630" t="s">
        <v>547</v>
      </c>
      <c r="M164" s="630" t="s">
        <v>382</v>
      </c>
      <c r="N164" s="630"/>
      <c r="O164" s="630"/>
      <c r="P164" s="630"/>
      <c r="Q164" s="630"/>
      <c r="R164" s="630"/>
      <c r="S164" s="630" t="s">
        <v>624</v>
      </c>
      <c r="T164" s="630"/>
      <c r="U164" s="630" t="s">
        <v>538</v>
      </c>
      <c r="V164" s="630">
        <v>2</v>
      </c>
      <c r="W164" s="630" t="s">
        <v>545</v>
      </c>
      <c r="X164" s="630" t="s">
        <v>549</v>
      </c>
      <c r="Y164" s="630" t="s">
        <v>554</v>
      </c>
      <c r="Z164" s="630">
        <v>1.1287370000000001</v>
      </c>
      <c r="AA164" s="630">
        <v>1.8165290000000001</v>
      </c>
      <c r="AB164" s="631">
        <v>103316</v>
      </c>
      <c r="AC164" s="631">
        <v>4167946</v>
      </c>
      <c r="AD164" s="631">
        <f t="shared" si="2"/>
        <v>4704514.8642020002</v>
      </c>
    </row>
    <row r="165" spans="2:30" x14ac:dyDescent="0.15">
      <c r="B165" s="630">
        <v>17031004987</v>
      </c>
      <c r="C165" s="630">
        <v>17031007031</v>
      </c>
      <c r="D165" s="630">
        <v>17031007030</v>
      </c>
      <c r="E165" s="630" t="s">
        <v>533</v>
      </c>
      <c r="F165" s="630" t="s">
        <v>534</v>
      </c>
      <c r="G165" s="630" t="s">
        <v>365</v>
      </c>
      <c r="H165" s="630" t="s">
        <v>627</v>
      </c>
      <c r="I165" s="630"/>
      <c r="J165" s="630" t="s">
        <v>572</v>
      </c>
      <c r="K165" s="630"/>
      <c r="L165" s="630"/>
      <c r="M165" s="630"/>
      <c r="N165" s="630"/>
      <c r="O165" s="630"/>
      <c r="P165" s="630"/>
      <c r="Q165" s="630"/>
      <c r="R165" s="630"/>
      <c r="S165" s="630"/>
      <c r="T165" s="630"/>
      <c r="U165" s="630" t="s">
        <v>538</v>
      </c>
      <c r="V165" s="630">
        <v>2</v>
      </c>
      <c r="W165" s="630" t="s">
        <v>545</v>
      </c>
      <c r="X165" s="630" t="s">
        <v>541</v>
      </c>
      <c r="Y165" s="630" t="s">
        <v>540</v>
      </c>
      <c r="Z165" s="630">
        <v>0.65910400000000002</v>
      </c>
      <c r="AA165" s="630">
        <v>1.060727</v>
      </c>
      <c r="AB165" s="631">
        <v>23086</v>
      </c>
      <c r="AC165" s="631">
        <v>2039650</v>
      </c>
      <c r="AD165" s="631">
        <f t="shared" si="2"/>
        <v>1344341.4736000001</v>
      </c>
    </row>
    <row r="166" spans="2:30" x14ac:dyDescent="0.15">
      <c r="B166" s="630">
        <v>17031006146</v>
      </c>
      <c r="C166" s="630">
        <v>17031000694</v>
      </c>
      <c r="D166" s="630">
        <v>17031000746</v>
      </c>
      <c r="E166" s="630" t="s">
        <v>533</v>
      </c>
      <c r="F166" s="630" t="s">
        <v>534</v>
      </c>
      <c r="G166" s="630" t="s">
        <v>365</v>
      </c>
      <c r="H166" s="630" t="s">
        <v>551</v>
      </c>
      <c r="I166" s="630"/>
      <c r="J166" s="630" t="s">
        <v>381</v>
      </c>
      <c r="K166" s="630"/>
      <c r="L166" s="630"/>
      <c r="M166" s="630"/>
      <c r="N166" s="630"/>
      <c r="O166" s="630"/>
      <c r="P166" s="630"/>
      <c r="Q166" s="630"/>
      <c r="R166" s="630"/>
      <c r="S166" s="630" t="s">
        <v>600</v>
      </c>
      <c r="T166" s="630"/>
      <c r="U166" s="630" t="s">
        <v>538</v>
      </c>
      <c r="V166" s="630">
        <v>2</v>
      </c>
      <c r="W166" s="630" t="s">
        <v>582</v>
      </c>
      <c r="X166" s="630" t="s">
        <v>549</v>
      </c>
      <c r="Y166" s="630" t="s">
        <v>554</v>
      </c>
      <c r="Z166" s="630">
        <v>1.394226</v>
      </c>
      <c r="AA166" s="630">
        <v>2.2437939999999998</v>
      </c>
      <c r="AB166" s="631">
        <v>168553</v>
      </c>
      <c r="AC166" s="631">
        <v>5157762</v>
      </c>
      <c r="AD166" s="631">
        <f t="shared" si="2"/>
        <v>7191085.882212</v>
      </c>
    </row>
    <row r="167" spans="2:30" x14ac:dyDescent="0.15">
      <c r="B167" s="630">
        <v>17031006372</v>
      </c>
      <c r="C167" s="630">
        <v>17031000720</v>
      </c>
      <c r="D167" s="630">
        <v>17031000721</v>
      </c>
      <c r="E167" s="630" t="s">
        <v>533</v>
      </c>
      <c r="F167" s="630" t="s">
        <v>534</v>
      </c>
      <c r="G167" s="630" t="s">
        <v>365</v>
      </c>
      <c r="H167" s="630" t="s">
        <v>571</v>
      </c>
      <c r="I167" s="630"/>
      <c r="J167" s="630" t="s">
        <v>381</v>
      </c>
      <c r="K167" s="630" t="s">
        <v>535</v>
      </c>
      <c r="L167" s="630" t="s">
        <v>552</v>
      </c>
      <c r="M167" s="630" t="s">
        <v>551</v>
      </c>
      <c r="N167" s="630" t="s">
        <v>563</v>
      </c>
      <c r="O167" s="630" t="s">
        <v>543</v>
      </c>
      <c r="P167" s="630"/>
      <c r="Q167" s="630"/>
      <c r="R167" s="630"/>
      <c r="S167" s="630" t="s">
        <v>573</v>
      </c>
      <c r="T167" s="630"/>
      <c r="U167" s="630" t="s">
        <v>538</v>
      </c>
      <c r="V167" s="630">
        <v>2</v>
      </c>
      <c r="W167" s="630" t="s">
        <v>545</v>
      </c>
      <c r="X167" s="630" t="s">
        <v>580</v>
      </c>
      <c r="Y167" s="630" t="s">
        <v>554</v>
      </c>
      <c r="Z167" s="630">
        <v>4.3624999999999997E-2</v>
      </c>
      <c r="AA167" s="630">
        <v>7.0208000000000007E-2</v>
      </c>
      <c r="AB167" s="631">
        <v>997701</v>
      </c>
      <c r="AC167" s="631">
        <v>41624226</v>
      </c>
      <c r="AD167" s="631">
        <f t="shared" si="2"/>
        <v>1815856.85925</v>
      </c>
    </row>
    <row r="168" spans="2:30" x14ac:dyDescent="0.15">
      <c r="B168" s="630">
        <v>17031006395</v>
      </c>
      <c r="C168" s="630">
        <v>17031000649</v>
      </c>
      <c r="D168" s="630">
        <v>17031000679</v>
      </c>
      <c r="E168" s="630" t="s">
        <v>533</v>
      </c>
      <c r="F168" s="630" t="s">
        <v>534</v>
      </c>
      <c r="G168" s="630" t="s">
        <v>365</v>
      </c>
      <c r="H168" s="630" t="s">
        <v>543</v>
      </c>
      <c r="I168" s="630"/>
      <c r="J168" s="630" t="s">
        <v>542</v>
      </c>
      <c r="K168" s="630" t="s">
        <v>547</v>
      </c>
      <c r="L168" s="630"/>
      <c r="M168" s="630"/>
      <c r="N168" s="630"/>
      <c r="O168" s="630"/>
      <c r="P168" s="630"/>
      <c r="Q168" s="630"/>
      <c r="R168" s="630"/>
      <c r="S168" s="630" t="s">
        <v>630</v>
      </c>
      <c r="T168" s="630"/>
      <c r="U168" s="630" t="s">
        <v>538</v>
      </c>
      <c r="V168" s="630">
        <v>2</v>
      </c>
      <c r="W168" s="630" t="s">
        <v>545</v>
      </c>
      <c r="X168" s="630" t="s">
        <v>541</v>
      </c>
      <c r="Y168" s="630" t="s">
        <v>541</v>
      </c>
      <c r="Z168" s="630">
        <v>7.1126999999999996E-2</v>
      </c>
      <c r="AA168" s="630">
        <v>0.114467</v>
      </c>
      <c r="AB168" s="631">
        <v>93356</v>
      </c>
      <c r="AC168" s="631">
        <v>3932501</v>
      </c>
      <c r="AD168" s="631">
        <f t="shared" si="2"/>
        <v>279706.99862699996</v>
      </c>
    </row>
    <row r="169" spans="2:30" x14ac:dyDescent="0.15">
      <c r="B169" s="630">
        <v>17031006455</v>
      </c>
      <c r="C169" s="630">
        <v>17031001423</v>
      </c>
      <c r="D169" s="630">
        <v>17031001358</v>
      </c>
      <c r="E169" s="630" t="s">
        <v>533</v>
      </c>
      <c r="F169" s="630" t="s">
        <v>534</v>
      </c>
      <c r="G169" s="630" t="s">
        <v>365</v>
      </c>
      <c r="H169" s="630" t="s">
        <v>382</v>
      </c>
      <c r="I169" s="630"/>
      <c r="J169" s="630" t="s">
        <v>542</v>
      </c>
      <c r="K169" s="630" t="s">
        <v>551</v>
      </c>
      <c r="L169" s="630" t="s">
        <v>555</v>
      </c>
      <c r="M169" s="630" t="s">
        <v>552</v>
      </c>
      <c r="N169" s="630" t="s">
        <v>535</v>
      </c>
      <c r="O169" s="630"/>
      <c r="P169" s="630"/>
      <c r="Q169" s="630"/>
      <c r="R169" s="630"/>
      <c r="S169" s="630" t="s">
        <v>556</v>
      </c>
      <c r="T169" s="630" t="s">
        <v>631</v>
      </c>
      <c r="U169" s="630" t="s">
        <v>538</v>
      </c>
      <c r="V169" s="630">
        <v>2</v>
      </c>
      <c r="W169" s="630" t="s">
        <v>545</v>
      </c>
      <c r="X169" s="630" t="s">
        <v>580</v>
      </c>
      <c r="Y169" s="630" t="s">
        <v>554</v>
      </c>
      <c r="Z169" s="630">
        <v>0.40476499999999999</v>
      </c>
      <c r="AA169" s="630">
        <v>0.65140699999999996</v>
      </c>
      <c r="AB169" s="631">
        <v>873804</v>
      </c>
      <c r="AC169" s="631">
        <v>34252363</v>
      </c>
      <c r="AD169" s="631">
        <f t="shared" si="2"/>
        <v>13864157.709695</v>
      </c>
    </row>
    <row r="170" spans="2:30" x14ac:dyDescent="0.15">
      <c r="B170" s="630">
        <v>17197006538</v>
      </c>
      <c r="C170" s="630">
        <v>17197001571</v>
      </c>
      <c r="D170" s="630">
        <v>17197001580</v>
      </c>
      <c r="E170" s="630" t="s">
        <v>533</v>
      </c>
      <c r="F170" s="630" t="s">
        <v>534</v>
      </c>
      <c r="G170" s="630" t="s">
        <v>377</v>
      </c>
      <c r="H170" s="630" t="s">
        <v>547</v>
      </c>
      <c r="I170" s="630"/>
      <c r="J170" s="630" t="s">
        <v>543</v>
      </c>
      <c r="K170" s="630"/>
      <c r="L170" s="630"/>
      <c r="M170" s="630"/>
      <c r="N170" s="630"/>
      <c r="O170" s="630"/>
      <c r="P170" s="630"/>
      <c r="Q170" s="630"/>
      <c r="R170" s="630"/>
      <c r="S170" s="630" t="s">
        <v>602</v>
      </c>
      <c r="T170" s="630"/>
      <c r="U170" s="630" t="s">
        <v>538</v>
      </c>
      <c r="V170" s="630">
        <v>1</v>
      </c>
      <c r="W170" s="630" t="s">
        <v>582</v>
      </c>
      <c r="X170" s="630" t="s">
        <v>541</v>
      </c>
      <c r="Y170" s="630" t="s">
        <v>540</v>
      </c>
      <c r="Z170" s="630">
        <v>0.37789299999999998</v>
      </c>
      <c r="AA170" s="630">
        <v>0.60816199999999998</v>
      </c>
      <c r="AB170" s="631">
        <v>320</v>
      </c>
      <c r="AC170" s="631">
        <v>23200</v>
      </c>
      <c r="AD170" s="631">
        <f t="shared" si="2"/>
        <v>8767.1175999999996</v>
      </c>
    </row>
    <row r="171" spans="2:30" x14ac:dyDescent="0.15">
      <c r="B171" s="630">
        <v>17031009730</v>
      </c>
      <c r="C171" s="630">
        <v>17031007805</v>
      </c>
      <c r="D171" s="630">
        <v>17031007811</v>
      </c>
      <c r="E171" s="630" t="s">
        <v>533</v>
      </c>
      <c r="F171" s="630" t="s">
        <v>534</v>
      </c>
      <c r="G171" s="630" t="s">
        <v>365</v>
      </c>
      <c r="H171" s="630" t="s">
        <v>613</v>
      </c>
      <c r="I171" s="630"/>
      <c r="J171" s="630" t="s">
        <v>577</v>
      </c>
      <c r="K171" s="630" t="s">
        <v>572</v>
      </c>
      <c r="L171" s="630"/>
      <c r="M171" s="630"/>
      <c r="N171" s="630"/>
      <c r="O171" s="630"/>
      <c r="P171" s="630"/>
      <c r="Q171" s="630"/>
      <c r="R171" s="630"/>
      <c r="S171" s="630"/>
      <c r="T171" s="630"/>
      <c r="U171" s="630" t="s">
        <v>559</v>
      </c>
      <c r="V171" s="630">
        <v>1</v>
      </c>
      <c r="W171" s="630" t="s">
        <v>560</v>
      </c>
      <c r="X171" s="630" t="s">
        <v>541</v>
      </c>
      <c r="Y171" s="630" t="s">
        <v>541</v>
      </c>
      <c r="Z171" s="630">
        <v>5.3104999999999999E-2</v>
      </c>
      <c r="AA171" s="630">
        <v>8.5463999999999998E-2</v>
      </c>
      <c r="AB171" s="631">
        <v>0</v>
      </c>
      <c r="AC171" s="631">
        <v>0</v>
      </c>
      <c r="AD171" s="631">
        <f t="shared" si="2"/>
        <v>0</v>
      </c>
    </row>
    <row r="172" spans="2:30" x14ac:dyDescent="0.15">
      <c r="B172" s="630">
        <v>17043002377</v>
      </c>
      <c r="C172" s="630">
        <v>17043004884</v>
      </c>
      <c r="D172" s="630">
        <v>17043004883</v>
      </c>
      <c r="E172" s="630" t="s">
        <v>533</v>
      </c>
      <c r="F172" s="630" t="s">
        <v>534</v>
      </c>
      <c r="G172" s="630" t="s">
        <v>367</v>
      </c>
      <c r="H172" s="630" t="s">
        <v>381</v>
      </c>
      <c r="I172" s="630"/>
      <c r="J172" s="630" t="s">
        <v>542</v>
      </c>
      <c r="K172" s="630" t="s">
        <v>547</v>
      </c>
      <c r="L172" s="630" t="s">
        <v>382</v>
      </c>
      <c r="M172" s="630"/>
      <c r="N172" s="630"/>
      <c r="O172" s="630"/>
      <c r="P172" s="630"/>
      <c r="Q172" s="630"/>
      <c r="R172" s="630"/>
      <c r="S172" s="630" t="s">
        <v>579</v>
      </c>
      <c r="T172" s="630"/>
      <c r="U172" s="630" t="s">
        <v>538</v>
      </c>
      <c r="V172" s="630">
        <v>3</v>
      </c>
      <c r="W172" s="630" t="s">
        <v>545</v>
      </c>
      <c r="X172" s="630" t="s">
        <v>580</v>
      </c>
      <c r="Y172" s="630" t="s">
        <v>549</v>
      </c>
      <c r="Z172" s="630">
        <v>0.52571400000000001</v>
      </c>
      <c r="AA172" s="630">
        <v>0.84605699999999995</v>
      </c>
      <c r="AB172" s="631">
        <v>1180642</v>
      </c>
      <c r="AC172" s="631">
        <v>46493460</v>
      </c>
      <c r="AD172" s="631">
        <f t="shared" si="2"/>
        <v>24442262.83044</v>
      </c>
    </row>
    <row r="173" spans="2:30" x14ac:dyDescent="0.15">
      <c r="B173" s="630">
        <v>17031000106</v>
      </c>
      <c r="C173" s="630">
        <v>17031000811</v>
      </c>
      <c r="D173" s="630">
        <v>17031000815</v>
      </c>
      <c r="E173" s="630" t="s">
        <v>533</v>
      </c>
      <c r="F173" s="630" t="s">
        <v>534</v>
      </c>
      <c r="G173" s="630" t="s">
        <v>365</v>
      </c>
      <c r="H173" s="630" t="s">
        <v>381</v>
      </c>
      <c r="I173" s="630"/>
      <c r="J173" s="630"/>
      <c r="K173" s="630"/>
      <c r="L173" s="630"/>
      <c r="M173" s="630"/>
      <c r="N173" s="630"/>
      <c r="O173" s="630"/>
      <c r="P173" s="630"/>
      <c r="Q173" s="630"/>
      <c r="R173" s="630"/>
      <c r="S173" s="630"/>
      <c r="T173" s="630"/>
      <c r="U173" s="630" t="s">
        <v>538</v>
      </c>
      <c r="V173" s="630">
        <v>1</v>
      </c>
      <c r="W173" s="630" t="s">
        <v>560</v>
      </c>
      <c r="X173" s="630" t="s">
        <v>541</v>
      </c>
      <c r="Y173" s="630" t="s">
        <v>541</v>
      </c>
      <c r="Z173" s="630">
        <v>0.69487200000000005</v>
      </c>
      <c r="AA173" s="630">
        <v>1.1182909999999999</v>
      </c>
      <c r="AB173" s="631">
        <v>0</v>
      </c>
      <c r="AC173" s="631">
        <v>0</v>
      </c>
      <c r="AD173" s="631">
        <f t="shared" si="2"/>
        <v>0</v>
      </c>
    </row>
    <row r="174" spans="2:30" x14ac:dyDescent="0.15">
      <c r="B174" s="630">
        <v>17031001968</v>
      </c>
      <c r="C174" s="630">
        <v>17031000963</v>
      </c>
      <c r="D174" s="630">
        <v>17031000959</v>
      </c>
      <c r="E174" s="630" t="s">
        <v>533</v>
      </c>
      <c r="F174" s="630" t="s">
        <v>534</v>
      </c>
      <c r="G174" s="630" t="s">
        <v>365</v>
      </c>
      <c r="H174" s="630" t="s">
        <v>571</v>
      </c>
      <c r="I174" s="630"/>
      <c r="J174" s="630" t="s">
        <v>381</v>
      </c>
      <c r="K174" s="630" t="s">
        <v>535</v>
      </c>
      <c r="L174" s="630" t="s">
        <v>552</v>
      </c>
      <c r="M174" s="630" t="s">
        <v>551</v>
      </c>
      <c r="N174" s="630" t="s">
        <v>557</v>
      </c>
      <c r="O174" s="630" t="s">
        <v>543</v>
      </c>
      <c r="P174" s="630" t="s">
        <v>382</v>
      </c>
      <c r="Q174" s="630" t="s">
        <v>563</v>
      </c>
      <c r="R174" s="630"/>
      <c r="S174" s="630" t="s">
        <v>605</v>
      </c>
      <c r="T174" s="630"/>
      <c r="U174" s="630" t="s">
        <v>538</v>
      </c>
      <c r="V174" s="630">
        <v>1</v>
      </c>
      <c r="W174" s="630" t="s">
        <v>545</v>
      </c>
      <c r="X174" s="630" t="s">
        <v>546</v>
      </c>
      <c r="Y174" s="630" t="s">
        <v>554</v>
      </c>
      <c r="Z174" s="630">
        <v>5.7967999999999999E-2</v>
      </c>
      <c r="AA174" s="630">
        <v>9.3290999999999999E-2</v>
      </c>
      <c r="AB174" s="631">
        <v>563210</v>
      </c>
      <c r="AC174" s="631">
        <v>33756067</v>
      </c>
      <c r="AD174" s="631">
        <f t="shared" si="2"/>
        <v>1956771.6918559999</v>
      </c>
    </row>
    <row r="175" spans="2:30" x14ac:dyDescent="0.15">
      <c r="B175" s="630">
        <v>17089002009</v>
      </c>
      <c r="C175" s="630">
        <v>17089004856</v>
      </c>
      <c r="D175" s="630">
        <v>17089001010</v>
      </c>
      <c r="E175" s="630" t="s">
        <v>533</v>
      </c>
      <c r="F175" s="630" t="s">
        <v>534</v>
      </c>
      <c r="G175" s="630" t="s">
        <v>369</v>
      </c>
      <c r="H175" s="630" t="s">
        <v>547</v>
      </c>
      <c r="I175" s="630"/>
      <c r="J175" s="630"/>
      <c r="K175" s="630"/>
      <c r="L175" s="630"/>
      <c r="M175" s="630"/>
      <c r="N175" s="630"/>
      <c r="O175" s="630"/>
      <c r="P175" s="630"/>
      <c r="Q175" s="630"/>
      <c r="R175" s="630"/>
      <c r="S175" s="630"/>
      <c r="T175" s="630"/>
      <c r="U175" s="630" t="s">
        <v>538</v>
      </c>
      <c r="V175" s="630">
        <v>2</v>
      </c>
      <c r="W175" s="630" t="s">
        <v>545</v>
      </c>
      <c r="X175" s="630" t="s">
        <v>541</v>
      </c>
      <c r="Y175" s="630" t="s">
        <v>554</v>
      </c>
      <c r="Z175" s="630">
        <v>0.274953</v>
      </c>
      <c r="AA175" s="630">
        <v>0.442494</v>
      </c>
      <c r="AB175" s="631">
        <v>0</v>
      </c>
      <c r="AC175" s="631">
        <v>0</v>
      </c>
      <c r="AD175" s="631">
        <f t="shared" si="2"/>
        <v>0</v>
      </c>
    </row>
    <row r="176" spans="2:30" x14ac:dyDescent="0.15">
      <c r="B176" s="630">
        <v>17197002128</v>
      </c>
      <c r="C176" s="630">
        <v>17197001292</v>
      </c>
      <c r="D176" s="630">
        <v>17999021910</v>
      </c>
      <c r="E176" s="630" t="s">
        <v>533</v>
      </c>
      <c r="F176" s="630" t="s">
        <v>534</v>
      </c>
      <c r="G176" s="630" t="s">
        <v>377</v>
      </c>
      <c r="H176" s="630" t="s">
        <v>535</v>
      </c>
      <c r="I176" s="630"/>
      <c r="J176" s="630" t="s">
        <v>382</v>
      </c>
      <c r="K176" s="630" t="s">
        <v>536</v>
      </c>
      <c r="L176" s="630"/>
      <c r="M176" s="630"/>
      <c r="N176" s="630"/>
      <c r="O176" s="630"/>
      <c r="P176" s="630"/>
      <c r="Q176" s="630"/>
      <c r="R176" s="630"/>
      <c r="S176" s="630" t="s">
        <v>550</v>
      </c>
      <c r="T176" s="630"/>
      <c r="U176" s="630" t="s">
        <v>538</v>
      </c>
      <c r="V176" s="630">
        <v>1</v>
      </c>
      <c r="W176" s="630" t="s">
        <v>545</v>
      </c>
      <c r="X176" s="630" t="s">
        <v>540</v>
      </c>
      <c r="Y176" s="630" t="s">
        <v>549</v>
      </c>
      <c r="Z176" s="630">
        <v>4.8100529999999999</v>
      </c>
      <c r="AA176" s="630">
        <v>7.7410449999999997</v>
      </c>
      <c r="AB176" s="631">
        <v>23785</v>
      </c>
      <c r="AC176" s="631">
        <v>2276384</v>
      </c>
      <c r="AD176" s="631">
        <f t="shared" si="2"/>
        <v>10949527.688352</v>
      </c>
    </row>
    <row r="177" spans="2:30" x14ac:dyDescent="0.15">
      <c r="B177" s="630">
        <v>17043002574</v>
      </c>
      <c r="C177" s="630">
        <v>17999020738</v>
      </c>
      <c r="D177" s="630">
        <v>17043000595</v>
      </c>
      <c r="E177" s="630" t="s">
        <v>533</v>
      </c>
      <c r="F177" s="630" t="s">
        <v>534</v>
      </c>
      <c r="G177" s="630" t="s">
        <v>367</v>
      </c>
      <c r="H177" s="630" t="s">
        <v>382</v>
      </c>
      <c r="I177" s="630"/>
      <c r="J177" s="630" t="s">
        <v>547</v>
      </c>
      <c r="K177" s="630"/>
      <c r="L177" s="630"/>
      <c r="M177" s="630"/>
      <c r="N177" s="630"/>
      <c r="O177" s="630"/>
      <c r="P177" s="630"/>
      <c r="Q177" s="630"/>
      <c r="R177" s="630"/>
      <c r="S177" s="630" t="s">
        <v>583</v>
      </c>
      <c r="T177" s="630"/>
      <c r="U177" s="630" t="s">
        <v>538</v>
      </c>
      <c r="V177" s="630">
        <v>3</v>
      </c>
      <c r="W177" s="630" t="s">
        <v>588</v>
      </c>
      <c r="X177" s="630" t="s">
        <v>575</v>
      </c>
      <c r="Y177" s="630" t="s">
        <v>549</v>
      </c>
      <c r="Z177" s="630">
        <v>0.922265</v>
      </c>
      <c r="AA177" s="630">
        <v>1.484245</v>
      </c>
      <c r="AB177" s="631">
        <v>1829865</v>
      </c>
      <c r="AC177" s="631">
        <v>58550931</v>
      </c>
      <c r="AD177" s="631">
        <f t="shared" si="2"/>
        <v>53999474.378715001</v>
      </c>
    </row>
    <row r="178" spans="2:30" x14ac:dyDescent="0.15">
      <c r="B178" s="630">
        <v>17043003108</v>
      </c>
      <c r="C178" s="630">
        <v>17999020140</v>
      </c>
      <c r="D178" s="630">
        <v>17043004634</v>
      </c>
      <c r="E178" s="630" t="s">
        <v>533</v>
      </c>
      <c r="F178" s="630" t="s">
        <v>534</v>
      </c>
      <c r="G178" s="630" t="s">
        <v>367</v>
      </c>
      <c r="H178" s="630" t="s">
        <v>552</v>
      </c>
      <c r="I178" s="630"/>
      <c r="J178" s="630" t="s">
        <v>551</v>
      </c>
      <c r="K178" s="630" t="s">
        <v>547</v>
      </c>
      <c r="L178" s="630" t="s">
        <v>382</v>
      </c>
      <c r="M178" s="630" t="s">
        <v>563</v>
      </c>
      <c r="N178" s="630"/>
      <c r="O178" s="630"/>
      <c r="P178" s="630"/>
      <c r="Q178" s="630"/>
      <c r="R178" s="630"/>
      <c r="S178" s="630" t="s">
        <v>589</v>
      </c>
      <c r="T178" s="630" t="s">
        <v>632</v>
      </c>
      <c r="U178" s="630" t="s">
        <v>538</v>
      </c>
      <c r="V178" s="630">
        <v>2</v>
      </c>
      <c r="W178" s="630" t="s">
        <v>545</v>
      </c>
      <c r="X178" s="630" t="s">
        <v>549</v>
      </c>
      <c r="Y178" s="630" t="s">
        <v>549</v>
      </c>
      <c r="Z178" s="630">
        <v>3.4305000000000002E-2</v>
      </c>
      <c r="AA178" s="630">
        <v>5.5209000000000001E-2</v>
      </c>
      <c r="AB178" s="631">
        <v>517777</v>
      </c>
      <c r="AC178" s="631">
        <v>30869708</v>
      </c>
      <c r="AD178" s="631">
        <f t="shared" si="2"/>
        <v>1058985.3329400001</v>
      </c>
    </row>
    <row r="179" spans="2:30" x14ac:dyDescent="0.15">
      <c r="B179" s="630">
        <v>17031003234</v>
      </c>
      <c r="C179" s="630">
        <v>17031001208</v>
      </c>
      <c r="D179" s="630">
        <v>17031001116</v>
      </c>
      <c r="E179" s="630" t="s">
        <v>533</v>
      </c>
      <c r="F179" s="630" t="s">
        <v>534</v>
      </c>
      <c r="G179" s="630" t="s">
        <v>365</v>
      </c>
      <c r="H179" s="630" t="s">
        <v>535</v>
      </c>
      <c r="I179" s="630"/>
      <c r="J179" s="630" t="s">
        <v>542</v>
      </c>
      <c r="K179" s="630" t="s">
        <v>572</v>
      </c>
      <c r="L179" s="630" t="s">
        <v>543</v>
      </c>
      <c r="M179" s="630"/>
      <c r="N179" s="630"/>
      <c r="O179" s="630"/>
      <c r="P179" s="630"/>
      <c r="Q179" s="630"/>
      <c r="R179" s="630"/>
      <c r="S179" s="630" t="s">
        <v>544</v>
      </c>
      <c r="T179" s="630"/>
      <c r="U179" s="630" t="s">
        <v>538</v>
      </c>
      <c r="V179" s="630">
        <v>2</v>
      </c>
      <c r="W179" s="630" t="s">
        <v>545</v>
      </c>
      <c r="X179" s="630" t="s">
        <v>546</v>
      </c>
      <c r="Y179" s="630" t="s">
        <v>549</v>
      </c>
      <c r="Z179" s="630">
        <v>2.6482009999999998</v>
      </c>
      <c r="AA179" s="630">
        <v>4.2618749999999999</v>
      </c>
      <c r="AB179" s="631">
        <v>44776</v>
      </c>
      <c r="AC179" s="631">
        <v>4057758</v>
      </c>
      <c r="AD179" s="631">
        <f t="shared" si="2"/>
        <v>10745758.793358</v>
      </c>
    </row>
    <row r="180" spans="2:30" x14ac:dyDescent="0.15">
      <c r="B180" s="630">
        <v>17031003295</v>
      </c>
      <c r="C180" s="630">
        <v>17031001413</v>
      </c>
      <c r="D180" s="630">
        <v>17031001416</v>
      </c>
      <c r="E180" s="630" t="s">
        <v>533</v>
      </c>
      <c r="F180" s="630" t="s">
        <v>534</v>
      </c>
      <c r="G180" s="630" t="s">
        <v>365</v>
      </c>
      <c r="H180" s="630" t="s">
        <v>551</v>
      </c>
      <c r="I180" s="630" t="s">
        <v>535</v>
      </c>
      <c r="J180" s="630" t="s">
        <v>555</v>
      </c>
      <c r="K180" s="630"/>
      <c r="L180" s="630"/>
      <c r="M180" s="630"/>
      <c r="N180" s="630"/>
      <c r="O180" s="630"/>
      <c r="P180" s="630"/>
      <c r="Q180" s="630"/>
      <c r="R180" s="630"/>
      <c r="S180" s="630" t="s">
        <v>553</v>
      </c>
      <c r="T180" s="630"/>
      <c r="U180" s="630" t="s">
        <v>538</v>
      </c>
      <c r="V180" s="630">
        <v>1</v>
      </c>
      <c r="W180" s="630" t="s">
        <v>545</v>
      </c>
      <c r="X180" s="630" t="s">
        <v>541</v>
      </c>
      <c r="Y180" s="630" t="s">
        <v>541</v>
      </c>
      <c r="Z180" s="630">
        <v>0.40209400000000001</v>
      </c>
      <c r="AA180" s="630">
        <v>0.64710900000000005</v>
      </c>
      <c r="AB180" s="631">
        <v>0</v>
      </c>
      <c r="AC180" s="631">
        <v>0</v>
      </c>
      <c r="AD180" s="631">
        <f t="shared" si="2"/>
        <v>0</v>
      </c>
    </row>
    <row r="181" spans="2:30" x14ac:dyDescent="0.15">
      <c r="B181" s="630">
        <v>17031003688</v>
      </c>
      <c r="C181" s="630">
        <v>17031000289</v>
      </c>
      <c r="D181" s="630">
        <v>17031004580</v>
      </c>
      <c r="E181" s="630" t="s">
        <v>533</v>
      </c>
      <c r="F181" s="630" t="s">
        <v>534</v>
      </c>
      <c r="G181" s="630" t="s">
        <v>365</v>
      </c>
      <c r="H181" s="630" t="s">
        <v>382</v>
      </c>
      <c r="I181" s="630"/>
      <c r="J181" s="630" t="s">
        <v>547</v>
      </c>
      <c r="K181" s="630"/>
      <c r="L181" s="630"/>
      <c r="M181" s="630"/>
      <c r="N181" s="630"/>
      <c r="O181" s="630"/>
      <c r="P181" s="630"/>
      <c r="Q181" s="630"/>
      <c r="R181" s="630"/>
      <c r="S181" s="630" t="s">
        <v>565</v>
      </c>
      <c r="T181" s="630"/>
      <c r="U181" s="630" t="s">
        <v>538</v>
      </c>
      <c r="V181" s="630">
        <v>2</v>
      </c>
      <c r="W181" s="630" t="s">
        <v>566</v>
      </c>
      <c r="X181" s="630" t="s">
        <v>541</v>
      </c>
      <c r="Y181" s="630" t="s">
        <v>549</v>
      </c>
      <c r="Z181" s="630">
        <v>0.53701100000000002</v>
      </c>
      <c r="AA181" s="630">
        <v>0.86423700000000003</v>
      </c>
      <c r="AB181" s="631">
        <v>0</v>
      </c>
      <c r="AC181" s="631">
        <v>0</v>
      </c>
      <c r="AD181" s="631">
        <f t="shared" si="2"/>
        <v>0</v>
      </c>
    </row>
    <row r="182" spans="2:30" x14ac:dyDescent="0.15">
      <c r="B182" s="630">
        <v>17031004857</v>
      </c>
      <c r="C182" s="630">
        <v>17031007795</v>
      </c>
      <c r="D182" s="630">
        <v>17031001396</v>
      </c>
      <c r="E182" s="630" t="s">
        <v>533</v>
      </c>
      <c r="F182" s="630" t="s">
        <v>534</v>
      </c>
      <c r="G182" s="630" t="s">
        <v>365</v>
      </c>
      <c r="H182" s="630" t="s">
        <v>551</v>
      </c>
      <c r="I182" s="630"/>
      <c r="J182" s="630"/>
      <c r="K182" s="630"/>
      <c r="L182" s="630"/>
      <c r="M182" s="630"/>
      <c r="N182" s="630"/>
      <c r="O182" s="630"/>
      <c r="P182" s="630"/>
      <c r="Q182" s="630"/>
      <c r="R182" s="630"/>
      <c r="S182" s="630" t="s">
        <v>603</v>
      </c>
      <c r="T182" s="630"/>
      <c r="U182" s="630" t="s">
        <v>538</v>
      </c>
      <c r="V182" s="630">
        <v>2</v>
      </c>
      <c r="W182" s="630" t="s">
        <v>545</v>
      </c>
      <c r="X182" s="630" t="s">
        <v>575</v>
      </c>
      <c r="Y182" s="630" t="s">
        <v>540</v>
      </c>
      <c r="Z182" s="630">
        <v>2.8762750000000001</v>
      </c>
      <c r="AA182" s="630">
        <v>4.6289249999999997</v>
      </c>
      <c r="AB182" s="631">
        <v>1464997</v>
      </c>
      <c r="AC182" s="631">
        <v>50040672</v>
      </c>
      <c r="AD182" s="631">
        <f t="shared" si="2"/>
        <v>143930733.85680002</v>
      </c>
    </row>
    <row r="183" spans="2:30" x14ac:dyDescent="0.15">
      <c r="B183" s="630">
        <v>17031006365</v>
      </c>
      <c r="C183" s="630">
        <v>17031000748</v>
      </c>
      <c r="D183" s="630">
        <v>17031000749</v>
      </c>
      <c r="E183" s="630" t="s">
        <v>533</v>
      </c>
      <c r="F183" s="630" t="s">
        <v>534</v>
      </c>
      <c r="G183" s="630" t="s">
        <v>365</v>
      </c>
      <c r="H183" s="630" t="s">
        <v>535</v>
      </c>
      <c r="I183" s="630"/>
      <c r="J183" s="630"/>
      <c r="K183" s="630"/>
      <c r="L183" s="630"/>
      <c r="M183" s="630"/>
      <c r="N183" s="630"/>
      <c r="O183" s="630"/>
      <c r="P183" s="630"/>
      <c r="Q183" s="630"/>
      <c r="R183" s="630"/>
      <c r="S183" s="630" t="s">
        <v>624</v>
      </c>
      <c r="T183" s="630"/>
      <c r="U183" s="630" t="s">
        <v>538</v>
      </c>
      <c r="V183" s="630">
        <v>2</v>
      </c>
      <c r="W183" s="630" t="s">
        <v>582</v>
      </c>
      <c r="X183" s="630" t="s">
        <v>554</v>
      </c>
      <c r="Y183" s="630" t="s">
        <v>554</v>
      </c>
      <c r="Z183" s="630">
        <v>0.182613</v>
      </c>
      <c r="AA183" s="630">
        <v>0.29388700000000001</v>
      </c>
      <c r="AB183" s="631">
        <v>0</v>
      </c>
      <c r="AC183" s="631">
        <v>0</v>
      </c>
      <c r="AD183" s="631">
        <f t="shared" si="2"/>
        <v>0</v>
      </c>
    </row>
    <row r="184" spans="2:30" x14ac:dyDescent="0.15">
      <c r="B184" s="630">
        <v>17031006471</v>
      </c>
      <c r="C184" s="630">
        <v>17031004718</v>
      </c>
      <c r="D184" s="630">
        <v>17031000897</v>
      </c>
      <c r="E184" s="630" t="s">
        <v>533</v>
      </c>
      <c r="F184" s="630" t="s">
        <v>534</v>
      </c>
      <c r="G184" s="630" t="s">
        <v>365</v>
      </c>
      <c r="H184" s="630" t="s">
        <v>551</v>
      </c>
      <c r="I184" s="630"/>
      <c r="J184" s="630" t="s">
        <v>381</v>
      </c>
      <c r="K184" s="630" t="s">
        <v>535</v>
      </c>
      <c r="L184" s="630" t="s">
        <v>552</v>
      </c>
      <c r="M184" s="630" t="s">
        <v>382</v>
      </c>
      <c r="N184" s="630"/>
      <c r="O184" s="630"/>
      <c r="P184" s="630"/>
      <c r="Q184" s="630"/>
      <c r="R184" s="630"/>
      <c r="S184" s="630" t="s">
        <v>600</v>
      </c>
      <c r="T184" s="630" t="s">
        <v>633</v>
      </c>
      <c r="U184" s="630" t="s">
        <v>538</v>
      </c>
      <c r="V184" s="630">
        <v>3</v>
      </c>
      <c r="W184" s="630" t="s">
        <v>582</v>
      </c>
      <c r="X184" s="630" t="s">
        <v>549</v>
      </c>
      <c r="Y184" s="630" t="s">
        <v>540</v>
      </c>
      <c r="Z184" s="630">
        <v>0.24382599999999999</v>
      </c>
      <c r="AA184" s="630">
        <v>0.392401</v>
      </c>
      <c r="AB184" s="631">
        <v>168553</v>
      </c>
      <c r="AC184" s="631">
        <v>5157762</v>
      </c>
      <c r="AD184" s="631">
        <f t="shared" si="2"/>
        <v>1257596.4774119998</v>
      </c>
    </row>
    <row r="185" spans="2:30" x14ac:dyDescent="0.15">
      <c r="B185" s="630">
        <v>17089006569</v>
      </c>
      <c r="C185" s="630">
        <v>17999021944</v>
      </c>
      <c r="D185" s="630">
        <v>17089001087</v>
      </c>
      <c r="E185" s="630" t="s">
        <v>533</v>
      </c>
      <c r="F185" s="630" t="s">
        <v>534</v>
      </c>
      <c r="G185" s="630" t="s">
        <v>369</v>
      </c>
      <c r="H185" s="630" t="s">
        <v>381</v>
      </c>
      <c r="I185" s="630"/>
      <c r="J185" s="630" t="s">
        <v>542</v>
      </c>
      <c r="K185" s="630" t="s">
        <v>382</v>
      </c>
      <c r="L185" s="630"/>
      <c r="M185" s="630"/>
      <c r="N185" s="630"/>
      <c r="O185" s="630"/>
      <c r="P185" s="630"/>
      <c r="Q185" s="630"/>
      <c r="R185" s="630"/>
      <c r="S185" s="630" t="s">
        <v>619</v>
      </c>
      <c r="T185" s="630"/>
      <c r="U185" s="630" t="s">
        <v>538</v>
      </c>
      <c r="V185" s="630">
        <v>2</v>
      </c>
      <c r="W185" s="630" t="s">
        <v>545</v>
      </c>
      <c r="X185" s="630" t="s">
        <v>580</v>
      </c>
      <c r="Y185" s="630" t="s">
        <v>549</v>
      </c>
      <c r="Z185" s="630">
        <v>0.28369800000000001</v>
      </c>
      <c r="AA185" s="630">
        <v>0.45656799999999997</v>
      </c>
      <c r="AB185" s="631">
        <v>345346</v>
      </c>
      <c r="AC185" s="631">
        <v>23246524</v>
      </c>
      <c r="AD185" s="631">
        <f t="shared" si="2"/>
        <v>6594992.3657520004</v>
      </c>
    </row>
    <row r="186" spans="2:30" x14ac:dyDescent="0.15">
      <c r="B186" s="630">
        <v>17197007043</v>
      </c>
      <c r="C186" s="630">
        <v>17197005592</v>
      </c>
      <c r="D186" s="630">
        <v>17197005593</v>
      </c>
      <c r="E186" s="630" t="s">
        <v>533</v>
      </c>
      <c r="F186" s="630" t="s">
        <v>534</v>
      </c>
      <c r="G186" s="630" t="s">
        <v>377</v>
      </c>
      <c r="H186" s="630" t="s">
        <v>382</v>
      </c>
      <c r="I186" s="630"/>
      <c r="J186" s="630"/>
      <c r="K186" s="630"/>
      <c r="L186" s="630"/>
      <c r="M186" s="630"/>
      <c r="N186" s="630"/>
      <c r="O186" s="630"/>
      <c r="P186" s="630"/>
      <c r="Q186" s="630"/>
      <c r="R186" s="630"/>
      <c r="S186" s="630" t="s">
        <v>592</v>
      </c>
      <c r="T186" s="630"/>
      <c r="U186" s="630" t="s">
        <v>559</v>
      </c>
      <c r="V186" s="630">
        <v>1</v>
      </c>
      <c r="W186" s="630" t="s">
        <v>539</v>
      </c>
      <c r="X186" s="630" t="s">
        <v>541</v>
      </c>
      <c r="Y186" s="630" t="s">
        <v>541</v>
      </c>
      <c r="Z186" s="630">
        <v>0.22817899999999999</v>
      </c>
      <c r="AA186" s="630">
        <v>0.36721900000000002</v>
      </c>
      <c r="AB186" s="631">
        <v>523280</v>
      </c>
      <c r="AC186" s="631">
        <v>7207400</v>
      </c>
      <c r="AD186" s="631">
        <f t="shared" si="2"/>
        <v>1644577.3245999999</v>
      </c>
    </row>
    <row r="187" spans="2:30" x14ac:dyDescent="0.15">
      <c r="B187" s="630">
        <v>17197009340</v>
      </c>
      <c r="C187" s="630">
        <v>17197001412</v>
      </c>
      <c r="D187" s="630">
        <v>17197007461</v>
      </c>
      <c r="E187" s="630" t="s">
        <v>533</v>
      </c>
      <c r="F187" s="630" t="s">
        <v>534</v>
      </c>
      <c r="G187" s="630" t="s">
        <v>377</v>
      </c>
      <c r="H187" s="630" t="s">
        <v>535</v>
      </c>
      <c r="I187" s="630"/>
      <c r="J187" s="630" t="s">
        <v>382</v>
      </c>
      <c r="K187" s="630" t="s">
        <v>536</v>
      </c>
      <c r="L187" s="630"/>
      <c r="M187" s="630"/>
      <c r="N187" s="630"/>
      <c r="O187" s="630"/>
      <c r="P187" s="630"/>
      <c r="Q187" s="630"/>
      <c r="R187" s="630"/>
      <c r="S187" s="630" t="s">
        <v>550</v>
      </c>
      <c r="T187" s="630"/>
      <c r="U187" s="630" t="s">
        <v>538</v>
      </c>
      <c r="V187" s="630">
        <v>1</v>
      </c>
      <c r="W187" s="630" t="s">
        <v>545</v>
      </c>
      <c r="X187" s="630" t="s">
        <v>540</v>
      </c>
      <c r="Y187" s="630" t="s">
        <v>549</v>
      </c>
      <c r="Z187" s="630">
        <v>0.72130300000000003</v>
      </c>
      <c r="AA187" s="630">
        <v>1.1608270000000001</v>
      </c>
      <c r="AB187" s="631">
        <v>23785</v>
      </c>
      <c r="AC187" s="631">
        <v>2276384</v>
      </c>
      <c r="AD187" s="631">
        <f t="shared" si="2"/>
        <v>1641962.6083520001</v>
      </c>
    </row>
    <row r="188" spans="2:30" x14ac:dyDescent="0.15">
      <c r="B188" s="630">
        <v>17031009439</v>
      </c>
      <c r="C188" s="630">
        <v>17031000323</v>
      </c>
      <c r="D188" s="630">
        <v>17031007545</v>
      </c>
      <c r="E188" s="630" t="s">
        <v>533</v>
      </c>
      <c r="F188" s="630" t="s">
        <v>534</v>
      </c>
      <c r="G188" s="630" t="s">
        <v>365</v>
      </c>
      <c r="H188" s="630" t="s">
        <v>552</v>
      </c>
      <c r="I188" s="630"/>
      <c r="J188" s="630" t="s">
        <v>547</v>
      </c>
      <c r="K188" s="630"/>
      <c r="L188" s="630"/>
      <c r="M188" s="630"/>
      <c r="N188" s="630"/>
      <c r="O188" s="630"/>
      <c r="P188" s="630"/>
      <c r="Q188" s="630"/>
      <c r="R188" s="630"/>
      <c r="S188" s="630" t="s">
        <v>589</v>
      </c>
      <c r="T188" s="630"/>
      <c r="U188" s="630" t="s">
        <v>538</v>
      </c>
      <c r="V188" s="630">
        <v>2</v>
      </c>
      <c r="W188" s="630" t="s">
        <v>545</v>
      </c>
      <c r="X188" s="630" t="s">
        <v>540</v>
      </c>
      <c r="Y188" s="630" t="s">
        <v>549</v>
      </c>
      <c r="Z188" s="630">
        <v>0.34744999999999998</v>
      </c>
      <c r="AA188" s="630">
        <v>0.55916699999999997</v>
      </c>
      <c r="AB188" s="631">
        <v>73903</v>
      </c>
      <c r="AC188" s="631">
        <v>7739424</v>
      </c>
      <c r="AD188" s="631">
        <f t="shared" si="2"/>
        <v>2689062.8687999998</v>
      </c>
    </row>
    <row r="189" spans="2:30" x14ac:dyDescent="0.15">
      <c r="B189" s="630">
        <v>17097001930</v>
      </c>
      <c r="C189" s="630">
        <v>17097004568</v>
      </c>
      <c r="D189" s="630">
        <v>17097000080</v>
      </c>
      <c r="E189" s="630" t="s">
        <v>533</v>
      </c>
      <c r="F189" s="630" t="s">
        <v>534</v>
      </c>
      <c r="G189" s="630" t="s">
        <v>373</v>
      </c>
      <c r="H189" s="630" t="s">
        <v>382</v>
      </c>
      <c r="I189" s="630"/>
      <c r="J189" s="630" t="s">
        <v>547</v>
      </c>
      <c r="K189" s="630"/>
      <c r="L189" s="630"/>
      <c r="M189" s="630"/>
      <c r="N189" s="630"/>
      <c r="O189" s="630"/>
      <c r="P189" s="630"/>
      <c r="Q189" s="630"/>
      <c r="R189" s="630"/>
      <c r="S189" s="630" t="s">
        <v>565</v>
      </c>
      <c r="T189" s="630"/>
      <c r="U189" s="630" t="s">
        <v>538</v>
      </c>
      <c r="V189" s="630">
        <v>2</v>
      </c>
      <c r="W189" s="630" t="s">
        <v>566</v>
      </c>
      <c r="X189" s="630" t="s">
        <v>541</v>
      </c>
      <c r="Y189" s="630" t="s">
        <v>549</v>
      </c>
      <c r="Z189" s="630">
        <v>2.081321</v>
      </c>
      <c r="AA189" s="630">
        <v>3.3495680000000001</v>
      </c>
      <c r="AB189" s="631">
        <v>0</v>
      </c>
      <c r="AC189" s="631">
        <v>0</v>
      </c>
      <c r="AD189" s="631">
        <f t="shared" si="2"/>
        <v>0</v>
      </c>
    </row>
    <row r="190" spans="2:30" x14ac:dyDescent="0.15">
      <c r="B190" s="630">
        <v>17111002543</v>
      </c>
      <c r="C190" s="630">
        <v>17111004830</v>
      </c>
      <c r="D190" s="630">
        <v>17111000018</v>
      </c>
      <c r="E190" s="630" t="s">
        <v>533</v>
      </c>
      <c r="F190" s="630" t="s">
        <v>534</v>
      </c>
      <c r="G190" s="630" t="s">
        <v>375</v>
      </c>
      <c r="H190" s="630" t="s">
        <v>563</v>
      </c>
      <c r="I190" s="630"/>
      <c r="J190" s="630"/>
      <c r="K190" s="630"/>
      <c r="L190" s="630"/>
      <c r="M190" s="630"/>
      <c r="N190" s="630"/>
      <c r="O190" s="630"/>
      <c r="P190" s="630"/>
      <c r="Q190" s="630"/>
      <c r="R190" s="630"/>
      <c r="S190" s="630" t="s">
        <v>629</v>
      </c>
      <c r="T190" s="630"/>
      <c r="U190" s="630" t="s">
        <v>538</v>
      </c>
      <c r="V190" s="630">
        <v>1</v>
      </c>
      <c r="W190" s="630" t="s">
        <v>562</v>
      </c>
      <c r="X190" s="630" t="s">
        <v>554</v>
      </c>
      <c r="Y190" s="630" t="s">
        <v>554</v>
      </c>
      <c r="Z190" s="630">
        <v>1.965821</v>
      </c>
      <c r="AA190" s="630">
        <v>3.1636880000000001</v>
      </c>
      <c r="AB190" s="631">
        <v>27178</v>
      </c>
      <c r="AC190" s="631">
        <v>2575893</v>
      </c>
      <c r="AD190" s="631">
        <f t="shared" si="2"/>
        <v>5063744.5531529998</v>
      </c>
    </row>
    <row r="191" spans="2:30" x14ac:dyDescent="0.15">
      <c r="B191" s="630">
        <v>17111002551</v>
      </c>
      <c r="C191" s="630">
        <v>17111000045</v>
      </c>
      <c r="D191" s="630">
        <v>17111004838</v>
      </c>
      <c r="E191" s="630" t="s">
        <v>533</v>
      </c>
      <c r="F191" s="630" t="s">
        <v>534</v>
      </c>
      <c r="G191" s="630" t="s">
        <v>375</v>
      </c>
      <c r="H191" s="630" t="s">
        <v>382</v>
      </c>
      <c r="I191" s="630"/>
      <c r="J191" s="630" t="s">
        <v>547</v>
      </c>
      <c r="K191" s="630"/>
      <c r="L191" s="630"/>
      <c r="M191" s="630"/>
      <c r="N191" s="630"/>
      <c r="O191" s="630"/>
      <c r="P191" s="630"/>
      <c r="Q191" s="630"/>
      <c r="R191" s="630"/>
      <c r="S191" s="630" t="s">
        <v>608</v>
      </c>
      <c r="T191" s="630"/>
      <c r="U191" s="630" t="s">
        <v>538</v>
      </c>
      <c r="V191" s="630">
        <v>2</v>
      </c>
      <c r="W191" s="630" t="s">
        <v>566</v>
      </c>
      <c r="X191" s="630" t="s">
        <v>549</v>
      </c>
      <c r="Y191" s="630" t="s">
        <v>540</v>
      </c>
      <c r="Z191" s="630">
        <v>0.318969</v>
      </c>
      <c r="AA191" s="630">
        <v>0.51333099999999998</v>
      </c>
      <c r="AB191" s="631">
        <v>8924</v>
      </c>
      <c r="AC191" s="631">
        <v>814709</v>
      </c>
      <c r="AD191" s="631">
        <f t="shared" si="2"/>
        <v>259866.91502099999</v>
      </c>
    </row>
    <row r="192" spans="2:30" x14ac:dyDescent="0.15">
      <c r="B192" s="630">
        <v>17031002602</v>
      </c>
      <c r="C192" s="630">
        <v>17031001416</v>
      </c>
      <c r="D192" s="630">
        <v>17031004509</v>
      </c>
      <c r="E192" s="630" t="s">
        <v>533</v>
      </c>
      <c r="F192" s="630" t="s">
        <v>534</v>
      </c>
      <c r="G192" s="630" t="s">
        <v>365</v>
      </c>
      <c r="H192" s="630" t="s">
        <v>551</v>
      </c>
      <c r="I192" s="630" t="s">
        <v>535</v>
      </c>
      <c r="J192" s="630" t="s">
        <v>552</v>
      </c>
      <c r="K192" s="630" t="s">
        <v>555</v>
      </c>
      <c r="L192" s="630"/>
      <c r="M192" s="630"/>
      <c r="N192" s="630"/>
      <c r="O192" s="630"/>
      <c r="P192" s="630"/>
      <c r="Q192" s="630"/>
      <c r="R192" s="630"/>
      <c r="S192" s="630" t="s">
        <v>553</v>
      </c>
      <c r="T192" s="630"/>
      <c r="U192" s="630" t="s">
        <v>538</v>
      </c>
      <c r="V192" s="630">
        <v>2</v>
      </c>
      <c r="W192" s="630" t="s">
        <v>545</v>
      </c>
      <c r="X192" s="630" t="s">
        <v>540</v>
      </c>
      <c r="Y192" s="630" t="s">
        <v>549</v>
      </c>
      <c r="Z192" s="630">
        <v>0.434892</v>
      </c>
      <c r="AA192" s="630">
        <v>0.69989299999999999</v>
      </c>
      <c r="AB192" s="631">
        <v>681436</v>
      </c>
      <c r="AC192" s="631">
        <v>24393150</v>
      </c>
      <c r="AD192" s="631">
        <f t="shared" si="2"/>
        <v>10608385.789799999</v>
      </c>
    </row>
    <row r="193" spans="2:30" x14ac:dyDescent="0.15">
      <c r="B193" s="630">
        <v>17031002608</v>
      </c>
      <c r="C193" s="630">
        <v>17031001333</v>
      </c>
      <c r="D193" s="630">
        <v>17031001293</v>
      </c>
      <c r="E193" s="630" t="s">
        <v>533</v>
      </c>
      <c r="F193" s="630" t="s">
        <v>534</v>
      </c>
      <c r="G193" s="630" t="s">
        <v>365</v>
      </c>
      <c r="H193" s="630" t="s">
        <v>547</v>
      </c>
      <c r="I193" s="630"/>
      <c r="J193" s="630" t="s">
        <v>577</v>
      </c>
      <c r="K193" s="630" t="s">
        <v>615</v>
      </c>
      <c r="L193" s="630"/>
      <c r="M193" s="630"/>
      <c r="N193" s="630"/>
      <c r="O193" s="630"/>
      <c r="P193" s="630"/>
      <c r="Q193" s="630"/>
      <c r="R193" s="630"/>
      <c r="S193" s="630" t="s">
        <v>581</v>
      </c>
      <c r="T193" s="630"/>
      <c r="U193" s="630" t="s">
        <v>538</v>
      </c>
      <c r="V193" s="630">
        <v>2</v>
      </c>
      <c r="W193" s="630" t="s">
        <v>582</v>
      </c>
      <c r="X193" s="630" t="s">
        <v>541</v>
      </c>
      <c r="Y193" s="630" t="s">
        <v>540</v>
      </c>
      <c r="Z193" s="630">
        <v>1.007585</v>
      </c>
      <c r="AA193" s="630">
        <v>1.6215550000000001</v>
      </c>
      <c r="AB193" s="631">
        <v>0</v>
      </c>
      <c r="AC193" s="631">
        <v>0</v>
      </c>
      <c r="AD193" s="631">
        <f t="shared" si="2"/>
        <v>0</v>
      </c>
    </row>
    <row r="194" spans="2:30" x14ac:dyDescent="0.15">
      <c r="B194" s="630">
        <v>17031003644</v>
      </c>
      <c r="C194" s="630">
        <v>17031000704</v>
      </c>
      <c r="D194" s="630">
        <v>17031004762</v>
      </c>
      <c r="E194" s="630" t="s">
        <v>533</v>
      </c>
      <c r="F194" s="630" t="s">
        <v>534</v>
      </c>
      <c r="G194" s="630" t="s">
        <v>365</v>
      </c>
      <c r="H194" s="630" t="s">
        <v>382</v>
      </c>
      <c r="I194" s="630"/>
      <c r="J194" s="630"/>
      <c r="K194" s="630"/>
      <c r="L194" s="630"/>
      <c r="M194" s="630"/>
      <c r="N194" s="630"/>
      <c r="O194" s="630"/>
      <c r="P194" s="630"/>
      <c r="Q194" s="630"/>
      <c r="R194" s="630"/>
      <c r="S194" s="630"/>
      <c r="T194" s="630"/>
      <c r="U194" s="630" t="s">
        <v>559</v>
      </c>
      <c r="V194" s="630">
        <v>1</v>
      </c>
      <c r="W194" s="630" t="s">
        <v>560</v>
      </c>
      <c r="X194" s="630" t="s">
        <v>541</v>
      </c>
      <c r="Y194" s="630" t="s">
        <v>541</v>
      </c>
      <c r="Z194" s="630">
        <v>0.26228200000000002</v>
      </c>
      <c r="AA194" s="630">
        <v>0.42210300000000001</v>
      </c>
      <c r="AB194" s="631">
        <v>200</v>
      </c>
      <c r="AC194" s="631">
        <v>13360</v>
      </c>
      <c r="AD194" s="631">
        <f t="shared" si="2"/>
        <v>3504.08752</v>
      </c>
    </row>
    <row r="195" spans="2:30" x14ac:dyDescent="0.15">
      <c r="B195" s="630">
        <v>17031004042</v>
      </c>
      <c r="C195" s="630">
        <v>17031004610</v>
      </c>
      <c r="D195" s="630">
        <v>17031000403</v>
      </c>
      <c r="E195" s="630" t="s">
        <v>533</v>
      </c>
      <c r="F195" s="630" t="s">
        <v>534</v>
      </c>
      <c r="G195" s="630" t="s">
        <v>365</v>
      </c>
      <c r="H195" s="630" t="s">
        <v>382</v>
      </c>
      <c r="I195" s="630"/>
      <c r="J195" s="630" t="s">
        <v>547</v>
      </c>
      <c r="K195" s="630"/>
      <c r="L195" s="630"/>
      <c r="M195" s="630"/>
      <c r="N195" s="630"/>
      <c r="O195" s="630"/>
      <c r="P195" s="630"/>
      <c r="Q195" s="630"/>
      <c r="R195" s="630"/>
      <c r="S195" s="630" t="s">
        <v>608</v>
      </c>
      <c r="T195" s="630"/>
      <c r="U195" s="630" t="s">
        <v>538</v>
      </c>
      <c r="V195" s="630">
        <v>3</v>
      </c>
      <c r="W195" s="630" t="s">
        <v>566</v>
      </c>
      <c r="X195" s="630" t="s">
        <v>541</v>
      </c>
      <c r="Y195" s="630" t="s">
        <v>540</v>
      </c>
      <c r="Z195" s="630">
        <v>0.65046400000000004</v>
      </c>
      <c r="AA195" s="630">
        <v>1.0468219999999999</v>
      </c>
      <c r="AB195" s="631">
        <v>0</v>
      </c>
      <c r="AC195" s="631">
        <v>0</v>
      </c>
      <c r="AD195" s="631">
        <f t="shared" si="2"/>
        <v>0</v>
      </c>
    </row>
    <row r="196" spans="2:30" x14ac:dyDescent="0.15">
      <c r="B196" s="630">
        <v>17031004885</v>
      </c>
      <c r="C196" s="630">
        <v>17031001267</v>
      </c>
      <c r="D196" s="630">
        <v>17031001257</v>
      </c>
      <c r="E196" s="630" t="s">
        <v>533</v>
      </c>
      <c r="F196" s="630" t="s">
        <v>534</v>
      </c>
      <c r="G196" s="630" t="s">
        <v>365</v>
      </c>
      <c r="H196" s="630" t="s">
        <v>613</v>
      </c>
      <c r="I196" s="630"/>
      <c r="J196" s="630" t="s">
        <v>577</v>
      </c>
      <c r="K196" s="630" t="s">
        <v>572</v>
      </c>
      <c r="L196" s="630"/>
      <c r="M196" s="630"/>
      <c r="N196" s="630"/>
      <c r="O196" s="630"/>
      <c r="P196" s="630"/>
      <c r="Q196" s="630"/>
      <c r="R196" s="630"/>
      <c r="S196" s="630"/>
      <c r="T196" s="630"/>
      <c r="U196" s="630" t="s">
        <v>559</v>
      </c>
      <c r="V196" s="630">
        <v>1</v>
      </c>
      <c r="W196" s="630" t="s">
        <v>560</v>
      </c>
      <c r="X196" s="630" t="s">
        <v>541</v>
      </c>
      <c r="Y196" s="630" t="s">
        <v>541</v>
      </c>
      <c r="Z196" s="630">
        <v>1.0982050000000001</v>
      </c>
      <c r="AA196" s="630">
        <v>1.767393</v>
      </c>
      <c r="AB196" s="631">
        <v>0</v>
      </c>
      <c r="AC196" s="631">
        <v>0</v>
      </c>
      <c r="AD196" s="631">
        <f t="shared" si="2"/>
        <v>0</v>
      </c>
    </row>
    <row r="197" spans="2:30" x14ac:dyDescent="0.15">
      <c r="B197" s="630">
        <v>17031005763</v>
      </c>
      <c r="C197" s="630">
        <v>17031001179</v>
      </c>
      <c r="D197" s="630">
        <v>17031001191</v>
      </c>
      <c r="E197" s="630" t="s">
        <v>533</v>
      </c>
      <c r="F197" s="630" t="s">
        <v>534</v>
      </c>
      <c r="G197" s="630" t="s">
        <v>365</v>
      </c>
      <c r="H197" s="630" t="s">
        <v>571</v>
      </c>
      <c r="I197" s="630"/>
      <c r="J197" s="630" t="s">
        <v>577</v>
      </c>
      <c r="K197" s="630"/>
      <c r="L197" s="630"/>
      <c r="M197" s="630"/>
      <c r="N197" s="630"/>
      <c r="O197" s="630"/>
      <c r="P197" s="630"/>
      <c r="Q197" s="630"/>
      <c r="R197" s="630"/>
      <c r="S197" s="630" t="s">
        <v>573</v>
      </c>
      <c r="T197" s="630"/>
      <c r="U197" s="630" t="s">
        <v>538</v>
      </c>
      <c r="V197" s="630">
        <v>1</v>
      </c>
      <c r="W197" s="630" t="s">
        <v>545</v>
      </c>
      <c r="X197" s="630" t="s">
        <v>541</v>
      </c>
      <c r="Y197" s="630" t="s">
        <v>541</v>
      </c>
      <c r="Z197" s="630">
        <v>0.693963</v>
      </c>
      <c r="AA197" s="630">
        <v>1.116827</v>
      </c>
      <c r="AB197" s="631">
        <v>0</v>
      </c>
      <c r="AC197" s="631">
        <v>0</v>
      </c>
      <c r="AD197" s="631">
        <f t="shared" si="2"/>
        <v>0</v>
      </c>
    </row>
    <row r="198" spans="2:30" x14ac:dyDescent="0.15">
      <c r="B198" s="630">
        <v>17031006475</v>
      </c>
      <c r="C198" s="630">
        <v>17031001053</v>
      </c>
      <c r="D198" s="630">
        <v>17031004720</v>
      </c>
      <c r="E198" s="630" t="s">
        <v>533</v>
      </c>
      <c r="F198" s="630" t="s">
        <v>534</v>
      </c>
      <c r="G198" s="630" t="s">
        <v>365</v>
      </c>
      <c r="H198" s="630" t="s">
        <v>551</v>
      </c>
      <c r="I198" s="630"/>
      <c r="J198" s="630"/>
      <c r="K198" s="630"/>
      <c r="L198" s="630"/>
      <c r="M198" s="630"/>
      <c r="N198" s="630"/>
      <c r="O198" s="630"/>
      <c r="P198" s="630"/>
      <c r="Q198" s="630"/>
      <c r="R198" s="630"/>
      <c r="S198" s="630" t="s">
        <v>600</v>
      </c>
      <c r="T198" s="630"/>
      <c r="U198" s="630" t="s">
        <v>538</v>
      </c>
      <c r="V198" s="630">
        <v>2</v>
      </c>
      <c r="W198" s="630" t="s">
        <v>582</v>
      </c>
      <c r="X198" s="630" t="s">
        <v>575</v>
      </c>
      <c r="Y198" s="630" t="s">
        <v>554</v>
      </c>
      <c r="Z198" s="630">
        <v>1.1197429999999999</v>
      </c>
      <c r="AA198" s="630">
        <v>1.802055</v>
      </c>
      <c r="AB198" s="631">
        <v>463665</v>
      </c>
      <c r="AC198" s="631">
        <v>9721522</v>
      </c>
      <c r="AD198" s="631">
        <f t="shared" ref="AD198:AD261" si="3">AC198*Z198</f>
        <v>10885606.208845999</v>
      </c>
    </row>
    <row r="199" spans="2:30" x14ac:dyDescent="0.15">
      <c r="B199" s="630">
        <v>17031000052</v>
      </c>
      <c r="C199" s="630">
        <v>17031001391</v>
      </c>
      <c r="D199" s="630">
        <v>17031004747</v>
      </c>
      <c r="E199" s="630" t="s">
        <v>533</v>
      </c>
      <c r="F199" s="630" t="s">
        <v>534</v>
      </c>
      <c r="G199" s="630" t="s">
        <v>365</v>
      </c>
      <c r="H199" s="630" t="s">
        <v>557</v>
      </c>
      <c r="I199" s="630"/>
      <c r="J199" s="630" t="s">
        <v>552</v>
      </c>
      <c r="K199" s="630"/>
      <c r="L199" s="630"/>
      <c r="M199" s="630"/>
      <c r="N199" s="630"/>
      <c r="O199" s="630"/>
      <c r="P199" s="630"/>
      <c r="Q199" s="630"/>
      <c r="R199" s="630"/>
      <c r="S199" s="630" t="s">
        <v>634</v>
      </c>
      <c r="T199" s="630"/>
      <c r="U199" s="630" t="s">
        <v>559</v>
      </c>
      <c r="V199" s="630">
        <v>1</v>
      </c>
      <c r="W199" s="630" t="s">
        <v>560</v>
      </c>
      <c r="X199" s="630" t="s">
        <v>541</v>
      </c>
      <c r="Y199" s="630" t="s">
        <v>541</v>
      </c>
      <c r="Z199" s="630">
        <v>0.177458</v>
      </c>
      <c r="AA199" s="630">
        <v>0.28559099999999998</v>
      </c>
      <c r="AB199" s="631">
        <v>400</v>
      </c>
      <c r="AC199" s="631">
        <v>37280</v>
      </c>
      <c r="AD199" s="631">
        <f t="shared" si="3"/>
        <v>6615.6342400000003</v>
      </c>
    </row>
    <row r="200" spans="2:30" x14ac:dyDescent="0.15">
      <c r="B200" s="630">
        <v>17031001727</v>
      </c>
      <c r="C200" s="630">
        <v>17031004690</v>
      </c>
      <c r="D200" s="630">
        <v>17031001028</v>
      </c>
      <c r="E200" s="630" t="s">
        <v>533</v>
      </c>
      <c r="F200" s="630" t="s">
        <v>534</v>
      </c>
      <c r="G200" s="630" t="s">
        <v>365</v>
      </c>
      <c r="H200" s="630" t="s">
        <v>547</v>
      </c>
      <c r="I200" s="630"/>
      <c r="J200" s="630" t="s">
        <v>543</v>
      </c>
      <c r="K200" s="630"/>
      <c r="L200" s="630"/>
      <c r="M200" s="630"/>
      <c r="N200" s="630"/>
      <c r="O200" s="630"/>
      <c r="P200" s="630"/>
      <c r="Q200" s="630"/>
      <c r="R200" s="630"/>
      <c r="S200" s="630" t="s">
        <v>602</v>
      </c>
      <c r="T200" s="630"/>
      <c r="U200" s="630" t="s">
        <v>538</v>
      </c>
      <c r="V200" s="630">
        <v>1</v>
      </c>
      <c r="W200" s="630" t="s">
        <v>582</v>
      </c>
      <c r="X200" s="630" t="s">
        <v>540</v>
      </c>
      <c r="Y200" s="630" t="s">
        <v>540</v>
      </c>
      <c r="Z200" s="630">
        <v>1.1469720000000001</v>
      </c>
      <c r="AA200" s="630">
        <v>1.8458760000000001</v>
      </c>
      <c r="AB200" s="631">
        <v>760</v>
      </c>
      <c r="AC200" s="631">
        <v>7120</v>
      </c>
      <c r="AD200" s="631">
        <f t="shared" si="3"/>
        <v>8166.4406400000007</v>
      </c>
    </row>
    <row r="201" spans="2:30" x14ac:dyDescent="0.15">
      <c r="B201" s="630">
        <v>17089001811</v>
      </c>
      <c r="C201" s="630">
        <v>17089000477</v>
      </c>
      <c r="D201" s="630">
        <v>17089000476</v>
      </c>
      <c r="E201" s="630" t="s">
        <v>533</v>
      </c>
      <c r="F201" s="630" t="s">
        <v>534</v>
      </c>
      <c r="G201" s="630" t="s">
        <v>369</v>
      </c>
      <c r="H201" s="630" t="s">
        <v>382</v>
      </c>
      <c r="I201" s="630"/>
      <c r="J201" s="630"/>
      <c r="K201" s="630"/>
      <c r="L201" s="630"/>
      <c r="M201" s="630"/>
      <c r="N201" s="630"/>
      <c r="O201" s="630"/>
      <c r="P201" s="630"/>
      <c r="Q201" s="630"/>
      <c r="R201" s="630"/>
      <c r="S201" s="630" t="s">
        <v>635</v>
      </c>
      <c r="T201" s="630"/>
      <c r="U201" s="630" t="s">
        <v>559</v>
      </c>
      <c r="V201" s="630">
        <v>1</v>
      </c>
      <c r="W201" s="630" t="s">
        <v>560</v>
      </c>
      <c r="X201" s="630" t="s">
        <v>541</v>
      </c>
      <c r="Y201" s="630" t="s">
        <v>541</v>
      </c>
      <c r="Z201" s="630">
        <v>0.54022499999999996</v>
      </c>
      <c r="AA201" s="630">
        <v>0.86940899999999999</v>
      </c>
      <c r="AB201" s="631">
        <v>0</v>
      </c>
      <c r="AC201" s="631">
        <v>0</v>
      </c>
      <c r="AD201" s="631">
        <f t="shared" si="3"/>
        <v>0</v>
      </c>
    </row>
    <row r="202" spans="2:30" x14ac:dyDescent="0.15">
      <c r="B202" s="630">
        <v>17097002125</v>
      </c>
      <c r="C202" s="630">
        <v>17097000111</v>
      </c>
      <c r="D202" s="630">
        <v>17097000109</v>
      </c>
      <c r="E202" s="630" t="s">
        <v>533</v>
      </c>
      <c r="F202" s="630" t="s">
        <v>534</v>
      </c>
      <c r="G202" s="630" t="s">
        <v>373</v>
      </c>
      <c r="H202" s="630" t="s">
        <v>535</v>
      </c>
      <c r="I202" s="630"/>
      <c r="J202" s="630" t="s">
        <v>547</v>
      </c>
      <c r="K202" s="630"/>
      <c r="L202" s="630"/>
      <c r="M202" s="630"/>
      <c r="N202" s="630"/>
      <c r="O202" s="630"/>
      <c r="P202" s="630"/>
      <c r="Q202" s="630"/>
      <c r="R202" s="630"/>
      <c r="S202" s="630" t="s">
        <v>548</v>
      </c>
      <c r="T202" s="630"/>
      <c r="U202" s="630" t="s">
        <v>538</v>
      </c>
      <c r="V202" s="630">
        <v>2</v>
      </c>
      <c r="W202" s="630" t="s">
        <v>545</v>
      </c>
      <c r="X202" s="630" t="s">
        <v>546</v>
      </c>
      <c r="Y202" s="630" t="s">
        <v>549</v>
      </c>
      <c r="Z202" s="630">
        <v>0.21757499999999999</v>
      </c>
      <c r="AA202" s="630">
        <v>0.35015400000000002</v>
      </c>
      <c r="AB202" s="631">
        <v>805376</v>
      </c>
      <c r="AC202" s="631">
        <v>39329111</v>
      </c>
      <c r="AD202" s="631">
        <f t="shared" si="3"/>
        <v>8557031.3258250002</v>
      </c>
    </row>
    <row r="203" spans="2:30" x14ac:dyDescent="0.15">
      <c r="B203" s="630">
        <v>17031002222</v>
      </c>
      <c r="C203" s="630">
        <v>17031000558</v>
      </c>
      <c r="D203" s="630">
        <v>17031000540</v>
      </c>
      <c r="E203" s="630" t="s">
        <v>533</v>
      </c>
      <c r="F203" s="630" t="s">
        <v>534</v>
      </c>
      <c r="G203" s="630" t="s">
        <v>365</v>
      </c>
      <c r="H203" s="630" t="s">
        <v>557</v>
      </c>
      <c r="I203" s="630"/>
      <c r="J203" s="630" t="s">
        <v>535</v>
      </c>
      <c r="K203" s="630" t="s">
        <v>552</v>
      </c>
      <c r="L203" s="630" t="s">
        <v>543</v>
      </c>
      <c r="M203" s="630" t="s">
        <v>382</v>
      </c>
      <c r="N203" s="630"/>
      <c r="O203" s="630"/>
      <c r="P203" s="630"/>
      <c r="Q203" s="630"/>
      <c r="R203" s="630"/>
      <c r="S203" s="630" t="s">
        <v>570</v>
      </c>
      <c r="T203" s="630"/>
      <c r="U203" s="630" t="s">
        <v>538</v>
      </c>
      <c r="V203" s="630">
        <v>2</v>
      </c>
      <c r="W203" s="630" t="s">
        <v>545</v>
      </c>
      <c r="X203" s="630" t="s">
        <v>580</v>
      </c>
      <c r="Y203" s="630" t="s">
        <v>540</v>
      </c>
      <c r="Z203" s="630">
        <v>0.25243500000000002</v>
      </c>
      <c r="AA203" s="630">
        <v>0.40625499999999998</v>
      </c>
      <c r="AB203" s="631">
        <v>950515</v>
      </c>
      <c r="AC203" s="631">
        <v>50945563</v>
      </c>
      <c r="AD203" s="631">
        <f t="shared" si="3"/>
        <v>12860443.195905002</v>
      </c>
    </row>
    <row r="204" spans="2:30" x14ac:dyDescent="0.15">
      <c r="B204" s="630">
        <v>17043002382</v>
      </c>
      <c r="C204" s="630">
        <v>17043004886</v>
      </c>
      <c r="D204" s="630">
        <v>17043000872</v>
      </c>
      <c r="E204" s="630" t="s">
        <v>533</v>
      </c>
      <c r="F204" s="630" t="s">
        <v>534</v>
      </c>
      <c r="G204" s="630" t="s">
        <v>367</v>
      </c>
      <c r="H204" s="630" t="s">
        <v>381</v>
      </c>
      <c r="I204" s="630"/>
      <c r="J204" s="630" t="s">
        <v>542</v>
      </c>
      <c r="K204" s="630" t="s">
        <v>547</v>
      </c>
      <c r="L204" s="630" t="s">
        <v>382</v>
      </c>
      <c r="M204" s="630"/>
      <c r="N204" s="630"/>
      <c r="O204" s="630"/>
      <c r="P204" s="630"/>
      <c r="Q204" s="630"/>
      <c r="R204" s="630"/>
      <c r="S204" s="630" t="s">
        <v>579</v>
      </c>
      <c r="T204" s="630"/>
      <c r="U204" s="630" t="s">
        <v>538</v>
      </c>
      <c r="V204" s="630">
        <v>3</v>
      </c>
      <c r="W204" s="630" t="s">
        <v>545</v>
      </c>
      <c r="X204" s="630" t="s">
        <v>580</v>
      </c>
      <c r="Y204" s="630" t="s">
        <v>549</v>
      </c>
      <c r="Z204" s="630">
        <v>0.81995899999999999</v>
      </c>
      <c r="AA204" s="630">
        <v>1.319599</v>
      </c>
      <c r="AB204" s="631">
        <v>1180642</v>
      </c>
      <c r="AC204" s="631">
        <v>46493460</v>
      </c>
      <c r="AD204" s="631">
        <f t="shared" si="3"/>
        <v>38122730.968139999</v>
      </c>
    </row>
    <row r="205" spans="2:30" x14ac:dyDescent="0.15">
      <c r="B205" s="630">
        <v>17043002398</v>
      </c>
      <c r="C205" s="630">
        <v>17043000612</v>
      </c>
      <c r="D205" s="630">
        <v>17043004778</v>
      </c>
      <c r="E205" s="630" t="s">
        <v>533</v>
      </c>
      <c r="F205" s="630" t="s">
        <v>534</v>
      </c>
      <c r="G205" s="630" t="s">
        <v>367</v>
      </c>
      <c r="H205" s="630" t="s">
        <v>382</v>
      </c>
      <c r="I205" s="630"/>
      <c r="J205" s="630" t="s">
        <v>547</v>
      </c>
      <c r="K205" s="630"/>
      <c r="L205" s="630"/>
      <c r="M205" s="630"/>
      <c r="N205" s="630"/>
      <c r="O205" s="630"/>
      <c r="P205" s="630"/>
      <c r="Q205" s="630"/>
      <c r="R205" s="630"/>
      <c r="S205" s="630" t="s">
        <v>583</v>
      </c>
      <c r="T205" s="630"/>
      <c r="U205" s="630" t="s">
        <v>538</v>
      </c>
      <c r="V205" s="630">
        <v>3</v>
      </c>
      <c r="W205" s="630" t="s">
        <v>588</v>
      </c>
      <c r="X205" s="630" t="s">
        <v>575</v>
      </c>
      <c r="Y205" s="630" t="s">
        <v>549</v>
      </c>
      <c r="Z205" s="630">
        <v>1.9153480000000001</v>
      </c>
      <c r="AA205" s="630">
        <v>3.0824600000000002</v>
      </c>
      <c r="AB205" s="631">
        <v>1830855</v>
      </c>
      <c r="AC205" s="631">
        <v>57776893</v>
      </c>
      <c r="AD205" s="631">
        <f t="shared" si="3"/>
        <v>110662856.45376401</v>
      </c>
    </row>
    <row r="206" spans="2:30" x14ac:dyDescent="0.15">
      <c r="B206" s="630">
        <v>17111002711</v>
      </c>
      <c r="C206" s="630">
        <v>17111000043</v>
      </c>
      <c r="D206" s="630">
        <v>17111000039</v>
      </c>
      <c r="E206" s="630" t="s">
        <v>533</v>
      </c>
      <c r="F206" s="630" t="s">
        <v>534</v>
      </c>
      <c r="G206" s="630" t="s">
        <v>375</v>
      </c>
      <c r="H206" s="630" t="s">
        <v>636</v>
      </c>
      <c r="I206" s="630"/>
      <c r="J206" s="630"/>
      <c r="K206" s="630"/>
      <c r="L206" s="630"/>
      <c r="M206" s="630"/>
      <c r="N206" s="630"/>
      <c r="O206" s="630"/>
      <c r="P206" s="630"/>
      <c r="Q206" s="630"/>
      <c r="R206" s="630"/>
      <c r="S206" s="630"/>
      <c r="T206" s="630"/>
      <c r="U206" s="630" t="s">
        <v>538</v>
      </c>
      <c r="V206" s="630">
        <v>1</v>
      </c>
      <c r="W206" s="630" t="s">
        <v>560</v>
      </c>
      <c r="X206" s="630" t="s">
        <v>541</v>
      </c>
      <c r="Y206" s="630" t="s">
        <v>637</v>
      </c>
      <c r="Z206" s="630">
        <v>2.6914910000000001</v>
      </c>
      <c r="AA206" s="630">
        <v>4.3315440000000001</v>
      </c>
      <c r="AB206" s="631">
        <v>0</v>
      </c>
      <c r="AC206" s="631">
        <v>0</v>
      </c>
      <c r="AD206" s="631">
        <f t="shared" si="3"/>
        <v>0</v>
      </c>
    </row>
    <row r="207" spans="2:30" x14ac:dyDescent="0.15">
      <c r="B207" s="630">
        <v>17031003554</v>
      </c>
      <c r="C207" s="630">
        <v>17031004688</v>
      </c>
      <c r="D207" s="630">
        <v>17031001164</v>
      </c>
      <c r="E207" s="630" t="s">
        <v>533</v>
      </c>
      <c r="F207" s="630" t="s">
        <v>534</v>
      </c>
      <c r="G207" s="630" t="s">
        <v>365</v>
      </c>
      <c r="H207" s="630" t="s">
        <v>547</v>
      </c>
      <c r="I207" s="630"/>
      <c r="J207" s="630" t="s">
        <v>543</v>
      </c>
      <c r="K207" s="630"/>
      <c r="L207" s="630"/>
      <c r="M207" s="630"/>
      <c r="N207" s="630"/>
      <c r="O207" s="630"/>
      <c r="P207" s="630"/>
      <c r="Q207" s="630"/>
      <c r="R207" s="630"/>
      <c r="S207" s="630" t="s">
        <v>602</v>
      </c>
      <c r="T207" s="630"/>
      <c r="U207" s="630" t="s">
        <v>538</v>
      </c>
      <c r="V207" s="630">
        <v>2</v>
      </c>
      <c r="W207" s="630" t="s">
        <v>582</v>
      </c>
      <c r="X207" s="630" t="s">
        <v>541</v>
      </c>
      <c r="Y207" s="630" t="s">
        <v>540</v>
      </c>
      <c r="Z207" s="630">
        <v>0.110498</v>
      </c>
      <c r="AA207" s="630">
        <v>0.17782999999999999</v>
      </c>
      <c r="AB207" s="631">
        <v>320</v>
      </c>
      <c r="AC207" s="631">
        <v>23200</v>
      </c>
      <c r="AD207" s="631">
        <f t="shared" si="3"/>
        <v>2563.5536000000002</v>
      </c>
    </row>
    <row r="208" spans="2:30" x14ac:dyDescent="0.15">
      <c r="B208" s="630">
        <v>17031003618</v>
      </c>
      <c r="C208" s="630">
        <v>17031001317</v>
      </c>
      <c r="D208" s="630">
        <v>17031001300</v>
      </c>
      <c r="E208" s="630" t="s">
        <v>533</v>
      </c>
      <c r="F208" s="630" t="s">
        <v>534</v>
      </c>
      <c r="G208" s="630" t="s">
        <v>365</v>
      </c>
      <c r="H208" s="630" t="s">
        <v>551</v>
      </c>
      <c r="I208" s="630"/>
      <c r="J208" s="630" t="s">
        <v>381</v>
      </c>
      <c r="K208" s="630" t="s">
        <v>535</v>
      </c>
      <c r="L208" s="630" t="s">
        <v>552</v>
      </c>
      <c r="M208" s="630"/>
      <c r="N208" s="630"/>
      <c r="O208" s="630"/>
      <c r="P208" s="630"/>
      <c r="Q208" s="630"/>
      <c r="R208" s="630"/>
      <c r="S208" s="630" t="s">
        <v>603</v>
      </c>
      <c r="T208" s="630" t="s">
        <v>603</v>
      </c>
      <c r="U208" s="630" t="s">
        <v>538</v>
      </c>
      <c r="V208" s="630">
        <v>2</v>
      </c>
      <c r="W208" s="630" t="s">
        <v>545</v>
      </c>
      <c r="X208" s="630" t="s">
        <v>575</v>
      </c>
      <c r="Y208" s="630" t="s">
        <v>540</v>
      </c>
      <c r="Z208" s="630">
        <v>1.807987</v>
      </c>
      <c r="AA208" s="630">
        <v>2.9096790000000001</v>
      </c>
      <c r="AB208" s="631">
        <v>580845</v>
      </c>
      <c r="AC208" s="631">
        <v>17094086</v>
      </c>
      <c r="AD208" s="631">
        <f t="shared" si="3"/>
        <v>30905885.264882002</v>
      </c>
    </row>
    <row r="209" spans="2:30" x14ac:dyDescent="0.15">
      <c r="B209" s="630">
        <v>17031003815</v>
      </c>
      <c r="C209" s="630">
        <v>17031001381</v>
      </c>
      <c r="D209" s="630">
        <v>17031001349</v>
      </c>
      <c r="E209" s="630" t="s">
        <v>533</v>
      </c>
      <c r="F209" s="630" t="s">
        <v>534</v>
      </c>
      <c r="G209" s="630" t="s">
        <v>365</v>
      </c>
      <c r="H209" s="630" t="s">
        <v>543</v>
      </c>
      <c r="I209" s="630"/>
      <c r="J209" s="630" t="s">
        <v>557</v>
      </c>
      <c r="K209" s="630"/>
      <c r="L209" s="630"/>
      <c r="M209" s="630"/>
      <c r="N209" s="630"/>
      <c r="O209" s="630"/>
      <c r="P209" s="630"/>
      <c r="Q209" s="630"/>
      <c r="R209" s="630"/>
      <c r="S209" s="630" t="s">
        <v>558</v>
      </c>
      <c r="T209" s="630"/>
      <c r="U209" s="630" t="s">
        <v>559</v>
      </c>
      <c r="V209" s="630">
        <v>1</v>
      </c>
      <c r="W209" s="630" t="s">
        <v>560</v>
      </c>
      <c r="X209" s="630" t="s">
        <v>541</v>
      </c>
      <c r="Y209" s="630" t="s">
        <v>541</v>
      </c>
      <c r="Z209" s="630">
        <v>0.77809099999999998</v>
      </c>
      <c r="AA209" s="630">
        <v>1.252219</v>
      </c>
      <c r="AB209" s="631">
        <v>0</v>
      </c>
      <c r="AC209" s="631">
        <v>0</v>
      </c>
      <c r="AD209" s="631">
        <f t="shared" si="3"/>
        <v>0</v>
      </c>
    </row>
    <row r="210" spans="2:30" x14ac:dyDescent="0.15">
      <c r="B210" s="630">
        <v>17031003920</v>
      </c>
      <c r="C210" s="630">
        <v>17031000819</v>
      </c>
      <c r="D210" s="630">
        <v>17031000811</v>
      </c>
      <c r="E210" s="630" t="s">
        <v>533</v>
      </c>
      <c r="F210" s="630" t="s">
        <v>534</v>
      </c>
      <c r="G210" s="630" t="s">
        <v>365</v>
      </c>
      <c r="H210" s="630" t="s">
        <v>557</v>
      </c>
      <c r="I210" s="630"/>
      <c r="J210" s="630" t="s">
        <v>381</v>
      </c>
      <c r="K210" s="630" t="s">
        <v>535</v>
      </c>
      <c r="L210" s="630" t="s">
        <v>552</v>
      </c>
      <c r="M210" s="630" t="s">
        <v>543</v>
      </c>
      <c r="N210" s="630" t="s">
        <v>382</v>
      </c>
      <c r="O210" s="630"/>
      <c r="P210" s="630"/>
      <c r="Q210" s="630"/>
      <c r="R210" s="630"/>
      <c r="S210" s="630" t="s">
        <v>570</v>
      </c>
      <c r="T210" s="630"/>
      <c r="U210" s="630" t="s">
        <v>538</v>
      </c>
      <c r="V210" s="630">
        <v>2</v>
      </c>
      <c r="W210" s="630" t="s">
        <v>545</v>
      </c>
      <c r="X210" s="630" t="s">
        <v>580</v>
      </c>
      <c r="Y210" s="630" t="s">
        <v>540</v>
      </c>
      <c r="Z210" s="630">
        <v>0.26888600000000001</v>
      </c>
      <c r="AA210" s="630">
        <v>0.43273099999999998</v>
      </c>
      <c r="AB210" s="631">
        <v>1637135</v>
      </c>
      <c r="AC210" s="631">
        <v>64276946</v>
      </c>
      <c r="AD210" s="631">
        <f t="shared" si="3"/>
        <v>17283170.902155999</v>
      </c>
    </row>
    <row r="211" spans="2:30" x14ac:dyDescent="0.15">
      <c r="B211" s="630">
        <v>17031005056</v>
      </c>
      <c r="C211" s="630">
        <v>17031001549</v>
      </c>
      <c r="D211" s="630">
        <v>17031001551</v>
      </c>
      <c r="E211" s="630" t="s">
        <v>533</v>
      </c>
      <c r="F211" s="630" t="s">
        <v>534</v>
      </c>
      <c r="G211" s="630" t="s">
        <v>365</v>
      </c>
      <c r="H211" s="630" t="s">
        <v>382</v>
      </c>
      <c r="I211" s="630"/>
      <c r="J211" s="630"/>
      <c r="K211" s="630"/>
      <c r="L211" s="630"/>
      <c r="M211" s="630"/>
      <c r="N211" s="630"/>
      <c r="O211" s="630"/>
      <c r="P211" s="630"/>
      <c r="Q211" s="630"/>
      <c r="R211" s="630"/>
      <c r="S211" s="630" t="s">
        <v>576</v>
      </c>
      <c r="T211" s="630"/>
      <c r="U211" s="630" t="s">
        <v>559</v>
      </c>
      <c r="V211" s="630">
        <v>1</v>
      </c>
      <c r="W211" s="630" t="s">
        <v>560</v>
      </c>
      <c r="X211" s="630" t="s">
        <v>541</v>
      </c>
      <c r="Y211" s="630" t="s">
        <v>541</v>
      </c>
      <c r="Z211" s="630">
        <v>0.183806</v>
      </c>
      <c r="AA211" s="630">
        <v>0.29580699999999999</v>
      </c>
      <c r="AB211" s="631">
        <v>0</v>
      </c>
      <c r="AC211" s="631">
        <v>0</v>
      </c>
      <c r="AD211" s="631">
        <f t="shared" si="3"/>
        <v>0</v>
      </c>
    </row>
    <row r="212" spans="2:30" x14ac:dyDescent="0.15">
      <c r="B212" s="630">
        <v>17043005762</v>
      </c>
      <c r="C212" s="630">
        <v>17043000387</v>
      </c>
      <c r="D212" s="630">
        <v>17043008299</v>
      </c>
      <c r="E212" s="630" t="s">
        <v>533</v>
      </c>
      <c r="F212" s="630" t="s">
        <v>534</v>
      </c>
      <c r="G212" s="630" t="s">
        <v>367</v>
      </c>
      <c r="H212" s="630" t="s">
        <v>638</v>
      </c>
      <c r="I212" s="630"/>
      <c r="J212" s="630"/>
      <c r="K212" s="630"/>
      <c r="L212" s="630"/>
      <c r="M212" s="630"/>
      <c r="N212" s="630"/>
      <c r="O212" s="630"/>
      <c r="P212" s="630"/>
      <c r="Q212" s="630"/>
      <c r="R212" s="630"/>
      <c r="S212" s="630"/>
      <c r="T212" s="630"/>
      <c r="U212" s="630" t="s">
        <v>559</v>
      </c>
      <c r="V212" s="630">
        <v>1</v>
      </c>
      <c r="W212" s="630" t="s">
        <v>560</v>
      </c>
      <c r="X212" s="630" t="s">
        <v>541</v>
      </c>
      <c r="Y212" s="630" t="s">
        <v>541</v>
      </c>
      <c r="Z212" s="630">
        <v>3.9412999999999997E-2</v>
      </c>
      <c r="AA212" s="630">
        <v>6.343E-2</v>
      </c>
      <c r="AB212" s="631">
        <v>0</v>
      </c>
      <c r="AC212" s="631">
        <v>0</v>
      </c>
      <c r="AD212" s="631">
        <f t="shared" si="3"/>
        <v>0</v>
      </c>
    </row>
    <row r="213" spans="2:30" x14ac:dyDescent="0.15">
      <c r="B213" s="630">
        <v>17197007042</v>
      </c>
      <c r="C213" s="630">
        <v>17197005587</v>
      </c>
      <c r="D213" s="630">
        <v>17197005592</v>
      </c>
      <c r="E213" s="630" t="s">
        <v>533</v>
      </c>
      <c r="F213" s="630" t="s">
        <v>534</v>
      </c>
      <c r="G213" s="630" t="s">
        <v>377</v>
      </c>
      <c r="H213" s="630" t="s">
        <v>382</v>
      </c>
      <c r="I213" s="630"/>
      <c r="J213" s="630"/>
      <c r="K213" s="630"/>
      <c r="L213" s="630"/>
      <c r="M213" s="630"/>
      <c r="N213" s="630"/>
      <c r="O213" s="630"/>
      <c r="P213" s="630"/>
      <c r="Q213" s="630"/>
      <c r="R213" s="630"/>
      <c r="S213" s="630" t="s">
        <v>592</v>
      </c>
      <c r="T213" s="630"/>
      <c r="U213" s="630" t="s">
        <v>559</v>
      </c>
      <c r="V213" s="630">
        <v>1</v>
      </c>
      <c r="W213" s="630" t="s">
        <v>539</v>
      </c>
      <c r="X213" s="630" t="s">
        <v>541</v>
      </c>
      <c r="Y213" s="630" t="s">
        <v>541</v>
      </c>
      <c r="Z213" s="630">
        <v>0.15121499999999999</v>
      </c>
      <c r="AA213" s="630">
        <v>0.24335799999999999</v>
      </c>
      <c r="AB213" s="631">
        <v>523280</v>
      </c>
      <c r="AC213" s="631">
        <v>7207400</v>
      </c>
      <c r="AD213" s="631">
        <f t="shared" si="3"/>
        <v>1089866.9909999999</v>
      </c>
    </row>
    <row r="214" spans="2:30" x14ac:dyDescent="0.15">
      <c r="B214" s="630">
        <v>17031008544</v>
      </c>
      <c r="C214" s="630">
        <v>17031007030</v>
      </c>
      <c r="D214" s="630">
        <v>17031001385</v>
      </c>
      <c r="E214" s="630" t="s">
        <v>533</v>
      </c>
      <c r="F214" s="630" t="s">
        <v>534</v>
      </c>
      <c r="G214" s="630" t="s">
        <v>365</v>
      </c>
      <c r="H214" s="630" t="s">
        <v>627</v>
      </c>
      <c r="I214" s="630"/>
      <c r="J214" s="630" t="s">
        <v>572</v>
      </c>
      <c r="K214" s="630"/>
      <c r="L214" s="630"/>
      <c r="M214" s="630"/>
      <c r="N214" s="630"/>
      <c r="O214" s="630"/>
      <c r="P214" s="630"/>
      <c r="Q214" s="630"/>
      <c r="R214" s="630"/>
      <c r="S214" s="630"/>
      <c r="T214" s="630"/>
      <c r="U214" s="630" t="s">
        <v>538</v>
      </c>
      <c r="V214" s="630">
        <v>2</v>
      </c>
      <c r="W214" s="630" t="s">
        <v>545</v>
      </c>
      <c r="X214" s="630" t="s">
        <v>541</v>
      </c>
      <c r="Y214" s="630" t="s">
        <v>540</v>
      </c>
      <c r="Z214" s="630">
        <v>3.2453999999999997E-2</v>
      </c>
      <c r="AA214" s="630">
        <v>5.2229999999999999E-2</v>
      </c>
      <c r="AB214" s="631">
        <v>23086</v>
      </c>
      <c r="AC214" s="631">
        <v>2039650</v>
      </c>
      <c r="AD214" s="631">
        <f t="shared" si="3"/>
        <v>66194.801099999997</v>
      </c>
    </row>
    <row r="215" spans="2:30" x14ac:dyDescent="0.15">
      <c r="B215" s="630">
        <v>17043009087</v>
      </c>
      <c r="C215" s="630">
        <v>17043007298</v>
      </c>
      <c r="D215" s="630">
        <v>17043000589</v>
      </c>
      <c r="E215" s="630" t="s">
        <v>533</v>
      </c>
      <c r="F215" s="630" t="s">
        <v>534</v>
      </c>
      <c r="G215" s="630" t="s">
        <v>367</v>
      </c>
      <c r="H215" s="630" t="s">
        <v>382</v>
      </c>
      <c r="I215" s="630"/>
      <c r="J215" s="630"/>
      <c r="K215" s="630"/>
      <c r="L215" s="630"/>
      <c r="M215" s="630"/>
      <c r="N215" s="630"/>
      <c r="O215" s="630"/>
      <c r="P215" s="630"/>
      <c r="Q215" s="630"/>
      <c r="R215" s="630"/>
      <c r="S215" s="630"/>
      <c r="T215" s="630"/>
      <c r="U215" s="630" t="s">
        <v>559</v>
      </c>
      <c r="V215" s="630">
        <v>1</v>
      </c>
      <c r="W215" s="630" t="s">
        <v>560</v>
      </c>
      <c r="X215" s="630" t="s">
        <v>541</v>
      </c>
      <c r="Y215" s="630" t="s">
        <v>541</v>
      </c>
      <c r="Z215" s="630">
        <v>0.155059</v>
      </c>
      <c r="AA215" s="630">
        <v>0.24954299999999999</v>
      </c>
      <c r="AB215" s="631">
        <v>0</v>
      </c>
      <c r="AC215" s="631">
        <v>0</v>
      </c>
      <c r="AD215" s="631">
        <f t="shared" si="3"/>
        <v>0</v>
      </c>
    </row>
    <row r="216" spans="2:30" x14ac:dyDescent="0.15">
      <c r="B216" s="630">
        <v>17043009119</v>
      </c>
      <c r="C216" s="630">
        <v>17043007326</v>
      </c>
      <c r="D216" s="630">
        <v>17043007325</v>
      </c>
      <c r="E216" s="630" t="s">
        <v>533</v>
      </c>
      <c r="F216" s="630" t="s">
        <v>534</v>
      </c>
      <c r="G216" s="630" t="s">
        <v>367</v>
      </c>
      <c r="H216" s="630" t="s">
        <v>535</v>
      </c>
      <c r="I216" s="630"/>
      <c r="J216" s="630"/>
      <c r="K216" s="630"/>
      <c r="L216" s="630"/>
      <c r="M216" s="630"/>
      <c r="N216" s="630"/>
      <c r="O216" s="630"/>
      <c r="P216" s="630"/>
      <c r="Q216" s="630"/>
      <c r="R216" s="630"/>
      <c r="S216" s="630"/>
      <c r="T216" s="630"/>
      <c r="U216" s="630" t="s">
        <v>559</v>
      </c>
      <c r="V216" s="630">
        <v>1</v>
      </c>
      <c r="W216" s="630" t="s">
        <v>560</v>
      </c>
      <c r="X216" s="630" t="s">
        <v>541</v>
      </c>
      <c r="Y216" s="630" t="s">
        <v>541</v>
      </c>
      <c r="Z216" s="630">
        <v>0.11167000000000001</v>
      </c>
      <c r="AA216" s="630">
        <v>0.17971500000000001</v>
      </c>
      <c r="AB216" s="631">
        <v>0</v>
      </c>
      <c r="AC216" s="631">
        <v>0</v>
      </c>
      <c r="AD216" s="631">
        <f t="shared" si="3"/>
        <v>0</v>
      </c>
    </row>
    <row r="217" spans="2:30" x14ac:dyDescent="0.15">
      <c r="B217" s="630">
        <v>17031009443</v>
      </c>
      <c r="C217" s="630">
        <v>17031007547</v>
      </c>
      <c r="D217" s="630">
        <v>17031000359</v>
      </c>
      <c r="E217" s="630" t="s">
        <v>533</v>
      </c>
      <c r="F217" s="630" t="s">
        <v>534</v>
      </c>
      <c r="G217" s="630" t="s">
        <v>365</v>
      </c>
      <c r="H217" s="630" t="s">
        <v>552</v>
      </c>
      <c r="I217" s="630"/>
      <c r="J217" s="630" t="s">
        <v>547</v>
      </c>
      <c r="K217" s="630"/>
      <c r="L217" s="630"/>
      <c r="M217" s="630"/>
      <c r="N217" s="630"/>
      <c r="O217" s="630"/>
      <c r="P217" s="630"/>
      <c r="Q217" s="630"/>
      <c r="R217" s="630"/>
      <c r="S217" s="630" t="s">
        <v>589</v>
      </c>
      <c r="T217" s="630"/>
      <c r="U217" s="630" t="s">
        <v>538</v>
      </c>
      <c r="V217" s="630">
        <v>2</v>
      </c>
      <c r="W217" s="630" t="s">
        <v>545</v>
      </c>
      <c r="X217" s="630" t="s">
        <v>540</v>
      </c>
      <c r="Y217" s="630" t="s">
        <v>549</v>
      </c>
      <c r="Z217" s="630">
        <v>0.57137800000000005</v>
      </c>
      <c r="AA217" s="630">
        <v>0.91954499999999995</v>
      </c>
      <c r="AB217" s="631">
        <v>73983</v>
      </c>
      <c r="AC217" s="631">
        <v>7748144</v>
      </c>
      <c r="AD217" s="631">
        <f t="shared" si="3"/>
        <v>4427119.0224320004</v>
      </c>
    </row>
    <row r="218" spans="2:30" x14ac:dyDescent="0.15">
      <c r="B218" s="630">
        <v>17031009536</v>
      </c>
      <c r="C218" s="630">
        <v>17031001556</v>
      </c>
      <c r="D218" s="630">
        <v>17031007634</v>
      </c>
      <c r="E218" s="630" t="s">
        <v>533</v>
      </c>
      <c r="F218" s="630" t="s">
        <v>534</v>
      </c>
      <c r="G218" s="630" t="s">
        <v>365</v>
      </c>
      <c r="H218" s="630" t="s">
        <v>382</v>
      </c>
      <c r="I218" s="630"/>
      <c r="J218" s="630"/>
      <c r="K218" s="630"/>
      <c r="L218" s="630"/>
      <c r="M218" s="630"/>
      <c r="N218" s="630"/>
      <c r="O218" s="630"/>
      <c r="P218" s="630"/>
      <c r="Q218" s="630"/>
      <c r="R218" s="630"/>
      <c r="S218" s="630" t="s">
        <v>576</v>
      </c>
      <c r="T218" s="630"/>
      <c r="U218" s="630" t="s">
        <v>559</v>
      </c>
      <c r="V218" s="630">
        <v>1</v>
      </c>
      <c r="W218" s="630" t="s">
        <v>560</v>
      </c>
      <c r="X218" s="630" t="s">
        <v>541</v>
      </c>
      <c r="Y218" s="630" t="s">
        <v>541</v>
      </c>
      <c r="Z218" s="630">
        <v>3.2070000000000001E-2</v>
      </c>
      <c r="AA218" s="630">
        <v>5.1610999999999997E-2</v>
      </c>
      <c r="AB218" s="631">
        <v>0</v>
      </c>
      <c r="AC218" s="631">
        <v>0</v>
      </c>
      <c r="AD218" s="631">
        <f t="shared" si="3"/>
        <v>0</v>
      </c>
    </row>
    <row r="219" spans="2:30" x14ac:dyDescent="0.15">
      <c r="B219" s="630">
        <v>17031001958</v>
      </c>
      <c r="C219" s="630">
        <v>17031004725</v>
      </c>
      <c r="D219" s="630">
        <v>17031004726</v>
      </c>
      <c r="E219" s="630" t="s">
        <v>533</v>
      </c>
      <c r="F219" s="630" t="s">
        <v>534</v>
      </c>
      <c r="G219" s="630" t="s">
        <v>365</v>
      </c>
      <c r="H219" s="630" t="s">
        <v>547</v>
      </c>
      <c r="I219" s="630"/>
      <c r="J219" s="630"/>
      <c r="K219" s="630"/>
      <c r="L219" s="630"/>
      <c r="M219" s="630"/>
      <c r="N219" s="630"/>
      <c r="O219" s="630"/>
      <c r="P219" s="630"/>
      <c r="Q219" s="630"/>
      <c r="R219" s="630"/>
      <c r="S219" s="630"/>
      <c r="T219" s="630"/>
      <c r="U219" s="630" t="s">
        <v>538</v>
      </c>
      <c r="V219" s="630">
        <v>1</v>
      </c>
      <c r="W219" s="630" t="s">
        <v>582</v>
      </c>
      <c r="X219" s="630" t="s">
        <v>541</v>
      </c>
      <c r="Y219" s="630" t="s">
        <v>541</v>
      </c>
      <c r="Z219" s="630">
        <v>0.50941999999999998</v>
      </c>
      <c r="AA219" s="630">
        <v>0.81983399999999995</v>
      </c>
      <c r="AB219" s="631">
        <v>0</v>
      </c>
      <c r="AC219" s="631">
        <v>0</v>
      </c>
      <c r="AD219" s="631">
        <f t="shared" si="3"/>
        <v>0</v>
      </c>
    </row>
    <row r="220" spans="2:30" x14ac:dyDescent="0.15">
      <c r="B220" s="630">
        <v>17031001967</v>
      </c>
      <c r="C220" s="630">
        <v>17031000944</v>
      </c>
      <c r="D220" s="630">
        <v>17031000963</v>
      </c>
      <c r="E220" s="630" t="s">
        <v>533</v>
      </c>
      <c r="F220" s="630" t="s">
        <v>534</v>
      </c>
      <c r="G220" s="630" t="s">
        <v>365</v>
      </c>
      <c r="H220" s="630" t="s">
        <v>571</v>
      </c>
      <c r="I220" s="630"/>
      <c r="J220" s="630" t="s">
        <v>381</v>
      </c>
      <c r="K220" s="630" t="s">
        <v>535</v>
      </c>
      <c r="L220" s="630" t="s">
        <v>552</v>
      </c>
      <c r="M220" s="630" t="s">
        <v>551</v>
      </c>
      <c r="N220" s="630" t="s">
        <v>557</v>
      </c>
      <c r="O220" s="630" t="s">
        <v>543</v>
      </c>
      <c r="P220" s="630" t="s">
        <v>382</v>
      </c>
      <c r="Q220" s="630" t="s">
        <v>563</v>
      </c>
      <c r="R220" s="630"/>
      <c r="S220" s="630" t="s">
        <v>605</v>
      </c>
      <c r="T220" s="630"/>
      <c r="U220" s="630" t="s">
        <v>538</v>
      </c>
      <c r="V220" s="630">
        <v>1</v>
      </c>
      <c r="W220" s="630" t="s">
        <v>545</v>
      </c>
      <c r="X220" s="630" t="s">
        <v>549</v>
      </c>
      <c r="Y220" s="630" t="s">
        <v>554</v>
      </c>
      <c r="Z220" s="630">
        <v>0.48548599999999997</v>
      </c>
      <c r="AA220" s="630">
        <v>0.78131499999999998</v>
      </c>
      <c r="AB220" s="631">
        <v>413143</v>
      </c>
      <c r="AC220" s="631">
        <v>27322969</v>
      </c>
      <c r="AD220" s="631">
        <f t="shared" si="3"/>
        <v>13264918.927933998</v>
      </c>
    </row>
    <row r="221" spans="2:30" x14ac:dyDescent="0.15">
      <c r="B221" s="630">
        <v>17089002036</v>
      </c>
      <c r="C221" s="630">
        <v>17999019825</v>
      </c>
      <c r="D221" s="630">
        <v>17089004851</v>
      </c>
      <c r="E221" s="630" t="s">
        <v>533</v>
      </c>
      <c r="F221" s="630" t="s">
        <v>534</v>
      </c>
      <c r="G221" s="630" t="s">
        <v>369</v>
      </c>
      <c r="H221" s="630" t="s">
        <v>552</v>
      </c>
      <c r="I221" s="630"/>
      <c r="J221" s="630" t="s">
        <v>547</v>
      </c>
      <c r="K221" s="630"/>
      <c r="L221" s="630"/>
      <c r="M221" s="630"/>
      <c r="N221" s="630"/>
      <c r="O221" s="630"/>
      <c r="P221" s="630"/>
      <c r="Q221" s="630"/>
      <c r="R221" s="630"/>
      <c r="S221" s="630" t="s">
        <v>589</v>
      </c>
      <c r="T221" s="630"/>
      <c r="U221" s="630" t="s">
        <v>538</v>
      </c>
      <c r="V221" s="630">
        <v>2</v>
      </c>
      <c r="W221" s="630" t="s">
        <v>545</v>
      </c>
      <c r="X221" s="630" t="s">
        <v>540</v>
      </c>
      <c r="Y221" s="630" t="s">
        <v>549</v>
      </c>
      <c r="Z221" s="630">
        <v>0.79066400000000003</v>
      </c>
      <c r="AA221" s="630">
        <v>1.272454</v>
      </c>
      <c r="AB221" s="631">
        <v>73903</v>
      </c>
      <c r="AC221" s="631">
        <v>7739424</v>
      </c>
      <c r="AD221" s="631">
        <f t="shared" si="3"/>
        <v>6119283.9375360003</v>
      </c>
    </row>
    <row r="222" spans="2:30" x14ac:dyDescent="0.15">
      <c r="B222" s="630">
        <v>17089002046</v>
      </c>
      <c r="C222" s="630">
        <v>17089004846</v>
      </c>
      <c r="D222" s="630">
        <v>17089004845</v>
      </c>
      <c r="E222" s="630" t="s">
        <v>533</v>
      </c>
      <c r="F222" s="630" t="s">
        <v>534</v>
      </c>
      <c r="G222" s="630" t="s">
        <v>369</v>
      </c>
      <c r="H222" s="630" t="s">
        <v>382</v>
      </c>
      <c r="I222" s="630"/>
      <c r="J222" s="630" t="s">
        <v>547</v>
      </c>
      <c r="K222" s="630"/>
      <c r="L222" s="630"/>
      <c r="M222" s="630"/>
      <c r="N222" s="630"/>
      <c r="O222" s="630"/>
      <c r="P222" s="630"/>
      <c r="Q222" s="630"/>
      <c r="R222" s="630"/>
      <c r="S222" s="630" t="s">
        <v>583</v>
      </c>
      <c r="T222" s="630"/>
      <c r="U222" s="630" t="s">
        <v>538</v>
      </c>
      <c r="V222" s="630">
        <v>2</v>
      </c>
      <c r="W222" s="630" t="s">
        <v>588</v>
      </c>
      <c r="X222" s="630" t="s">
        <v>575</v>
      </c>
      <c r="Y222" s="630" t="s">
        <v>549</v>
      </c>
      <c r="Z222" s="630">
        <v>1.7307300000000001</v>
      </c>
      <c r="AA222" s="630">
        <v>2.785345</v>
      </c>
      <c r="AB222" s="631">
        <v>1830185</v>
      </c>
      <c r="AC222" s="631">
        <v>58575731</v>
      </c>
      <c r="AD222" s="631">
        <f t="shared" si="3"/>
        <v>101378774.91363001</v>
      </c>
    </row>
    <row r="223" spans="2:30" x14ac:dyDescent="0.15">
      <c r="B223" s="630">
        <v>17031002102</v>
      </c>
      <c r="C223" s="630">
        <v>17031004630</v>
      </c>
      <c r="D223" s="630">
        <v>17031000407</v>
      </c>
      <c r="E223" s="630" t="s">
        <v>533</v>
      </c>
      <c r="F223" s="630" t="s">
        <v>534</v>
      </c>
      <c r="G223" s="630" t="s">
        <v>365</v>
      </c>
      <c r="H223" s="630" t="s">
        <v>535</v>
      </c>
      <c r="I223" s="630"/>
      <c r="J223" s="630" t="s">
        <v>552</v>
      </c>
      <c r="K223" s="630" t="s">
        <v>547</v>
      </c>
      <c r="L223" s="630" t="s">
        <v>551</v>
      </c>
      <c r="M223" s="630"/>
      <c r="N223" s="630"/>
      <c r="O223" s="630"/>
      <c r="P223" s="630"/>
      <c r="Q223" s="630"/>
      <c r="R223" s="630"/>
      <c r="S223" s="630" t="s">
        <v>548</v>
      </c>
      <c r="T223" s="630"/>
      <c r="U223" s="630" t="s">
        <v>538</v>
      </c>
      <c r="V223" s="630">
        <v>3</v>
      </c>
      <c r="W223" s="630" t="s">
        <v>545</v>
      </c>
      <c r="X223" s="630" t="s">
        <v>546</v>
      </c>
      <c r="Y223" s="630" t="s">
        <v>554</v>
      </c>
      <c r="Z223" s="630">
        <v>1.1101319999999999</v>
      </c>
      <c r="AA223" s="630">
        <v>1.7865880000000001</v>
      </c>
      <c r="AB223" s="631">
        <v>877800</v>
      </c>
      <c r="AC223" s="631">
        <v>40317087</v>
      </c>
      <c r="AD223" s="631">
        <f t="shared" si="3"/>
        <v>44757288.425483994</v>
      </c>
    </row>
    <row r="224" spans="2:30" x14ac:dyDescent="0.15">
      <c r="B224" s="630">
        <v>17031002180</v>
      </c>
      <c r="C224" s="630">
        <v>17031000629</v>
      </c>
      <c r="D224" s="630">
        <v>17031000582</v>
      </c>
      <c r="E224" s="630" t="s">
        <v>533</v>
      </c>
      <c r="F224" s="630" t="s">
        <v>534</v>
      </c>
      <c r="G224" s="630" t="s">
        <v>365</v>
      </c>
      <c r="H224" s="630" t="s">
        <v>382</v>
      </c>
      <c r="I224" s="630"/>
      <c r="J224" s="630" t="s">
        <v>572</v>
      </c>
      <c r="K224" s="630" t="s">
        <v>543</v>
      </c>
      <c r="L224" s="630"/>
      <c r="M224" s="630"/>
      <c r="N224" s="630"/>
      <c r="O224" s="630"/>
      <c r="P224" s="630"/>
      <c r="Q224" s="630"/>
      <c r="R224" s="630"/>
      <c r="S224" s="630" t="s">
        <v>609</v>
      </c>
      <c r="T224" s="630"/>
      <c r="U224" s="630" t="s">
        <v>538</v>
      </c>
      <c r="V224" s="630">
        <v>2</v>
      </c>
      <c r="W224" s="630" t="s">
        <v>539</v>
      </c>
      <c r="X224" s="630" t="s">
        <v>580</v>
      </c>
      <c r="Y224" s="630" t="s">
        <v>554</v>
      </c>
      <c r="Z224" s="630">
        <v>1.187775</v>
      </c>
      <c r="AA224" s="630">
        <v>1.9115420000000001</v>
      </c>
      <c r="AB224" s="631">
        <v>858401</v>
      </c>
      <c r="AC224" s="631">
        <v>28501686</v>
      </c>
      <c r="AD224" s="631">
        <f t="shared" si="3"/>
        <v>33853590.088650003</v>
      </c>
    </row>
    <row r="225" spans="2:30" x14ac:dyDescent="0.15">
      <c r="B225" s="630">
        <v>17043002419</v>
      </c>
      <c r="C225" s="630">
        <v>17043000383</v>
      </c>
      <c r="D225" s="630">
        <v>17043000380</v>
      </c>
      <c r="E225" s="630" t="s">
        <v>533</v>
      </c>
      <c r="F225" s="630" t="s">
        <v>534</v>
      </c>
      <c r="G225" s="630" t="s">
        <v>367</v>
      </c>
      <c r="H225" s="630" t="s">
        <v>638</v>
      </c>
      <c r="I225" s="630"/>
      <c r="J225" s="630"/>
      <c r="K225" s="630"/>
      <c r="L225" s="630"/>
      <c r="M225" s="630"/>
      <c r="N225" s="630"/>
      <c r="O225" s="630"/>
      <c r="P225" s="630"/>
      <c r="Q225" s="630"/>
      <c r="R225" s="630"/>
      <c r="S225" s="630"/>
      <c r="T225" s="630"/>
      <c r="U225" s="630" t="s">
        <v>559</v>
      </c>
      <c r="V225" s="630">
        <v>1</v>
      </c>
      <c r="W225" s="630" t="s">
        <v>560</v>
      </c>
      <c r="X225" s="630" t="s">
        <v>541</v>
      </c>
      <c r="Y225" s="630" t="s">
        <v>541</v>
      </c>
      <c r="Z225" s="630">
        <v>0.16653100000000001</v>
      </c>
      <c r="AA225" s="630">
        <v>0.26800499999999999</v>
      </c>
      <c r="AB225" s="631">
        <v>0</v>
      </c>
      <c r="AC225" s="631">
        <v>0</v>
      </c>
      <c r="AD225" s="631">
        <f t="shared" si="3"/>
        <v>0</v>
      </c>
    </row>
    <row r="226" spans="2:30" x14ac:dyDescent="0.15">
      <c r="B226" s="630">
        <v>17031002927</v>
      </c>
      <c r="C226" s="630">
        <v>17031000634</v>
      </c>
      <c r="D226" s="630">
        <v>17031000640</v>
      </c>
      <c r="E226" s="630" t="s">
        <v>533</v>
      </c>
      <c r="F226" s="630" t="s">
        <v>534</v>
      </c>
      <c r="G226" s="630" t="s">
        <v>365</v>
      </c>
      <c r="H226" s="630" t="s">
        <v>547</v>
      </c>
      <c r="I226" s="630"/>
      <c r="J226" s="630"/>
      <c r="K226" s="630"/>
      <c r="L226" s="630"/>
      <c r="M226" s="630"/>
      <c r="N226" s="630"/>
      <c r="O226" s="630"/>
      <c r="P226" s="630"/>
      <c r="Q226" s="630"/>
      <c r="R226" s="630"/>
      <c r="S226" s="630" t="s">
        <v>581</v>
      </c>
      <c r="T226" s="630"/>
      <c r="U226" s="630" t="s">
        <v>538</v>
      </c>
      <c r="V226" s="630">
        <v>3</v>
      </c>
      <c r="W226" s="630" t="s">
        <v>582</v>
      </c>
      <c r="X226" s="630" t="s">
        <v>541</v>
      </c>
      <c r="Y226" s="630" t="s">
        <v>554</v>
      </c>
      <c r="Z226" s="630">
        <v>0.57788399999999995</v>
      </c>
      <c r="AA226" s="630">
        <v>0.93001599999999995</v>
      </c>
      <c r="AB226" s="631">
        <v>0</v>
      </c>
      <c r="AC226" s="631">
        <v>0</v>
      </c>
      <c r="AD226" s="631">
        <f t="shared" si="3"/>
        <v>0</v>
      </c>
    </row>
    <row r="227" spans="2:30" x14ac:dyDescent="0.15">
      <c r="B227" s="630">
        <v>17031003635</v>
      </c>
      <c r="C227" s="630">
        <v>17031000800</v>
      </c>
      <c r="D227" s="630">
        <v>17031000799</v>
      </c>
      <c r="E227" s="630" t="s">
        <v>533</v>
      </c>
      <c r="F227" s="630" t="s">
        <v>534</v>
      </c>
      <c r="G227" s="630" t="s">
        <v>365</v>
      </c>
      <c r="H227" s="630" t="s">
        <v>543</v>
      </c>
      <c r="I227" s="630"/>
      <c r="J227" s="630" t="s">
        <v>382</v>
      </c>
      <c r="K227" s="630"/>
      <c r="L227" s="630"/>
      <c r="M227" s="630"/>
      <c r="N227" s="630"/>
      <c r="O227" s="630"/>
      <c r="P227" s="630"/>
      <c r="Q227" s="630"/>
      <c r="R227" s="630"/>
      <c r="S227" s="630" t="s">
        <v>639</v>
      </c>
      <c r="T227" s="630"/>
      <c r="U227" s="630" t="s">
        <v>538</v>
      </c>
      <c r="V227" s="630">
        <v>2</v>
      </c>
      <c r="W227" s="630" t="s">
        <v>560</v>
      </c>
      <c r="X227" s="630" t="s">
        <v>549</v>
      </c>
      <c r="Y227" s="630" t="s">
        <v>541</v>
      </c>
      <c r="Z227" s="630">
        <v>0.20157</v>
      </c>
      <c r="AA227" s="630">
        <v>0.32439600000000002</v>
      </c>
      <c r="AB227" s="631">
        <v>2734673</v>
      </c>
      <c r="AC227" s="631">
        <v>73793319</v>
      </c>
      <c r="AD227" s="631">
        <f t="shared" si="3"/>
        <v>14874519.310830001</v>
      </c>
    </row>
    <row r="228" spans="2:30" x14ac:dyDescent="0.15">
      <c r="B228" s="630">
        <v>17031003825</v>
      </c>
      <c r="C228" s="630">
        <v>17031004675</v>
      </c>
      <c r="D228" s="630">
        <v>17031000648</v>
      </c>
      <c r="E228" s="630" t="s">
        <v>533</v>
      </c>
      <c r="F228" s="630" t="s">
        <v>534</v>
      </c>
      <c r="G228" s="630" t="s">
        <v>365</v>
      </c>
      <c r="H228" s="630" t="s">
        <v>543</v>
      </c>
      <c r="I228" s="630"/>
      <c r="J228" s="630"/>
      <c r="K228" s="630"/>
      <c r="L228" s="630"/>
      <c r="M228" s="630"/>
      <c r="N228" s="630"/>
      <c r="O228" s="630"/>
      <c r="P228" s="630"/>
      <c r="Q228" s="630"/>
      <c r="R228" s="630"/>
      <c r="S228" s="630" t="s">
        <v>639</v>
      </c>
      <c r="T228" s="630"/>
      <c r="U228" s="630" t="s">
        <v>538</v>
      </c>
      <c r="V228" s="630">
        <v>2</v>
      </c>
      <c r="W228" s="630" t="s">
        <v>560</v>
      </c>
      <c r="X228" s="630" t="s">
        <v>541</v>
      </c>
      <c r="Y228" s="630" t="s">
        <v>541</v>
      </c>
      <c r="Z228" s="630">
        <v>0.25121399999999999</v>
      </c>
      <c r="AA228" s="630">
        <v>0.40429100000000001</v>
      </c>
      <c r="AB228" s="631">
        <v>2336211</v>
      </c>
      <c r="AC228" s="631">
        <v>58811519</v>
      </c>
      <c r="AD228" s="631">
        <f t="shared" si="3"/>
        <v>14774276.934065999</v>
      </c>
    </row>
    <row r="229" spans="2:30" x14ac:dyDescent="0.15">
      <c r="B229" s="630">
        <v>17031003940</v>
      </c>
      <c r="C229" s="630">
        <v>17031001362</v>
      </c>
      <c r="D229" s="630">
        <v>17031001376</v>
      </c>
      <c r="E229" s="630" t="s">
        <v>533</v>
      </c>
      <c r="F229" s="630" t="s">
        <v>534</v>
      </c>
      <c r="G229" s="630" t="s">
        <v>365</v>
      </c>
      <c r="H229" s="630" t="s">
        <v>557</v>
      </c>
      <c r="I229" s="630"/>
      <c r="J229" s="630" t="s">
        <v>382</v>
      </c>
      <c r="K229" s="630" t="s">
        <v>552</v>
      </c>
      <c r="L229" s="630" t="s">
        <v>555</v>
      </c>
      <c r="M229" s="630"/>
      <c r="N229" s="630"/>
      <c r="O229" s="630"/>
      <c r="P229" s="630"/>
      <c r="Q229" s="630"/>
      <c r="R229" s="630"/>
      <c r="S229" s="630"/>
      <c r="T229" s="630"/>
      <c r="U229" s="630" t="s">
        <v>538</v>
      </c>
      <c r="V229" s="630">
        <v>1</v>
      </c>
      <c r="W229" s="630" t="s">
        <v>560</v>
      </c>
      <c r="X229" s="630" t="s">
        <v>549</v>
      </c>
      <c r="Y229" s="630" t="s">
        <v>554</v>
      </c>
      <c r="Z229" s="630">
        <v>0.28295799999999999</v>
      </c>
      <c r="AA229" s="630">
        <v>0.455378</v>
      </c>
      <c r="AB229" s="631">
        <v>288487</v>
      </c>
      <c r="AC229" s="631">
        <v>13625111</v>
      </c>
      <c r="AD229" s="631">
        <f t="shared" si="3"/>
        <v>3855334.1583379996</v>
      </c>
    </row>
    <row r="230" spans="2:30" x14ac:dyDescent="0.15">
      <c r="B230" s="630">
        <v>17031003957</v>
      </c>
      <c r="C230" s="630">
        <v>17031000684</v>
      </c>
      <c r="D230" s="630">
        <v>17031000674</v>
      </c>
      <c r="E230" s="630" t="s">
        <v>533</v>
      </c>
      <c r="F230" s="630" t="s">
        <v>534</v>
      </c>
      <c r="G230" s="630" t="s">
        <v>365</v>
      </c>
      <c r="H230" s="630" t="s">
        <v>381</v>
      </c>
      <c r="I230" s="630"/>
      <c r="J230" s="630" t="s">
        <v>542</v>
      </c>
      <c r="K230" s="630" t="s">
        <v>577</v>
      </c>
      <c r="L230" s="630" t="s">
        <v>572</v>
      </c>
      <c r="M230" s="630" t="s">
        <v>547</v>
      </c>
      <c r="N230" s="630" t="s">
        <v>382</v>
      </c>
      <c r="O230" s="630"/>
      <c r="P230" s="630"/>
      <c r="Q230" s="630"/>
      <c r="R230" s="630"/>
      <c r="S230" s="630" t="s">
        <v>579</v>
      </c>
      <c r="T230" s="630" t="s">
        <v>640</v>
      </c>
      <c r="U230" s="630" t="s">
        <v>538</v>
      </c>
      <c r="V230" s="630">
        <v>4</v>
      </c>
      <c r="W230" s="630" t="s">
        <v>545</v>
      </c>
      <c r="X230" s="630" t="s">
        <v>549</v>
      </c>
      <c r="Y230" s="630" t="s">
        <v>540</v>
      </c>
      <c r="Z230" s="630">
        <v>0.68950900000000004</v>
      </c>
      <c r="AA230" s="630">
        <v>1.1096600000000001</v>
      </c>
      <c r="AB230" s="631">
        <v>79786</v>
      </c>
      <c r="AC230" s="631">
        <v>3912720</v>
      </c>
      <c r="AD230" s="631">
        <f t="shared" si="3"/>
        <v>2697855.65448</v>
      </c>
    </row>
    <row r="231" spans="2:30" x14ac:dyDescent="0.15">
      <c r="B231" s="630">
        <v>17031004230</v>
      </c>
      <c r="C231" s="630">
        <v>17031001133</v>
      </c>
      <c r="D231" s="630">
        <v>17031001138</v>
      </c>
      <c r="E231" s="630" t="s">
        <v>533</v>
      </c>
      <c r="F231" s="630" t="s">
        <v>534</v>
      </c>
      <c r="G231" s="630" t="s">
        <v>365</v>
      </c>
      <c r="H231" s="630" t="s">
        <v>577</v>
      </c>
      <c r="I231" s="630"/>
      <c r="J231" s="630"/>
      <c r="K231" s="630"/>
      <c r="L231" s="630"/>
      <c r="M231" s="630"/>
      <c r="N231" s="630"/>
      <c r="O231" s="630"/>
      <c r="P231" s="630"/>
      <c r="Q231" s="630"/>
      <c r="R231" s="630"/>
      <c r="S231" s="630"/>
      <c r="T231" s="630" t="s">
        <v>641</v>
      </c>
      <c r="U231" s="630" t="s">
        <v>538</v>
      </c>
      <c r="V231" s="630">
        <v>1</v>
      </c>
      <c r="W231" s="630" t="s">
        <v>560</v>
      </c>
      <c r="X231" s="630" t="s">
        <v>541</v>
      </c>
      <c r="Y231" s="630" t="s">
        <v>541</v>
      </c>
      <c r="Z231" s="630">
        <v>0.44801000000000002</v>
      </c>
      <c r="AA231" s="630">
        <v>0.72100299999999995</v>
      </c>
      <c r="AB231" s="631">
        <v>0</v>
      </c>
      <c r="AC231" s="631">
        <v>0</v>
      </c>
      <c r="AD231" s="631">
        <f t="shared" si="3"/>
        <v>0</v>
      </c>
    </row>
    <row r="232" spans="2:30" x14ac:dyDescent="0.15">
      <c r="B232" s="630">
        <v>17031004537</v>
      </c>
      <c r="C232" s="630">
        <v>17031001013</v>
      </c>
      <c r="D232" s="630">
        <v>17031001037</v>
      </c>
      <c r="E232" s="630" t="s">
        <v>533</v>
      </c>
      <c r="F232" s="630" t="s">
        <v>534</v>
      </c>
      <c r="G232" s="630" t="s">
        <v>365</v>
      </c>
      <c r="H232" s="630" t="s">
        <v>551</v>
      </c>
      <c r="I232" s="630" t="s">
        <v>535</v>
      </c>
      <c r="J232" s="630"/>
      <c r="K232" s="630"/>
      <c r="L232" s="630"/>
      <c r="M232" s="630"/>
      <c r="N232" s="630"/>
      <c r="O232" s="630"/>
      <c r="P232" s="630"/>
      <c r="Q232" s="630"/>
      <c r="R232" s="630"/>
      <c r="S232" s="630" t="s">
        <v>553</v>
      </c>
      <c r="T232" s="630"/>
      <c r="U232" s="630" t="s">
        <v>538</v>
      </c>
      <c r="V232" s="630">
        <v>2</v>
      </c>
      <c r="W232" s="630" t="s">
        <v>582</v>
      </c>
      <c r="X232" s="630" t="s">
        <v>554</v>
      </c>
      <c r="Y232" s="630" t="s">
        <v>554</v>
      </c>
      <c r="Z232" s="630">
        <v>0.12667600000000001</v>
      </c>
      <c r="AA232" s="630">
        <v>0.20386499999999999</v>
      </c>
      <c r="AB232" s="631">
        <v>0</v>
      </c>
      <c r="AC232" s="631">
        <v>0</v>
      </c>
      <c r="AD232" s="631">
        <f t="shared" si="3"/>
        <v>0</v>
      </c>
    </row>
    <row r="233" spans="2:30" x14ac:dyDescent="0.15">
      <c r="B233" s="630">
        <v>17031005646</v>
      </c>
      <c r="C233" s="630">
        <v>17031000644</v>
      </c>
      <c r="D233" s="630">
        <v>17031000874</v>
      </c>
      <c r="E233" s="630" t="s">
        <v>533</v>
      </c>
      <c r="F233" s="630" t="s">
        <v>534</v>
      </c>
      <c r="G233" s="630" t="s">
        <v>365</v>
      </c>
      <c r="H233" s="630" t="s">
        <v>547</v>
      </c>
      <c r="I233" s="630"/>
      <c r="J233" s="630" t="s">
        <v>627</v>
      </c>
      <c r="K233" s="630"/>
      <c r="L233" s="630"/>
      <c r="M233" s="630"/>
      <c r="N233" s="630"/>
      <c r="O233" s="630"/>
      <c r="P233" s="630"/>
      <c r="Q233" s="630"/>
      <c r="R233" s="630"/>
      <c r="S233" s="630"/>
      <c r="T233" s="630"/>
      <c r="U233" s="630" t="s">
        <v>538</v>
      </c>
      <c r="V233" s="630">
        <v>4</v>
      </c>
      <c r="W233" s="630" t="s">
        <v>545</v>
      </c>
      <c r="X233" s="630" t="s">
        <v>541</v>
      </c>
      <c r="Y233" s="630" t="s">
        <v>540</v>
      </c>
      <c r="Z233" s="630">
        <v>4.3660030000000001</v>
      </c>
      <c r="AA233" s="630">
        <v>7.0264150000000001</v>
      </c>
      <c r="AB233" s="631">
        <v>0</v>
      </c>
      <c r="AC233" s="631">
        <v>0</v>
      </c>
      <c r="AD233" s="631">
        <f t="shared" si="3"/>
        <v>0</v>
      </c>
    </row>
    <row r="234" spans="2:30" x14ac:dyDescent="0.15">
      <c r="B234" s="630">
        <v>17097006301</v>
      </c>
      <c r="C234" s="630">
        <v>17097004549</v>
      </c>
      <c r="D234" s="630">
        <v>17097004552</v>
      </c>
      <c r="E234" s="630" t="s">
        <v>533</v>
      </c>
      <c r="F234" s="630" t="s">
        <v>534</v>
      </c>
      <c r="G234" s="630" t="s">
        <v>373</v>
      </c>
      <c r="H234" s="630" t="s">
        <v>382</v>
      </c>
      <c r="I234" s="630"/>
      <c r="J234" s="630" t="s">
        <v>535</v>
      </c>
      <c r="K234" s="630"/>
      <c r="L234" s="630"/>
      <c r="M234" s="630"/>
      <c r="N234" s="630"/>
      <c r="O234" s="630"/>
      <c r="P234" s="630"/>
      <c r="Q234" s="630"/>
      <c r="R234" s="630"/>
      <c r="S234" s="630"/>
      <c r="T234" s="630"/>
      <c r="U234" s="630" t="s">
        <v>559</v>
      </c>
      <c r="V234" s="630">
        <v>1</v>
      </c>
      <c r="W234" s="630" t="s">
        <v>560</v>
      </c>
      <c r="X234" s="630" t="s">
        <v>541</v>
      </c>
      <c r="Y234" s="630" t="s">
        <v>541</v>
      </c>
      <c r="Z234" s="630">
        <v>0.29351699999999997</v>
      </c>
      <c r="AA234" s="630">
        <v>0.47237000000000001</v>
      </c>
      <c r="AB234" s="631">
        <v>0</v>
      </c>
      <c r="AC234" s="631">
        <v>0</v>
      </c>
      <c r="AD234" s="631">
        <f t="shared" si="3"/>
        <v>0</v>
      </c>
    </row>
    <row r="235" spans="2:30" x14ac:dyDescent="0.15">
      <c r="B235" s="630">
        <v>17031006313</v>
      </c>
      <c r="C235" s="630">
        <v>17031001528</v>
      </c>
      <c r="D235" s="630">
        <v>17031007649</v>
      </c>
      <c r="E235" s="630" t="s">
        <v>533</v>
      </c>
      <c r="F235" s="630" t="s">
        <v>534</v>
      </c>
      <c r="G235" s="630" t="s">
        <v>365</v>
      </c>
      <c r="H235" s="630" t="s">
        <v>382</v>
      </c>
      <c r="I235" s="630"/>
      <c r="J235" s="630"/>
      <c r="K235" s="630"/>
      <c r="L235" s="630"/>
      <c r="M235" s="630"/>
      <c r="N235" s="630"/>
      <c r="O235" s="630"/>
      <c r="P235" s="630"/>
      <c r="Q235" s="630"/>
      <c r="R235" s="630"/>
      <c r="S235" s="630" t="s">
        <v>576</v>
      </c>
      <c r="T235" s="630"/>
      <c r="U235" s="630" t="s">
        <v>559</v>
      </c>
      <c r="V235" s="630">
        <v>1</v>
      </c>
      <c r="W235" s="630" t="s">
        <v>560</v>
      </c>
      <c r="X235" s="630" t="s">
        <v>541</v>
      </c>
      <c r="Y235" s="630" t="s">
        <v>541</v>
      </c>
      <c r="Z235" s="630">
        <v>0.38001099999999999</v>
      </c>
      <c r="AA235" s="630">
        <v>0.61156999999999995</v>
      </c>
      <c r="AB235" s="631">
        <v>0</v>
      </c>
      <c r="AC235" s="631">
        <v>0</v>
      </c>
      <c r="AD235" s="631">
        <f t="shared" si="3"/>
        <v>0</v>
      </c>
    </row>
    <row r="236" spans="2:30" x14ac:dyDescent="0.15">
      <c r="B236" s="630">
        <v>17197007049</v>
      </c>
      <c r="C236" s="630">
        <v>17197005593</v>
      </c>
      <c r="D236" s="630">
        <v>17197005596</v>
      </c>
      <c r="E236" s="630" t="s">
        <v>533</v>
      </c>
      <c r="F236" s="630" t="s">
        <v>534</v>
      </c>
      <c r="G236" s="630" t="s">
        <v>377</v>
      </c>
      <c r="H236" s="630" t="s">
        <v>382</v>
      </c>
      <c r="I236" s="630"/>
      <c r="J236" s="630"/>
      <c r="K236" s="630"/>
      <c r="L236" s="630"/>
      <c r="M236" s="630"/>
      <c r="N236" s="630"/>
      <c r="O236" s="630"/>
      <c r="P236" s="630"/>
      <c r="Q236" s="630"/>
      <c r="R236" s="630"/>
      <c r="S236" s="630" t="s">
        <v>592</v>
      </c>
      <c r="T236" s="630"/>
      <c r="U236" s="630" t="s">
        <v>559</v>
      </c>
      <c r="V236" s="630">
        <v>1</v>
      </c>
      <c r="W236" s="630" t="s">
        <v>539</v>
      </c>
      <c r="X236" s="630" t="s">
        <v>541</v>
      </c>
      <c r="Y236" s="630" t="s">
        <v>541</v>
      </c>
      <c r="Z236" s="630">
        <v>0.182694</v>
      </c>
      <c r="AA236" s="630">
        <v>0.294018</v>
      </c>
      <c r="AB236" s="631">
        <v>523280</v>
      </c>
      <c r="AC236" s="631">
        <v>7207400</v>
      </c>
      <c r="AD236" s="631">
        <f t="shared" si="3"/>
        <v>1316748.7356</v>
      </c>
    </row>
    <row r="237" spans="2:30" x14ac:dyDescent="0.15">
      <c r="B237" s="630">
        <v>17043009134</v>
      </c>
      <c r="C237" s="630">
        <v>17043007341</v>
      </c>
      <c r="D237" s="630">
        <v>17043007344</v>
      </c>
      <c r="E237" s="630" t="s">
        <v>533</v>
      </c>
      <c r="F237" s="630" t="s">
        <v>534</v>
      </c>
      <c r="G237" s="630" t="s">
        <v>367</v>
      </c>
      <c r="H237" s="630" t="s">
        <v>552</v>
      </c>
      <c r="I237" s="630"/>
      <c r="J237" s="630"/>
      <c r="K237" s="630"/>
      <c r="L237" s="630"/>
      <c r="M237" s="630"/>
      <c r="N237" s="630"/>
      <c r="O237" s="630"/>
      <c r="P237" s="630"/>
      <c r="Q237" s="630"/>
      <c r="R237" s="630"/>
      <c r="S237" s="630"/>
      <c r="T237" s="630"/>
      <c r="U237" s="630" t="s">
        <v>559</v>
      </c>
      <c r="V237" s="630">
        <v>1</v>
      </c>
      <c r="W237" s="630" t="s">
        <v>560</v>
      </c>
      <c r="X237" s="630" t="s">
        <v>541</v>
      </c>
      <c r="Y237" s="630" t="s">
        <v>541</v>
      </c>
      <c r="Z237" s="630">
        <v>0.103613</v>
      </c>
      <c r="AA237" s="630">
        <v>0.16675000000000001</v>
      </c>
      <c r="AB237" s="631">
        <v>0</v>
      </c>
      <c r="AC237" s="631">
        <v>0</v>
      </c>
      <c r="AD237" s="631">
        <f t="shared" si="3"/>
        <v>0</v>
      </c>
    </row>
    <row r="238" spans="2:30" x14ac:dyDescent="0.15">
      <c r="B238" s="630">
        <v>17043009160</v>
      </c>
      <c r="C238" s="630">
        <v>17043007368</v>
      </c>
      <c r="D238" s="630">
        <v>17043007362</v>
      </c>
      <c r="E238" s="630" t="s">
        <v>533</v>
      </c>
      <c r="F238" s="630" t="s">
        <v>534</v>
      </c>
      <c r="G238" s="630" t="s">
        <v>367</v>
      </c>
      <c r="H238" s="630" t="s">
        <v>382</v>
      </c>
      <c r="I238" s="630"/>
      <c r="J238" s="630"/>
      <c r="K238" s="630"/>
      <c r="L238" s="630"/>
      <c r="M238" s="630"/>
      <c r="N238" s="630"/>
      <c r="O238" s="630"/>
      <c r="P238" s="630"/>
      <c r="Q238" s="630"/>
      <c r="R238" s="630"/>
      <c r="S238" s="630" t="s">
        <v>561</v>
      </c>
      <c r="T238" s="630"/>
      <c r="U238" s="630" t="s">
        <v>538</v>
      </c>
      <c r="V238" s="630">
        <v>1</v>
      </c>
      <c r="W238" s="630" t="s">
        <v>562</v>
      </c>
      <c r="X238" s="630" t="s">
        <v>541</v>
      </c>
      <c r="Y238" s="630" t="s">
        <v>540</v>
      </c>
      <c r="Z238" s="630">
        <v>0.20298099999999999</v>
      </c>
      <c r="AA238" s="630">
        <v>0.32666600000000001</v>
      </c>
      <c r="AB238" s="631">
        <v>16124</v>
      </c>
      <c r="AC238" s="631">
        <v>373440</v>
      </c>
      <c r="AD238" s="631">
        <f t="shared" si="3"/>
        <v>75801.22464</v>
      </c>
    </row>
    <row r="239" spans="2:30" x14ac:dyDescent="0.15">
      <c r="B239" s="630">
        <v>17197009303</v>
      </c>
      <c r="C239" s="630">
        <v>17197007422</v>
      </c>
      <c r="D239" s="630">
        <v>17197007426</v>
      </c>
      <c r="E239" s="630" t="s">
        <v>533</v>
      </c>
      <c r="F239" s="630" t="s">
        <v>534</v>
      </c>
      <c r="G239" s="630" t="s">
        <v>377</v>
      </c>
      <c r="H239" s="630" t="s">
        <v>551</v>
      </c>
      <c r="I239" s="630"/>
      <c r="J239" s="630" t="s">
        <v>535</v>
      </c>
      <c r="K239" s="630"/>
      <c r="L239" s="630"/>
      <c r="M239" s="630"/>
      <c r="N239" s="630"/>
      <c r="O239" s="630"/>
      <c r="P239" s="630"/>
      <c r="Q239" s="630"/>
      <c r="R239" s="630"/>
      <c r="S239" s="630" t="s">
        <v>594</v>
      </c>
      <c r="T239" s="630"/>
      <c r="U239" s="630" t="s">
        <v>559</v>
      </c>
      <c r="V239" s="630">
        <v>1</v>
      </c>
      <c r="W239" s="630" t="s">
        <v>560</v>
      </c>
      <c r="X239" s="630" t="s">
        <v>541</v>
      </c>
      <c r="Y239" s="630" t="s">
        <v>541</v>
      </c>
      <c r="Z239" s="630">
        <v>0.24610000000000001</v>
      </c>
      <c r="AA239" s="630">
        <v>0.396061</v>
      </c>
      <c r="AB239" s="631">
        <v>0</v>
      </c>
      <c r="AC239" s="631">
        <v>0</v>
      </c>
      <c r="AD239" s="631">
        <f t="shared" si="3"/>
        <v>0</v>
      </c>
    </row>
    <row r="240" spans="2:30" x14ac:dyDescent="0.15">
      <c r="B240" s="630">
        <v>17031009466</v>
      </c>
      <c r="C240" s="630">
        <v>17031007556</v>
      </c>
      <c r="D240" s="630">
        <v>17031007568</v>
      </c>
      <c r="E240" s="630" t="s">
        <v>533</v>
      </c>
      <c r="F240" s="630" t="s">
        <v>534</v>
      </c>
      <c r="G240" s="630" t="s">
        <v>365</v>
      </c>
      <c r="H240" s="630" t="s">
        <v>590</v>
      </c>
      <c r="I240" s="630"/>
      <c r="J240" s="630"/>
      <c r="K240" s="630"/>
      <c r="L240" s="630"/>
      <c r="M240" s="630"/>
      <c r="N240" s="630"/>
      <c r="O240" s="630"/>
      <c r="P240" s="630"/>
      <c r="Q240" s="630"/>
      <c r="R240" s="630"/>
      <c r="S240" s="630"/>
      <c r="T240" s="630"/>
      <c r="U240" s="630" t="s">
        <v>559</v>
      </c>
      <c r="V240" s="630">
        <v>1</v>
      </c>
      <c r="W240" s="630" t="s">
        <v>560</v>
      </c>
      <c r="X240" s="630" t="s">
        <v>541</v>
      </c>
      <c r="Y240" s="630" t="s">
        <v>541</v>
      </c>
      <c r="Z240" s="630">
        <v>2.3248999999999999E-2</v>
      </c>
      <c r="AA240" s="630">
        <v>3.7415999999999998E-2</v>
      </c>
      <c r="AB240" s="631">
        <v>0</v>
      </c>
      <c r="AC240" s="631">
        <v>0</v>
      </c>
      <c r="AD240" s="631">
        <f t="shared" si="3"/>
        <v>0</v>
      </c>
    </row>
    <row r="241" spans="2:30" x14ac:dyDescent="0.15">
      <c r="B241" s="630">
        <v>17031009540</v>
      </c>
      <c r="C241" s="630">
        <v>17031007634</v>
      </c>
      <c r="D241" s="630">
        <v>17031007636</v>
      </c>
      <c r="E241" s="630" t="s">
        <v>533</v>
      </c>
      <c r="F241" s="630" t="s">
        <v>534</v>
      </c>
      <c r="G241" s="630" t="s">
        <v>365</v>
      </c>
      <c r="H241" s="630" t="s">
        <v>382</v>
      </c>
      <c r="I241" s="630"/>
      <c r="J241" s="630"/>
      <c r="K241" s="630"/>
      <c r="L241" s="630"/>
      <c r="M241" s="630"/>
      <c r="N241" s="630"/>
      <c r="O241" s="630"/>
      <c r="P241" s="630"/>
      <c r="Q241" s="630"/>
      <c r="R241" s="630"/>
      <c r="S241" s="630" t="s">
        <v>576</v>
      </c>
      <c r="T241" s="630"/>
      <c r="U241" s="630" t="s">
        <v>559</v>
      </c>
      <c r="V241" s="630">
        <v>1</v>
      </c>
      <c r="W241" s="630" t="s">
        <v>560</v>
      </c>
      <c r="X241" s="630" t="s">
        <v>541</v>
      </c>
      <c r="Y241" s="630" t="s">
        <v>541</v>
      </c>
      <c r="Z241" s="630">
        <v>3.6511000000000002E-2</v>
      </c>
      <c r="AA241" s="630">
        <v>5.8758999999999999E-2</v>
      </c>
      <c r="AB241" s="631">
        <v>0</v>
      </c>
      <c r="AC241" s="631">
        <v>0</v>
      </c>
      <c r="AD241" s="631">
        <f t="shared" si="3"/>
        <v>0</v>
      </c>
    </row>
    <row r="242" spans="2:30" x14ac:dyDescent="0.15">
      <c r="B242" s="630">
        <v>17031002172</v>
      </c>
      <c r="C242" s="630">
        <v>17031001375</v>
      </c>
      <c r="D242" s="630">
        <v>17031001303</v>
      </c>
      <c r="E242" s="630" t="s">
        <v>533</v>
      </c>
      <c r="F242" s="630" t="s">
        <v>534</v>
      </c>
      <c r="G242" s="630" t="s">
        <v>365</v>
      </c>
      <c r="H242" s="630" t="s">
        <v>557</v>
      </c>
      <c r="I242" s="630"/>
      <c r="J242" s="630" t="s">
        <v>381</v>
      </c>
      <c r="K242" s="630" t="s">
        <v>535</v>
      </c>
      <c r="L242" s="630" t="s">
        <v>552</v>
      </c>
      <c r="M242" s="630" t="s">
        <v>551</v>
      </c>
      <c r="N242" s="630" t="s">
        <v>615</v>
      </c>
      <c r="O242" s="630" t="s">
        <v>543</v>
      </c>
      <c r="P242" s="630" t="s">
        <v>382</v>
      </c>
      <c r="Q242" s="630"/>
      <c r="R242" s="630"/>
      <c r="S242" s="630" t="s">
        <v>570</v>
      </c>
      <c r="T242" s="630"/>
      <c r="U242" s="630" t="s">
        <v>538</v>
      </c>
      <c r="V242" s="630">
        <v>2</v>
      </c>
      <c r="W242" s="630" t="s">
        <v>545</v>
      </c>
      <c r="X242" s="630" t="s">
        <v>546</v>
      </c>
      <c r="Y242" s="630" t="s">
        <v>554</v>
      </c>
      <c r="Z242" s="630">
        <v>1.1331549999999999</v>
      </c>
      <c r="AA242" s="630">
        <v>1.8236399999999999</v>
      </c>
      <c r="AB242" s="631">
        <v>1195443</v>
      </c>
      <c r="AC242" s="631">
        <v>40434913</v>
      </c>
      <c r="AD242" s="631">
        <f t="shared" si="3"/>
        <v>45819023.840514995</v>
      </c>
    </row>
    <row r="243" spans="2:30" x14ac:dyDescent="0.15">
      <c r="B243" s="630">
        <v>17031002243</v>
      </c>
      <c r="C243" s="630">
        <v>17031000512</v>
      </c>
      <c r="D243" s="630">
        <v>17031000480</v>
      </c>
      <c r="E243" s="630" t="s">
        <v>533</v>
      </c>
      <c r="F243" s="630" t="s">
        <v>534</v>
      </c>
      <c r="G243" s="630" t="s">
        <v>365</v>
      </c>
      <c r="H243" s="630" t="s">
        <v>590</v>
      </c>
      <c r="I243" s="630"/>
      <c r="J243" s="630"/>
      <c r="K243" s="630"/>
      <c r="L243" s="630"/>
      <c r="M243" s="630"/>
      <c r="N243" s="630"/>
      <c r="O243" s="630"/>
      <c r="P243" s="630"/>
      <c r="Q243" s="630"/>
      <c r="R243" s="630"/>
      <c r="S243" s="630"/>
      <c r="T243" s="630"/>
      <c r="U243" s="630" t="s">
        <v>559</v>
      </c>
      <c r="V243" s="630">
        <v>1</v>
      </c>
      <c r="W243" s="630" t="s">
        <v>560</v>
      </c>
      <c r="X243" s="630" t="s">
        <v>541</v>
      </c>
      <c r="Y243" s="630" t="s">
        <v>541</v>
      </c>
      <c r="Z243" s="630">
        <v>0.69134799999999996</v>
      </c>
      <c r="AA243" s="630">
        <v>1.112619</v>
      </c>
      <c r="AB243" s="631">
        <v>0</v>
      </c>
      <c r="AC243" s="631">
        <v>0</v>
      </c>
      <c r="AD243" s="631">
        <f t="shared" si="3"/>
        <v>0</v>
      </c>
    </row>
    <row r="244" spans="2:30" x14ac:dyDescent="0.15">
      <c r="B244" s="630">
        <v>17197002265</v>
      </c>
      <c r="C244" s="630">
        <v>17197001431</v>
      </c>
      <c r="D244" s="630">
        <v>17197004802</v>
      </c>
      <c r="E244" s="630" t="s">
        <v>533</v>
      </c>
      <c r="F244" s="630" t="s">
        <v>534</v>
      </c>
      <c r="G244" s="630" t="s">
        <v>377</v>
      </c>
      <c r="H244" s="630" t="s">
        <v>535</v>
      </c>
      <c r="I244" s="630"/>
      <c r="J244" s="630" t="s">
        <v>542</v>
      </c>
      <c r="K244" s="630" t="s">
        <v>572</v>
      </c>
      <c r="L244" s="630" t="s">
        <v>547</v>
      </c>
      <c r="M244" s="630" t="s">
        <v>382</v>
      </c>
      <c r="N244" s="630"/>
      <c r="O244" s="630"/>
      <c r="P244" s="630"/>
      <c r="Q244" s="630"/>
      <c r="R244" s="630"/>
      <c r="S244" s="630" t="s">
        <v>601</v>
      </c>
      <c r="T244" s="630"/>
      <c r="U244" s="630" t="s">
        <v>538</v>
      </c>
      <c r="V244" s="630">
        <v>2</v>
      </c>
      <c r="W244" s="630" t="s">
        <v>545</v>
      </c>
      <c r="X244" s="630" t="s">
        <v>540</v>
      </c>
      <c r="Y244" s="630" t="s">
        <v>549</v>
      </c>
      <c r="Z244" s="630">
        <v>5.6763240000000001</v>
      </c>
      <c r="AA244" s="630">
        <v>9.1351759999999995</v>
      </c>
      <c r="AB244" s="631">
        <v>43880</v>
      </c>
      <c r="AC244" s="631">
        <v>1364920</v>
      </c>
      <c r="AD244" s="631">
        <f t="shared" si="3"/>
        <v>7747728.1540799998</v>
      </c>
    </row>
    <row r="245" spans="2:30" x14ac:dyDescent="0.15">
      <c r="B245" s="630">
        <v>17043002388</v>
      </c>
      <c r="C245" s="630">
        <v>17043000499</v>
      </c>
      <c r="D245" s="630">
        <v>17043004783</v>
      </c>
      <c r="E245" s="630" t="s">
        <v>533</v>
      </c>
      <c r="F245" s="630" t="s">
        <v>534</v>
      </c>
      <c r="G245" s="630" t="s">
        <v>367</v>
      </c>
      <c r="H245" s="630" t="s">
        <v>382</v>
      </c>
      <c r="I245" s="630"/>
      <c r="J245" s="630"/>
      <c r="K245" s="630"/>
      <c r="L245" s="630"/>
      <c r="M245" s="630"/>
      <c r="N245" s="630"/>
      <c r="O245" s="630"/>
      <c r="P245" s="630"/>
      <c r="Q245" s="630"/>
      <c r="R245" s="630"/>
      <c r="S245" s="630" t="s">
        <v>561</v>
      </c>
      <c r="T245" s="630"/>
      <c r="U245" s="630" t="s">
        <v>538</v>
      </c>
      <c r="V245" s="630">
        <v>1</v>
      </c>
      <c r="W245" s="630" t="s">
        <v>562</v>
      </c>
      <c r="X245" s="630" t="s">
        <v>541</v>
      </c>
      <c r="Y245" s="630" t="s">
        <v>540</v>
      </c>
      <c r="Z245" s="630">
        <v>2.8430849999999999</v>
      </c>
      <c r="AA245" s="630">
        <v>4.5755119999999998</v>
      </c>
      <c r="AB245" s="631">
        <v>16124</v>
      </c>
      <c r="AC245" s="631">
        <v>373440</v>
      </c>
      <c r="AD245" s="631">
        <f t="shared" si="3"/>
        <v>1061721.6624</v>
      </c>
    </row>
    <row r="246" spans="2:30" x14ac:dyDescent="0.15">
      <c r="B246" s="630">
        <v>17031003116</v>
      </c>
      <c r="C246" s="630">
        <v>17031001131</v>
      </c>
      <c r="D246" s="630">
        <v>99999022079</v>
      </c>
      <c r="E246" s="630" t="s">
        <v>533</v>
      </c>
      <c r="F246" s="630" t="s">
        <v>534</v>
      </c>
      <c r="G246" s="630" t="s">
        <v>365</v>
      </c>
      <c r="H246" s="630" t="s">
        <v>551</v>
      </c>
      <c r="I246" s="630"/>
      <c r="J246" s="630"/>
      <c r="K246" s="630"/>
      <c r="L246" s="630"/>
      <c r="M246" s="630"/>
      <c r="N246" s="630"/>
      <c r="O246" s="630"/>
      <c r="P246" s="630"/>
      <c r="Q246" s="630"/>
      <c r="R246" s="630"/>
      <c r="S246" s="630" t="s">
        <v>642</v>
      </c>
      <c r="T246" s="630"/>
      <c r="U246" s="630" t="s">
        <v>538</v>
      </c>
      <c r="V246" s="630">
        <v>1</v>
      </c>
      <c r="W246" s="630" t="s">
        <v>560</v>
      </c>
      <c r="X246" s="630" t="s">
        <v>541</v>
      </c>
      <c r="Y246" s="630" t="s">
        <v>554</v>
      </c>
      <c r="Z246" s="630">
        <v>0.68635800000000002</v>
      </c>
      <c r="AA246" s="630">
        <v>1.1045879999999999</v>
      </c>
      <c r="AB246" s="631">
        <v>0</v>
      </c>
      <c r="AC246" s="631">
        <v>0</v>
      </c>
      <c r="AD246" s="631">
        <f t="shared" si="3"/>
        <v>0</v>
      </c>
    </row>
    <row r="247" spans="2:30" x14ac:dyDescent="0.15">
      <c r="B247" s="630">
        <v>17031003212</v>
      </c>
      <c r="C247" s="630">
        <v>17031000353</v>
      </c>
      <c r="D247" s="630">
        <v>17031000355</v>
      </c>
      <c r="E247" s="630" t="s">
        <v>533</v>
      </c>
      <c r="F247" s="630" t="s">
        <v>534</v>
      </c>
      <c r="G247" s="630" t="s">
        <v>365</v>
      </c>
      <c r="H247" s="630" t="s">
        <v>552</v>
      </c>
      <c r="I247" s="630"/>
      <c r="J247" s="630"/>
      <c r="K247" s="630"/>
      <c r="L247" s="630"/>
      <c r="M247" s="630"/>
      <c r="N247" s="630"/>
      <c r="O247" s="630"/>
      <c r="P247" s="630"/>
      <c r="Q247" s="630"/>
      <c r="R247" s="630"/>
      <c r="S247" s="630"/>
      <c r="T247" s="630"/>
      <c r="U247" s="630" t="s">
        <v>559</v>
      </c>
      <c r="V247" s="630">
        <v>1</v>
      </c>
      <c r="W247" s="630" t="s">
        <v>560</v>
      </c>
      <c r="X247" s="630" t="s">
        <v>541</v>
      </c>
      <c r="Y247" s="630" t="s">
        <v>541</v>
      </c>
      <c r="Z247" s="630">
        <v>0.752197</v>
      </c>
      <c r="AA247" s="630">
        <v>1.210547</v>
      </c>
      <c r="AB247" s="631">
        <v>0</v>
      </c>
      <c r="AC247" s="631">
        <v>0</v>
      </c>
      <c r="AD247" s="631">
        <f t="shared" si="3"/>
        <v>0</v>
      </c>
    </row>
    <row r="248" spans="2:30" x14ac:dyDescent="0.15">
      <c r="B248" s="630">
        <v>17031003276</v>
      </c>
      <c r="C248" s="630">
        <v>17031000900</v>
      </c>
      <c r="D248" s="630">
        <v>17031000901</v>
      </c>
      <c r="E248" s="630" t="s">
        <v>533</v>
      </c>
      <c r="F248" s="630" t="s">
        <v>534</v>
      </c>
      <c r="G248" s="630" t="s">
        <v>365</v>
      </c>
      <c r="H248" s="630" t="s">
        <v>381</v>
      </c>
      <c r="I248" s="630"/>
      <c r="J248" s="630" t="s">
        <v>551</v>
      </c>
      <c r="K248" s="630" t="s">
        <v>543</v>
      </c>
      <c r="L248" s="630" t="s">
        <v>382</v>
      </c>
      <c r="M248" s="630"/>
      <c r="N248" s="630"/>
      <c r="O248" s="630"/>
      <c r="P248" s="630"/>
      <c r="Q248" s="630"/>
      <c r="R248" s="630"/>
      <c r="S248" s="630"/>
      <c r="T248" s="630"/>
      <c r="U248" s="630" t="s">
        <v>538</v>
      </c>
      <c r="V248" s="630">
        <v>2</v>
      </c>
      <c r="W248" s="630" t="s">
        <v>545</v>
      </c>
      <c r="X248" s="630" t="s">
        <v>580</v>
      </c>
      <c r="Y248" s="630" t="s">
        <v>541</v>
      </c>
      <c r="Z248" s="630">
        <v>0.206762</v>
      </c>
      <c r="AA248" s="630">
        <v>0.33275300000000002</v>
      </c>
      <c r="AB248" s="631">
        <v>936932</v>
      </c>
      <c r="AC248" s="631">
        <v>21892306</v>
      </c>
      <c r="AD248" s="631">
        <f t="shared" si="3"/>
        <v>4526496.9731719997</v>
      </c>
    </row>
    <row r="249" spans="2:30" x14ac:dyDescent="0.15">
      <c r="B249" s="630">
        <v>17031003493</v>
      </c>
      <c r="C249" s="630">
        <v>17031000496</v>
      </c>
      <c r="D249" s="630">
        <v>17031000485</v>
      </c>
      <c r="E249" s="630" t="s">
        <v>533</v>
      </c>
      <c r="F249" s="630" t="s">
        <v>534</v>
      </c>
      <c r="G249" s="630" t="s">
        <v>365</v>
      </c>
      <c r="H249" s="630" t="s">
        <v>552</v>
      </c>
      <c r="I249" s="630"/>
      <c r="J249" s="630" t="s">
        <v>542</v>
      </c>
      <c r="K249" s="630" t="s">
        <v>547</v>
      </c>
      <c r="L249" s="630"/>
      <c r="M249" s="630"/>
      <c r="N249" s="630"/>
      <c r="O249" s="630"/>
      <c r="P249" s="630"/>
      <c r="Q249" s="630"/>
      <c r="R249" s="630"/>
      <c r="S249" s="630" t="s">
        <v>564</v>
      </c>
      <c r="T249" s="630"/>
      <c r="U249" s="630" t="s">
        <v>538</v>
      </c>
      <c r="V249" s="630">
        <v>2</v>
      </c>
      <c r="W249" s="630" t="s">
        <v>545</v>
      </c>
      <c r="X249" s="630" t="s">
        <v>541</v>
      </c>
      <c r="Y249" s="630" t="s">
        <v>540</v>
      </c>
      <c r="Z249" s="630">
        <v>0.19530700000000001</v>
      </c>
      <c r="AA249" s="630">
        <v>0.31431700000000001</v>
      </c>
      <c r="AB249" s="631">
        <v>0</v>
      </c>
      <c r="AC249" s="631">
        <v>0</v>
      </c>
      <c r="AD249" s="631">
        <f t="shared" si="3"/>
        <v>0</v>
      </c>
    </row>
    <row r="250" spans="2:30" x14ac:dyDescent="0.15">
      <c r="B250" s="630">
        <v>17031003607</v>
      </c>
      <c r="C250" s="630">
        <v>17031000840</v>
      </c>
      <c r="D250" s="630">
        <v>17031000859</v>
      </c>
      <c r="E250" s="630" t="s">
        <v>533</v>
      </c>
      <c r="F250" s="630" t="s">
        <v>534</v>
      </c>
      <c r="G250" s="630" t="s">
        <v>365</v>
      </c>
      <c r="H250" s="630" t="s">
        <v>551</v>
      </c>
      <c r="I250" s="630" t="s">
        <v>535</v>
      </c>
      <c r="J250" s="630"/>
      <c r="K250" s="630"/>
      <c r="L250" s="630"/>
      <c r="M250" s="630"/>
      <c r="N250" s="630"/>
      <c r="O250" s="630"/>
      <c r="P250" s="630"/>
      <c r="Q250" s="630"/>
      <c r="R250" s="630"/>
      <c r="S250" s="630" t="s">
        <v>553</v>
      </c>
      <c r="T250" s="630"/>
      <c r="U250" s="630" t="s">
        <v>538</v>
      </c>
      <c r="V250" s="630">
        <v>1</v>
      </c>
      <c r="W250" s="630" t="s">
        <v>560</v>
      </c>
      <c r="X250" s="630" t="s">
        <v>541</v>
      </c>
      <c r="Y250" s="630" t="s">
        <v>541</v>
      </c>
      <c r="Z250" s="630">
        <v>0.33674999999999999</v>
      </c>
      <c r="AA250" s="630">
        <v>0.54194699999999996</v>
      </c>
      <c r="AB250" s="631">
        <v>0</v>
      </c>
      <c r="AC250" s="631">
        <v>0</v>
      </c>
      <c r="AD250" s="631">
        <f t="shared" si="3"/>
        <v>0</v>
      </c>
    </row>
    <row r="251" spans="2:30" x14ac:dyDescent="0.15">
      <c r="B251" s="630">
        <v>17031003633</v>
      </c>
      <c r="C251" s="630">
        <v>17031001017</v>
      </c>
      <c r="D251" s="630">
        <v>17031001033</v>
      </c>
      <c r="E251" s="630" t="s">
        <v>533</v>
      </c>
      <c r="F251" s="630" t="s">
        <v>534</v>
      </c>
      <c r="G251" s="630" t="s">
        <v>365</v>
      </c>
      <c r="H251" s="630" t="s">
        <v>571</v>
      </c>
      <c r="I251" s="630"/>
      <c r="J251" s="630" t="s">
        <v>552</v>
      </c>
      <c r="K251" s="630" t="s">
        <v>572</v>
      </c>
      <c r="L251" s="630" t="s">
        <v>555</v>
      </c>
      <c r="M251" s="630" t="s">
        <v>543</v>
      </c>
      <c r="N251" s="630" t="s">
        <v>382</v>
      </c>
      <c r="O251" s="630"/>
      <c r="P251" s="630"/>
      <c r="Q251" s="630"/>
      <c r="R251" s="630"/>
      <c r="S251" s="630" t="s">
        <v>573</v>
      </c>
      <c r="T251" s="630"/>
      <c r="U251" s="630" t="s">
        <v>538</v>
      </c>
      <c r="V251" s="630">
        <v>3</v>
      </c>
      <c r="W251" s="630" t="s">
        <v>545</v>
      </c>
      <c r="X251" s="630" t="s">
        <v>575</v>
      </c>
      <c r="Y251" s="630" t="s">
        <v>554</v>
      </c>
      <c r="Z251" s="630">
        <v>1.102012</v>
      </c>
      <c r="AA251" s="630">
        <v>1.7735190000000001</v>
      </c>
      <c r="AB251" s="631">
        <v>349773</v>
      </c>
      <c r="AC251" s="631">
        <v>15945671</v>
      </c>
      <c r="AD251" s="631">
        <f t="shared" si="3"/>
        <v>17572320.790052</v>
      </c>
    </row>
    <row r="252" spans="2:30" x14ac:dyDescent="0.15">
      <c r="B252" s="630">
        <v>17031003663</v>
      </c>
      <c r="C252" s="630">
        <v>17031001037</v>
      </c>
      <c r="D252" s="630">
        <v>17031001117</v>
      </c>
      <c r="E252" s="630" t="s">
        <v>533</v>
      </c>
      <c r="F252" s="630" t="s">
        <v>534</v>
      </c>
      <c r="G252" s="630" t="s">
        <v>365</v>
      </c>
      <c r="H252" s="630" t="s">
        <v>551</v>
      </c>
      <c r="I252" s="630" t="s">
        <v>535</v>
      </c>
      <c r="J252" s="630"/>
      <c r="K252" s="630"/>
      <c r="L252" s="630"/>
      <c r="M252" s="630"/>
      <c r="N252" s="630"/>
      <c r="O252" s="630"/>
      <c r="P252" s="630"/>
      <c r="Q252" s="630"/>
      <c r="R252" s="630"/>
      <c r="S252" s="630" t="s">
        <v>553</v>
      </c>
      <c r="T252" s="630"/>
      <c r="U252" s="630" t="s">
        <v>538</v>
      </c>
      <c r="V252" s="630">
        <v>2</v>
      </c>
      <c r="W252" s="630" t="s">
        <v>582</v>
      </c>
      <c r="X252" s="630" t="s">
        <v>540</v>
      </c>
      <c r="Y252" s="630" t="s">
        <v>540</v>
      </c>
      <c r="Z252" s="630">
        <v>2.609845</v>
      </c>
      <c r="AA252" s="630">
        <v>4.2001470000000003</v>
      </c>
      <c r="AB252" s="631">
        <v>0</v>
      </c>
      <c r="AC252" s="631">
        <v>0</v>
      </c>
      <c r="AD252" s="631">
        <f t="shared" si="3"/>
        <v>0</v>
      </c>
    </row>
    <row r="253" spans="2:30" x14ac:dyDescent="0.15">
      <c r="B253" s="630">
        <v>17031003870</v>
      </c>
      <c r="C253" s="630">
        <v>17031001335</v>
      </c>
      <c r="D253" s="630">
        <v>17031001354</v>
      </c>
      <c r="E253" s="630" t="s">
        <v>533</v>
      </c>
      <c r="F253" s="630" t="s">
        <v>534</v>
      </c>
      <c r="G253" s="630" t="s">
        <v>365</v>
      </c>
      <c r="H253" s="630" t="s">
        <v>382</v>
      </c>
      <c r="I253" s="630"/>
      <c r="J253" s="630" t="s">
        <v>542</v>
      </c>
      <c r="K253" s="630" t="s">
        <v>555</v>
      </c>
      <c r="L253" s="630"/>
      <c r="M253" s="630"/>
      <c r="N253" s="630"/>
      <c r="O253" s="630"/>
      <c r="P253" s="630"/>
      <c r="Q253" s="630"/>
      <c r="R253" s="630"/>
      <c r="S253" s="630" t="s">
        <v>556</v>
      </c>
      <c r="T253" s="630"/>
      <c r="U253" s="630" t="s">
        <v>538</v>
      </c>
      <c r="V253" s="630">
        <v>2</v>
      </c>
      <c r="W253" s="630" t="s">
        <v>545</v>
      </c>
      <c r="X253" s="630" t="s">
        <v>540</v>
      </c>
      <c r="Y253" s="630" t="s">
        <v>540</v>
      </c>
      <c r="Z253" s="630">
        <v>0.33068799999999998</v>
      </c>
      <c r="AA253" s="630">
        <v>0.53219300000000003</v>
      </c>
      <c r="AB253" s="631">
        <v>45400</v>
      </c>
      <c r="AC253" s="631">
        <v>2103988</v>
      </c>
      <c r="AD253" s="631">
        <f t="shared" si="3"/>
        <v>695763.58374399994</v>
      </c>
    </row>
    <row r="254" spans="2:30" x14ac:dyDescent="0.15">
      <c r="B254" s="630">
        <v>17031003879</v>
      </c>
      <c r="C254" s="630">
        <v>17031000576</v>
      </c>
      <c r="D254" s="630">
        <v>17031000575</v>
      </c>
      <c r="E254" s="630" t="s">
        <v>533</v>
      </c>
      <c r="F254" s="630" t="s">
        <v>534</v>
      </c>
      <c r="G254" s="630" t="s">
        <v>365</v>
      </c>
      <c r="H254" s="630" t="s">
        <v>382</v>
      </c>
      <c r="I254" s="630"/>
      <c r="J254" s="630" t="s">
        <v>572</v>
      </c>
      <c r="K254" s="630" t="s">
        <v>547</v>
      </c>
      <c r="L254" s="630"/>
      <c r="M254" s="630"/>
      <c r="N254" s="630"/>
      <c r="O254" s="630"/>
      <c r="P254" s="630"/>
      <c r="Q254" s="630"/>
      <c r="R254" s="630"/>
      <c r="S254" s="630" t="s">
        <v>583</v>
      </c>
      <c r="T254" s="630"/>
      <c r="U254" s="630" t="s">
        <v>538</v>
      </c>
      <c r="V254" s="630">
        <v>3</v>
      </c>
      <c r="W254" s="630" t="s">
        <v>545</v>
      </c>
      <c r="X254" s="630" t="s">
        <v>580</v>
      </c>
      <c r="Y254" s="630" t="s">
        <v>540</v>
      </c>
      <c r="Z254" s="630">
        <v>0.53433900000000001</v>
      </c>
      <c r="AA254" s="630">
        <v>0.85993600000000003</v>
      </c>
      <c r="AB254" s="631">
        <v>858401</v>
      </c>
      <c r="AC254" s="631">
        <v>28501686</v>
      </c>
      <c r="AD254" s="631">
        <f t="shared" si="3"/>
        <v>15229562.395554001</v>
      </c>
    </row>
    <row r="255" spans="2:30" x14ac:dyDescent="0.15">
      <c r="B255" s="630">
        <v>17031003928</v>
      </c>
      <c r="C255" s="630">
        <v>17031001163</v>
      </c>
      <c r="D255" s="630">
        <v>17031006712</v>
      </c>
      <c r="E255" s="630" t="s">
        <v>533</v>
      </c>
      <c r="F255" s="630" t="s">
        <v>534</v>
      </c>
      <c r="G255" s="630" t="s">
        <v>365</v>
      </c>
      <c r="H255" s="630" t="s">
        <v>571</v>
      </c>
      <c r="I255" s="630"/>
      <c r="J255" s="630"/>
      <c r="K255" s="630"/>
      <c r="L255" s="630"/>
      <c r="M255" s="630"/>
      <c r="N255" s="630"/>
      <c r="O255" s="630"/>
      <c r="P255" s="630"/>
      <c r="Q255" s="630"/>
      <c r="R255" s="630"/>
      <c r="S255" s="630" t="s">
        <v>573</v>
      </c>
      <c r="T255" s="630" t="s">
        <v>643</v>
      </c>
      <c r="U255" s="630" t="s">
        <v>538</v>
      </c>
      <c r="V255" s="630">
        <v>1</v>
      </c>
      <c r="W255" s="630" t="s">
        <v>545</v>
      </c>
      <c r="X255" s="630" t="s">
        <v>546</v>
      </c>
      <c r="Y255" s="630" t="s">
        <v>541</v>
      </c>
      <c r="Z255" s="630">
        <v>0.69272299999999998</v>
      </c>
      <c r="AA255" s="630">
        <v>1.114832</v>
      </c>
      <c r="AB255" s="631">
        <v>0</v>
      </c>
      <c r="AC255" s="631">
        <v>0</v>
      </c>
      <c r="AD255" s="631">
        <f t="shared" si="3"/>
        <v>0</v>
      </c>
    </row>
    <row r="256" spans="2:30" x14ac:dyDescent="0.15">
      <c r="B256" s="630">
        <v>17031003973</v>
      </c>
      <c r="C256" s="630">
        <v>17031000903</v>
      </c>
      <c r="D256" s="630">
        <v>17031000889</v>
      </c>
      <c r="E256" s="630" t="s">
        <v>533</v>
      </c>
      <c r="F256" s="630" t="s">
        <v>534</v>
      </c>
      <c r="G256" s="630" t="s">
        <v>365</v>
      </c>
      <c r="H256" s="630" t="s">
        <v>543</v>
      </c>
      <c r="I256" s="630"/>
      <c r="J256" s="630" t="s">
        <v>542</v>
      </c>
      <c r="K256" s="630"/>
      <c r="L256" s="630"/>
      <c r="M256" s="630"/>
      <c r="N256" s="630"/>
      <c r="O256" s="630"/>
      <c r="P256" s="630"/>
      <c r="Q256" s="630"/>
      <c r="R256" s="630"/>
      <c r="S256" s="630" t="s">
        <v>630</v>
      </c>
      <c r="T256" s="630"/>
      <c r="U256" s="630" t="s">
        <v>538</v>
      </c>
      <c r="V256" s="630">
        <v>2</v>
      </c>
      <c r="W256" s="630" t="s">
        <v>545</v>
      </c>
      <c r="X256" s="630" t="s">
        <v>580</v>
      </c>
      <c r="Y256" s="630" t="s">
        <v>540</v>
      </c>
      <c r="Z256" s="630">
        <v>0.18421599999999999</v>
      </c>
      <c r="AA256" s="630">
        <v>0.29646800000000001</v>
      </c>
      <c r="AB256" s="631">
        <v>2617438</v>
      </c>
      <c r="AC256" s="631">
        <v>69406708</v>
      </c>
      <c r="AD256" s="631">
        <f t="shared" si="3"/>
        <v>12785826.120927999</v>
      </c>
    </row>
    <row r="257" spans="2:30" x14ac:dyDescent="0.15">
      <c r="B257" s="630">
        <v>17031004006</v>
      </c>
      <c r="C257" s="630">
        <v>17031000893</v>
      </c>
      <c r="D257" s="630">
        <v>17031004716</v>
      </c>
      <c r="E257" s="630" t="s">
        <v>533</v>
      </c>
      <c r="F257" s="630" t="s">
        <v>534</v>
      </c>
      <c r="G257" s="630" t="s">
        <v>365</v>
      </c>
      <c r="H257" s="630" t="s">
        <v>551</v>
      </c>
      <c r="I257" s="630"/>
      <c r="J257" s="630" t="s">
        <v>381</v>
      </c>
      <c r="K257" s="630" t="s">
        <v>535</v>
      </c>
      <c r="L257" s="630" t="s">
        <v>552</v>
      </c>
      <c r="M257" s="630" t="s">
        <v>382</v>
      </c>
      <c r="N257" s="630"/>
      <c r="O257" s="630"/>
      <c r="P257" s="630"/>
      <c r="Q257" s="630"/>
      <c r="R257" s="630"/>
      <c r="S257" s="630" t="s">
        <v>600</v>
      </c>
      <c r="T257" s="630"/>
      <c r="U257" s="630" t="s">
        <v>538</v>
      </c>
      <c r="V257" s="630">
        <v>3</v>
      </c>
      <c r="W257" s="630" t="s">
        <v>582</v>
      </c>
      <c r="X257" s="630" t="s">
        <v>575</v>
      </c>
      <c r="Y257" s="630" t="s">
        <v>540</v>
      </c>
      <c r="Z257" s="630">
        <v>0.73901600000000001</v>
      </c>
      <c r="AA257" s="630">
        <v>1.189333</v>
      </c>
      <c r="AB257" s="631">
        <v>441393</v>
      </c>
      <c r="AC257" s="631">
        <v>9058562</v>
      </c>
      <c r="AD257" s="631">
        <f t="shared" si="3"/>
        <v>6694422.2549919998</v>
      </c>
    </row>
    <row r="258" spans="2:30" x14ac:dyDescent="0.15">
      <c r="B258" s="630">
        <v>17031004287</v>
      </c>
      <c r="C258" s="630">
        <v>17031000745</v>
      </c>
      <c r="D258" s="630">
        <v>17031000759</v>
      </c>
      <c r="E258" s="630" t="s">
        <v>533</v>
      </c>
      <c r="F258" s="630" t="s">
        <v>534</v>
      </c>
      <c r="G258" s="630" t="s">
        <v>365</v>
      </c>
      <c r="H258" s="630" t="s">
        <v>571</v>
      </c>
      <c r="I258" s="630"/>
      <c r="J258" s="630" t="s">
        <v>381</v>
      </c>
      <c r="K258" s="630" t="s">
        <v>535</v>
      </c>
      <c r="L258" s="630" t="s">
        <v>552</v>
      </c>
      <c r="M258" s="630" t="s">
        <v>551</v>
      </c>
      <c r="N258" s="630" t="s">
        <v>563</v>
      </c>
      <c r="O258" s="630" t="s">
        <v>543</v>
      </c>
      <c r="P258" s="630"/>
      <c r="Q258" s="630"/>
      <c r="R258" s="630"/>
      <c r="S258" s="630" t="s">
        <v>573</v>
      </c>
      <c r="T258" s="630"/>
      <c r="U258" s="630" t="s">
        <v>538</v>
      </c>
      <c r="V258" s="630">
        <v>2</v>
      </c>
      <c r="W258" s="630" t="s">
        <v>545</v>
      </c>
      <c r="X258" s="630" t="s">
        <v>580</v>
      </c>
      <c r="Y258" s="630" t="s">
        <v>554</v>
      </c>
      <c r="Z258" s="630">
        <v>0.27328400000000003</v>
      </c>
      <c r="AA258" s="630">
        <v>0.43980900000000001</v>
      </c>
      <c r="AB258" s="631">
        <v>997701</v>
      </c>
      <c r="AC258" s="631">
        <v>41624226</v>
      </c>
      <c r="AD258" s="631">
        <f t="shared" si="3"/>
        <v>11375234.978184002</v>
      </c>
    </row>
    <row r="259" spans="2:30" x14ac:dyDescent="0.15">
      <c r="B259" s="630">
        <v>17031004536</v>
      </c>
      <c r="C259" s="630">
        <v>17031001006</v>
      </c>
      <c r="D259" s="630">
        <v>17031001033</v>
      </c>
      <c r="E259" s="630" t="s">
        <v>533</v>
      </c>
      <c r="F259" s="630" t="s">
        <v>534</v>
      </c>
      <c r="G259" s="630" t="s">
        <v>365</v>
      </c>
      <c r="H259" s="630" t="s">
        <v>543</v>
      </c>
      <c r="I259" s="630"/>
      <c r="J259" s="630" t="s">
        <v>542</v>
      </c>
      <c r="K259" s="630" t="s">
        <v>382</v>
      </c>
      <c r="L259" s="630"/>
      <c r="M259" s="630"/>
      <c r="N259" s="630"/>
      <c r="O259" s="630"/>
      <c r="P259" s="630"/>
      <c r="Q259" s="630"/>
      <c r="R259" s="630"/>
      <c r="S259" s="630"/>
      <c r="T259" s="630"/>
      <c r="U259" s="630" t="s">
        <v>538</v>
      </c>
      <c r="V259" s="630">
        <v>1</v>
      </c>
      <c r="W259" s="630" t="s">
        <v>545</v>
      </c>
      <c r="X259" s="630" t="s">
        <v>540</v>
      </c>
      <c r="Y259" s="630" t="s">
        <v>554</v>
      </c>
      <c r="Z259" s="630">
        <v>0.45878099999999999</v>
      </c>
      <c r="AA259" s="630">
        <v>0.73833700000000002</v>
      </c>
      <c r="AB259" s="631">
        <v>202799</v>
      </c>
      <c r="AC259" s="631">
        <v>7241376</v>
      </c>
      <c r="AD259" s="631">
        <f t="shared" si="3"/>
        <v>3322205.7226559999</v>
      </c>
    </row>
    <row r="260" spans="2:30" x14ac:dyDescent="0.15">
      <c r="B260" s="630">
        <v>17031005383</v>
      </c>
      <c r="C260" s="630">
        <v>17031000734</v>
      </c>
      <c r="D260" s="630">
        <v>17031000729</v>
      </c>
      <c r="E260" s="630" t="s">
        <v>533</v>
      </c>
      <c r="F260" s="630" t="s">
        <v>534</v>
      </c>
      <c r="G260" s="630" t="s">
        <v>365</v>
      </c>
      <c r="H260" s="630" t="s">
        <v>535</v>
      </c>
      <c r="I260" s="630"/>
      <c r="J260" s="630"/>
      <c r="K260" s="630"/>
      <c r="L260" s="630"/>
      <c r="M260" s="630"/>
      <c r="N260" s="630"/>
      <c r="O260" s="630"/>
      <c r="P260" s="630"/>
      <c r="Q260" s="630"/>
      <c r="R260" s="630"/>
      <c r="S260" s="630" t="s">
        <v>624</v>
      </c>
      <c r="T260" s="630" t="s">
        <v>625</v>
      </c>
      <c r="U260" s="630" t="s">
        <v>538</v>
      </c>
      <c r="V260" s="630">
        <v>2</v>
      </c>
      <c r="W260" s="630" t="s">
        <v>582</v>
      </c>
      <c r="X260" s="630" t="s">
        <v>554</v>
      </c>
      <c r="Y260" s="630" t="s">
        <v>554</v>
      </c>
      <c r="Z260" s="630">
        <v>0.49956099999999998</v>
      </c>
      <c r="AA260" s="630">
        <v>0.80396699999999999</v>
      </c>
      <c r="AB260" s="631">
        <v>0</v>
      </c>
      <c r="AC260" s="631">
        <v>0</v>
      </c>
      <c r="AD260" s="631">
        <f t="shared" si="3"/>
        <v>0</v>
      </c>
    </row>
    <row r="261" spans="2:30" x14ac:dyDescent="0.15">
      <c r="B261" s="630">
        <v>17031005647</v>
      </c>
      <c r="C261" s="630">
        <v>17031001162</v>
      </c>
      <c r="D261" s="630">
        <v>17031001165</v>
      </c>
      <c r="E261" s="630" t="s">
        <v>533</v>
      </c>
      <c r="F261" s="630" t="s">
        <v>534</v>
      </c>
      <c r="G261" s="630" t="s">
        <v>365</v>
      </c>
      <c r="H261" s="630" t="s">
        <v>577</v>
      </c>
      <c r="I261" s="630"/>
      <c r="J261" s="630"/>
      <c r="K261" s="630"/>
      <c r="L261" s="630"/>
      <c r="M261" s="630"/>
      <c r="N261" s="630"/>
      <c r="O261" s="630"/>
      <c r="P261" s="630"/>
      <c r="Q261" s="630"/>
      <c r="R261" s="630"/>
      <c r="S261" s="630"/>
      <c r="T261" s="630"/>
      <c r="U261" s="630" t="s">
        <v>538</v>
      </c>
      <c r="V261" s="630">
        <v>1</v>
      </c>
      <c r="W261" s="630" t="s">
        <v>560</v>
      </c>
      <c r="X261" s="630" t="s">
        <v>541</v>
      </c>
      <c r="Y261" s="630" t="s">
        <v>541</v>
      </c>
      <c r="Z261" s="630">
        <v>0.14787</v>
      </c>
      <c r="AA261" s="630">
        <v>0.23797299999999999</v>
      </c>
      <c r="AB261" s="631">
        <v>0</v>
      </c>
      <c r="AC261" s="631">
        <v>0</v>
      </c>
      <c r="AD261" s="631">
        <f t="shared" si="3"/>
        <v>0</v>
      </c>
    </row>
    <row r="262" spans="2:30" x14ac:dyDescent="0.15">
      <c r="B262" s="630">
        <v>17031005664</v>
      </c>
      <c r="C262" s="630">
        <v>17031000614</v>
      </c>
      <c r="D262" s="630">
        <v>17031000600</v>
      </c>
      <c r="E262" s="630" t="s">
        <v>533</v>
      </c>
      <c r="F262" s="630" t="s">
        <v>534</v>
      </c>
      <c r="G262" s="630" t="s">
        <v>365</v>
      </c>
      <c r="H262" s="630" t="s">
        <v>543</v>
      </c>
      <c r="I262" s="630"/>
      <c r="J262" s="630" t="s">
        <v>542</v>
      </c>
      <c r="K262" s="630" t="s">
        <v>547</v>
      </c>
      <c r="L262" s="630"/>
      <c r="M262" s="630"/>
      <c r="N262" s="630"/>
      <c r="O262" s="630"/>
      <c r="P262" s="630"/>
      <c r="Q262" s="630"/>
      <c r="R262" s="630"/>
      <c r="S262" s="630" t="s">
        <v>630</v>
      </c>
      <c r="T262" s="630"/>
      <c r="U262" s="630" t="s">
        <v>538</v>
      </c>
      <c r="V262" s="630">
        <v>1</v>
      </c>
      <c r="W262" s="630" t="s">
        <v>545</v>
      </c>
      <c r="X262" s="630" t="s">
        <v>541</v>
      </c>
      <c r="Y262" s="630" t="s">
        <v>541</v>
      </c>
      <c r="Z262" s="630">
        <v>0.47055599999999997</v>
      </c>
      <c r="AA262" s="630">
        <v>0.75728799999999996</v>
      </c>
      <c r="AB262" s="631">
        <v>93356</v>
      </c>
      <c r="AC262" s="631">
        <v>3932501</v>
      </c>
      <c r="AD262" s="631">
        <f t="shared" ref="AD262:AD325" si="4">AC262*Z262</f>
        <v>1850461.940556</v>
      </c>
    </row>
    <row r="263" spans="2:30" x14ac:dyDescent="0.15">
      <c r="B263" s="630">
        <v>17043005761</v>
      </c>
      <c r="C263" s="630">
        <v>17043000382</v>
      </c>
      <c r="D263" s="630">
        <v>17043000386</v>
      </c>
      <c r="E263" s="630" t="s">
        <v>533</v>
      </c>
      <c r="F263" s="630" t="s">
        <v>534</v>
      </c>
      <c r="G263" s="630" t="s">
        <v>367</v>
      </c>
      <c r="H263" s="630" t="s">
        <v>638</v>
      </c>
      <c r="I263" s="630"/>
      <c r="J263" s="630"/>
      <c r="K263" s="630"/>
      <c r="L263" s="630"/>
      <c r="M263" s="630"/>
      <c r="N263" s="630"/>
      <c r="O263" s="630"/>
      <c r="P263" s="630"/>
      <c r="Q263" s="630"/>
      <c r="R263" s="630"/>
      <c r="S263" s="630"/>
      <c r="T263" s="630"/>
      <c r="U263" s="630" t="s">
        <v>559</v>
      </c>
      <c r="V263" s="630">
        <v>1</v>
      </c>
      <c r="W263" s="630" t="s">
        <v>560</v>
      </c>
      <c r="X263" s="630" t="s">
        <v>541</v>
      </c>
      <c r="Y263" s="630" t="s">
        <v>541</v>
      </c>
      <c r="Z263" s="630">
        <v>0.56168399999999996</v>
      </c>
      <c r="AA263" s="630">
        <v>0.90394399999999997</v>
      </c>
      <c r="AB263" s="631">
        <v>0</v>
      </c>
      <c r="AC263" s="631">
        <v>0</v>
      </c>
      <c r="AD263" s="631">
        <f t="shared" si="4"/>
        <v>0</v>
      </c>
    </row>
    <row r="264" spans="2:30" x14ac:dyDescent="0.15">
      <c r="B264" s="630">
        <v>17031006385</v>
      </c>
      <c r="C264" s="630">
        <v>17031004674</v>
      </c>
      <c r="D264" s="630">
        <v>17031000744</v>
      </c>
      <c r="E264" s="630" t="s">
        <v>533</v>
      </c>
      <c r="F264" s="630" t="s">
        <v>534</v>
      </c>
      <c r="G264" s="630" t="s">
        <v>365</v>
      </c>
      <c r="H264" s="630" t="s">
        <v>644</v>
      </c>
      <c r="I264" s="630"/>
      <c r="J264" s="630" t="s">
        <v>535</v>
      </c>
      <c r="K264" s="630"/>
      <c r="L264" s="630"/>
      <c r="M264" s="630"/>
      <c r="N264" s="630"/>
      <c r="O264" s="630"/>
      <c r="P264" s="630"/>
      <c r="Q264" s="630"/>
      <c r="R264" s="630"/>
      <c r="S264" s="630"/>
      <c r="T264" s="630"/>
      <c r="U264" s="630" t="s">
        <v>559</v>
      </c>
      <c r="V264" s="630">
        <v>1</v>
      </c>
      <c r="W264" s="630" t="s">
        <v>560</v>
      </c>
      <c r="X264" s="630" t="s">
        <v>541</v>
      </c>
      <c r="Y264" s="630" t="s">
        <v>541</v>
      </c>
      <c r="Z264" s="630">
        <v>0.19927900000000001</v>
      </c>
      <c r="AA264" s="630">
        <v>0.32071</v>
      </c>
      <c r="AB264" s="631">
        <v>0</v>
      </c>
      <c r="AC264" s="631">
        <v>0</v>
      </c>
      <c r="AD264" s="631">
        <f t="shared" si="4"/>
        <v>0</v>
      </c>
    </row>
    <row r="265" spans="2:30" x14ac:dyDescent="0.15">
      <c r="B265" s="630">
        <v>17197007047</v>
      </c>
      <c r="C265" s="630">
        <v>17197005595</v>
      </c>
      <c r="D265" s="630">
        <v>17197005593</v>
      </c>
      <c r="E265" s="630" t="s">
        <v>533</v>
      </c>
      <c r="F265" s="630" t="s">
        <v>534</v>
      </c>
      <c r="G265" s="630" t="s">
        <v>377</v>
      </c>
      <c r="H265" s="630" t="s">
        <v>382</v>
      </c>
      <c r="I265" s="630"/>
      <c r="J265" s="630"/>
      <c r="K265" s="630"/>
      <c r="L265" s="630"/>
      <c r="M265" s="630"/>
      <c r="N265" s="630"/>
      <c r="O265" s="630"/>
      <c r="P265" s="630"/>
      <c r="Q265" s="630"/>
      <c r="R265" s="630"/>
      <c r="S265" s="630" t="s">
        <v>592</v>
      </c>
      <c r="T265" s="630"/>
      <c r="U265" s="630" t="s">
        <v>559</v>
      </c>
      <c r="V265" s="630">
        <v>1</v>
      </c>
      <c r="W265" s="630" t="s">
        <v>539</v>
      </c>
      <c r="X265" s="630" t="s">
        <v>541</v>
      </c>
      <c r="Y265" s="630" t="s">
        <v>541</v>
      </c>
      <c r="Z265" s="630">
        <v>0.30571500000000001</v>
      </c>
      <c r="AA265" s="630">
        <v>0.49200100000000002</v>
      </c>
      <c r="AB265" s="631">
        <v>0</v>
      </c>
      <c r="AC265" s="631">
        <v>0</v>
      </c>
      <c r="AD265" s="631">
        <f t="shared" si="4"/>
        <v>0</v>
      </c>
    </row>
    <row r="266" spans="2:30" x14ac:dyDescent="0.15">
      <c r="B266" s="630">
        <v>17031007051</v>
      </c>
      <c r="C266" s="630">
        <v>17031001166</v>
      </c>
      <c r="D266" s="630">
        <v>17031005597</v>
      </c>
      <c r="E266" s="630" t="s">
        <v>533</v>
      </c>
      <c r="F266" s="630" t="s">
        <v>534</v>
      </c>
      <c r="G266" s="630" t="s">
        <v>365</v>
      </c>
      <c r="H266" s="630" t="s">
        <v>535</v>
      </c>
      <c r="I266" s="630"/>
      <c r="J266" s="630"/>
      <c r="K266" s="630"/>
      <c r="L266" s="630"/>
      <c r="M266" s="630"/>
      <c r="N266" s="630"/>
      <c r="O266" s="630"/>
      <c r="P266" s="630"/>
      <c r="Q266" s="630"/>
      <c r="R266" s="630"/>
      <c r="S266" s="630"/>
      <c r="T266" s="630" t="s">
        <v>645</v>
      </c>
      <c r="U266" s="630" t="s">
        <v>559</v>
      </c>
      <c r="V266" s="630">
        <v>1</v>
      </c>
      <c r="W266" s="630" t="s">
        <v>560</v>
      </c>
      <c r="X266" s="630" t="s">
        <v>541</v>
      </c>
      <c r="Y266" s="630" t="s">
        <v>541</v>
      </c>
      <c r="Z266" s="630">
        <v>6.4616000000000007E-2</v>
      </c>
      <c r="AA266" s="630">
        <v>0.103989</v>
      </c>
      <c r="AB266" s="631">
        <v>0</v>
      </c>
      <c r="AC266" s="631">
        <v>0</v>
      </c>
      <c r="AD266" s="631">
        <f t="shared" si="4"/>
        <v>0</v>
      </c>
    </row>
    <row r="267" spans="2:30" x14ac:dyDescent="0.15">
      <c r="B267" s="630">
        <v>17031008825</v>
      </c>
      <c r="C267" s="630">
        <v>17031000816</v>
      </c>
      <c r="D267" s="630">
        <v>17031006853</v>
      </c>
      <c r="E267" s="630" t="s">
        <v>533</v>
      </c>
      <c r="F267" s="630" t="s">
        <v>534</v>
      </c>
      <c r="G267" s="630" t="s">
        <v>365</v>
      </c>
      <c r="H267" s="630" t="s">
        <v>543</v>
      </c>
      <c r="I267" s="630"/>
      <c r="J267" s="630" t="s">
        <v>542</v>
      </c>
      <c r="K267" s="630"/>
      <c r="L267" s="630"/>
      <c r="M267" s="630"/>
      <c r="N267" s="630"/>
      <c r="O267" s="630"/>
      <c r="P267" s="630"/>
      <c r="Q267" s="630"/>
      <c r="R267" s="630"/>
      <c r="S267" s="630" t="s">
        <v>630</v>
      </c>
      <c r="T267" s="630"/>
      <c r="U267" s="630" t="s">
        <v>538</v>
      </c>
      <c r="V267" s="630">
        <v>2</v>
      </c>
      <c r="W267" s="630" t="s">
        <v>545</v>
      </c>
      <c r="X267" s="630" t="s">
        <v>549</v>
      </c>
      <c r="Y267" s="630" t="s">
        <v>540</v>
      </c>
      <c r="Z267" s="630">
        <v>2.1621999999999999E-2</v>
      </c>
      <c r="AA267" s="630">
        <v>3.4797000000000002E-2</v>
      </c>
      <c r="AB267" s="631">
        <v>2617438</v>
      </c>
      <c r="AC267" s="631">
        <v>69406708</v>
      </c>
      <c r="AD267" s="631">
        <f t="shared" si="4"/>
        <v>1500711.8403759999</v>
      </c>
    </row>
    <row r="268" spans="2:30" x14ac:dyDescent="0.15">
      <c r="B268" s="630">
        <v>17043009130</v>
      </c>
      <c r="C268" s="630">
        <v>17043000364</v>
      </c>
      <c r="D268" s="630">
        <v>17043007337</v>
      </c>
      <c r="E268" s="630" t="s">
        <v>533</v>
      </c>
      <c r="F268" s="630" t="s">
        <v>534</v>
      </c>
      <c r="G268" s="630" t="s">
        <v>367</v>
      </c>
      <c r="H268" s="630" t="s">
        <v>552</v>
      </c>
      <c r="I268" s="630"/>
      <c r="J268" s="630"/>
      <c r="K268" s="630"/>
      <c r="L268" s="630"/>
      <c r="M268" s="630"/>
      <c r="N268" s="630"/>
      <c r="O268" s="630"/>
      <c r="P268" s="630"/>
      <c r="Q268" s="630"/>
      <c r="R268" s="630"/>
      <c r="S268" s="630"/>
      <c r="T268" s="630"/>
      <c r="U268" s="630" t="s">
        <v>559</v>
      </c>
      <c r="V268" s="630">
        <v>1</v>
      </c>
      <c r="W268" s="630" t="s">
        <v>560</v>
      </c>
      <c r="X268" s="630" t="s">
        <v>541</v>
      </c>
      <c r="Y268" s="630" t="s">
        <v>541</v>
      </c>
      <c r="Z268" s="630">
        <v>0.11065</v>
      </c>
      <c r="AA268" s="630">
        <v>0.17807500000000001</v>
      </c>
      <c r="AB268" s="631">
        <v>0</v>
      </c>
      <c r="AC268" s="631">
        <v>0</v>
      </c>
      <c r="AD268" s="631">
        <f t="shared" si="4"/>
        <v>0</v>
      </c>
    </row>
    <row r="269" spans="2:30" x14ac:dyDescent="0.15">
      <c r="B269" s="630">
        <v>17031009688</v>
      </c>
      <c r="C269" s="630">
        <v>17031000881</v>
      </c>
      <c r="D269" s="630">
        <v>17031007771</v>
      </c>
      <c r="E269" s="630" t="s">
        <v>533</v>
      </c>
      <c r="F269" s="630" t="s">
        <v>534</v>
      </c>
      <c r="G269" s="630" t="s">
        <v>365</v>
      </c>
      <c r="H269" s="630" t="s">
        <v>557</v>
      </c>
      <c r="I269" s="630"/>
      <c r="J269" s="630" t="s">
        <v>381</v>
      </c>
      <c r="K269" s="630" t="s">
        <v>535</v>
      </c>
      <c r="L269" s="630" t="s">
        <v>552</v>
      </c>
      <c r="M269" s="630" t="s">
        <v>543</v>
      </c>
      <c r="N269" s="630" t="s">
        <v>382</v>
      </c>
      <c r="O269" s="630"/>
      <c r="P269" s="630"/>
      <c r="Q269" s="630"/>
      <c r="R269" s="630"/>
      <c r="S269" s="630" t="s">
        <v>570</v>
      </c>
      <c r="T269" s="630"/>
      <c r="U269" s="630" t="s">
        <v>538</v>
      </c>
      <c r="V269" s="630">
        <v>2</v>
      </c>
      <c r="W269" s="630" t="s">
        <v>545</v>
      </c>
      <c r="X269" s="630" t="s">
        <v>580</v>
      </c>
      <c r="Y269" s="630" t="s">
        <v>540</v>
      </c>
      <c r="Z269" s="630">
        <v>1.128158</v>
      </c>
      <c r="AA269" s="630">
        <v>1.815598</v>
      </c>
      <c r="AB269" s="631">
        <v>1870326</v>
      </c>
      <c r="AC269" s="631">
        <v>69968229</v>
      </c>
      <c r="AD269" s="631">
        <f t="shared" si="4"/>
        <v>78935217.292181998</v>
      </c>
    </row>
    <row r="270" spans="2:30" x14ac:dyDescent="0.15">
      <c r="B270" s="630">
        <v>17031001975</v>
      </c>
      <c r="C270" s="630">
        <v>17031001114</v>
      </c>
      <c r="D270" s="630">
        <v>17031001023</v>
      </c>
      <c r="E270" s="630" t="s">
        <v>533</v>
      </c>
      <c r="F270" s="630" t="s">
        <v>534</v>
      </c>
      <c r="G270" s="630" t="s">
        <v>365</v>
      </c>
      <c r="H270" s="630" t="s">
        <v>543</v>
      </c>
      <c r="I270" s="630"/>
      <c r="J270" s="630" t="s">
        <v>542</v>
      </c>
      <c r="K270" s="630"/>
      <c r="L270" s="630"/>
      <c r="M270" s="630"/>
      <c r="N270" s="630"/>
      <c r="O270" s="630"/>
      <c r="P270" s="630"/>
      <c r="Q270" s="630"/>
      <c r="R270" s="630"/>
      <c r="S270" s="630" t="s">
        <v>630</v>
      </c>
      <c r="T270" s="630"/>
      <c r="U270" s="630" t="s">
        <v>538</v>
      </c>
      <c r="V270" s="630">
        <v>4</v>
      </c>
      <c r="W270" s="630" t="s">
        <v>545</v>
      </c>
      <c r="X270" s="630" t="s">
        <v>580</v>
      </c>
      <c r="Y270" s="630" t="s">
        <v>549</v>
      </c>
      <c r="Z270" s="630">
        <v>3.7237619999999998</v>
      </c>
      <c r="AA270" s="630">
        <v>5.992826</v>
      </c>
      <c r="AB270" s="631">
        <v>2617438</v>
      </c>
      <c r="AC270" s="631">
        <v>69406708</v>
      </c>
      <c r="AD270" s="631">
        <f t="shared" si="4"/>
        <v>258454061.79549599</v>
      </c>
    </row>
    <row r="271" spans="2:30" x14ac:dyDescent="0.15">
      <c r="B271" s="630">
        <v>17097002139</v>
      </c>
      <c r="C271" s="630">
        <v>17097004536</v>
      </c>
      <c r="D271" s="630">
        <v>17097004535</v>
      </c>
      <c r="E271" s="630" t="s">
        <v>533</v>
      </c>
      <c r="F271" s="630" t="s">
        <v>534</v>
      </c>
      <c r="G271" s="630" t="s">
        <v>373</v>
      </c>
      <c r="H271" s="630" t="s">
        <v>552</v>
      </c>
      <c r="I271" s="630"/>
      <c r="J271" s="630" t="s">
        <v>547</v>
      </c>
      <c r="K271" s="630" t="s">
        <v>563</v>
      </c>
      <c r="L271" s="630"/>
      <c r="M271" s="630"/>
      <c r="N271" s="630"/>
      <c r="O271" s="630"/>
      <c r="P271" s="630"/>
      <c r="Q271" s="630"/>
      <c r="R271" s="630"/>
      <c r="S271" s="630" t="s">
        <v>629</v>
      </c>
      <c r="T271" s="630"/>
      <c r="U271" s="630" t="s">
        <v>538</v>
      </c>
      <c r="V271" s="630">
        <v>1</v>
      </c>
      <c r="W271" s="630" t="s">
        <v>582</v>
      </c>
      <c r="X271" s="630" t="s">
        <v>554</v>
      </c>
      <c r="Y271" s="630" t="s">
        <v>540</v>
      </c>
      <c r="Z271" s="630">
        <v>3.6989190000000001</v>
      </c>
      <c r="AA271" s="630">
        <v>5.9528439999999998</v>
      </c>
      <c r="AB271" s="631">
        <v>27578</v>
      </c>
      <c r="AC271" s="631">
        <v>2612533</v>
      </c>
      <c r="AD271" s="631">
        <f t="shared" si="4"/>
        <v>9663547.9518270008</v>
      </c>
    </row>
    <row r="272" spans="2:30" x14ac:dyDescent="0.15">
      <c r="B272" s="630">
        <v>17031002359</v>
      </c>
      <c r="C272" s="630">
        <v>17031000561</v>
      </c>
      <c r="D272" s="630">
        <v>17031000520</v>
      </c>
      <c r="E272" s="630" t="s">
        <v>533</v>
      </c>
      <c r="F272" s="630" t="s">
        <v>534</v>
      </c>
      <c r="G272" s="630" t="s">
        <v>365</v>
      </c>
      <c r="H272" s="630" t="s">
        <v>382</v>
      </c>
      <c r="I272" s="630"/>
      <c r="J272" s="630" t="s">
        <v>547</v>
      </c>
      <c r="K272" s="630"/>
      <c r="L272" s="630"/>
      <c r="M272" s="630"/>
      <c r="N272" s="630"/>
      <c r="O272" s="630"/>
      <c r="P272" s="630"/>
      <c r="Q272" s="630"/>
      <c r="R272" s="630"/>
      <c r="S272" s="630" t="s">
        <v>608</v>
      </c>
      <c r="T272" s="630"/>
      <c r="U272" s="630" t="s">
        <v>538</v>
      </c>
      <c r="V272" s="630">
        <v>4</v>
      </c>
      <c r="W272" s="630" t="s">
        <v>566</v>
      </c>
      <c r="X272" s="630" t="s">
        <v>541</v>
      </c>
      <c r="Y272" s="630" t="s">
        <v>540</v>
      </c>
      <c r="Z272" s="630">
        <v>0.96282100000000004</v>
      </c>
      <c r="AA272" s="630">
        <v>1.5495140000000001</v>
      </c>
      <c r="AB272" s="631">
        <v>0</v>
      </c>
      <c r="AC272" s="631">
        <v>0</v>
      </c>
      <c r="AD272" s="631">
        <f t="shared" si="4"/>
        <v>0</v>
      </c>
    </row>
    <row r="273" spans="2:30" x14ac:dyDescent="0.15">
      <c r="B273" s="630">
        <v>17031002904</v>
      </c>
      <c r="C273" s="630">
        <v>17031001105</v>
      </c>
      <c r="D273" s="630">
        <v>17031001102</v>
      </c>
      <c r="E273" s="630" t="s">
        <v>533</v>
      </c>
      <c r="F273" s="630" t="s">
        <v>534</v>
      </c>
      <c r="G273" s="630" t="s">
        <v>365</v>
      </c>
      <c r="H273" s="630" t="s">
        <v>577</v>
      </c>
      <c r="I273" s="630"/>
      <c r="J273" s="630"/>
      <c r="K273" s="630"/>
      <c r="L273" s="630"/>
      <c r="M273" s="630"/>
      <c r="N273" s="630"/>
      <c r="O273" s="630"/>
      <c r="P273" s="630"/>
      <c r="Q273" s="630"/>
      <c r="R273" s="630"/>
      <c r="S273" s="630"/>
      <c r="T273" s="630"/>
      <c r="U273" s="630" t="s">
        <v>538</v>
      </c>
      <c r="V273" s="630">
        <v>1</v>
      </c>
      <c r="W273" s="630" t="s">
        <v>560</v>
      </c>
      <c r="X273" s="630" t="s">
        <v>541</v>
      </c>
      <c r="Y273" s="630" t="s">
        <v>541</v>
      </c>
      <c r="Z273" s="630">
        <v>0.38063799999999998</v>
      </c>
      <c r="AA273" s="630">
        <v>0.61257899999999998</v>
      </c>
      <c r="AB273" s="631">
        <v>0</v>
      </c>
      <c r="AC273" s="631">
        <v>0</v>
      </c>
      <c r="AD273" s="631">
        <f t="shared" si="4"/>
        <v>0</v>
      </c>
    </row>
    <row r="274" spans="2:30" x14ac:dyDescent="0.15">
      <c r="B274" s="630">
        <v>17031003950</v>
      </c>
      <c r="C274" s="630">
        <v>17031000401</v>
      </c>
      <c r="D274" s="630">
        <v>17031004784</v>
      </c>
      <c r="E274" s="630" t="s">
        <v>533</v>
      </c>
      <c r="F274" s="630" t="s">
        <v>534</v>
      </c>
      <c r="G274" s="630" t="s">
        <v>365</v>
      </c>
      <c r="H274" s="630" t="s">
        <v>382</v>
      </c>
      <c r="I274" s="630"/>
      <c r="J274" s="630"/>
      <c r="K274" s="630"/>
      <c r="L274" s="630"/>
      <c r="M274" s="630"/>
      <c r="N274" s="630"/>
      <c r="O274" s="630"/>
      <c r="P274" s="630"/>
      <c r="Q274" s="630"/>
      <c r="R274" s="630"/>
      <c r="S274" s="630" t="s">
        <v>646</v>
      </c>
      <c r="T274" s="630"/>
      <c r="U274" s="630" t="s">
        <v>559</v>
      </c>
      <c r="V274" s="630">
        <v>1</v>
      </c>
      <c r="W274" s="630" t="s">
        <v>560</v>
      </c>
      <c r="X274" s="630" t="s">
        <v>541</v>
      </c>
      <c r="Y274" s="630" t="s">
        <v>541</v>
      </c>
      <c r="Z274" s="630">
        <v>3.3148849999999999</v>
      </c>
      <c r="AA274" s="630">
        <v>5.3348009999999997</v>
      </c>
      <c r="AB274" s="631">
        <v>0</v>
      </c>
      <c r="AC274" s="631">
        <v>0</v>
      </c>
      <c r="AD274" s="631">
        <f t="shared" si="4"/>
        <v>0</v>
      </c>
    </row>
    <row r="275" spans="2:30" x14ac:dyDescent="0.15">
      <c r="B275" s="630">
        <v>17031004005</v>
      </c>
      <c r="C275" s="630">
        <v>17031000664</v>
      </c>
      <c r="D275" s="630">
        <v>17031004665</v>
      </c>
      <c r="E275" s="630" t="s">
        <v>533</v>
      </c>
      <c r="F275" s="630" t="s">
        <v>534</v>
      </c>
      <c r="G275" s="630" t="s">
        <v>365</v>
      </c>
      <c r="H275" s="630" t="s">
        <v>381</v>
      </c>
      <c r="I275" s="630"/>
      <c r="J275" s="630" t="s">
        <v>542</v>
      </c>
      <c r="K275" s="630" t="s">
        <v>577</v>
      </c>
      <c r="L275" s="630" t="s">
        <v>572</v>
      </c>
      <c r="M275" s="630" t="s">
        <v>547</v>
      </c>
      <c r="N275" s="630" t="s">
        <v>382</v>
      </c>
      <c r="O275" s="630"/>
      <c r="P275" s="630"/>
      <c r="Q275" s="630"/>
      <c r="R275" s="630"/>
      <c r="S275" s="630" t="s">
        <v>579</v>
      </c>
      <c r="T275" s="630"/>
      <c r="U275" s="630" t="s">
        <v>538</v>
      </c>
      <c r="V275" s="630">
        <v>4</v>
      </c>
      <c r="W275" s="630" t="s">
        <v>545</v>
      </c>
      <c r="X275" s="630" t="s">
        <v>549</v>
      </c>
      <c r="Y275" s="630" t="s">
        <v>540</v>
      </c>
      <c r="Z275" s="630">
        <v>0.21277099999999999</v>
      </c>
      <c r="AA275" s="630">
        <v>0.34242299999999998</v>
      </c>
      <c r="AB275" s="631">
        <v>79786</v>
      </c>
      <c r="AC275" s="631">
        <v>3912720</v>
      </c>
      <c r="AD275" s="631">
        <f t="shared" si="4"/>
        <v>832513.34711999993</v>
      </c>
    </row>
    <row r="276" spans="2:30" x14ac:dyDescent="0.15">
      <c r="B276" s="630">
        <v>17031004226</v>
      </c>
      <c r="C276" s="630">
        <v>17031001059</v>
      </c>
      <c r="D276" s="630">
        <v>17031001042</v>
      </c>
      <c r="E276" s="630" t="s">
        <v>533</v>
      </c>
      <c r="F276" s="630" t="s">
        <v>534</v>
      </c>
      <c r="G276" s="630" t="s">
        <v>365</v>
      </c>
      <c r="H276" s="630" t="s">
        <v>381</v>
      </c>
      <c r="I276" s="630"/>
      <c r="J276" s="630" t="s">
        <v>551</v>
      </c>
      <c r="K276" s="630" t="s">
        <v>543</v>
      </c>
      <c r="L276" s="630" t="s">
        <v>382</v>
      </c>
      <c r="M276" s="630"/>
      <c r="N276" s="630"/>
      <c r="O276" s="630"/>
      <c r="P276" s="630"/>
      <c r="Q276" s="630"/>
      <c r="R276" s="630"/>
      <c r="S276" s="630" t="s">
        <v>647</v>
      </c>
      <c r="T276" s="630" t="s">
        <v>648</v>
      </c>
      <c r="U276" s="630" t="s">
        <v>538</v>
      </c>
      <c r="V276" s="630">
        <v>2</v>
      </c>
      <c r="W276" s="630" t="s">
        <v>545</v>
      </c>
      <c r="X276" s="630" t="s">
        <v>580</v>
      </c>
      <c r="Y276" s="630" t="s">
        <v>549</v>
      </c>
      <c r="Z276" s="630">
        <v>1.9041220000000001</v>
      </c>
      <c r="AA276" s="630">
        <v>3.0643940000000001</v>
      </c>
      <c r="AB276" s="631">
        <v>2313868</v>
      </c>
      <c r="AC276" s="631">
        <v>43813544</v>
      </c>
      <c r="AD276" s="631">
        <f t="shared" si="4"/>
        <v>83426333.028368011</v>
      </c>
    </row>
    <row r="277" spans="2:30" x14ac:dyDescent="0.15">
      <c r="B277" s="630">
        <v>17031006188</v>
      </c>
      <c r="C277" s="630">
        <v>17031001097</v>
      </c>
      <c r="D277" s="630">
        <v>17031001104</v>
      </c>
      <c r="E277" s="630" t="s">
        <v>533</v>
      </c>
      <c r="F277" s="630" t="s">
        <v>534</v>
      </c>
      <c r="G277" s="630" t="s">
        <v>365</v>
      </c>
      <c r="H277" s="630" t="s">
        <v>571</v>
      </c>
      <c r="I277" s="630"/>
      <c r="J277" s="630" t="s">
        <v>552</v>
      </c>
      <c r="K277" s="630" t="s">
        <v>543</v>
      </c>
      <c r="L277" s="630"/>
      <c r="M277" s="630"/>
      <c r="N277" s="630"/>
      <c r="O277" s="630"/>
      <c r="P277" s="630"/>
      <c r="Q277" s="630"/>
      <c r="R277" s="630"/>
      <c r="S277" s="630" t="s">
        <v>573</v>
      </c>
      <c r="T277" s="630"/>
      <c r="U277" s="630" t="s">
        <v>538</v>
      </c>
      <c r="V277" s="630">
        <v>2</v>
      </c>
      <c r="W277" s="630" t="s">
        <v>545</v>
      </c>
      <c r="X277" s="630" t="s">
        <v>546</v>
      </c>
      <c r="Y277" s="630" t="s">
        <v>554</v>
      </c>
      <c r="Z277" s="630">
        <v>1.082589</v>
      </c>
      <c r="AA277" s="630">
        <v>1.7422610000000001</v>
      </c>
      <c r="AB277" s="631">
        <v>178717</v>
      </c>
      <c r="AC277" s="631">
        <v>9467630</v>
      </c>
      <c r="AD277" s="631">
        <f t="shared" si="4"/>
        <v>10249552.094070001</v>
      </c>
    </row>
    <row r="278" spans="2:30" x14ac:dyDescent="0.15">
      <c r="B278" s="630">
        <v>17031006190</v>
      </c>
      <c r="C278" s="630">
        <v>17031001128</v>
      </c>
      <c r="D278" s="630">
        <v>17031001098</v>
      </c>
      <c r="E278" s="630" t="s">
        <v>533</v>
      </c>
      <c r="F278" s="630" t="s">
        <v>534</v>
      </c>
      <c r="G278" s="630" t="s">
        <v>365</v>
      </c>
      <c r="H278" s="630" t="s">
        <v>543</v>
      </c>
      <c r="I278" s="630"/>
      <c r="J278" s="630" t="s">
        <v>577</v>
      </c>
      <c r="K278" s="630"/>
      <c r="L278" s="630"/>
      <c r="M278" s="630"/>
      <c r="N278" s="630"/>
      <c r="O278" s="630"/>
      <c r="P278" s="630"/>
      <c r="Q278" s="630"/>
      <c r="R278" s="630"/>
      <c r="S278" s="630"/>
      <c r="T278" s="630"/>
      <c r="U278" s="630" t="s">
        <v>559</v>
      </c>
      <c r="V278" s="630">
        <v>1</v>
      </c>
      <c r="W278" s="630" t="s">
        <v>560</v>
      </c>
      <c r="X278" s="630" t="s">
        <v>541</v>
      </c>
      <c r="Y278" s="630" t="s">
        <v>541</v>
      </c>
      <c r="Z278" s="630">
        <v>0.123796</v>
      </c>
      <c r="AA278" s="630">
        <v>0.19923099999999999</v>
      </c>
      <c r="AB278" s="631">
        <v>0</v>
      </c>
      <c r="AC278" s="631">
        <v>0</v>
      </c>
      <c r="AD278" s="631">
        <f t="shared" si="4"/>
        <v>0</v>
      </c>
    </row>
    <row r="279" spans="2:30" x14ac:dyDescent="0.15">
      <c r="B279" s="630">
        <v>17031006281</v>
      </c>
      <c r="C279" s="630">
        <v>17031000623</v>
      </c>
      <c r="D279" s="630">
        <v>17031000630</v>
      </c>
      <c r="E279" s="630" t="s">
        <v>533</v>
      </c>
      <c r="F279" s="630" t="s">
        <v>534</v>
      </c>
      <c r="G279" s="630" t="s">
        <v>365</v>
      </c>
      <c r="H279" s="630" t="s">
        <v>551</v>
      </c>
      <c r="I279" s="630"/>
      <c r="J279" s="630" t="s">
        <v>535</v>
      </c>
      <c r="K279" s="630"/>
      <c r="L279" s="630"/>
      <c r="M279" s="630"/>
      <c r="N279" s="630"/>
      <c r="O279" s="630"/>
      <c r="P279" s="630"/>
      <c r="Q279" s="630"/>
      <c r="R279" s="630"/>
      <c r="S279" s="630" t="s">
        <v>649</v>
      </c>
      <c r="T279" s="630"/>
      <c r="U279" s="630" t="s">
        <v>538</v>
      </c>
      <c r="V279" s="630">
        <v>1</v>
      </c>
      <c r="W279" s="630" t="s">
        <v>539</v>
      </c>
      <c r="X279" s="630" t="s">
        <v>541</v>
      </c>
      <c r="Y279" s="630" t="s">
        <v>541</v>
      </c>
      <c r="Z279" s="630">
        <v>0.25151099999999998</v>
      </c>
      <c r="AA279" s="630">
        <v>0.40476800000000002</v>
      </c>
      <c r="AB279" s="631">
        <v>0</v>
      </c>
      <c r="AC279" s="631">
        <v>0</v>
      </c>
      <c r="AD279" s="631">
        <f t="shared" si="4"/>
        <v>0</v>
      </c>
    </row>
    <row r="280" spans="2:30" x14ac:dyDescent="0.15">
      <c r="B280" s="630">
        <v>17031006433</v>
      </c>
      <c r="C280" s="630">
        <v>17031001268</v>
      </c>
      <c r="D280" s="630">
        <v>17031001267</v>
      </c>
      <c r="E280" s="630" t="s">
        <v>533</v>
      </c>
      <c r="F280" s="630" t="s">
        <v>534</v>
      </c>
      <c r="G280" s="630" t="s">
        <v>365</v>
      </c>
      <c r="H280" s="630" t="s">
        <v>613</v>
      </c>
      <c r="I280" s="630"/>
      <c r="J280" s="630" t="s">
        <v>577</v>
      </c>
      <c r="K280" s="630" t="s">
        <v>572</v>
      </c>
      <c r="L280" s="630"/>
      <c r="M280" s="630"/>
      <c r="N280" s="630"/>
      <c r="O280" s="630"/>
      <c r="P280" s="630"/>
      <c r="Q280" s="630"/>
      <c r="R280" s="630"/>
      <c r="S280" s="630"/>
      <c r="T280" s="630"/>
      <c r="U280" s="630" t="s">
        <v>559</v>
      </c>
      <c r="V280" s="630">
        <v>1</v>
      </c>
      <c r="W280" s="630" t="s">
        <v>560</v>
      </c>
      <c r="X280" s="630" t="s">
        <v>541</v>
      </c>
      <c r="Y280" s="630" t="s">
        <v>541</v>
      </c>
      <c r="Z280" s="630">
        <v>0.172518</v>
      </c>
      <c r="AA280" s="630">
        <v>0.27764100000000003</v>
      </c>
      <c r="AB280" s="631">
        <v>0</v>
      </c>
      <c r="AC280" s="631">
        <v>0</v>
      </c>
      <c r="AD280" s="631">
        <f t="shared" si="4"/>
        <v>0</v>
      </c>
    </row>
    <row r="281" spans="2:30" x14ac:dyDescent="0.15">
      <c r="B281" s="630">
        <v>17031006526</v>
      </c>
      <c r="C281" s="630">
        <v>17031001193</v>
      </c>
      <c r="D281" s="630">
        <v>17031001196</v>
      </c>
      <c r="E281" s="630" t="s">
        <v>533</v>
      </c>
      <c r="F281" s="630" t="s">
        <v>534</v>
      </c>
      <c r="G281" s="630" t="s">
        <v>365</v>
      </c>
      <c r="H281" s="630" t="s">
        <v>577</v>
      </c>
      <c r="I281" s="630"/>
      <c r="J281" s="630"/>
      <c r="K281" s="630"/>
      <c r="L281" s="630"/>
      <c r="M281" s="630"/>
      <c r="N281" s="630"/>
      <c r="O281" s="630"/>
      <c r="P281" s="630"/>
      <c r="Q281" s="630"/>
      <c r="R281" s="630"/>
      <c r="S281" s="630"/>
      <c r="T281" s="630"/>
      <c r="U281" s="630" t="s">
        <v>538</v>
      </c>
      <c r="V281" s="630">
        <v>1</v>
      </c>
      <c r="W281" s="630" t="s">
        <v>560</v>
      </c>
      <c r="X281" s="630" t="s">
        <v>541</v>
      </c>
      <c r="Y281" s="630" t="s">
        <v>541</v>
      </c>
      <c r="Z281" s="630">
        <v>4.9120999999999998E-2</v>
      </c>
      <c r="AA281" s="630">
        <v>7.9052999999999998E-2</v>
      </c>
      <c r="AB281" s="631">
        <v>0</v>
      </c>
      <c r="AC281" s="631">
        <v>0</v>
      </c>
      <c r="AD281" s="631">
        <f t="shared" si="4"/>
        <v>0</v>
      </c>
    </row>
    <row r="282" spans="2:30" x14ac:dyDescent="0.15">
      <c r="B282" s="630">
        <v>17031008379</v>
      </c>
      <c r="C282" s="630">
        <v>17031000536</v>
      </c>
      <c r="D282" s="630">
        <v>17031006684</v>
      </c>
      <c r="E282" s="630" t="s">
        <v>533</v>
      </c>
      <c r="F282" s="630" t="s">
        <v>534</v>
      </c>
      <c r="G282" s="630" t="s">
        <v>365</v>
      </c>
      <c r="H282" s="630" t="s">
        <v>382</v>
      </c>
      <c r="I282" s="630"/>
      <c r="J282" s="630" t="s">
        <v>535</v>
      </c>
      <c r="K282" s="630" t="s">
        <v>552</v>
      </c>
      <c r="L282" s="630" t="s">
        <v>572</v>
      </c>
      <c r="M282" s="630" t="s">
        <v>557</v>
      </c>
      <c r="N282" s="630" t="s">
        <v>543</v>
      </c>
      <c r="O282" s="630"/>
      <c r="P282" s="630"/>
      <c r="Q282" s="630"/>
      <c r="R282" s="630"/>
      <c r="S282" s="630" t="s">
        <v>650</v>
      </c>
      <c r="T282" s="630" t="s">
        <v>626</v>
      </c>
      <c r="U282" s="630" t="s">
        <v>559</v>
      </c>
      <c r="V282" s="630">
        <v>1</v>
      </c>
      <c r="W282" s="630" t="s">
        <v>539</v>
      </c>
      <c r="X282" s="630" t="s">
        <v>540</v>
      </c>
      <c r="Y282" s="630" t="s">
        <v>541</v>
      </c>
      <c r="Z282" s="630">
        <v>0.42225600000000002</v>
      </c>
      <c r="AA282" s="630">
        <v>0.67955600000000005</v>
      </c>
      <c r="AB282" s="631">
        <v>7104</v>
      </c>
      <c r="AC282" s="631">
        <v>508792</v>
      </c>
      <c r="AD282" s="631">
        <f t="shared" si="4"/>
        <v>214840.47475200001</v>
      </c>
    </row>
    <row r="283" spans="2:30" x14ac:dyDescent="0.15">
      <c r="B283" s="630">
        <v>17097009404</v>
      </c>
      <c r="C283" s="630">
        <v>17097007515</v>
      </c>
      <c r="D283" s="630">
        <v>17097000111</v>
      </c>
      <c r="E283" s="630" t="s">
        <v>533</v>
      </c>
      <c r="F283" s="630" t="s">
        <v>534</v>
      </c>
      <c r="G283" s="630" t="s">
        <v>373</v>
      </c>
      <c r="H283" s="630" t="s">
        <v>535</v>
      </c>
      <c r="I283" s="630"/>
      <c r="J283" s="630" t="s">
        <v>547</v>
      </c>
      <c r="K283" s="630"/>
      <c r="L283" s="630"/>
      <c r="M283" s="630"/>
      <c r="N283" s="630"/>
      <c r="O283" s="630"/>
      <c r="P283" s="630"/>
      <c r="Q283" s="630"/>
      <c r="R283" s="630"/>
      <c r="S283" s="630" t="s">
        <v>548</v>
      </c>
      <c r="T283" s="630"/>
      <c r="U283" s="630" t="s">
        <v>538</v>
      </c>
      <c r="V283" s="630">
        <v>2</v>
      </c>
      <c r="W283" s="630" t="s">
        <v>545</v>
      </c>
      <c r="X283" s="630" t="s">
        <v>546</v>
      </c>
      <c r="Y283" s="630" t="s">
        <v>549</v>
      </c>
      <c r="Z283" s="630">
        <v>0.90354299999999999</v>
      </c>
      <c r="AA283" s="630">
        <v>1.454115</v>
      </c>
      <c r="AB283" s="631">
        <v>805376</v>
      </c>
      <c r="AC283" s="631">
        <v>39329111</v>
      </c>
      <c r="AD283" s="631">
        <f t="shared" si="4"/>
        <v>35535542.940273002</v>
      </c>
    </row>
    <row r="284" spans="2:30" x14ac:dyDescent="0.15">
      <c r="B284" s="630">
        <v>17097001934</v>
      </c>
      <c r="C284" s="630">
        <v>17097004564</v>
      </c>
      <c r="D284" s="630">
        <v>17097004563</v>
      </c>
      <c r="E284" s="630" t="s">
        <v>533</v>
      </c>
      <c r="F284" s="630" t="s">
        <v>534</v>
      </c>
      <c r="G284" s="630" t="s">
        <v>373</v>
      </c>
      <c r="H284" s="630" t="s">
        <v>382</v>
      </c>
      <c r="I284" s="630"/>
      <c r="J284" s="630" t="s">
        <v>535</v>
      </c>
      <c r="K284" s="630" t="s">
        <v>547</v>
      </c>
      <c r="L284" s="630"/>
      <c r="M284" s="630"/>
      <c r="N284" s="630"/>
      <c r="O284" s="630"/>
      <c r="P284" s="630"/>
      <c r="Q284" s="630"/>
      <c r="R284" s="630"/>
      <c r="S284" s="630" t="s">
        <v>565</v>
      </c>
      <c r="T284" s="630"/>
      <c r="U284" s="630" t="s">
        <v>538</v>
      </c>
      <c r="V284" s="630">
        <v>2</v>
      </c>
      <c r="W284" s="630" t="s">
        <v>566</v>
      </c>
      <c r="X284" s="630" t="s">
        <v>540</v>
      </c>
      <c r="Y284" s="630" t="s">
        <v>549</v>
      </c>
      <c r="Z284" s="630">
        <v>2.150271</v>
      </c>
      <c r="AA284" s="630">
        <v>3.4605329999999999</v>
      </c>
      <c r="AB284" s="631">
        <v>3700</v>
      </c>
      <c r="AC284" s="631">
        <v>348616</v>
      </c>
      <c r="AD284" s="631">
        <f t="shared" si="4"/>
        <v>749618.87493599998</v>
      </c>
    </row>
    <row r="285" spans="2:30" x14ac:dyDescent="0.15">
      <c r="B285" s="630">
        <v>17043003101</v>
      </c>
      <c r="C285" s="630">
        <v>17043004779</v>
      </c>
      <c r="D285" s="630">
        <v>17043000594</v>
      </c>
      <c r="E285" s="630" t="s">
        <v>533</v>
      </c>
      <c r="F285" s="630" t="s">
        <v>534</v>
      </c>
      <c r="G285" s="630" t="s">
        <v>367</v>
      </c>
      <c r="H285" s="630" t="s">
        <v>382</v>
      </c>
      <c r="I285" s="630"/>
      <c r="J285" s="630" t="s">
        <v>547</v>
      </c>
      <c r="K285" s="630"/>
      <c r="L285" s="630"/>
      <c r="M285" s="630"/>
      <c r="N285" s="630"/>
      <c r="O285" s="630"/>
      <c r="P285" s="630"/>
      <c r="Q285" s="630"/>
      <c r="R285" s="630"/>
      <c r="S285" s="630" t="s">
        <v>583</v>
      </c>
      <c r="T285" s="630"/>
      <c r="U285" s="630" t="s">
        <v>538</v>
      </c>
      <c r="V285" s="630">
        <v>3</v>
      </c>
      <c r="W285" s="630" t="s">
        <v>588</v>
      </c>
      <c r="X285" s="630" t="s">
        <v>575</v>
      </c>
      <c r="Y285" s="630" t="s">
        <v>540</v>
      </c>
      <c r="Z285" s="630">
        <v>0.288049</v>
      </c>
      <c r="AA285" s="630">
        <v>0.46357199999999998</v>
      </c>
      <c r="AB285" s="631">
        <v>1830855</v>
      </c>
      <c r="AC285" s="631">
        <v>57776893</v>
      </c>
      <c r="AD285" s="631">
        <f t="shared" si="4"/>
        <v>16642576.251757</v>
      </c>
    </row>
    <row r="286" spans="2:30" x14ac:dyDescent="0.15">
      <c r="B286" s="630">
        <v>17031003979</v>
      </c>
      <c r="C286" s="630">
        <v>17031000689</v>
      </c>
      <c r="D286" s="630">
        <v>17031000685</v>
      </c>
      <c r="E286" s="630" t="s">
        <v>533</v>
      </c>
      <c r="F286" s="630" t="s">
        <v>534</v>
      </c>
      <c r="G286" s="630" t="s">
        <v>365</v>
      </c>
      <c r="H286" s="630" t="s">
        <v>543</v>
      </c>
      <c r="I286" s="630"/>
      <c r="J286" s="630" t="s">
        <v>542</v>
      </c>
      <c r="K286" s="630" t="s">
        <v>547</v>
      </c>
      <c r="L286" s="630" t="s">
        <v>382</v>
      </c>
      <c r="M286" s="630"/>
      <c r="N286" s="630"/>
      <c r="O286" s="630"/>
      <c r="P286" s="630"/>
      <c r="Q286" s="630"/>
      <c r="R286" s="630"/>
      <c r="S286" s="630" t="s">
        <v>630</v>
      </c>
      <c r="T286" s="630"/>
      <c r="U286" s="630" t="s">
        <v>538</v>
      </c>
      <c r="V286" s="630">
        <v>2</v>
      </c>
      <c r="W286" s="630" t="s">
        <v>545</v>
      </c>
      <c r="X286" s="630" t="s">
        <v>540</v>
      </c>
      <c r="Y286" s="630" t="s">
        <v>541</v>
      </c>
      <c r="Z286" s="630">
        <v>0.140044</v>
      </c>
      <c r="AA286" s="630">
        <v>0.225379</v>
      </c>
      <c r="AB286" s="631">
        <v>196032</v>
      </c>
      <c r="AC286" s="631">
        <v>8031847</v>
      </c>
      <c r="AD286" s="631">
        <f t="shared" si="4"/>
        <v>1124811.9812680001</v>
      </c>
    </row>
    <row r="287" spans="2:30" x14ac:dyDescent="0.15">
      <c r="B287" s="630">
        <v>17031004204</v>
      </c>
      <c r="C287" s="630">
        <v>17031000339</v>
      </c>
      <c r="D287" s="630">
        <v>17031000351</v>
      </c>
      <c r="E287" s="630" t="s">
        <v>533</v>
      </c>
      <c r="F287" s="630" t="s">
        <v>534</v>
      </c>
      <c r="G287" s="630" t="s">
        <v>365</v>
      </c>
      <c r="H287" s="630" t="s">
        <v>590</v>
      </c>
      <c r="I287" s="630"/>
      <c r="J287" s="630"/>
      <c r="K287" s="630"/>
      <c r="L287" s="630"/>
      <c r="M287" s="630"/>
      <c r="N287" s="630"/>
      <c r="O287" s="630"/>
      <c r="P287" s="630"/>
      <c r="Q287" s="630"/>
      <c r="R287" s="630"/>
      <c r="S287" s="630"/>
      <c r="T287" s="630"/>
      <c r="U287" s="630" t="s">
        <v>559</v>
      </c>
      <c r="V287" s="630">
        <v>1</v>
      </c>
      <c r="W287" s="630" t="s">
        <v>560</v>
      </c>
      <c r="X287" s="630" t="s">
        <v>541</v>
      </c>
      <c r="Y287" s="630" t="s">
        <v>541</v>
      </c>
      <c r="Z287" s="630">
        <v>0.686087</v>
      </c>
      <c r="AA287" s="630">
        <v>1.1041529999999999</v>
      </c>
      <c r="AB287" s="631">
        <v>0</v>
      </c>
      <c r="AC287" s="631">
        <v>0</v>
      </c>
      <c r="AD287" s="631">
        <f t="shared" si="4"/>
        <v>0</v>
      </c>
    </row>
    <row r="288" spans="2:30" x14ac:dyDescent="0.15">
      <c r="B288" s="630">
        <v>17197004221</v>
      </c>
      <c r="C288" s="630">
        <v>17197004805</v>
      </c>
      <c r="D288" s="630">
        <v>17197001537</v>
      </c>
      <c r="E288" s="630" t="s">
        <v>533</v>
      </c>
      <c r="F288" s="630" t="s">
        <v>534</v>
      </c>
      <c r="G288" s="630" t="s">
        <v>377</v>
      </c>
      <c r="H288" s="630" t="s">
        <v>535</v>
      </c>
      <c r="I288" s="630"/>
      <c r="J288" s="630" t="s">
        <v>382</v>
      </c>
      <c r="K288" s="630"/>
      <c r="L288" s="630"/>
      <c r="M288" s="630"/>
      <c r="N288" s="630"/>
      <c r="O288" s="630"/>
      <c r="P288" s="630"/>
      <c r="Q288" s="630"/>
      <c r="R288" s="630"/>
      <c r="S288" s="630" t="s">
        <v>601</v>
      </c>
      <c r="T288" s="630"/>
      <c r="U288" s="630" t="s">
        <v>538</v>
      </c>
      <c r="V288" s="630">
        <v>1</v>
      </c>
      <c r="W288" s="630" t="s">
        <v>582</v>
      </c>
      <c r="X288" s="630" t="s">
        <v>540</v>
      </c>
      <c r="Y288" s="630" t="s">
        <v>540</v>
      </c>
      <c r="Z288" s="630">
        <v>1.8870100000000001</v>
      </c>
      <c r="AA288" s="630">
        <v>3.0368539999999999</v>
      </c>
      <c r="AB288" s="631">
        <v>7240</v>
      </c>
      <c r="AC288" s="631">
        <v>666360</v>
      </c>
      <c r="AD288" s="631">
        <f t="shared" si="4"/>
        <v>1257427.9836000002</v>
      </c>
    </row>
    <row r="289" spans="2:30" x14ac:dyDescent="0.15">
      <c r="B289" s="630">
        <v>17031004839</v>
      </c>
      <c r="C289" s="630">
        <v>17031001214</v>
      </c>
      <c r="D289" s="630">
        <v>17031001215</v>
      </c>
      <c r="E289" s="630" t="s">
        <v>533</v>
      </c>
      <c r="F289" s="630" t="s">
        <v>534</v>
      </c>
      <c r="G289" s="630" t="s">
        <v>365</v>
      </c>
      <c r="H289" s="630" t="s">
        <v>577</v>
      </c>
      <c r="I289" s="630"/>
      <c r="J289" s="630"/>
      <c r="K289" s="630"/>
      <c r="L289" s="630"/>
      <c r="M289" s="630"/>
      <c r="N289" s="630"/>
      <c r="O289" s="630"/>
      <c r="P289" s="630"/>
      <c r="Q289" s="630"/>
      <c r="R289" s="630"/>
      <c r="S289" s="630"/>
      <c r="T289" s="630"/>
      <c r="U289" s="630" t="s">
        <v>559</v>
      </c>
      <c r="V289" s="630">
        <v>1</v>
      </c>
      <c r="W289" s="630" t="s">
        <v>560</v>
      </c>
      <c r="X289" s="630" t="s">
        <v>541</v>
      </c>
      <c r="Y289" s="630" t="s">
        <v>541</v>
      </c>
      <c r="Z289" s="630">
        <v>2.0136000000000001E-2</v>
      </c>
      <c r="AA289" s="630">
        <v>3.2405000000000003E-2</v>
      </c>
      <c r="AB289" s="631">
        <v>0</v>
      </c>
      <c r="AC289" s="631">
        <v>0</v>
      </c>
      <c r="AD289" s="631">
        <f t="shared" si="4"/>
        <v>0</v>
      </c>
    </row>
    <row r="290" spans="2:30" x14ac:dyDescent="0.15">
      <c r="B290" s="630">
        <v>17031003681</v>
      </c>
      <c r="C290" s="630">
        <v>17031001300</v>
      </c>
      <c r="D290" s="630">
        <v>17031001302</v>
      </c>
      <c r="E290" s="630" t="s">
        <v>533</v>
      </c>
      <c r="F290" s="630" t="s">
        <v>534</v>
      </c>
      <c r="G290" s="630" t="s">
        <v>365</v>
      </c>
      <c r="H290" s="630" t="s">
        <v>551</v>
      </c>
      <c r="I290" s="630"/>
      <c r="J290" s="630" t="s">
        <v>381</v>
      </c>
      <c r="K290" s="630" t="s">
        <v>535</v>
      </c>
      <c r="L290" s="630" t="s">
        <v>552</v>
      </c>
      <c r="M290" s="630" t="s">
        <v>382</v>
      </c>
      <c r="N290" s="630"/>
      <c r="O290" s="630"/>
      <c r="P290" s="630"/>
      <c r="Q290" s="630"/>
      <c r="R290" s="630"/>
      <c r="S290" s="630" t="s">
        <v>603</v>
      </c>
      <c r="T290" s="630" t="s">
        <v>603</v>
      </c>
      <c r="U290" s="630" t="s">
        <v>538</v>
      </c>
      <c r="V290" s="630">
        <v>3</v>
      </c>
      <c r="W290" s="630" t="s">
        <v>545</v>
      </c>
      <c r="X290" s="630" t="s">
        <v>575</v>
      </c>
      <c r="Y290" s="630" t="s">
        <v>540</v>
      </c>
      <c r="Z290" s="630">
        <v>0.45213199999999998</v>
      </c>
      <c r="AA290" s="630">
        <v>0.72763800000000001</v>
      </c>
      <c r="AB290" s="631">
        <v>1107008</v>
      </c>
      <c r="AC290" s="631">
        <v>48904786</v>
      </c>
      <c r="AD290" s="631">
        <f t="shared" si="4"/>
        <v>22111418.703752</v>
      </c>
    </row>
    <row r="291" spans="2:30" x14ac:dyDescent="0.15">
      <c r="B291" s="630">
        <v>17031001956</v>
      </c>
      <c r="C291" s="630">
        <v>17031004727</v>
      </c>
      <c r="D291" s="630">
        <v>17031007745</v>
      </c>
      <c r="E291" s="630" t="s">
        <v>533</v>
      </c>
      <c r="F291" s="630" t="s">
        <v>534</v>
      </c>
      <c r="G291" s="630" t="s">
        <v>365</v>
      </c>
      <c r="H291" s="630" t="s">
        <v>557</v>
      </c>
      <c r="I291" s="630"/>
      <c r="J291" s="630" t="s">
        <v>381</v>
      </c>
      <c r="K291" s="630" t="s">
        <v>535</v>
      </c>
      <c r="L291" s="630" t="s">
        <v>552</v>
      </c>
      <c r="M291" s="630" t="s">
        <v>551</v>
      </c>
      <c r="N291" s="630" t="s">
        <v>543</v>
      </c>
      <c r="O291" s="630" t="s">
        <v>382</v>
      </c>
      <c r="P291" s="630"/>
      <c r="Q291" s="630"/>
      <c r="R291" s="630"/>
      <c r="S291" s="630" t="s">
        <v>570</v>
      </c>
      <c r="T291" s="630"/>
      <c r="U291" s="630" t="s">
        <v>538</v>
      </c>
      <c r="V291" s="630">
        <v>2</v>
      </c>
      <c r="W291" s="630" t="s">
        <v>545</v>
      </c>
      <c r="X291" s="630" t="s">
        <v>575</v>
      </c>
      <c r="Y291" s="630" t="s">
        <v>540</v>
      </c>
      <c r="Z291" s="630">
        <v>2.831982</v>
      </c>
      <c r="AA291" s="630">
        <v>4.5576420000000004</v>
      </c>
      <c r="AB291" s="631">
        <v>1871730</v>
      </c>
      <c r="AC291" s="631">
        <v>61772651</v>
      </c>
      <c r="AD291" s="631">
        <f t="shared" si="4"/>
        <v>174939035.724282</v>
      </c>
    </row>
    <row r="292" spans="2:30" x14ac:dyDescent="0.15">
      <c r="B292" s="630">
        <v>17043002049</v>
      </c>
      <c r="C292" s="630">
        <v>17043007355</v>
      </c>
      <c r="D292" s="630">
        <v>17043004782</v>
      </c>
      <c r="E292" s="630" t="s">
        <v>533</v>
      </c>
      <c r="F292" s="630" t="s">
        <v>534</v>
      </c>
      <c r="G292" s="630" t="s">
        <v>367</v>
      </c>
      <c r="H292" s="630" t="s">
        <v>382</v>
      </c>
      <c r="I292" s="630"/>
      <c r="J292" s="630"/>
      <c r="K292" s="630"/>
      <c r="L292" s="630"/>
      <c r="M292" s="630"/>
      <c r="N292" s="630"/>
      <c r="O292" s="630"/>
      <c r="P292" s="630"/>
      <c r="Q292" s="630"/>
      <c r="R292" s="630"/>
      <c r="S292" s="630" t="s">
        <v>635</v>
      </c>
      <c r="T292" s="630"/>
      <c r="U292" s="630" t="s">
        <v>559</v>
      </c>
      <c r="V292" s="630">
        <v>1</v>
      </c>
      <c r="W292" s="630" t="s">
        <v>560</v>
      </c>
      <c r="X292" s="630" t="s">
        <v>541</v>
      </c>
      <c r="Y292" s="630" t="s">
        <v>541</v>
      </c>
      <c r="Z292" s="630">
        <v>1.683997</v>
      </c>
      <c r="AA292" s="630">
        <v>2.7101359999999999</v>
      </c>
      <c r="AB292" s="631">
        <v>1120</v>
      </c>
      <c r="AC292" s="631">
        <v>104720</v>
      </c>
      <c r="AD292" s="631">
        <f t="shared" si="4"/>
        <v>176348.16584</v>
      </c>
    </row>
    <row r="293" spans="2:30" x14ac:dyDescent="0.15">
      <c r="B293" s="630">
        <v>17197006552</v>
      </c>
      <c r="C293" s="630">
        <v>17197004513</v>
      </c>
      <c r="D293" s="630">
        <v>17197004812</v>
      </c>
      <c r="E293" s="630" t="s">
        <v>533</v>
      </c>
      <c r="F293" s="630" t="s">
        <v>534</v>
      </c>
      <c r="G293" s="630" t="s">
        <v>377</v>
      </c>
      <c r="H293" s="630" t="s">
        <v>381</v>
      </c>
      <c r="I293" s="630"/>
      <c r="J293" s="630" t="s">
        <v>382</v>
      </c>
      <c r="K293" s="630"/>
      <c r="L293" s="630"/>
      <c r="M293" s="630"/>
      <c r="N293" s="630"/>
      <c r="O293" s="630"/>
      <c r="P293" s="630"/>
      <c r="Q293" s="630"/>
      <c r="R293" s="630"/>
      <c r="S293" s="630" t="s">
        <v>651</v>
      </c>
      <c r="T293" s="630"/>
      <c r="U293" s="630" t="s">
        <v>559</v>
      </c>
      <c r="V293" s="630">
        <v>1</v>
      </c>
      <c r="W293" s="630" t="s">
        <v>539</v>
      </c>
      <c r="X293" s="630" t="s">
        <v>541</v>
      </c>
      <c r="Y293" s="630" t="s">
        <v>541</v>
      </c>
      <c r="Z293" s="630">
        <v>1.3027629999999999</v>
      </c>
      <c r="AA293" s="630">
        <v>2.0965989999999999</v>
      </c>
      <c r="AB293" s="631">
        <v>0</v>
      </c>
      <c r="AC293" s="631">
        <v>0</v>
      </c>
      <c r="AD293" s="631">
        <f t="shared" si="4"/>
        <v>0</v>
      </c>
    </row>
    <row r="294" spans="2:30" x14ac:dyDescent="0.15">
      <c r="B294" s="630">
        <v>17031002166</v>
      </c>
      <c r="C294" s="630">
        <v>17031001286</v>
      </c>
      <c r="D294" s="630">
        <v>17031004722</v>
      </c>
      <c r="E294" s="630" t="s">
        <v>533</v>
      </c>
      <c r="F294" s="630" t="s">
        <v>534</v>
      </c>
      <c r="G294" s="630" t="s">
        <v>365</v>
      </c>
      <c r="H294" s="630" t="s">
        <v>547</v>
      </c>
      <c r="I294" s="630"/>
      <c r="J294" s="630"/>
      <c r="K294" s="630"/>
      <c r="L294" s="630"/>
      <c r="M294" s="630"/>
      <c r="N294" s="630"/>
      <c r="O294" s="630"/>
      <c r="P294" s="630"/>
      <c r="Q294" s="630"/>
      <c r="R294" s="630"/>
      <c r="S294" s="630"/>
      <c r="T294" s="630"/>
      <c r="U294" s="630" t="s">
        <v>538</v>
      </c>
      <c r="V294" s="630">
        <v>1</v>
      </c>
      <c r="W294" s="630" t="s">
        <v>582</v>
      </c>
      <c r="X294" s="630" t="s">
        <v>541</v>
      </c>
      <c r="Y294" s="630" t="s">
        <v>541</v>
      </c>
      <c r="Z294" s="630">
        <v>0.47956700000000002</v>
      </c>
      <c r="AA294" s="630">
        <v>0.77178999999999998</v>
      </c>
      <c r="AB294" s="631">
        <v>0</v>
      </c>
      <c r="AC294" s="631">
        <v>0</v>
      </c>
      <c r="AD294" s="631">
        <f t="shared" si="4"/>
        <v>0</v>
      </c>
    </row>
    <row r="295" spans="2:30" x14ac:dyDescent="0.15">
      <c r="B295" s="630">
        <v>17043004086</v>
      </c>
      <c r="C295" s="630">
        <v>17043007330</v>
      </c>
      <c r="D295" s="630">
        <v>17043000487</v>
      </c>
      <c r="E295" s="630" t="s">
        <v>533</v>
      </c>
      <c r="F295" s="630" t="s">
        <v>534</v>
      </c>
      <c r="G295" s="630" t="s">
        <v>367</v>
      </c>
      <c r="H295" s="630" t="s">
        <v>535</v>
      </c>
      <c r="I295" s="630"/>
      <c r="J295" s="630"/>
      <c r="K295" s="630"/>
      <c r="L295" s="630"/>
      <c r="M295" s="630"/>
      <c r="N295" s="630"/>
      <c r="O295" s="630"/>
      <c r="P295" s="630"/>
      <c r="Q295" s="630"/>
      <c r="R295" s="630"/>
      <c r="S295" s="630"/>
      <c r="T295" s="630"/>
      <c r="U295" s="630" t="s">
        <v>559</v>
      </c>
      <c r="V295" s="630">
        <v>1</v>
      </c>
      <c r="W295" s="630" t="s">
        <v>560</v>
      </c>
      <c r="X295" s="630" t="s">
        <v>541</v>
      </c>
      <c r="Y295" s="630" t="s">
        <v>541</v>
      </c>
      <c r="Z295" s="630">
        <v>0.32865699999999998</v>
      </c>
      <c r="AA295" s="630">
        <v>0.52892300000000003</v>
      </c>
      <c r="AB295" s="631">
        <v>0</v>
      </c>
      <c r="AC295" s="631">
        <v>0</v>
      </c>
      <c r="AD295" s="631">
        <f t="shared" si="4"/>
        <v>0</v>
      </c>
    </row>
    <row r="296" spans="2:30" x14ac:dyDescent="0.15">
      <c r="B296" s="630">
        <v>17031004181</v>
      </c>
      <c r="C296" s="630">
        <v>17031004615</v>
      </c>
      <c r="D296" s="630">
        <v>17031000256</v>
      </c>
      <c r="E296" s="630" t="s">
        <v>533</v>
      </c>
      <c r="F296" s="630" t="s">
        <v>534</v>
      </c>
      <c r="G296" s="630" t="s">
        <v>365</v>
      </c>
      <c r="H296" s="630" t="s">
        <v>552</v>
      </c>
      <c r="I296" s="630"/>
      <c r="J296" s="630" t="s">
        <v>542</v>
      </c>
      <c r="K296" s="630" t="s">
        <v>547</v>
      </c>
      <c r="L296" s="630" t="s">
        <v>563</v>
      </c>
      <c r="M296" s="630" t="s">
        <v>382</v>
      </c>
      <c r="N296" s="630"/>
      <c r="O296" s="630"/>
      <c r="P296" s="630"/>
      <c r="Q296" s="630"/>
      <c r="R296" s="630"/>
      <c r="S296" s="630" t="s">
        <v>564</v>
      </c>
      <c r="T296" s="630"/>
      <c r="U296" s="630" t="s">
        <v>538</v>
      </c>
      <c r="V296" s="630">
        <v>2</v>
      </c>
      <c r="W296" s="630" t="s">
        <v>545</v>
      </c>
      <c r="X296" s="630" t="s">
        <v>541</v>
      </c>
      <c r="Y296" s="630" t="s">
        <v>549</v>
      </c>
      <c r="Z296" s="630">
        <v>1.5680620000000001</v>
      </c>
      <c r="AA296" s="630">
        <v>2.5235560000000001</v>
      </c>
      <c r="AB296" s="631">
        <v>27658</v>
      </c>
      <c r="AC296" s="631">
        <v>2621133</v>
      </c>
      <c r="AD296" s="631">
        <f t="shared" si="4"/>
        <v>4110099.054246</v>
      </c>
    </row>
    <row r="297" spans="2:30" x14ac:dyDescent="0.15">
      <c r="B297" s="630">
        <v>17043002542</v>
      </c>
      <c r="C297" s="630">
        <v>17043004896</v>
      </c>
      <c r="D297" s="630">
        <v>17043000391</v>
      </c>
      <c r="E297" s="630" t="s">
        <v>533</v>
      </c>
      <c r="F297" s="630" t="s">
        <v>534</v>
      </c>
      <c r="G297" s="630" t="s">
        <v>367</v>
      </c>
      <c r="H297" s="630" t="s">
        <v>535</v>
      </c>
      <c r="I297" s="630"/>
      <c r="J297" s="630" t="s">
        <v>536</v>
      </c>
      <c r="K297" s="630" t="s">
        <v>382</v>
      </c>
      <c r="L297" s="630"/>
      <c r="M297" s="630"/>
      <c r="N297" s="630"/>
      <c r="O297" s="630"/>
      <c r="P297" s="630"/>
      <c r="Q297" s="630"/>
      <c r="R297" s="630"/>
      <c r="S297" s="630" t="s">
        <v>550</v>
      </c>
      <c r="T297" s="630"/>
      <c r="U297" s="630" t="s">
        <v>538</v>
      </c>
      <c r="V297" s="630">
        <v>1</v>
      </c>
      <c r="W297" s="630" t="s">
        <v>545</v>
      </c>
      <c r="X297" s="630" t="s">
        <v>540</v>
      </c>
      <c r="Y297" s="630" t="s">
        <v>549</v>
      </c>
      <c r="Z297" s="630">
        <v>2.6141670000000001</v>
      </c>
      <c r="AA297" s="630">
        <v>4.2071019999999999</v>
      </c>
      <c r="AB297" s="631">
        <v>16613</v>
      </c>
      <c r="AC297" s="631">
        <v>1595981</v>
      </c>
      <c r="AD297" s="631">
        <f t="shared" si="4"/>
        <v>4172160.8628270002</v>
      </c>
    </row>
    <row r="298" spans="2:30" x14ac:dyDescent="0.15">
      <c r="B298" s="630">
        <v>17043003967</v>
      </c>
      <c r="C298" s="630">
        <v>17043004889</v>
      </c>
      <c r="D298" s="630">
        <v>17043000928</v>
      </c>
      <c r="E298" s="630" t="s">
        <v>533</v>
      </c>
      <c r="F298" s="630" t="s">
        <v>534</v>
      </c>
      <c r="G298" s="630" t="s">
        <v>367</v>
      </c>
      <c r="H298" s="630" t="s">
        <v>381</v>
      </c>
      <c r="I298" s="630"/>
      <c r="J298" s="630" t="s">
        <v>542</v>
      </c>
      <c r="K298" s="630" t="s">
        <v>547</v>
      </c>
      <c r="L298" s="630" t="s">
        <v>382</v>
      </c>
      <c r="M298" s="630"/>
      <c r="N298" s="630"/>
      <c r="O298" s="630"/>
      <c r="P298" s="630"/>
      <c r="Q298" s="630"/>
      <c r="R298" s="630"/>
      <c r="S298" s="630" t="s">
        <v>579</v>
      </c>
      <c r="T298" s="630"/>
      <c r="U298" s="630" t="s">
        <v>538</v>
      </c>
      <c r="V298" s="630">
        <v>3</v>
      </c>
      <c r="W298" s="630" t="s">
        <v>545</v>
      </c>
      <c r="X298" s="630" t="s">
        <v>580</v>
      </c>
      <c r="Y298" s="630" t="s">
        <v>549</v>
      </c>
      <c r="Z298" s="630">
        <v>0.41630400000000001</v>
      </c>
      <c r="AA298" s="630">
        <v>0.66997700000000004</v>
      </c>
      <c r="AB298" s="631">
        <v>1181202</v>
      </c>
      <c r="AC298" s="631">
        <v>46544860</v>
      </c>
      <c r="AD298" s="631">
        <f t="shared" si="4"/>
        <v>19376811.397440001</v>
      </c>
    </row>
    <row r="299" spans="2:30" x14ac:dyDescent="0.15">
      <c r="B299" s="630">
        <v>17031004881</v>
      </c>
      <c r="C299" s="630">
        <v>17031001208</v>
      </c>
      <c r="D299" s="630">
        <v>17031001253</v>
      </c>
      <c r="E299" s="630" t="s">
        <v>533</v>
      </c>
      <c r="F299" s="630" t="s">
        <v>534</v>
      </c>
      <c r="G299" s="630" t="s">
        <v>365</v>
      </c>
      <c r="H299" s="630" t="s">
        <v>627</v>
      </c>
      <c r="I299" s="630"/>
      <c r="J299" s="630" t="s">
        <v>572</v>
      </c>
      <c r="K299" s="630"/>
      <c r="L299" s="630"/>
      <c r="M299" s="630"/>
      <c r="N299" s="630"/>
      <c r="O299" s="630"/>
      <c r="P299" s="630"/>
      <c r="Q299" s="630"/>
      <c r="R299" s="630"/>
      <c r="S299" s="630"/>
      <c r="T299" s="630"/>
      <c r="U299" s="630" t="s">
        <v>538</v>
      </c>
      <c r="V299" s="630">
        <v>2</v>
      </c>
      <c r="W299" s="630" t="s">
        <v>545</v>
      </c>
      <c r="X299" s="630" t="s">
        <v>541</v>
      </c>
      <c r="Y299" s="630" t="s">
        <v>540</v>
      </c>
      <c r="Z299" s="630">
        <v>1.1512849999999999</v>
      </c>
      <c r="AA299" s="630">
        <v>1.8528169999999999</v>
      </c>
      <c r="AB299" s="631">
        <v>23086</v>
      </c>
      <c r="AC299" s="631">
        <v>2039650</v>
      </c>
      <c r="AD299" s="631">
        <f t="shared" si="4"/>
        <v>2348218.4502499998</v>
      </c>
    </row>
    <row r="300" spans="2:30" x14ac:dyDescent="0.15">
      <c r="B300" s="630">
        <v>17031009500</v>
      </c>
      <c r="C300" s="630">
        <v>17031004604</v>
      </c>
      <c r="D300" s="630">
        <v>17031007598</v>
      </c>
      <c r="E300" s="630" t="s">
        <v>533</v>
      </c>
      <c r="F300" s="630" t="s">
        <v>534</v>
      </c>
      <c r="G300" s="630" t="s">
        <v>365</v>
      </c>
      <c r="H300" s="630" t="s">
        <v>535</v>
      </c>
      <c r="I300" s="630"/>
      <c r="J300" s="630" t="s">
        <v>547</v>
      </c>
      <c r="K300" s="630"/>
      <c r="L300" s="630"/>
      <c r="M300" s="630"/>
      <c r="N300" s="630"/>
      <c r="O300" s="630"/>
      <c r="P300" s="630"/>
      <c r="Q300" s="630"/>
      <c r="R300" s="630"/>
      <c r="S300" s="630" t="s">
        <v>548</v>
      </c>
      <c r="T300" s="630"/>
      <c r="U300" s="630" t="s">
        <v>538</v>
      </c>
      <c r="V300" s="630">
        <v>1</v>
      </c>
      <c r="W300" s="630" t="s">
        <v>545</v>
      </c>
      <c r="X300" s="630" t="s">
        <v>546</v>
      </c>
      <c r="Y300" s="630" t="s">
        <v>549</v>
      </c>
      <c r="Z300" s="630">
        <v>0.27657399999999999</v>
      </c>
      <c r="AA300" s="630">
        <v>0.44510300000000003</v>
      </c>
      <c r="AB300" s="631">
        <v>805460</v>
      </c>
      <c r="AC300" s="631">
        <v>39336999</v>
      </c>
      <c r="AD300" s="631">
        <f t="shared" si="4"/>
        <v>10879591.161426</v>
      </c>
    </row>
    <row r="301" spans="2:30" x14ac:dyDescent="0.15">
      <c r="B301" s="630">
        <v>17031003659</v>
      </c>
      <c r="C301" s="630">
        <v>17031001070</v>
      </c>
      <c r="D301" s="630">
        <v>17031001065</v>
      </c>
      <c r="E301" s="630" t="s">
        <v>533</v>
      </c>
      <c r="F301" s="630" t="s">
        <v>534</v>
      </c>
      <c r="G301" s="630" t="s">
        <v>365</v>
      </c>
      <c r="H301" s="630" t="s">
        <v>547</v>
      </c>
      <c r="I301" s="630"/>
      <c r="J301" s="630"/>
      <c r="K301" s="630"/>
      <c r="L301" s="630"/>
      <c r="M301" s="630"/>
      <c r="N301" s="630"/>
      <c r="O301" s="630"/>
      <c r="P301" s="630"/>
      <c r="Q301" s="630"/>
      <c r="R301" s="630"/>
      <c r="S301" s="630" t="s">
        <v>611</v>
      </c>
      <c r="T301" s="630"/>
      <c r="U301" s="630" t="s">
        <v>538</v>
      </c>
      <c r="V301" s="630">
        <v>2</v>
      </c>
      <c r="W301" s="630" t="s">
        <v>582</v>
      </c>
      <c r="X301" s="630" t="s">
        <v>541</v>
      </c>
      <c r="Y301" s="630" t="s">
        <v>540</v>
      </c>
      <c r="Z301" s="630">
        <v>0.74909599999999998</v>
      </c>
      <c r="AA301" s="630">
        <v>1.2055560000000001</v>
      </c>
      <c r="AB301" s="631">
        <v>0</v>
      </c>
      <c r="AC301" s="631">
        <v>0</v>
      </c>
      <c r="AD301" s="631">
        <f t="shared" si="4"/>
        <v>0</v>
      </c>
    </row>
    <row r="302" spans="2:30" x14ac:dyDescent="0.15">
      <c r="B302" s="630">
        <v>17031009580</v>
      </c>
      <c r="C302" s="630">
        <v>17031004684</v>
      </c>
      <c r="D302" s="630">
        <v>17031007670</v>
      </c>
      <c r="E302" s="630" t="s">
        <v>533</v>
      </c>
      <c r="F302" s="630" t="s">
        <v>534</v>
      </c>
      <c r="G302" s="630" t="s">
        <v>365</v>
      </c>
      <c r="H302" s="630" t="s">
        <v>547</v>
      </c>
      <c r="I302" s="630"/>
      <c r="J302" s="630" t="s">
        <v>543</v>
      </c>
      <c r="K302" s="630"/>
      <c r="L302" s="630"/>
      <c r="M302" s="630"/>
      <c r="N302" s="630"/>
      <c r="O302" s="630"/>
      <c r="P302" s="630"/>
      <c r="Q302" s="630"/>
      <c r="R302" s="630"/>
      <c r="S302" s="630" t="s">
        <v>602</v>
      </c>
      <c r="T302" s="630"/>
      <c r="U302" s="630" t="s">
        <v>538</v>
      </c>
      <c r="V302" s="630">
        <v>2</v>
      </c>
      <c r="W302" s="630" t="s">
        <v>582</v>
      </c>
      <c r="X302" s="630" t="s">
        <v>541</v>
      </c>
      <c r="Y302" s="630" t="s">
        <v>540</v>
      </c>
      <c r="Z302" s="630">
        <v>0.310695</v>
      </c>
      <c r="AA302" s="630">
        <v>0.50001700000000004</v>
      </c>
      <c r="AB302" s="631">
        <v>320</v>
      </c>
      <c r="AC302" s="631">
        <v>23200</v>
      </c>
      <c r="AD302" s="631">
        <f t="shared" si="4"/>
        <v>7208.1239999999998</v>
      </c>
    </row>
    <row r="303" spans="2:30" x14ac:dyDescent="0.15">
      <c r="B303" s="630">
        <v>17089002044</v>
      </c>
      <c r="C303" s="630">
        <v>17089004848</v>
      </c>
      <c r="D303" s="630">
        <v>17089000544</v>
      </c>
      <c r="E303" s="630" t="s">
        <v>533</v>
      </c>
      <c r="F303" s="630" t="s">
        <v>534</v>
      </c>
      <c r="G303" s="630" t="s">
        <v>369</v>
      </c>
      <c r="H303" s="630" t="s">
        <v>382</v>
      </c>
      <c r="I303" s="630"/>
      <c r="J303" s="630" t="s">
        <v>547</v>
      </c>
      <c r="K303" s="630"/>
      <c r="L303" s="630"/>
      <c r="M303" s="630"/>
      <c r="N303" s="630"/>
      <c r="O303" s="630"/>
      <c r="P303" s="630"/>
      <c r="Q303" s="630"/>
      <c r="R303" s="630"/>
      <c r="S303" s="630" t="s">
        <v>583</v>
      </c>
      <c r="T303" s="630"/>
      <c r="U303" s="630" t="s">
        <v>538</v>
      </c>
      <c r="V303" s="630">
        <v>3</v>
      </c>
      <c r="W303" s="630" t="s">
        <v>588</v>
      </c>
      <c r="X303" s="630" t="s">
        <v>575</v>
      </c>
      <c r="Y303" s="630" t="s">
        <v>549</v>
      </c>
      <c r="Z303" s="630">
        <v>2.7214469999999999</v>
      </c>
      <c r="AA303" s="630">
        <v>4.379753</v>
      </c>
      <c r="AB303" s="631">
        <v>1830185</v>
      </c>
      <c r="AC303" s="631">
        <v>58575731</v>
      </c>
      <c r="AD303" s="631">
        <f t="shared" si="4"/>
        <v>159410747.40275699</v>
      </c>
    </row>
    <row r="304" spans="2:30" x14ac:dyDescent="0.15">
      <c r="B304" s="630">
        <v>17031002376</v>
      </c>
      <c r="C304" s="630">
        <v>17031001060</v>
      </c>
      <c r="D304" s="630">
        <v>17031004741</v>
      </c>
      <c r="E304" s="630" t="s">
        <v>533</v>
      </c>
      <c r="F304" s="630" t="s">
        <v>534</v>
      </c>
      <c r="G304" s="630" t="s">
        <v>365</v>
      </c>
      <c r="H304" s="630" t="s">
        <v>543</v>
      </c>
      <c r="I304" s="630"/>
      <c r="J304" s="630"/>
      <c r="K304" s="630"/>
      <c r="L304" s="630"/>
      <c r="M304" s="630"/>
      <c r="N304" s="630"/>
      <c r="O304" s="630"/>
      <c r="P304" s="630"/>
      <c r="Q304" s="630"/>
      <c r="R304" s="630"/>
      <c r="S304" s="630" t="s">
        <v>604</v>
      </c>
      <c r="T304" s="630"/>
      <c r="U304" s="630" t="s">
        <v>538</v>
      </c>
      <c r="V304" s="630">
        <v>2</v>
      </c>
      <c r="W304" s="630" t="s">
        <v>545</v>
      </c>
      <c r="X304" s="630" t="s">
        <v>549</v>
      </c>
      <c r="Y304" s="630" t="s">
        <v>540</v>
      </c>
      <c r="Z304" s="630">
        <v>2.6881569999999999</v>
      </c>
      <c r="AA304" s="630">
        <v>4.3261779999999996</v>
      </c>
      <c r="AB304" s="631">
        <v>0</v>
      </c>
      <c r="AC304" s="631">
        <v>0</v>
      </c>
      <c r="AD304" s="631">
        <f t="shared" si="4"/>
        <v>0</v>
      </c>
    </row>
    <row r="305" spans="2:30" x14ac:dyDescent="0.15">
      <c r="B305" s="630">
        <v>17093002021</v>
      </c>
      <c r="C305" s="630">
        <v>17093004861</v>
      </c>
      <c r="D305" s="630">
        <v>17093004860</v>
      </c>
      <c r="E305" s="630" t="s">
        <v>533</v>
      </c>
      <c r="F305" s="630" t="s">
        <v>534</v>
      </c>
      <c r="G305" s="630" t="s">
        <v>371</v>
      </c>
      <c r="H305" s="630" t="s">
        <v>578</v>
      </c>
      <c r="I305" s="630"/>
      <c r="J305" s="630"/>
      <c r="K305" s="630"/>
      <c r="L305" s="630"/>
      <c r="M305" s="630"/>
      <c r="N305" s="630"/>
      <c r="O305" s="630"/>
      <c r="P305" s="630"/>
      <c r="Q305" s="630"/>
      <c r="R305" s="630"/>
      <c r="S305" s="630"/>
      <c r="T305" s="630"/>
      <c r="U305" s="630" t="s">
        <v>538</v>
      </c>
      <c r="V305" s="630">
        <v>1</v>
      </c>
      <c r="W305" s="630" t="s">
        <v>560</v>
      </c>
      <c r="X305" s="630" t="s">
        <v>541</v>
      </c>
      <c r="Y305" s="630" t="s">
        <v>541</v>
      </c>
      <c r="Z305" s="630">
        <v>6.1444320000000001</v>
      </c>
      <c r="AA305" s="630">
        <v>9.8885249999999996</v>
      </c>
      <c r="AB305" s="631">
        <v>37788</v>
      </c>
      <c r="AC305" s="631">
        <v>4259781</v>
      </c>
      <c r="AD305" s="631">
        <f t="shared" si="4"/>
        <v>26173934.689392</v>
      </c>
    </row>
    <row r="306" spans="2:30" x14ac:dyDescent="0.15">
      <c r="B306" s="630">
        <v>17031005344</v>
      </c>
      <c r="C306" s="630">
        <v>17031000298</v>
      </c>
      <c r="D306" s="630">
        <v>17031000299</v>
      </c>
      <c r="E306" s="630" t="s">
        <v>533</v>
      </c>
      <c r="F306" s="630" t="s">
        <v>534</v>
      </c>
      <c r="G306" s="630" t="s">
        <v>365</v>
      </c>
      <c r="H306" s="630" t="s">
        <v>382</v>
      </c>
      <c r="I306" s="630"/>
      <c r="J306" s="630" t="s">
        <v>535</v>
      </c>
      <c r="K306" s="630" t="s">
        <v>547</v>
      </c>
      <c r="L306" s="630"/>
      <c r="M306" s="630"/>
      <c r="N306" s="630"/>
      <c r="O306" s="630"/>
      <c r="P306" s="630"/>
      <c r="Q306" s="630"/>
      <c r="R306" s="630"/>
      <c r="S306" s="630" t="s">
        <v>608</v>
      </c>
      <c r="T306" s="630"/>
      <c r="U306" s="630" t="s">
        <v>538</v>
      </c>
      <c r="V306" s="630">
        <v>1</v>
      </c>
      <c r="W306" s="630" t="s">
        <v>560</v>
      </c>
      <c r="X306" s="630" t="s">
        <v>541</v>
      </c>
      <c r="Y306" s="630" t="s">
        <v>541</v>
      </c>
      <c r="Z306" s="630">
        <v>0.14291200000000001</v>
      </c>
      <c r="AA306" s="630">
        <v>0.22999600000000001</v>
      </c>
      <c r="AB306" s="631">
        <v>376</v>
      </c>
      <c r="AC306" s="631">
        <v>33912</v>
      </c>
      <c r="AD306" s="631">
        <f t="shared" si="4"/>
        <v>4846.4317440000004</v>
      </c>
    </row>
    <row r="307" spans="2:30" x14ac:dyDescent="0.15">
      <c r="B307" s="630">
        <v>17031004029</v>
      </c>
      <c r="C307" s="630">
        <v>17031000471</v>
      </c>
      <c r="D307" s="630">
        <v>17031000480</v>
      </c>
      <c r="E307" s="630" t="s">
        <v>533</v>
      </c>
      <c r="F307" s="630" t="s">
        <v>534</v>
      </c>
      <c r="G307" s="630" t="s">
        <v>365</v>
      </c>
      <c r="H307" s="630" t="s">
        <v>590</v>
      </c>
      <c r="I307" s="630"/>
      <c r="J307" s="630"/>
      <c r="K307" s="630"/>
      <c r="L307" s="630"/>
      <c r="M307" s="630"/>
      <c r="N307" s="630"/>
      <c r="O307" s="630"/>
      <c r="P307" s="630"/>
      <c r="Q307" s="630"/>
      <c r="R307" s="630"/>
      <c r="S307" s="630"/>
      <c r="T307" s="630"/>
      <c r="U307" s="630" t="s">
        <v>559</v>
      </c>
      <c r="V307" s="630">
        <v>1</v>
      </c>
      <c r="W307" s="630" t="s">
        <v>560</v>
      </c>
      <c r="X307" s="630" t="s">
        <v>541</v>
      </c>
      <c r="Y307" s="630" t="s">
        <v>541</v>
      </c>
      <c r="Z307" s="630">
        <v>0.13963400000000001</v>
      </c>
      <c r="AA307" s="630">
        <v>0.224719</v>
      </c>
      <c r="AB307" s="631">
        <v>0</v>
      </c>
      <c r="AC307" s="631">
        <v>0</v>
      </c>
      <c r="AD307" s="631">
        <f t="shared" si="4"/>
        <v>0</v>
      </c>
    </row>
    <row r="308" spans="2:30" x14ac:dyDescent="0.15">
      <c r="B308" s="630">
        <v>17031003696</v>
      </c>
      <c r="C308" s="630">
        <v>17031000258</v>
      </c>
      <c r="D308" s="630">
        <v>17031004575</v>
      </c>
      <c r="E308" s="630" t="s">
        <v>533</v>
      </c>
      <c r="F308" s="630" t="s">
        <v>534</v>
      </c>
      <c r="G308" s="630" t="s">
        <v>365</v>
      </c>
      <c r="H308" s="630" t="s">
        <v>382</v>
      </c>
      <c r="I308" s="630"/>
      <c r="J308" s="630" t="s">
        <v>547</v>
      </c>
      <c r="K308" s="630"/>
      <c r="L308" s="630"/>
      <c r="M308" s="630"/>
      <c r="N308" s="630"/>
      <c r="O308" s="630"/>
      <c r="P308" s="630"/>
      <c r="Q308" s="630"/>
      <c r="R308" s="630"/>
      <c r="S308" s="630" t="s">
        <v>565</v>
      </c>
      <c r="T308" s="630"/>
      <c r="U308" s="630" t="s">
        <v>538</v>
      </c>
      <c r="V308" s="630">
        <v>2</v>
      </c>
      <c r="W308" s="630" t="s">
        <v>566</v>
      </c>
      <c r="X308" s="630" t="s">
        <v>541</v>
      </c>
      <c r="Y308" s="630" t="s">
        <v>549</v>
      </c>
      <c r="Z308" s="630">
        <v>0.71984199999999998</v>
      </c>
      <c r="AA308" s="630">
        <v>1.1584760000000001</v>
      </c>
      <c r="AB308" s="631">
        <v>0</v>
      </c>
      <c r="AC308" s="631">
        <v>0</v>
      </c>
      <c r="AD308" s="631">
        <f t="shared" si="4"/>
        <v>0</v>
      </c>
    </row>
    <row r="309" spans="2:30" x14ac:dyDescent="0.15">
      <c r="B309" s="630">
        <v>17089002037</v>
      </c>
      <c r="C309" s="630">
        <v>17089004849</v>
      </c>
      <c r="D309" s="630">
        <v>17089004850</v>
      </c>
      <c r="E309" s="630" t="s">
        <v>533</v>
      </c>
      <c r="F309" s="630" t="s">
        <v>534</v>
      </c>
      <c r="G309" s="630" t="s">
        <v>369</v>
      </c>
      <c r="H309" s="630" t="s">
        <v>535</v>
      </c>
      <c r="I309" s="630"/>
      <c r="J309" s="630"/>
      <c r="K309" s="630"/>
      <c r="L309" s="630"/>
      <c r="M309" s="630"/>
      <c r="N309" s="630"/>
      <c r="O309" s="630"/>
      <c r="P309" s="630"/>
      <c r="Q309" s="630"/>
      <c r="R309" s="630"/>
      <c r="S309" s="630" t="s">
        <v>624</v>
      </c>
      <c r="T309" s="630"/>
      <c r="U309" s="630" t="s">
        <v>538</v>
      </c>
      <c r="V309" s="630">
        <v>1</v>
      </c>
      <c r="W309" s="630" t="s">
        <v>582</v>
      </c>
      <c r="X309" s="630" t="s">
        <v>554</v>
      </c>
      <c r="Y309" s="630" t="s">
        <v>549</v>
      </c>
      <c r="Z309" s="630">
        <v>2.4022350000000001</v>
      </c>
      <c r="AA309" s="630">
        <v>3.8660299999999999</v>
      </c>
      <c r="AB309" s="631">
        <v>46181</v>
      </c>
      <c r="AC309" s="631">
        <v>4487359</v>
      </c>
      <c r="AD309" s="631">
        <f t="shared" si="4"/>
        <v>10779690.847365001</v>
      </c>
    </row>
    <row r="310" spans="2:30" x14ac:dyDescent="0.15">
      <c r="B310" s="630">
        <v>17031003937</v>
      </c>
      <c r="C310" s="630">
        <v>17031001265</v>
      </c>
      <c r="D310" s="630">
        <v>17031001275</v>
      </c>
      <c r="E310" s="630" t="s">
        <v>533</v>
      </c>
      <c r="F310" s="630" t="s">
        <v>534</v>
      </c>
      <c r="G310" s="630" t="s">
        <v>365</v>
      </c>
      <c r="H310" s="630" t="s">
        <v>557</v>
      </c>
      <c r="I310" s="630"/>
      <c r="J310" s="630"/>
      <c r="K310" s="630"/>
      <c r="L310" s="630"/>
      <c r="M310" s="630"/>
      <c r="N310" s="630"/>
      <c r="O310" s="630"/>
      <c r="P310" s="630"/>
      <c r="Q310" s="630"/>
      <c r="R310" s="630"/>
      <c r="S310" s="630"/>
      <c r="T310" s="630"/>
      <c r="U310" s="630" t="s">
        <v>559</v>
      </c>
      <c r="V310" s="630">
        <v>1</v>
      </c>
      <c r="W310" s="630" t="s">
        <v>560</v>
      </c>
      <c r="X310" s="630" t="s">
        <v>541</v>
      </c>
      <c r="Y310" s="630" t="s">
        <v>541</v>
      </c>
      <c r="Z310" s="630">
        <v>0.60385100000000003</v>
      </c>
      <c r="AA310" s="630">
        <v>0.97180599999999995</v>
      </c>
      <c r="AB310" s="631">
        <v>0</v>
      </c>
      <c r="AC310" s="631">
        <v>0</v>
      </c>
      <c r="AD310" s="631">
        <f t="shared" si="4"/>
        <v>0</v>
      </c>
    </row>
    <row r="311" spans="2:30" x14ac:dyDescent="0.15">
      <c r="B311" s="630">
        <v>17031004205</v>
      </c>
      <c r="C311" s="630">
        <v>17031000348</v>
      </c>
      <c r="D311" s="630">
        <v>17031000351</v>
      </c>
      <c r="E311" s="630" t="s">
        <v>533</v>
      </c>
      <c r="F311" s="630" t="s">
        <v>534</v>
      </c>
      <c r="G311" s="630" t="s">
        <v>365</v>
      </c>
      <c r="H311" s="630" t="s">
        <v>590</v>
      </c>
      <c r="I311" s="630"/>
      <c r="J311" s="630"/>
      <c r="K311" s="630"/>
      <c r="L311" s="630"/>
      <c r="M311" s="630"/>
      <c r="N311" s="630"/>
      <c r="O311" s="630"/>
      <c r="P311" s="630"/>
      <c r="Q311" s="630"/>
      <c r="R311" s="630"/>
      <c r="S311" s="630"/>
      <c r="T311" s="630"/>
      <c r="U311" s="630" t="s">
        <v>559</v>
      </c>
      <c r="V311" s="630">
        <v>1</v>
      </c>
      <c r="W311" s="630" t="s">
        <v>560</v>
      </c>
      <c r="X311" s="630" t="s">
        <v>541</v>
      </c>
      <c r="Y311" s="630" t="s">
        <v>541</v>
      </c>
      <c r="Z311" s="630">
        <v>0.18109</v>
      </c>
      <c r="AA311" s="630">
        <v>0.29143599999999997</v>
      </c>
      <c r="AB311" s="631">
        <v>0</v>
      </c>
      <c r="AC311" s="631">
        <v>0</v>
      </c>
      <c r="AD311" s="631">
        <f t="shared" si="4"/>
        <v>0</v>
      </c>
    </row>
    <row r="312" spans="2:30" x14ac:dyDescent="0.15">
      <c r="B312" s="630">
        <v>17031005740</v>
      </c>
      <c r="C312" s="630">
        <v>17031000866</v>
      </c>
      <c r="D312" s="630">
        <v>17031000873</v>
      </c>
      <c r="E312" s="630" t="s">
        <v>533</v>
      </c>
      <c r="F312" s="630" t="s">
        <v>534</v>
      </c>
      <c r="G312" s="630" t="s">
        <v>365</v>
      </c>
      <c r="H312" s="630" t="s">
        <v>571</v>
      </c>
      <c r="I312" s="630"/>
      <c r="J312" s="630" t="s">
        <v>381</v>
      </c>
      <c r="K312" s="630" t="s">
        <v>535</v>
      </c>
      <c r="L312" s="630" t="s">
        <v>552</v>
      </c>
      <c r="M312" s="630" t="s">
        <v>551</v>
      </c>
      <c r="N312" s="630" t="s">
        <v>382</v>
      </c>
      <c r="O312" s="630" t="s">
        <v>563</v>
      </c>
      <c r="P312" s="630"/>
      <c r="Q312" s="630"/>
      <c r="R312" s="630"/>
      <c r="S312" s="630" t="s">
        <v>652</v>
      </c>
      <c r="T312" s="630"/>
      <c r="U312" s="630" t="s">
        <v>538</v>
      </c>
      <c r="V312" s="630">
        <v>2</v>
      </c>
      <c r="W312" s="630" t="s">
        <v>545</v>
      </c>
      <c r="X312" s="630" t="s">
        <v>549</v>
      </c>
      <c r="Y312" s="630" t="s">
        <v>554</v>
      </c>
      <c r="Z312" s="630">
        <v>0.34120600000000001</v>
      </c>
      <c r="AA312" s="630">
        <v>0.54912000000000005</v>
      </c>
      <c r="AB312" s="631">
        <v>93514</v>
      </c>
      <c r="AC312" s="631">
        <v>5176370</v>
      </c>
      <c r="AD312" s="631">
        <f t="shared" si="4"/>
        <v>1766208.5022200001</v>
      </c>
    </row>
    <row r="313" spans="2:30" x14ac:dyDescent="0.15">
      <c r="B313" s="630">
        <v>17031006315</v>
      </c>
      <c r="C313" s="630">
        <v>17031000795</v>
      </c>
      <c r="D313" s="630">
        <v>17031000809</v>
      </c>
      <c r="E313" s="630" t="s">
        <v>533</v>
      </c>
      <c r="F313" s="630" t="s">
        <v>534</v>
      </c>
      <c r="G313" s="630" t="s">
        <v>365</v>
      </c>
      <c r="H313" s="630" t="s">
        <v>571</v>
      </c>
      <c r="I313" s="630"/>
      <c r="J313" s="630" t="s">
        <v>381</v>
      </c>
      <c r="K313" s="630" t="s">
        <v>382</v>
      </c>
      <c r="L313" s="630"/>
      <c r="M313" s="630"/>
      <c r="N313" s="630"/>
      <c r="O313" s="630"/>
      <c r="P313" s="630"/>
      <c r="Q313" s="630"/>
      <c r="R313" s="630"/>
      <c r="S313" s="630"/>
      <c r="T313" s="630"/>
      <c r="U313" s="630" t="s">
        <v>538</v>
      </c>
      <c r="V313" s="630">
        <v>1</v>
      </c>
      <c r="W313" s="630" t="s">
        <v>560</v>
      </c>
      <c r="X313" s="630" t="s">
        <v>541</v>
      </c>
      <c r="Y313" s="630" t="s">
        <v>541</v>
      </c>
      <c r="Z313" s="630">
        <v>8.8682999999999998E-2</v>
      </c>
      <c r="AA313" s="630">
        <v>0.14272199999999999</v>
      </c>
      <c r="AB313" s="631">
        <v>867021</v>
      </c>
      <c r="AC313" s="631">
        <v>36830339</v>
      </c>
      <c r="AD313" s="631">
        <f t="shared" si="4"/>
        <v>3266224.9535369999</v>
      </c>
    </row>
    <row r="314" spans="2:30" x14ac:dyDescent="0.15">
      <c r="B314" s="630">
        <v>17043006528</v>
      </c>
      <c r="C314" s="630">
        <v>17043004780</v>
      </c>
      <c r="D314" s="630">
        <v>17043000579</v>
      </c>
      <c r="E314" s="630" t="s">
        <v>533</v>
      </c>
      <c r="F314" s="630" t="s">
        <v>534</v>
      </c>
      <c r="G314" s="630" t="s">
        <v>367</v>
      </c>
      <c r="H314" s="630" t="s">
        <v>382</v>
      </c>
      <c r="I314" s="630"/>
      <c r="J314" s="630"/>
      <c r="K314" s="630"/>
      <c r="L314" s="630"/>
      <c r="M314" s="630"/>
      <c r="N314" s="630"/>
      <c r="O314" s="630"/>
      <c r="P314" s="630"/>
      <c r="Q314" s="630"/>
      <c r="R314" s="630"/>
      <c r="S314" s="630" t="s">
        <v>653</v>
      </c>
      <c r="T314" s="630"/>
      <c r="U314" s="630" t="s">
        <v>559</v>
      </c>
      <c r="V314" s="630">
        <v>1</v>
      </c>
      <c r="W314" s="630" t="s">
        <v>560</v>
      </c>
      <c r="X314" s="630" t="s">
        <v>541</v>
      </c>
      <c r="Y314" s="630" t="s">
        <v>541</v>
      </c>
      <c r="Z314" s="630">
        <v>0.20343800000000001</v>
      </c>
      <c r="AA314" s="630">
        <v>0.32740200000000003</v>
      </c>
      <c r="AB314" s="631">
        <v>5730</v>
      </c>
      <c r="AC314" s="631">
        <v>588728</v>
      </c>
      <c r="AD314" s="631">
        <f t="shared" si="4"/>
        <v>119769.64686400001</v>
      </c>
    </row>
    <row r="315" spans="2:30" x14ac:dyDescent="0.15">
      <c r="B315" s="630">
        <v>17089002043</v>
      </c>
      <c r="C315" s="630">
        <v>17089000544</v>
      </c>
      <c r="D315" s="630">
        <v>17089004872</v>
      </c>
      <c r="E315" s="630" t="s">
        <v>533</v>
      </c>
      <c r="F315" s="630" t="s">
        <v>534</v>
      </c>
      <c r="G315" s="630" t="s">
        <v>369</v>
      </c>
      <c r="H315" s="630" t="s">
        <v>382</v>
      </c>
      <c r="I315" s="630"/>
      <c r="J315" s="630"/>
      <c r="K315" s="630"/>
      <c r="L315" s="630"/>
      <c r="M315" s="630"/>
      <c r="N315" s="630"/>
      <c r="O315" s="630"/>
      <c r="P315" s="630"/>
      <c r="Q315" s="630"/>
      <c r="R315" s="630"/>
      <c r="S315" s="630" t="s">
        <v>583</v>
      </c>
      <c r="T315" s="630"/>
      <c r="U315" s="630" t="s">
        <v>538</v>
      </c>
      <c r="V315" s="630">
        <v>2</v>
      </c>
      <c r="W315" s="630" t="s">
        <v>588</v>
      </c>
      <c r="X315" s="630" t="s">
        <v>575</v>
      </c>
      <c r="Y315" s="630" t="s">
        <v>549</v>
      </c>
      <c r="Z315" s="630">
        <v>4.9247769999999997</v>
      </c>
      <c r="AA315" s="630">
        <v>7.9256760000000002</v>
      </c>
      <c r="AB315" s="631">
        <v>1830185</v>
      </c>
      <c r="AC315" s="631">
        <v>58575731</v>
      </c>
      <c r="AD315" s="631">
        <f t="shared" si="4"/>
        <v>288472412.78698701</v>
      </c>
    </row>
    <row r="316" spans="2:30" x14ac:dyDescent="0.15">
      <c r="B316" s="630">
        <v>17031002089</v>
      </c>
      <c r="C316" s="630">
        <v>17031007598</v>
      </c>
      <c r="D316" s="630">
        <v>17031004626</v>
      </c>
      <c r="E316" s="630" t="s">
        <v>533</v>
      </c>
      <c r="F316" s="630" t="s">
        <v>534</v>
      </c>
      <c r="G316" s="630" t="s">
        <v>365</v>
      </c>
      <c r="H316" s="630" t="s">
        <v>535</v>
      </c>
      <c r="I316" s="630"/>
      <c r="J316" s="630" t="s">
        <v>547</v>
      </c>
      <c r="K316" s="630"/>
      <c r="L316" s="630"/>
      <c r="M316" s="630"/>
      <c r="N316" s="630"/>
      <c r="O316" s="630"/>
      <c r="P316" s="630"/>
      <c r="Q316" s="630"/>
      <c r="R316" s="630"/>
      <c r="S316" s="630" t="s">
        <v>548</v>
      </c>
      <c r="T316" s="630"/>
      <c r="U316" s="630" t="s">
        <v>538</v>
      </c>
      <c r="V316" s="630">
        <v>1</v>
      </c>
      <c r="W316" s="630" t="s">
        <v>545</v>
      </c>
      <c r="X316" s="630" t="s">
        <v>546</v>
      </c>
      <c r="Y316" s="630" t="s">
        <v>549</v>
      </c>
      <c r="Z316" s="630">
        <v>1.0150969999999999</v>
      </c>
      <c r="AA316" s="630">
        <v>1.633643</v>
      </c>
      <c r="AB316" s="631">
        <v>805460</v>
      </c>
      <c r="AC316" s="631">
        <v>39336999</v>
      </c>
      <c r="AD316" s="631">
        <f t="shared" si="4"/>
        <v>39930869.673902996</v>
      </c>
    </row>
    <row r="317" spans="2:30" x14ac:dyDescent="0.15">
      <c r="B317" s="630">
        <v>17043002381</v>
      </c>
      <c r="C317" s="630">
        <v>17043004886</v>
      </c>
      <c r="D317" s="630">
        <v>17043000870</v>
      </c>
      <c r="E317" s="630" t="s">
        <v>533</v>
      </c>
      <c r="F317" s="630" t="s">
        <v>534</v>
      </c>
      <c r="G317" s="630" t="s">
        <v>367</v>
      </c>
      <c r="H317" s="630" t="s">
        <v>381</v>
      </c>
      <c r="I317" s="630"/>
      <c r="J317" s="630" t="s">
        <v>542</v>
      </c>
      <c r="K317" s="630" t="s">
        <v>547</v>
      </c>
      <c r="L317" s="630" t="s">
        <v>382</v>
      </c>
      <c r="M317" s="630"/>
      <c r="N317" s="630"/>
      <c r="O317" s="630"/>
      <c r="P317" s="630"/>
      <c r="Q317" s="630"/>
      <c r="R317" s="630"/>
      <c r="S317" s="630" t="s">
        <v>579</v>
      </c>
      <c r="T317" s="630"/>
      <c r="U317" s="630" t="s">
        <v>538</v>
      </c>
      <c r="V317" s="630">
        <v>3</v>
      </c>
      <c r="W317" s="630" t="s">
        <v>545</v>
      </c>
      <c r="X317" s="630" t="s">
        <v>580</v>
      </c>
      <c r="Y317" s="630" t="s">
        <v>549</v>
      </c>
      <c r="Z317" s="630">
        <v>0.89617999999999998</v>
      </c>
      <c r="AA317" s="630">
        <v>1.442264</v>
      </c>
      <c r="AB317" s="631">
        <v>1180642</v>
      </c>
      <c r="AC317" s="631">
        <v>46493460</v>
      </c>
      <c r="AD317" s="631">
        <f t="shared" si="4"/>
        <v>41666508.982799999</v>
      </c>
    </row>
    <row r="318" spans="2:30" x14ac:dyDescent="0.15">
      <c r="B318" s="630">
        <v>17197003105</v>
      </c>
      <c r="C318" s="630">
        <v>17197004794</v>
      </c>
      <c r="D318" s="630">
        <v>17197007436</v>
      </c>
      <c r="E318" s="630" t="s">
        <v>533</v>
      </c>
      <c r="F318" s="630" t="s">
        <v>534</v>
      </c>
      <c r="G318" s="630" t="s">
        <v>377</v>
      </c>
      <c r="H318" s="630" t="s">
        <v>535</v>
      </c>
      <c r="I318" s="630"/>
      <c r="J318" s="630" t="s">
        <v>382</v>
      </c>
      <c r="K318" s="630" t="s">
        <v>536</v>
      </c>
      <c r="L318" s="630"/>
      <c r="M318" s="630"/>
      <c r="N318" s="630"/>
      <c r="O318" s="630"/>
      <c r="P318" s="630"/>
      <c r="Q318" s="630"/>
      <c r="R318" s="630"/>
      <c r="S318" s="630" t="s">
        <v>537</v>
      </c>
      <c r="T318" s="630"/>
      <c r="U318" s="630" t="s">
        <v>538</v>
      </c>
      <c r="V318" s="630">
        <v>2</v>
      </c>
      <c r="W318" s="630" t="s">
        <v>545</v>
      </c>
      <c r="X318" s="630" t="s">
        <v>540</v>
      </c>
      <c r="Y318" s="630" t="s">
        <v>549</v>
      </c>
      <c r="Z318" s="630">
        <v>2.6848030000000001</v>
      </c>
      <c r="AA318" s="630">
        <v>4.3207810000000002</v>
      </c>
      <c r="AB318" s="631">
        <v>30651</v>
      </c>
      <c r="AC318" s="631">
        <v>2787674</v>
      </c>
      <c r="AD318" s="631">
        <f t="shared" si="4"/>
        <v>7484355.5182220004</v>
      </c>
    </row>
    <row r="319" spans="2:30" x14ac:dyDescent="0.15">
      <c r="B319" s="630">
        <v>17031003232</v>
      </c>
      <c r="C319" s="630">
        <v>17031001589</v>
      </c>
      <c r="D319" s="630">
        <v>17031001558</v>
      </c>
      <c r="E319" s="630" t="s">
        <v>533</v>
      </c>
      <c r="F319" s="630" t="s">
        <v>534</v>
      </c>
      <c r="G319" s="630" t="s">
        <v>365</v>
      </c>
      <c r="H319" s="630" t="s">
        <v>535</v>
      </c>
      <c r="I319" s="630"/>
      <c r="J319" s="630" t="s">
        <v>542</v>
      </c>
      <c r="K319" s="630" t="s">
        <v>543</v>
      </c>
      <c r="L319" s="630" t="s">
        <v>382</v>
      </c>
      <c r="M319" s="630"/>
      <c r="N319" s="630"/>
      <c r="O319" s="630"/>
      <c r="P319" s="630"/>
      <c r="Q319" s="630"/>
      <c r="R319" s="630"/>
      <c r="S319" s="630" t="s">
        <v>544</v>
      </c>
      <c r="T319" s="630"/>
      <c r="U319" s="630" t="s">
        <v>538</v>
      </c>
      <c r="V319" s="630">
        <v>2</v>
      </c>
      <c r="W319" s="630" t="s">
        <v>545</v>
      </c>
      <c r="X319" s="630" t="s">
        <v>546</v>
      </c>
      <c r="Y319" s="630" t="s">
        <v>540</v>
      </c>
      <c r="Z319" s="630">
        <v>0.93279500000000004</v>
      </c>
      <c r="AA319" s="630">
        <v>1.5011909999999999</v>
      </c>
      <c r="AB319" s="631">
        <v>410587</v>
      </c>
      <c r="AC319" s="631">
        <v>21549694</v>
      </c>
      <c r="AD319" s="631">
        <f t="shared" si="4"/>
        <v>20101446.81473</v>
      </c>
    </row>
    <row r="320" spans="2:30" x14ac:dyDescent="0.15">
      <c r="B320" s="630">
        <v>17031003263</v>
      </c>
      <c r="C320" s="630">
        <v>17031000775</v>
      </c>
      <c r="D320" s="630">
        <v>17031000729</v>
      </c>
      <c r="E320" s="630" t="s">
        <v>533</v>
      </c>
      <c r="F320" s="630" t="s">
        <v>534</v>
      </c>
      <c r="G320" s="630" t="s">
        <v>365</v>
      </c>
      <c r="H320" s="630" t="s">
        <v>535</v>
      </c>
      <c r="I320" s="630"/>
      <c r="J320" s="630" t="s">
        <v>542</v>
      </c>
      <c r="K320" s="630" t="s">
        <v>572</v>
      </c>
      <c r="L320" s="630" t="s">
        <v>547</v>
      </c>
      <c r="M320" s="630" t="s">
        <v>382</v>
      </c>
      <c r="N320" s="630"/>
      <c r="O320" s="630"/>
      <c r="P320" s="630"/>
      <c r="Q320" s="630"/>
      <c r="R320" s="630"/>
      <c r="S320" s="630" t="s">
        <v>601</v>
      </c>
      <c r="T320" s="630"/>
      <c r="U320" s="630" t="s">
        <v>538</v>
      </c>
      <c r="V320" s="630">
        <v>2</v>
      </c>
      <c r="W320" s="630" t="s">
        <v>545</v>
      </c>
      <c r="X320" s="630" t="s">
        <v>540</v>
      </c>
      <c r="Y320" s="630" t="s">
        <v>540</v>
      </c>
      <c r="Z320" s="630">
        <v>1.5072080000000001</v>
      </c>
      <c r="AA320" s="630">
        <v>2.425621</v>
      </c>
      <c r="AB320" s="631">
        <v>103316</v>
      </c>
      <c r="AC320" s="631">
        <v>4167946</v>
      </c>
      <c r="AD320" s="631">
        <f t="shared" si="4"/>
        <v>6281961.5547680007</v>
      </c>
    </row>
    <row r="321" spans="2:30" x14ac:dyDescent="0.15">
      <c r="B321" s="630">
        <v>17031003503</v>
      </c>
      <c r="C321" s="630">
        <v>17031000485</v>
      </c>
      <c r="D321" s="630">
        <v>17031000459</v>
      </c>
      <c r="E321" s="630" t="s">
        <v>533</v>
      </c>
      <c r="F321" s="630" t="s">
        <v>534</v>
      </c>
      <c r="G321" s="630" t="s">
        <v>365</v>
      </c>
      <c r="H321" s="630" t="s">
        <v>552</v>
      </c>
      <c r="I321" s="630"/>
      <c r="J321" s="630" t="s">
        <v>542</v>
      </c>
      <c r="K321" s="630" t="s">
        <v>547</v>
      </c>
      <c r="L321" s="630" t="s">
        <v>563</v>
      </c>
      <c r="M321" s="630"/>
      <c r="N321" s="630"/>
      <c r="O321" s="630"/>
      <c r="P321" s="630"/>
      <c r="Q321" s="630"/>
      <c r="R321" s="630"/>
      <c r="S321" s="630" t="s">
        <v>564</v>
      </c>
      <c r="T321" s="630"/>
      <c r="U321" s="630" t="s">
        <v>538</v>
      </c>
      <c r="V321" s="630">
        <v>2</v>
      </c>
      <c r="W321" s="630" t="s">
        <v>545</v>
      </c>
      <c r="X321" s="630" t="s">
        <v>541</v>
      </c>
      <c r="Y321" s="630" t="s">
        <v>549</v>
      </c>
      <c r="Z321" s="630">
        <v>0.75945399999999996</v>
      </c>
      <c r="AA321" s="630">
        <v>1.2222249999999999</v>
      </c>
      <c r="AB321" s="631">
        <v>27538</v>
      </c>
      <c r="AC321" s="631">
        <v>2609253</v>
      </c>
      <c r="AD321" s="631">
        <f t="shared" si="4"/>
        <v>1981607.6278619999</v>
      </c>
    </row>
    <row r="322" spans="2:30" x14ac:dyDescent="0.15">
      <c r="B322" s="630">
        <v>17031003609</v>
      </c>
      <c r="C322" s="630">
        <v>17031000851</v>
      </c>
      <c r="D322" s="630">
        <v>17031000840</v>
      </c>
      <c r="E322" s="630" t="s">
        <v>533</v>
      </c>
      <c r="F322" s="630" t="s">
        <v>534</v>
      </c>
      <c r="G322" s="630" t="s">
        <v>365</v>
      </c>
      <c r="H322" s="630" t="s">
        <v>571</v>
      </c>
      <c r="I322" s="630"/>
      <c r="J322" s="630" t="s">
        <v>381</v>
      </c>
      <c r="K322" s="630" t="s">
        <v>382</v>
      </c>
      <c r="L322" s="630"/>
      <c r="M322" s="630"/>
      <c r="N322" s="630"/>
      <c r="O322" s="630"/>
      <c r="P322" s="630"/>
      <c r="Q322" s="630"/>
      <c r="R322" s="630"/>
      <c r="S322" s="630" t="s">
        <v>654</v>
      </c>
      <c r="T322" s="630"/>
      <c r="U322" s="630" t="s">
        <v>559</v>
      </c>
      <c r="V322" s="630">
        <v>1</v>
      </c>
      <c r="W322" s="630" t="s">
        <v>560</v>
      </c>
      <c r="X322" s="630" t="s">
        <v>541</v>
      </c>
      <c r="Y322" s="630" t="s">
        <v>541</v>
      </c>
      <c r="Z322" s="630">
        <v>0.21345700000000001</v>
      </c>
      <c r="AA322" s="630">
        <v>0.343526</v>
      </c>
      <c r="AB322" s="631">
        <v>0</v>
      </c>
      <c r="AC322" s="631">
        <v>0</v>
      </c>
      <c r="AD322" s="631">
        <f t="shared" si="4"/>
        <v>0</v>
      </c>
    </row>
    <row r="323" spans="2:30" x14ac:dyDescent="0.15">
      <c r="B323" s="630">
        <v>17031003858</v>
      </c>
      <c r="C323" s="630">
        <v>17031001191</v>
      </c>
      <c r="D323" s="630">
        <v>17031001196</v>
      </c>
      <c r="E323" s="630" t="s">
        <v>533</v>
      </c>
      <c r="F323" s="630" t="s">
        <v>534</v>
      </c>
      <c r="G323" s="630" t="s">
        <v>365</v>
      </c>
      <c r="H323" s="630" t="s">
        <v>577</v>
      </c>
      <c r="I323" s="630"/>
      <c r="J323" s="630"/>
      <c r="K323" s="630"/>
      <c r="L323" s="630"/>
      <c r="M323" s="630"/>
      <c r="N323" s="630"/>
      <c r="O323" s="630"/>
      <c r="P323" s="630"/>
      <c r="Q323" s="630"/>
      <c r="R323" s="630"/>
      <c r="S323" s="630"/>
      <c r="T323" s="630"/>
      <c r="U323" s="630" t="s">
        <v>538</v>
      </c>
      <c r="V323" s="630">
        <v>1</v>
      </c>
      <c r="W323" s="630" t="s">
        <v>560</v>
      </c>
      <c r="X323" s="630" t="s">
        <v>541</v>
      </c>
      <c r="Y323" s="630" t="s">
        <v>541</v>
      </c>
      <c r="Z323" s="630">
        <v>7.7882000000000007E-2</v>
      </c>
      <c r="AA323" s="630">
        <v>0.12534000000000001</v>
      </c>
      <c r="AB323" s="631">
        <v>0</v>
      </c>
      <c r="AC323" s="631">
        <v>0</v>
      </c>
      <c r="AD323" s="631">
        <f t="shared" si="4"/>
        <v>0</v>
      </c>
    </row>
    <row r="324" spans="2:30" x14ac:dyDescent="0.15">
      <c r="B324" s="630">
        <v>17031004127</v>
      </c>
      <c r="C324" s="630">
        <v>17031000718</v>
      </c>
      <c r="D324" s="630">
        <v>17031000712</v>
      </c>
      <c r="E324" s="630" t="s">
        <v>533</v>
      </c>
      <c r="F324" s="630" t="s">
        <v>534</v>
      </c>
      <c r="G324" s="630" t="s">
        <v>365</v>
      </c>
      <c r="H324" s="630" t="s">
        <v>381</v>
      </c>
      <c r="I324" s="630"/>
      <c r="J324" s="630"/>
      <c r="K324" s="630"/>
      <c r="L324" s="630"/>
      <c r="M324" s="630"/>
      <c r="N324" s="630"/>
      <c r="O324" s="630"/>
      <c r="P324" s="630"/>
      <c r="Q324" s="630"/>
      <c r="R324" s="630"/>
      <c r="S324" s="630"/>
      <c r="T324" s="630"/>
      <c r="U324" s="630" t="s">
        <v>559</v>
      </c>
      <c r="V324" s="630">
        <v>1</v>
      </c>
      <c r="W324" s="630" t="s">
        <v>560</v>
      </c>
      <c r="X324" s="630" t="s">
        <v>541</v>
      </c>
      <c r="Y324" s="630" t="s">
        <v>541</v>
      </c>
      <c r="Z324" s="630">
        <v>1.089594</v>
      </c>
      <c r="AA324" s="630">
        <v>1.753536</v>
      </c>
      <c r="AB324" s="631">
        <v>0</v>
      </c>
      <c r="AC324" s="631">
        <v>0</v>
      </c>
      <c r="AD324" s="631">
        <f t="shared" si="4"/>
        <v>0</v>
      </c>
    </row>
    <row r="325" spans="2:30" x14ac:dyDescent="0.15">
      <c r="B325" s="630">
        <v>17197006550</v>
      </c>
      <c r="C325" s="630">
        <v>17197004511</v>
      </c>
      <c r="D325" s="630">
        <v>17197004512</v>
      </c>
      <c r="E325" s="630" t="s">
        <v>533</v>
      </c>
      <c r="F325" s="630" t="s">
        <v>534</v>
      </c>
      <c r="G325" s="630" t="s">
        <v>377</v>
      </c>
      <c r="H325" s="630" t="s">
        <v>381</v>
      </c>
      <c r="I325" s="630"/>
      <c r="J325" s="630" t="s">
        <v>382</v>
      </c>
      <c r="K325" s="630"/>
      <c r="L325" s="630"/>
      <c r="M325" s="630"/>
      <c r="N325" s="630"/>
      <c r="O325" s="630"/>
      <c r="P325" s="630"/>
      <c r="Q325" s="630"/>
      <c r="R325" s="630"/>
      <c r="S325" s="630" t="s">
        <v>651</v>
      </c>
      <c r="T325" s="630"/>
      <c r="U325" s="630" t="s">
        <v>559</v>
      </c>
      <c r="V325" s="630">
        <v>1</v>
      </c>
      <c r="W325" s="630" t="s">
        <v>539</v>
      </c>
      <c r="X325" s="630" t="s">
        <v>541</v>
      </c>
      <c r="Y325" s="630" t="s">
        <v>541</v>
      </c>
      <c r="Z325" s="630">
        <v>0.58162700000000001</v>
      </c>
      <c r="AA325" s="630">
        <v>0.93603999999999998</v>
      </c>
      <c r="AB325" s="631">
        <v>204120</v>
      </c>
      <c r="AC325" s="631">
        <v>2780440</v>
      </c>
      <c r="AD325" s="631">
        <f t="shared" si="4"/>
        <v>1617178.97588</v>
      </c>
    </row>
    <row r="326" spans="2:30" x14ac:dyDescent="0.15">
      <c r="B326" s="630">
        <v>17031009664</v>
      </c>
      <c r="C326" s="630">
        <v>17031007741</v>
      </c>
      <c r="D326" s="630">
        <v>17031007747</v>
      </c>
      <c r="E326" s="630" t="s">
        <v>533</v>
      </c>
      <c r="F326" s="630" t="s">
        <v>534</v>
      </c>
      <c r="G326" s="630" t="s">
        <v>365</v>
      </c>
      <c r="H326" s="630" t="s">
        <v>557</v>
      </c>
      <c r="I326" s="630"/>
      <c r="J326" s="630" t="s">
        <v>381</v>
      </c>
      <c r="K326" s="630" t="s">
        <v>535</v>
      </c>
      <c r="L326" s="630" t="s">
        <v>552</v>
      </c>
      <c r="M326" s="630" t="s">
        <v>551</v>
      </c>
      <c r="N326" s="630" t="s">
        <v>543</v>
      </c>
      <c r="O326" s="630" t="s">
        <v>382</v>
      </c>
      <c r="P326" s="630"/>
      <c r="Q326" s="630"/>
      <c r="R326" s="630"/>
      <c r="S326" s="630" t="s">
        <v>570</v>
      </c>
      <c r="T326" s="630"/>
      <c r="U326" s="630" t="s">
        <v>538</v>
      </c>
      <c r="V326" s="630">
        <v>2</v>
      </c>
      <c r="W326" s="630" t="s">
        <v>545</v>
      </c>
      <c r="X326" s="630" t="s">
        <v>575</v>
      </c>
      <c r="Y326" s="630" t="s">
        <v>540</v>
      </c>
      <c r="Z326" s="630">
        <v>0.44909300000000002</v>
      </c>
      <c r="AA326" s="630">
        <v>0.722746</v>
      </c>
      <c r="AB326" s="631">
        <v>1871730</v>
      </c>
      <c r="AC326" s="631">
        <v>61772651</v>
      </c>
      <c r="AD326" s="631">
        <f t="shared" ref="AD326:AD389" si="5">AC326*Z326</f>
        <v>27741665.155543</v>
      </c>
    </row>
    <row r="327" spans="2:30" x14ac:dyDescent="0.15">
      <c r="B327" s="630">
        <v>17031002179</v>
      </c>
      <c r="C327" s="630">
        <v>17031004750</v>
      </c>
      <c r="D327" s="630">
        <v>17031004747</v>
      </c>
      <c r="E327" s="630" t="s">
        <v>533</v>
      </c>
      <c r="F327" s="630" t="s">
        <v>534</v>
      </c>
      <c r="G327" s="630" t="s">
        <v>365</v>
      </c>
      <c r="H327" s="630" t="s">
        <v>557</v>
      </c>
      <c r="I327" s="630"/>
      <c r="J327" s="630" t="s">
        <v>552</v>
      </c>
      <c r="K327" s="630"/>
      <c r="L327" s="630"/>
      <c r="M327" s="630"/>
      <c r="N327" s="630"/>
      <c r="O327" s="630"/>
      <c r="P327" s="630"/>
      <c r="Q327" s="630"/>
      <c r="R327" s="630"/>
      <c r="S327" s="630" t="s">
        <v>634</v>
      </c>
      <c r="T327" s="630"/>
      <c r="U327" s="630" t="s">
        <v>559</v>
      </c>
      <c r="V327" s="630">
        <v>1</v>
      </c>
      <c r="W327" s="630" t="s">
        <v>560</v>
      </c>
      <c r="X327" s="630" t="s">
        <v>541</v>
      </c>
      <c r="Y327" s="630" t="s">
        <v>541</v>
      </c>
      <c r="Z327" s="630">
        <v>0.30687599999999998</v>
      </c>
      <c r="AA327" s="630">
        <v>0.49386999999999998</v>
      </c>
      <c r="AB327" s="631">
        <v>400</v>
      </c>
      <c r="AC327" s="631">
        <v>37280</v>
      </c>
      <c r="AD327" s="631">
        <f t="shared" si="5"/>
        <v>11440.33728</v>
      </c>
    </row>
    <row r="328" spans="2:30" x14ac:dyDescent="0.15">
      <c r="B328" s="630">
        <v>17031002777</v>
      </c>
      <c r="C328" s="630">
        <v>17031001096</v>
      </c>
      <c r="D328" s="630">
        <v>17031001101</v>
      </c>
      <c r="E328" s="630" t="s">
        <v>533</v>
      </c>
      <c r="F328" s="630" t="s">
        <v>534</v>
      </c>
      <c r="G328" s="630" t="s">
        <v>365</v>
      </c>
      <c r="H328" s="630" t="s">
        <v>571</v>
      </c>
      <c r="I328" s="630"/>
      <c r="J328" s="630" t="s">
        <v>552</v>
      </c>
      <c r="K328" s="630" t="s">
        <v>543</v>
      </c>
      <c r="L328" s="630"/>
      <c r="M328" s="630"/>
      <c r="N328" s="630"/>
      <c r="O328" s="630"/>
      <c r="P328" s="630"/>
      <c r="Q328" s="630"/>
      <c r="R328" s="630"/>
      <c r="S328" s="630" t="s">
        <v>573</v>
      </c>
      <c r="T328" s="630"/>
      <c r="U328" s="630" t="s">
        <v>538</v>
      </c>
      <c r="V328" s="630">
        <v>1</v>
      </c>
      <c r="W328" s="630" t="s">
        <v>545</v>
      </c>
      <c r="X328" s="630" t="s">
        <v>580</v>
      </c>
      <c r="Y328" s="630" t="s">
        <v>554</v>
      </c>
      <c r="Z328" s="630">
        <v>0.131054</v>
      </c>
      <c r="AA328" s="630">
        <v>0.21091199999999999</v>
      </c>
      <c r="AB328" s="631">
        <v>179397</v>
      </c>
      <c r="AC328" s="631">
        <v>9527870</v>
      </c>
      <c r="AD328" s="631">
        <f t="shared" si="5"/>
        <v>1248665.4749799999</v>
      </c>
    </row>
    <row r="329" spans="2:30" x14ac:dyDescent="0.15">
      <c r="B329" s="630">
        <v>17031003258</v>
      </c>
      <c r="C329" s="630">
        <v>17031000964</v>
      </c>
      <c r="D329" s="630">
        <v>17031000908</v>
      </c>
      <c r="E329" s="630" t="s">
        <v>533</v>
      </c>
      <c r="F329" s="630" t="s">
        <v>534</v>
      </c>
      <c r="G329" s="630" t="s">
        <v>365</v>
      </c>
      <c r="H329" s="630" t="s">
        <v>571</v>
      </c>
      <c r="I329" s="630"/>
      <c r="J329" s="630" t="s">
        <v>381</v>
      </c>
      <c r="K329" s="630" t="s">
        <v>535</v>
      </c>
      <c r="L329" s="630" t="s">
        <v>552</v>
      </c>
      <c r="M329" s="630" t="s">
        <v>551</v>
      </c>
      <c r="N329" s="630" t="s">
        <v>382</v>
      </c>
      <c r="O329" s="630" t="s">
        <v>563</v>
      </c>
      <c r="P329" s="630"/>
      <c r="Q329" s="630"/>
      <c r="R329" s="630"/>
      <c r="S329" s="630" t="s">
        <v>655</v>
      </c>
      <c r="T329" s="630"/>
      <c r="U329" s="630" t="s">
        <v>538</v>
      </c>
      <c r="V329" s="630">
        <v>2</v>
      </c>
      <c r="W329" s="630" t="s">
        <v>545</v>
      </c>
      <c r="X329" s="630" t="s">
        <v>546</v>
      </c>
      <c r="Y329" s="630" t="s">
        <v>554</v>
      </c>
      <c r="Z329" s="630">
        <v>1.5724260000000001</v>
      </c>
      <c r="AA329" s="630">
        <v>2.5305789999999999</v>
      </c>
      <c r="AB329" s="631">
        <v>93514</v>
      </c>
      <c r="AC329" s="631">
        <v>5176370</v>
      </c>
      <c r="AD329" s="631">
        <f t="shared" si="5"/>
        <v>8139458.7736200001</v>
      </c>
    </row>
    <row r="330" spans="2:30" x14ac:dyDescent="0.15">
      <c r="B330" s="630">
        <v>17197003396</v>
      </c>
      <c r="C330" s="630">
        <v>17197001640</v>
      </c>
      <c r="D330" s="630">
        <v>17197001637</v>
      </c>
      <c r="E330" s="630" t="s">
        <v>533</v>
      </c>
      <c r="F330" s="630" t="s">
        <v>534</v>
      </c>
      <c r="G330" s="630" t="s">
        <v>377</v>
      </c>
      <c r="H330" s="630" t="s">
        <v>382</v>
      </c>
      <c r="I330" s="630"/>
      <c r="J330" s="630" t="s">
        <v>542</v>
      </c>
      <c r="K330" s="630"/>
      <c r="L330" s="630"/>
      <c r="M330" s="630"/>
      <c r="N330" s="630"/>
      <c r="O330" s="630"/>
      <c r="P330" s="630"/>
      <c r="Q330" s="630"/>
      <c r="R330" s="630"/>
      <c r="S330" s="630" t="s">
        <v>606</v>
      </c>
      <c r="T330" s="630"/>
      <c r="U330" s="630" t="s">
        <v>538</v>
      </c>
      <c r="V330" s="630">
        <v>1</v>
      </c>
      <c r="W330" s="630" t="s">
        <v>545</v>
      </c>
      <c r="X330" s="630" t="s">
        <v>541</v>
      </c>
      <c r="Y330" s="630" t="s">
        <v>549</v>
      </c>
      <c r="Z330" s="630">
        <v>0.21731</v>
      </c>
      <c r="AA330" s="630">
        <v>0.34972799999999998</v>
      </c>
      <c r="AB330" s="631">
        <v>80</v>
      </c>
      <c r="AC330" s="631">
        <v>7840</v>
      </c>
      <c r="AD330" s="631">
        <f t="shared" si="5"/>
        <v>1703.7103999999999</v>
      </c>
    </row>
    <row r="331" spans="2:30" x14ac:dyDescent="0.15">
      <c r="B331" s="630">
        <v>17031005841</v>
      </c>
      <c r="C331" s="630">
        <v>17031000700</v>
      </c>
      <c r="D331" s="630">
        <v>17031000696</v>
      </c>
      <c r="E331" s="630" t="s">
        <v>533</v>
      </c>
      <c r="F331" s="630" t="s">
        <v>534</v>
      </c>
      <c r="G331" s="630" t="s">
        <v>365</v>
      </c>
      <c r="H331" s="630" t="s">
        <v>381</v>
      </c>
      <c r="I331" s="630"/>
      <c r="J331" s="630"/>
      <c r="K331" s="630"/>
      <c r="L331" s="630"/>
      <c r="M331" s="630"/>
      <c r="N331" s="630"/>
      <c r="O331" s="630"/>
      <c r="P331" s="630"/>
      <c r="Q331" s="630"/>
      <c r="R331" s="630"/>
      <c r="S331" s="630"/>
      <c r="T331" s="630"/>
      <c r="U331" s="630" t="s">
        <v>559</v>
      </c>
      <c r="V331" s="630">
        <v>1</v>
      </c>
      <c r="W331" s="630" t="s">
        <v>560</v>
      </c>
      <c r="X331" s="630" t="s">
        <v>541</v>
      </c>
      <c r="Y331" s="630" t="s">
        <v>541</v>
      </c>
      <c r="Z331" s="630">
        <v>5.5292000000000001E-2</v>
      </c>
      <c r="AA331" s="630">
        <v>8.8983999999999994E-2</v>
      </c>
      <c r="AB331" s="631">
        <v>0</v>
      </c>
      <c r="AC331" s="631">
        <v>0</v>
      </c>
      <c r="AD331" s="631">
        <f t="shared" si="5"/>
        <v>0</v>
      </c>
    </row>
    <row r="332" spans="2:30" x14ac:dyDescent="0.15">
      <c r="B332" s="630">
        <v>17031006238</v>
      </c>
      <c r="C332" s="630">
        <v>17031000568</v>
      </c>
      <c r="D332" s="630">
        <v>17031000575</v>
      </c>
      <c r="E332" s="630" t="s">
        <v>533</v>
      </c>
      <c r="F332" s="630" t="s">
        <v>534</v>
      </c>
      <c r="G332" s="630" t="s">
        <v>365</v>
      </c>
      <c r="H332" s="630" t="s">
        <v>382</v>
      </c>
      <c r="I332" s="630"/>
      <c r="J332" s="630"/>
      <c r="K332" s="630"/>
      <c r="L332" s="630"/>
      <c r="M332" s="630"/>
      <c r="N332" s="630"/>
      <c r="O332" s="630"/>
      <c r="P332" s="630"/>
      <c r="Q332" s="630"/>
      <c r="R332" s="630"/>
      <c r="S332" s="630" t="s">
        <v>646</v>
      </c>
      <c r="T332" s="630"/>
      <c r="U332" s="630" t="s">
        <v>559</v>
      </c>
      <c r="V332" s="630">
        <v>1</v>
      </c>
      <c r="W332" s="630" t="s">
        <v>560</v>
      </c>
      <c r="X332" s="630" t="s">
        <v>541</v>
      </c>
      <c r="Y332" s="630" t="s">
        <v>541</v>
      </c>
      <c r="Z332" s="630">
        <v>0.40781200000000001</v>
      </c>
      <c r="AA332" s="630">
        <v>0.65631200000000001</v>
      </c>
      <c r="AB332" s="631">
        <v>0</v>
      </c>
      <c r="AC332" s="631">
        <v>0</v>
      </c>
      <c r="AD332" s="631">
        <f t="shared" si="5"/>
        <v>0</v>
      </c>
    </row>
    <row r="333" spans="2:30" x14ac:dyDescent="0.15">
      <c r="B333" s="630">
        <v>17031006374</v>
      </c>
      <c r="C333" s="630">
        <v>17031004665</v>
      </c>
      <c r="D333" s="630">
        <v>17031000663</v>
      </c>
      <c r="E333" s="630" t="s">
        <v>533</v>
      </c>
      <c r="F333" s="630" t="s">
        <v>534</v>
      </c>
      <c r="G333" s="630" t="s">
        <v>365</v>
      </c>
      <c r="H333" s="630" t="s">
        <v>381</v>
      </c>
      <c r="I333" s="630"/>
      <c r="J333" s="630" t="s">
        <v>542</v>
      </c>
      <c r="K333" s="630" t="s">
        <v>577</v>
      </c>
      <c r="L333" s="630" t="s">
        <v>572</v>
      </c>
      <c r="M333" s="630" t="s">
        <v>547</v>
      </c>
      <c r="N333" s="630" t="s">
        <v>382</v>
      </c>
      <c r="O333" s="630"/>
      <c r="P333" s="630"/>
      <c r="Q333" s="630"/>
      <c r="R333" s="630"/>
      <c r="S333" s="630" t="s">
        <v>579</v>
      </c>
      <c r="T333" s="630"/>
      <c r="U333" s="630" t="s">
        <v>538</v>
      </c>
      <c r="V333" s="630">
        <v>4</v>
      </c>
      <c r="W333" s="630" t="s">
        <v>545</v>
      </c>
      <c r="X333" s="630" t="s">
        <v>549</v>
      </c>
      <c r="Y333" s="630" t="s">
        <v>540</v>
      </c>
      <c r="Z333" s="630">
        <v>2.1704000000000001E-2</v>
      </c>
      <c r="AA333" s="630">
        <v>3.4929000000000002E-2</v>
      </c>
      <c r="AB333" s="631">
        <v>79786</v>
      </c>
      <c r="AC333" s="631">
        <v>3912720</v>
      </c>
      <c r="AD333" s="631">
        <f t="shared" si="5"/>
        <v>84921.674880000006</v>
      </c>
    </row>
    <row r="334" spans="2:30" x14ac:dyDescent="0.15">
      <c r="B334" s="630">
        <v>17043006534</v>
      </c>
      <c r="C334" s="630">
        <v>17043000592</v>
      </c>
      <c r="D334" s="630">
        <v>17043006564</v>
      </c>
      <c r="E334" s="630" t="s">
        <v>533</v>
      </c>
      <c r="F334" s="630" t="s">
        <v>534</v>
      </c>
      <c r="G334" s="630" t="s">
        <v>367</v>
      </c>
      <c r="H334" s="630" t="s">
        <v>382</v>
      </c>
      <c r="I334" s="630"/>
      <c r="J334" s="630"/>
      <c r="K334" s="630"/>
      <c r="L334" s="630"/>
      <c r="M334" s="630"/>
      <c r="N334" s="630"/>
      <c r="O334" s="630"/>
      <c r="P334" s="630"/>
      <c r="Q334" s="630"/>
      <c r="R334" s="630"/>
      <c r="S334" s="630" t="s">
        <v>653</v>
      </c>
      <c r="T334" s="630"/>
      <c r="U334" s="630" t="s">
        <v>559</v>
      </c>
      <c r="V334" s="630">
        <v>1</v>
      </c>
      <c r="W334" s="630" t="s">
        <v>560</v>
      </c>
      <c r="X334" s="630" t="s">
        <v>541</v>
      </c>
      <c r="Y334" s="630" t="s">
        <v>541</v>
      </c>
      <c r="Z334" s="630">
        <v>5.2051E-2</v>
      </c>
      <c r="AA334" s="630">
        <v>8.3768999999999996E-2</v>
      </c>
      <c r="AB334" s="631">
        <v>5730</v>
      </c>
      <c r="AC334" s="631">
        <v>588728</v>
      </c>
      <c r="AD334" s="631">
        <f t="shared" si="5"/>
        <v>30643.881128000001</v>
      </c>
    </row>
    <row r="335" spans="2:30" x14ac:dyDescent="0.15">
      <c r="B335" s="630">
        <v>17031008547</v>
      </c>
      <c r="C335" s="630">
        <v>17031007032</v>
      </c>
      <c r="D335" s="630">
        <v>17031001380</v>
      </c>
      <c r="E335" s="630" t="s">
        <v>533</v>
      </c>
      <c r="F335" s="630" t="s">
        <v>534</v>
      </c>
      <c r="G335" s="630" t="s">
        <v>365</v>
      </c>
      <c r="H335" s="630" t="s">
        <v>557</v>
      </c>
      <c r="I335" s="630"/>
      <c r="J335" s="630"/>
      <c r="K335" s="630"/>
      <c r="L335" s="630"/>
      <c r="M335" s="630"/>
      <c r="N335" s="630"/>
      <c r="O335" s="630"/>
      <c r="P335" s="630"/>
      <c r="Q335" s="630"/>
      <c r="R335" s="630"/>
      <c r="S335" s="630" t="s">
        <v>567</v>
      </c>
      <c r="T335" s="630" t="s">
        <v>568</v>
      </c>
      <c r="U335" s="630" t="s">
        <v>559</v>
      </c>
      <c r="V335" s="630">
        <v>1</v>
      </c>
      <c r="W335" s="630" t="s">
        <v>560</v>
      </c>
      <c r="X335" s="630" t="s">
        <v>541</v>
      </c>
      <c r="Y335" s="630" t="s">
        <v>541</v>
      </c>
      <c r="Z335" s="630">
        <v>3.2052999999999998E-2</v>
      </c>
      <c r="AA335" s="630">
        <v>5.1584999999999999E-2</v>
      </c>
      <c r="AB335" s="631">
        <v>284</v>
      </c>
      <c r="AC335" s="631">
        <v>28772</v>
      </c>
      <c r="AD335" s="631">
        <f t="shared" si="5"/>
        <v>922.22891599999991</v>
      </c>
    </row>
    <row r="336" spans="2:30" x14ac:dyDescent="0.15">
      <c r="B336" s="630">
        <v>17043009141</v>
      </c>
      <c r="C336" s="630">
        <v>17043007347</v>
      </c>
      <c r="D336" s="630">
        <v>17043000378</v>
      </c>
      <c r="E336" s="630" t="s">
        <v>533</v>
      </c>
      <c r="F336" s="630" t="s">
        <v>534</v>
      </c>
      <c r="G336" s="630" t="s">
        <v>367</v>
      </c>
      <c r="H336" s="630" t="s">
        <v>552</v>
      </c>
      <c r="I336" s="630"/>
      <c r="J336" s="630"/>
      <c r="K336" s="630"/>
      <c r="L336" s="630"/>
      <c r="M336" s="630"/>
      <c r="N336" s="630"/>
      <c r="O336" s="630"/>
      <c r="P336" s="630"/>
      <c r="Q336" s="630"/>
      <c r="R336" s="630"/>
      <c r="S336" s="630"/>
      <c r="T336" s="630"/>
      <c r="U336" s="630" t="s">
        <v>559</v>
      </c>
      <c r="V336" s="630">
        <v>1</v>
      </c>
      <c r="W336" s="630" t="s">
        <v>560</v>
      </c>
      <c r="X336" s="630" t="s">
        <v>541</v>
      </c>
      <c r="Y336" s="630" t="s">
        <v>541</v>
      </c>
      <c r="Z336" s="630">
        <v>0.139764</v>
      </c>
      <c r="AA336" s="630">
        <v>0.22492899999999999</v>
      </c>
      <c r="AB336" s="631">
        <v>0</v>
      </c>
      <c r="AC336" s="631">
        <v>0</v>
      </c>
      <c r="AD336" s="631">
        <f t="shared" si="5"/>
        <v>0</v>
      </c>
    </row>
    <row r="337" spans="2:30" x14ac:dyDescent="0.15">
      <c r="B337" s="630">
        <v>17089002041</v>
      </c>
      <c r="C337" s="630">
        <v>17999020037</v>
      </c>
      <c r="D337" s="630">
        <v>17089000379</v>
      </c>
      <c r="E337" s="630" t="s">
        <v>533</v>
      </c>
      <c r="F337" s="630" t="s">
        <v>534</v>
      </c>
      <c r="G337" s="630" t="s">
        <v>369</v>
      </c>
      <c r="H337" s="630" t="s">
        <v>535</v>
      </c>
      <c r="I337" s="630"/>
      <c r="J337" s="630"/>
      <c r="K337" s="630"/>
      <c r="L337" s="630"/>
      <c r="M337" s="630"/>
      <c r="N337" s="630"/>
      <c r="O337" s="630"/>
      <c r="P337" s="630"/>
      <c r="Q337" s="630"/>
      <c r="R337" s="630"/>
      <c r="S337" s="630" t="s">
        <v>624</v>
      </c>
      <c r="T337" s="630"/>
      <c r="U337" s="630" t="s">
        <v>538</v>
      </c>
      <c r="V337" s="630">
        <v>1</v>
      </c>
      <c r="W337" s="630" t="s">
        <v>582</v>
      </c>
      <c r="X337" s="630" t="s">
        <v>554</v>
      </c>
      <c r="Y337" s="630" t="s">
        <v>549</v>
      </c>
      <c r="Z337" s="630">
        <v>1.786743</v>
      </c>
      <c r="AA337" s="630">
        <v>2.875489</v>
      </c>
      <c r="AB337" s="631">
        <v>46181</v>
      </c>
      <c r="AC337" s="631">
        <v>4487359</v>
      </c>
      <c r="AD337" s="631">
        <f t="shared" si="5"/>
        <v>8017757.2817369998</v>
      </c>
    </row>
    <row r="338" spans="2:30" x14ac:dyDescent="0.15">
      <c r="B338" s="630">
        <v>17089002047</v>
      </c>
      <c r="C338" s="630">
        <v>17089004857</v>
      </c>
      <c r="D338" s="630">
        <v>17999020915</v>
      </c>
      <c r="E338" s="630" t="s">
        <v>533</v>
      </c>
      <c r="F338" s="630" t="s">
        <v>534</v>
      </c>
      <c r="G338" s="630" t="s">
        <v>369</v>
      </c>
      <c r="H338" s="630" t="s">
        <v>381</v>
      </c>
      <c r="I338" s="630"/>
      <c r="J338" s="630"/>
      <c r="K338" s="630"/>
      <c r="L338" s="630"/>
      <c r="M338" s="630"/>
      <c r="N338" s="630"/>
      <c r="O338" s="630"/>
      <c r="P338" s="630"/>
      <c r="Q338" s="630"/>
      <c r="R338" s="630"/>
      <c r="S338" s="630" t="s">
        <v>585</v>
      </c>
      <c r="T338" s="630"/>
      <c r="U338" s="630" t="s">
        <v>559</v>
      </c>
      <c r="V338" s="630">
        <v>1</v>
      </c>
      <c r="W338" s="630" t="s">
        <v>560</v>
      </c>
      <c r="X338" s="630" t="s">
        <v>541</v>
      </c>
      <c r="Y338" s="630" t="s">
        <v>541</v>
      </c>
      <c r="Z338" s="630">
        <v>0.44746000000000002</v>
      </c>
      <c r="AA338" s="630">
        <v>0.72011899999999995</v>
      </c>
      <c r="AB338" s="631">
        <v>0</v>
      </c>
      <c r="AC338" s="631">
        <v>0</v>
      </c>
      <c r="AD338" s="631">
        <f t="shared" si="5"/>
        <v>0</v>
      </c>
    </row>
    <row r="339" spans="2:30" x14ac:dyDescent="0.15">
      <c r="B339" s="630">
        <v>17031002120</v>
      </c>
      <c r="C339" s="630">
        <v>17031004614</v>
      </c>
      <c r="D339" s="630">
        <v>17031004613</v>
      </c>
      <c r="E339" s="630" t="s">
        <v>533</v>
      </c>
      <c r="F339" s="630" t="s">
        <v>534</v>
      </c>
      <c r="G339" s="630" t="s">
        <v>365</v>
      </c>
      <c r="H339" s="630" t="s">
        <v>552</v>
      </c>
      <c r="I339" s="630"/>
      <c r="J339" s="630" t="s">
        <v>542</v>
      </c>
      <c r="K339" s="630" t="s">
        <v>547</v>
      </c>
      <c r="L339" s="630" t="s">
        <v>563</v>
      </c>
      <c r="M339" s="630"/>
      <c r="N339" s="630"/>
      <c r="O339" s="630"/>
      <c r="P339" s="630"/>
      <c r="Q339" s="630"/>
      <c r="R339" s="630"/>
      <c r="S339" s="630" t="s">
        <v>564</v>
      </c>
      <c r="T339" s="630"/>
      <c r="U339" s="630" t="s">
        <v>538</v>
      </c>
      <c r="V339" s="630">
        <v>2</v>
      </c>
      <c r="W339" s="630" t="s">
        <v>545</v>
      </c>
      <c r="X339" s="630" t="s">
        <v>549</v>
      </c>
      <c r="Y339" s="630" t="s">
        <v>549</v>
      </c>
      <c r="Z339" s="630">
        <v>1.858006</v>
      </c>
      <c r="AA339" s="630">
        <v>2.9901759999999999</v>
      </c>
      <c r="AB339" s="631">
        <v>529599</v>
      </c>
      <c r="AC339" s="631">
        <v>32992685</v>
      </c>
      <c r="AD339" s="631">
        <f t="shared" si="5"/>
        <v>61300606.686110005</v>
      </c>
    </row>
    <row r="340" spans="2:30" x14ac:dyDescent="0.15">
      <c r="B340" s="630">
        <v>17111002163</v>
      </c>
      <c r="C340" s="630">
        <v>17111000120</v>
      </c>
      <c r="D340" s="630">
        <v>17111000114</v>
      </c>
      <c r="E340" s="630" t="s">
        <v>533</v>
      </c>
      <c r="F340" s="630" t="s">
        <v>534</v>
      </c>
      <c r="G340" s="630" t="s">
        <v>375</v>
      </c>
      <c r="H340" s="630" t="s">
        <v>382</v>
      </c>
      <c r="I340" s="630"/>
      <c r="J340" s="630" t="s">
        <v>547</v>
      </c>
      <c r="K340" s="630"/>
      <c r="L340" s="630"/>
      <c r="M340" s="630"/>
      <c r="N340" s="630"/>
      <c r="O340" s="630"/>
      <c r="P340" s="630"/>
      <c r="Q340" s="630"/>
      <c r="R340" s="630"/>
      <c r="S340" s="630" t="s">
        <v>608</v>
      </c>
      <c r="T340" s="630"/>
      <c r="U340" s="630" t="s">
        <v>538</v>
      </c>
      <c r="V340" s="630">
        <v>2</v>
      </c>
      <c r="W340" s="630" t="s">
        <v>566</v>
      </c>
      <c r="X340" s="630" t="s">
        <v>549</v>
      </c>
      <c r="Y340" s="630" t="s">
        <v>549</v>
      </c>
      <c r="Z340" s="630">
        <v>0.38755600000000001</v>
      </c>
      <c r="AA340" s="630">
        <v>0.62371200000000004</v>
      </c>
      <c r="AB340" s="631">
        <v>9632</v>
      </c>
      <c r="AC340" s="631">
        <v>870253</v>
      </c>
      <c r="AD340" s="631">
        <f t="shared" si="5"/>
        <v>337271.77166800003</v>
      </c>
    </row>
    <row r="341" spans="2:30" x14ac:dyDescent="0.15">
      <c r="B341" s="630">
        <v>17031002174</v>
      </c>
      <c r="C341" s="630">
        <v>17031001413</v>
      </c>
      <c r="D341" s="630">
        <v>17031001370</v>
      </c>
      <c r="E341" s="630" t="s">
        <v>533</v>
      </c>
      <c r="F341" s="630" t="s">
        <v>534</v>
      </c>
      <c r="G341" s="630" t="s">
        <v>365</v>
      </c>
      <c r="H341" s="630" t="s">
        <v>535</v>
      </c>
      <c r="I341" s="630"/>
      <c r="J341" s="630" t="s">
        <v>542</v>
      </c>
      <c r="K341" s="630" t="s">
        <v>543</v>
      </c>
      <c r="L341" s="630" t="s">
        <v>382</v>
      </c>
      <c r="M341" s="630" t="s">
        <v>555</v>
      </c>
      <c r="N341" s="630"/>
      <c r="O341" s="630"/>
      <c r="P341" s="630"/>
      <c r="Q341" s="630"/>
      <c r="R341" s="630"/>
      <c r="S341" s="630" t="s">
        <v>544</v>
      </c>
      <c r="T341" s="630"/>
      <c r="U341" s="630" t="s">
        <v>538</v>
      </c>
      <c r="V341" s="630">
        <v>2</v>
      </c>
      <c r="W341" s="630" t="s">
        <v>545</v>
      </c>
      <c r="X341" s="630" t="s">
        <v>546</v>
      </c>
      <c r="Y341" s="630" t="s">
        <v>549</v>
      </c>
      <c r="Z341" s="630">
        <v>1.6730700000000001</v>
      </c>
      <c r="AA341" s="630">
        <v>2.6925500000000002</v>
      </c>
      <c r="AB341" s="631">
        <v>52794</v>
      </c>
      <c r="AC341" s="631">
        <v>5167940</v>
      </c>
      <c r="AD341" s="631">
        <f t="shared" si="5"/>
        <v>8646325.3758000005</v>
      </c>
    </row>
    <row r="342" spans="2:30" x14ac:dyDescent="0.15">
      <c r="B342" s="630">
        <v>17197002270</v>
      </c>
      <c r="C342" s="630">
        <v>17197001492</v>
      </c>
      <c r="D342" s="630">
        <v>17197001481</v>
      </c>
      <c r="E342" s="630" t="s">
        <v>533</v>
      </c>
      <c r="F342" s="630" t="s">
        <v>534</v>
      </c>
      <c r="G342" s="630" t="s">
        <v>377</v>
      </c>
      <c r="H342" s="630" t="s">
        <v>535</v>
      </c>
      <c r="I342" s="630"/>
      <c r="J342" s="630" t="s">
        <v>382</v>
      </c>
      <c r="K342" s="630" t="s">
        <v>536</v>
      </c>
      <c r="L342" s="630"/>
      <c r="M342" s="630"/>
      <c r="N342" s="630"/>
      <c r="O342" s="630"/>
      <c r="P342" s="630"/>
      <c r="Q342" s="630"/>
      <c r="R342" s="630"/>
      <c r="S342" s="630" t="s">
        <v>537</v>
      </c>
      <c r="T342" s="630"/>
      <c r="U342" s="630" t="s">
        <v>538</v>
      </c>
      <c r="V342" s="630">
        <v>2</v>
      </c>
      <c r="W342" s="630" t="s">
        <v>545</v>
      </c>
      <c r="X342" s="630" t="s">
        <v>540</v>
      </c>
      <c r="Y342" s="630" t="s">
        <v>541</v>
      </c>
      <c r="Z342" s="630">
        <v>0.33838099999999999</v>
      </c>
      <c r="AA342" s="630">
        <v>0.54457299999999997</v>
      </c>
      <c r="AB342" s="631">
        <v>29251</v>
      </c>
      <c r="AC342" s="631">
        <v>2680474</v>
      </c>
      <c r="AD342" s="631">
        <f t="shared" si="5"/>
        <v>907021.47259399993</v>
      </c>
    </row>
    <row r="343" spans="2:30" x14ac:dyDescent="0.15">
      <c r="B343" s="630">
        <v>17031004154</v>
      </c>
      <c r="C343" s="630">
        <v>17031000554</v>
      </c>
      <c r="D343" s="630">
        <v>17031000557</v>
      </c>
      <c r="E343" s="630" t="s">
        <v>533</v>
      </c>
      <c r="F343" s="630" t="s">
        <v>534</v>
      </c>
      <c r="G343" s="630" t="s">
        <v>365</v>
      </c>
      <c r="H343" s="630" t="s">
        <v>382</v>
      </c>
      <c r="I343" s="630"/>
      <c r="J343" s="630" t="s">
        <v>547</v>
      </c>
      <c r="K343" s="630"/>
      <c r="L343" s="630"/>
      <c r="M343" s="630"/>
      <c r="N343" s="630"/>
      <c r="O343" s="630"/>
      <c r="P343" s="630"/>
      <c r="Q343" s="630"/>
      <c r="R343" s="630"/>
      <c r="S343" s="630" t="s">
        <v>583</v>
      </c>
      <c r="T343" s="630"/>
      <c r="U343" s="630" t="s">
        <v>538</v>
      </c>
      <c r="V343" s="630">
        <v>4</v>
      </c>
      <c r="W343" s="630" t="s">
        <v>545</v>
      </c>
      <c r="X343" s="630" t="s">
        <v>541</v>
      </c>
      <c r="Y343" s="630" t="s">
        <v>554</v>
      </c>
      <c r="Z343" s="630">
        <v>5.2949999999999997E-2</v>
      </c>
      <c r="AA343" s="630">
        <v>8.5214999999999999E-2</v>
      </c>
      <c r="AB343" s="631">
        <v>0</v>
      </c>
      <c r="AC343" s="631">
        <v>0</v>
      </c>
      <c r="AD343" s="631">
        <f t="shared" si="5"/>
        <v>0</v>
      </c>
    </row>
    <row r="344" spans="2:30" x14ac:dyDescent="0.15">
      <c r="B344" s="630">
        <v>17097003149</v>
      </c>
      <c r="C344" s="630">
        <v>17097004535</v>
      </c>
      <c r="D344" s="630">
        <v>17097004534</v>
      </c>
      <c r="E344" s="630" t="s">
        <v>533</v>
      </c>
      <c r="F344" s="630" t="s">
        <v>534</v>
      </c>
      <c r="G344" s="630" t="s">
        <v>373</v>
      </c>
      <c r="H344" s="630" t="s">
        <v>552</v>
      </c>
      <c r="I344" s="630"/>
      <c r="J344" s="630" t="s">
        <v>547</v>
      </c>
      <c r="K344" s="630" t="s">
        <v>563</v>
      </c>
      <c r="L344" s="630"/>
      <c r="M344" s="630"/>
      <c r="N344" s="630"/>
      <c r="O344" s="630"/>
      <c r="P344" s="630"/>
      <c r="Q344" s="630"/>
      <c r="R344" s="630"/>
      <c r="S344" s="630" t="s">
        <v>629</v>
      </c>
      <c r="T344" s="630"/>
      <c r="U344" s="630" t="s">
        <v>538</v>
      </c>
      <c r="V344" s="630">
        <v>1</v>
      </c>
      <c r="W344" s="630" t="s">
        <v>582</v>
      </c>
      <c r="X344" s="630" t="s">
        <v>554</v>
      </c>
      <c r="Y344" s="630" t="s">
        <v>540</v>
      </c>
      <c r="Z344" s="630">
        <v>0.53178499999999995</v>
      </c>
      <c r="AA344" s="630">
        <v>0.855827</v>
      </c>
      <c r="AB344" s="631">
        <v>27578</v>
      </c>
      <c r="AC344" s="631">
        <v>2612533</v>
      </c>
      <c r="AD344" s="631">
        <f t="shared" si="5"/>
        <v>1389305.8614049999</v>
      </c>
    </row>
    <row r="345" spans="2:30" x14ac:dyDescent="0.15">
      <c r="B345" s="630">
        <v>17031003641</v>
      </c>
      <c r="C345" s="630">
        <v>17031000808</v>
      </c>
      <c r="D345" s="630">
        <v>17031000818</v>
      </c>
      <c r="E345" s="630" t="s">
        <v>533</v>
      </c>
      <c r="F345" s="630" t="s">
        <v>534</v>
      </c>
      <c r="G345" s="630" t="s">
        <v>365</v>
      </c>
      <c r="H345" s="630" t="s">
        <v>535</v>
      </c>
      <c r="I345" s="630"/>
      <c r="J345" s="630" t="s">
        <v>543</v>
      </c>
      <c r="K345" s="630"/>
      <c r="L345" s="630"/>
      <c r="M345" s="630"/>
      <c r="N345" s="630"/>
      <c r="O345" s="630"/>
      <c r="P345" s="630"/>
      <c r="Q345" s="630"/>
      <c r="R345" s="630"/>
      <c r="S345" s="630"/>
      <c r="T345" s="630"/>
      <c r="U345" s="630" t="s">
        <v>538</v>
      </c>
      <c r="V345" s="630">
        <v>1</v>
      </c>
      <c r="W345" s="630" t="s">
        <v>560</v>
      </c>
      <c r="X345" s="630" t="s">
        <v>541</v>
      </c>
      <c r="Y345" s="630" t="s">
        <v>541</v>
      </c>
      <c r="Z345" s="630">
        <v>0.87914000000000003</v>
      </c>
      <c r="AA345" s="630">
        <v>1.414841</v>
      </c>
      <c r="AB345" s="631">
        <v>0</v>
      </c>
      <c r="AC345" s="631">
        <v>0</v>
      </c>
      <c r="AD345" s="631">
        <f t="shared" si="5"/>
        <v>0</v>
      </c>
    </row>
    <row r="346" spans="2:30" x14ac:dyDescent="0.15">
      <c r="B346" s="630">
        <v>17031003821</v>
      </c>
      <c r="C346" s="630">
        <v>17031000778</v>
      </c>
      <c r="D346" s="630">
        <v>17031000777</v>
      </c>
      <c r="E346" s="630" t="s">
        <v>533</v>
      </c>
      <c r="F346" s="630" t="s">
        <v>534</v>
      </c>
      <c r="G346" s="630" t="s">
        <v>365</v>
      </c>
      <c r="H346" s="630" t="s">
        <v>535</v>
      </c>
      <c r="I346" s="630"/>
      <c r="J346" s="630" t="s">
        <v>542</v>
      </c>
      <c r="K346" s="630" t="s">
        <v>572</v>
      </c>
      <c r="L346" s="630" t="s">
        <v>547</v>
      </c>
      <c r="M346" s="630" t="s">
        <v>382</v>
      </c>
      <c r="N346" s="630"/>
      <c r="O346" s="630"/>
      <c r="P346" s="630"/>
      <c r="Q346" s="630"/>
      <c r="R346" s="630"/>
      <c r="S346" s="630" t="s">
        <v>601</v>
      </c>
      <c r="T346" s="630"/>
      <c r="U346" s="630" t="s">
        <v>538</v>
      </c>
      <c r="V346" s="630">
        <v>2</v>
      </c>
      <c r="W346" s="630" t="s">
        <v>545</v>
      </c>
      <c r="X346" s="630" t="s">
        <v>540</v>
      </c>
      <c r="Y346" s="630" t="s">
        <v>549</v>
      </c>
      <c r="Z346" s="630">
        <v>0.43827700000000003</v>
      </c>
      <c r="AA346" s="630">
        <v>0.70533900000000005</v>
      </c>
      <c r="AB346" s="631">
        <v>103316</v>
      </c>
      <c r="AC346" s="631">
        <v>4167946</v>
      </c>
      <c r="AD346" s="631">
        <f t="shared" si="5"/>
        <v>1826714.869042</v>
      </c>
    </row>
    <row r="347" spans="2:30" x14ac:dyDescent="0.15">
      <c r="B347" s="630">
        <v>17031003919</v>
      </c>
      <c r="C347" s="630">
        <v>17031000602</v>
      </c>
      <c r="D347" s="630">
        <v>17031000601</v>
      </c>
      <c r="E347" s="630" t="s">
        <v>533</v>
      </c>
      <c r="F347" s="630" t="s">
        <v>534</v>
      </c>
      <c r="G347" s="630" t="s">
        <v>365</v>
      </c>
      <c r="H347" s="630" t="s">
        <v>557</v>
      </c>
      <c r="I347" s="630"/>
      <c r="J347" s="630" t="s">
        <v>535</v>
      </c>
      <c r="K347" s="630" t="s">
        <v>552</v>
      </c>
      <c r="L347" s="630" t="s">
        <v>543</v>
      </c>
      <c r="M347" s="630" t="s">
        <v>382</v>
      </c>
      <c r="N347" s="630"/>
      <c r="O347" s="630"/>
      <c r="P347" s="630"/>
      <c r="Q347" s="630"/>
      <c r="R347" s="630"/>
      <c r="S347" s="630" t="s">
        <v>570</v>
      </c>
      <c r="T347" s="630"/>
      <c r="U347" s="630" t="s">
        <v>538</v>
      </c>
      <c r="V347" s="630">
        <v>2</v>
      </c>
      <c r="W347" s="630" t="s">
        <v>545</v>
      </c>
      <c r="X347" s="630" t="s">
        <v>580</v>
      </c>
      <c r="Y347" s="630" t="s">
        <v>540</v>
      </c>
      <c r="Z347" s="630">
        <v>0.17310400000000001</v>
      </c>
      <c r="AA347" s="630">
        <v>0.278584</v>
      </c>
      <c r="AB347" s="631">
        <v>1636375</v>
      </c>
      <c r="AC347" s="631">
        <v>64210666</v>
      </c>
      <c r="AD347" s="631">
        <f t="shared" si="5"/>
        <v>11115123.127264</v>
      </c>
    </row>
    <row r="348" spans="2:30" x14ac:dyDescent="0.15">
      <c r="B348" s="630">
        <v>17031003954</v>
      </c>
      <c r="C348" s="630">
        <v>17031001116</v>
      </c>
      <c r="D348" s="630">
        <v>17031001084</v>
      </c>
      <c r="E348" s="630" t="s">
        <v>533</v>
      </c>
      <c r="F348" s="630" t="s">
        <v>534</v>
      </c>
      <c r="G348" s="630" t="s">
        <v>365</v>
      </c>
      <c r="H348" s="630" t="s">
        <v>535</v>
      </c>
      <c r="I348" s="630"/>
      <c r="J348" s="630" t="s">
        <v>542</v>
      </c>
      <c r="K348" s="630" t="s">
        <v>572</v>
      </c>
      <c r="L348" s="630" t="s">
        <v>543</v>
      </c>
      <c r="M348" s="630"/>
      <c r="N348" s="630"/>
      <c r="O348" s="630"/>
      <c r="P348" s="630"/>
      <c r="Q348" s="630"/>
      <c r="R348" s="630"/>
      <c r="S348" s="630" t="s">
        <v>544</v>
      </c>
      <c r="T348" s="630"/>
      <c r="U348" s="630" t="s">
        <v>538</v>
      </c>
      <c r="V348" s="630">
        <v>2</v>
      </c>
      <c r="W348" s="630" t="s">
        <v>545</v>
      </c>
      <c r="X348" s="630" t="s">
        <v>546</v>
      </c>
      <c r="Y348" s="630" t="s">
        <v>549</v>
      </c>
      <c r="Z348" s="630">
        <v>0.28298200000000001</v>
      </c>
      <c r="AA348" s="630">
        <v>0.45541700000000002</v>
      </c>
      <c r="AB348" s="631">
        <v>43416</v>
      </c>
      <c r="AC348" s="631">
        <v>3941518</v>
      </c>
      <c r="AD348" s="631">
        <f t="shared" si="5"/>
        <v>1115378.646676</v>
      </c>
    </row>
    <row r="349" spans="2:30" x14ac:dyDescent="0.15">
      <c r="B349" s="630">
        <v>17031004058</v>
      </c>
      <c r="C349" s="630">
        <v>17031001170</v>
      </c>
      <c r="D349" s="630">
        <v>17031007820</v>
      </c>
      <c r="E349" s="630" t="s">
        <v>533</v>
      </c>
      <c r="F349" s="630" t="s">
        <v>534</v>
      </c>
      <c r="G349" s="630" t="s">
        <v>365</v>
      </c>
      <c r="H349" s="630" t="s">
        <v>543</v>
      </c>
      <c r="I349" s="630"/>
      <c r="J349" s="630"/>
      <c r="K349" s="630"/>
      <c r="L349" s="630"/>
      <c r="M349" s="630"/>
      <c r="N349" s="630"/>
      <c r="O349" s="630"/>
      <c r="P349" s="630"/>
      <c r="Q349" s="630"/>
      <c r="R349" s="630"/>
      <c r="S349" s="630" t="s">
        <v>617</v>
      </c>
      <c r="T349" s="630"/>
      <c r="U349" s="630" t="s">
        <v>559</v>
      </c>
      <c r="V349" s="630">
        <v>1</v>
      </c>
      <c r="W349" s="630" t="s">
        <v>560</v>
      </c>
      <c r="X349" s="630" t="s">
        <v>541</v>
      </c>
      <c r="Y349" s="630" t="s">
        <v>541</v>
      </c>
      <c r="Z349" s="630">
        <v>0.47153299999999998</v>
      </c>
      <c r="AA349" s="630">
        <v>0.75885999999999998</v>
      </c>
      <c r="AB349" s="631">
        <v>0</v>
      </c>
      <c r="AC349" s="631">
        <v>0</v>
      </c>
      <c r="AD349" s="631">
        <f t="shared" si="5"/>
        <v>0</v>
      </c>
    </row>
    <row r="350" spans="2:30" x14ac:dyDescent="0.15">
      <c r="B350" s="630">
        <v>17031004246</v>
      </c>
      <c r="C350" s="630">
        <v>17031001561</v>
      </c>
      <c r="D350" s="630">
        <v>17031001576</v>
      </c>
      <c r="E350" s="630" t="s">
        <v>533</v>
      </c>
      <c r="F350" s="630" t="s">
        <v>534</v>
      </c>
      <c r="G350" s="630" t="s">
        <v>365</v>
      </c>
      <c r="H350" s="630" t="s">
        <v>382</v>
      </c>
      <c r="I350" s="630"/>
      <c r="J350" s="630"/>
      <c r="K350" s="630"/>
      <c r="L350" s="630"/>
      <c r="M350" s="630"/>
      <c r="N350" s="630"/>
      <c r="O350" s="630"/>
      <c r="P350" s="630"/>
      <c r="Q350" s="630"/>
      <c r="R350" s="630"/>
      <c r="S350" s="630" t="s">
        <v>576</v>
      </c>
      <c r="T350" s="630"/>
      <c r="U350" s="630" t="s">
        <v>559</v>
      </c>
      <c r="V350" s="630">
        <v>1</v>
      </c>
      <c r="W350" s="630" t="s">
        <v>560</v>
      </c>
      <c r="X350" s="630" t="s">
        <v>541</v>
      </c>
      <c r="Y350" s="630" t="s">
        <v>541</v>
      </c>
      <c r="Z350" s="630">
        <v>0.31204999999999999</v>
      </c>
      <c r="AA350" s="630">
        <v>0.50219800000000003</v>
      </c>
      <c r="AB350" s="631">
        <v>0</v>
      </c>
      <c r="AC350" s="631">
        <v>0</v>
      </c>
      <c r="AD350" s="631">
        <f t="shared" si="5"/>
        <v>0</v>
      </c>
    </row>
    <row r="351" spans="2:30" x14ac:dyDescent="0.15">
      <c r="B351" s="630">
        <v>17031004254</v>
      </c>
      <c r="C351" s="630">
        <v>17031001550</v>
      </c>
      <c r="D351" s="630">
        <v>17031001549</v>
      </c>
      <c r="E351" s="630" t="s">
        <v>533</v>
      </c>
      <c r="F351" s="630" t="s">
        <v>534</v>
      </c>
      <c r="G351" s="630" t="s">
        <v>365</v>
      </c>
      <c r="H351" s="630" t="s">
        <v>382</v>
      </c>
      <c r="I351" s="630"/>
      <c r="J351" s="630"/>
      <c r="K351" s="630"/>
      <c r="L351" s="630"/>
      <c r="M351" s="630"/>
      <c r="N351" s="630"/>
      <c r="O351" s="630"/>
      <c r="P351" s="630"/>
      <c r="Q351" s="630"/>
      <c r="R351" s="630"/>
      <c r="S351" s="630" t="s">
        <v>576</v>
      </c>
      <c r="T351" s="630"/>
      <c r="U351" s="630" t="s">
        <v>559</v>
      </c>
      <c r="V351" s="630">
        <v>1</v>
      </c>
      <c r="W351" s="630" t="s">
        <v>560</v>
      </c>
      <c r="X351" s="630" t="s">
        <v>541</v>
      </c>
      <c r="Y351" s="630" t="s">
        <v>541</v>
      </c>
      <c r="Z351" s="630">
        <v>0.14615500000000001</v>
      </c>
      <c r="AA351" s="630">
        <v>0.23521400000000001</v>
      </c>
      <c r="AB351" s="631">
        <v>0</v>
      </c>
      <c r="AC351" s="631">
        <v>0</v>
      </c>
      <c r="AD351" s="631">
        <f t="shared" si="5"/>
        <v>0</v>
      </c>
    </row>
    <row r="352" spans="2:30" x14ac:dyDescent="0.15">
      <c r="B352" s="630">
        <v>17031004675</v>
      </c>
      <c r="C352" s="630">
        <v>17031001143</v>
      </c>
      <c r="D352" s="630">
        <v>17031001134</v>
      </c>
      <c r="E352" s="630" t="s">
        <v>533</v>
      </c>
      <c r="F352" s="630" t="s">
        <v>534</v>
      </c>
      <c r="G352" s="630" t="s">
        <v>365</v>
      </c>
      <c r="H352" s="630" t="s">
        <v>543</v>
      </c>
      <c r="I352" s="630"/>
      <c r="J352" s="630" t="s">
        <v>577</v>
      </c>
      <c r="K352" s="630"/>
      <c r="L352" s="630"/>
      <c r="M352" s="630"/>
      <c r="N352" s="630"/>
      <c r="O352" s="630"/>
      <c r="P352" s="630"/>
      <c r="Q352" s="630"/>
      <c r="R352" s="630"/>
      <c r="S352" s="630" t="s">
        <v>656</v>
      </c>
      <c r="T352" s="630" t="s">
        <v>657</v>
      </c>
      <c r="U352" s="630" t="s">
        <v>559</v>
      </c>
      <c r="V352" s="630">
        <v>1</v>
      </c>
      <c r="W352" s="630" t="s">
        <v>560</v>
      </c>
      <c r="X352" s="630" t="s">
        <v>541</v>
      </c>
      <c r="Y352" s="630" t="s">
        <v>541</v>
      </c>
      <c r="Z352" s="630">
        <v>0.30999599999999999</v>
      </c>
      <c r="AA352" s="630">
        <v>0.49889099999999997</v>
      </c>
      <c r="AB352" s="631">
        <v>0</v>
      </c>
      <c r="AC352" s="631">
        <v>0</v>
      </c>
      <c r="AD352" s="631">
        <f t="shared" si="5"/>
        <v>0</v>
      </c>
    </row>
    <row r="353" spans="2:30" x14ac:dyDescent="0.15">
      <c r="B353" s="630">
        <v>17031005370</v>
      </c>
      <c r="C353" s="630">
        <v>17031001154</v>
      </c>
      <c r="D353" s="630">
        <v>17031004727</v>
      </c>
      <c r="E353" s="630" t="s">
        <v>533</v>
      </c>
      <c r="F353" s="630" t="s">
        <v>534</v>
      </c>
      <c r="G353" s="630" t="s">
        <v>365</v>
      </c>
      <c r="H353" s="630" t="s">
        <v>557</v>
      </c>
      <c r="I353" s="630"/>
      <c r="J353" s="630" t="s">
        <v>381</v>
      </c>
      <c r="K353" s="630" t="s">
        <v>535</v>
      </c>
      <c r="L353" s="630" t="s">
        <v>552</v>
      </c>
      <c r="M353" s="630" t="s">
        <v>551</v>
      </c>
      <c r="N353" s="630" t="s">
        <v>543</v>
      </c>
      <c r="O353" s="630" t="s">
        <v>382</v>
      </c>
      <c r="P353" s="630"/>
      <c r="Q353" s="630"/>
      <c r="R353" s="630"/>
      <c r="S353" s="630" t="s">
        <v>570</v>
      </c>
      <c r="T353" s="630"/>
      <c r="U353" s="630" t="s">
        <v>538</v>
      </c>
      <c r="V353" s="630">
        <v>2</v>
      </c>
      <c r="W353" s="630" t="s">
        <v>545</v>
      </c>
      <c r="X353" s="630" t="s">
        <v>575</v>
      </c>
      <c r="Y353" s="630" t="s">
        <v>540</v>
      </c>
      <c r="Z353" s="630">
        <v>0.31860899999999998</v>
      </c>
      <c r="AA353" s="630">
        <v>0.51275300000000001</v>
      </c>
      <c r="AB353" s="631">
        <v>1871170</v>
      </c>
      <c r="AC353" s="631">
        <v>61712371</v>
      </c>
      <c r="AD353" s="631">
        <f t="shared" si="5"/>
        <v>19662116.811938997</v>
      </c>
    </row>
    <row r="354" spans="2:30" x14ac:dyDescent="0.15">
      <c r="B354" s="630">
        <v>17031005480</v>
      </c>
      <c r="C354" s="630">
        <v>17031004732</v>
      </c>
      <c r="D354" s="630">
        <v>17031000985</v>
      </c>
      <c r="E354" s="630" t="s">
        <v>533</v>
      </c>
      <c r="F354" s="630" t="s">
        <v>534</v>
      </c>
      <c r="G354" s="630" t="s">
        <v>365</v>
      </c>
      <c r="H354" s="630" t="s">
        <v>571</v>
      </c>
      <c r="I354" s="630"/>
      <c r="J354" s="630" t="s">
        <v>381</v>
      </c>
      <c r="K354" s="630" t="s">
        <v>535</v>
      </c>
      <c r="L354" s="630" t="s">
        <v>552</v>
      </c>
      <c r="M354" s="630" t="s">
        <v>551</v>
      </c>
      <c r="N354" s="630" t="s">
        <v>382</v>
      </c>
      <c r="O354" s="630"/>
      <c r="P354" s="630"/>
      <c r="Q354" s="630"/>
      <c r="R354" s="630"/>
      <c r="S354" s="630"/>
      <c r="T354" s="630" t="s">
        <v>574</v>
      </c>
      <c r="U354" s="630" t="s">
        <v>559</v>
      </c>
      <c r="V354" s="630">
        <v>1</v>
      </c>
      <c r="W354" s="630" t="s">
        <v>560</v>
      </c>
      <c r="X354" s="630" t="s">
        <v>541</v>
      </c>
      <c r="Y354" s="630" t="s">
        <v>541</v>
      </c>
      <c r="Z354" s="630">
        <v>0.26659500000000003</v>
      </c>
      <c r="AA354" s="630">
        <v>0.42904399999999998</v>
      </c>
      <c r="AB354" s="631">
        <v>0</v>
      </c>
      <c r="AC354" s="631">
        <v>0</v>
      </c>
      <c r="AD354" s="631">
        <f t="shared" si="5"/>
        <v>0</v>
      </c>
    </row>
    <row r="355" spans="2:30" x14ac:dyDescent="0.15">
      <c r="B355" s="630">
        <v>17031006143</v>
      </c>
      <c r="C355" s="630">
        <v>17031000796</v>
      </c>
      <c r="D355" s="630">
        <v>17031000821</v>
      </c>
      <c r="E355" s="630" t="s">
        <v>533</v>
      </c>
      <c r="F355" s="630" t="s">
        <v>534</v>
      </c>
      <c r="G355" s="630" t="s">
        <v>365</v>
      </c>
      <c r="H355" s="630" t="s">
        <v>543</v>
      </c>
      <c r="I355" s="630"/>
      <c r="J355" s="630" t="s">
        <v>535</v>
      </c>
      <c r="K355" s="630"/>
      <c r="L355" s="630"/>
      <c r="M355" s="630"/>
      <c r="N355" s="630"/>
      <c r="O355" s="630"/>
      <c r="P355" s="630"/>
      <c r="Q355" s="630"/>
      <c r="R355" s="630"/>
      <c r="S355" s="630" t="s">
        <v>658</v>
      </c>
      <c r="T355" s="630"/>
      <c r="U355" s="630" t="s">
        <v>559</v>
      </c>
      <c r="V355" s="630">
        <v>1</v>
      </c>
      <c r="W355" s="630" t="s">
        <v>560</v>
      </c>
      <c r="X355" s="630" t="s">
        <v>541</v>
      </c>
      <c r="Y355" s="630" t="s">
        <v>541</v>
      </c>
      <c r="Z355" s="630">
        <v>0.46486899999999998</v>
      </c>
      <c r="AA355" s="630">
        <v>0.74813600000000002</v>
      </c>
      <c r="AB355" s="631">
        <v>63280</v>
      </c>
      <c r="AC355" s="631">
        <v>3022040</v>
      </c>
      <c r="AD355" s="631">
        <f t="shared" si="5"/>
        <v>1404852.71276</v>
      </c>
    </row>
    <row r="356" spans="2:30" x14ac:dyDescent="0.15">
      <c r="B356" s="630">
        <v>17043006531</v>
      </c>
      <c r="C356" s="630">
        <v>17043004770</v>
      </c>
      <c r="D356" s="630">
        <v>17043000385</v>
      </c>
      <c r="E356" s="630" t="s">
        <v>533</v>
      </c>
      <c r="F356" s="630" t="s">
        <v>534</v>
      </c>
      <c r="G356" s="630" t="s">
        <v>367</v>
      </c>
      <c r="H356" s="630" t="s">
        <v>552</v>
      </c>
      <c r="I356" s="630"/>
      <c r="J356" s="630"/>
      <c r="K356" s="630"/>
      <c r="L356" s="630"/>
      <c r="M356" s="630"/>
      <c r="N356" s="630"/>
      <c r="O356" s="630"/>
      <c r="P356" s="630"/>
      <c r="Q356" s="630"/>
      <c r="R356" s="630"/>
      <c r="S356" s="630"/>
      <c r="T356" s="630"/>
      <c r="U356" s="630" t="s">
        <v>559</v>
      </c>
      <c r="V356" s="630">
        <v>1</v>
      </c>
      <c r="W356" s="630" t="s">
        <v>560</v>
      </c>
      <c r="X356" s="630" t="s">
        <v>541</v>
      </c>
      <c r="Y356" s="630" t="s">
        <v>541</v>
      </c>
      <c r="Z356" s="630">
        <v>9.1924000000000006E-2</v>
      </c>
      <c r="AA356" s="630">
        <v>0.14793700000000001</v>
      </c>
      <c r="AB356" s="631">
        <v>0</v>
      </c>
      <c r="AC356" s="631">
        <v>0</v>
      </c>
      <c r="AD356" s="631">
        <f t="shared" si="5"/>
        <v>0</v>
      </c>
    </row>
    <row r="357" spans="2:30" x14ac:dyDescent="0.15">
      <c r="B357" s="630">
        <v>17197007044</v>
      </c>
      <c r="C357" s="630">
        <v>17197001537</v>
      </c>
      <c r="D357" s="630">
        <v>17197005596</v>
      </c>
      <c r="E357" s="630" t="s">
        <v>533</v>
      </c>
      <c r="F357" s="630" t="s">
        <v>534</v>
      </c>
      <c r="G357" s="630" t="s">
        <v>377</v>
      </c>
      <c r="H357" s="630" t="s">
        <v>382</v>
      </c>
      <c r="I357" s="630"/>
      <c r="J357" s="630" t="s">
        <v>542</v>
      </c>
      <c r="K357" s="630"/>
      <c r="L357" s="630"/>
      <c r="M357" s="630"/>
      <c r="N357" s="630"/>
      <c r="O357" s="630"/>
      <c r="P357" s="630"/>
      <c r="Q357" s="630"/>
      <c r="R357" s="630"/>
      <c r="S357" s="630" t="s">
        <v>606</v>
      </c>
      <c r="T357" s="630"/>
      <c r="U357" s="630" t="s">
        <v>538</v>
      </c>
      <c r="V357" s="630">
        <v>1</v>
      </c>
      <c r="W357" s="630" t="s">
        <v>545</v>
      </c>
      <c r="X357" s="630" t="s">
        <v>541</v>
      </c>
      <c r="Y357" s="630" t="s">
        <v>549</v>
      </c>
      <c r="Z357" s="630">
        <v>1.7902750000000001</v>
      </c>
      <c r="AA357" s="630">
        <v>2.881173</v>
      </c>
      <c r="AB357" s="631">
        <v>523360</v>
      </c>
      <c r="AC357" s="631">
        <v>7215240</v>
      </c>
      <c r="AD357" s="631">
        <f t="shared" si="5"/>
        <v>12917263.791000001</v>
      </c>
    </row>
    <row r="358" spans="2:30" x14ac:dyDescent="0.15">
      <c r="B358" s="630">
        <v>17043009116</v>
      </c>
      <c r="C358" s="630">
        <v>17043000431</v>
      </c>
      <c r="D358" s="630">
        <v>17043007323</v>
      </c>
      <c r="E358" s="630" t="s">
        <v>533</v>
      </c>
      <c r="F358" s="630" t="s">
        <v>534</v>
      </c>
      <c r="G358" s="630" t="s">
        <v>367</v>
      </c>
      <c r="H358" s="630" t="s">
        <v>535</v>
      </c>
      <c r="I358" s="630"/>
      <c r="J358" s="630"/>
      <c r="K358" s="630"/>
      <c r="L358" s="630"/>
      <c r="M358" s="630"/>
      <c r="N358" s="630"/>
      <c r="O358" s="630"/>
      <c r="P358" s="630"/>
      <c r="Q358" s="630"/>
      <c r="R358" s="630"/>
      <c r="S358" s="630"/>
      <c r="T358" s="630"/>
      <c r="U358" s="630" t="s">
        <v>559</v>
      </c>
      <c r="V358" s="630">
        <v>1</v>
      </c>
      <c r="W358" s="630" t="s">
        <v>560</v>
      </c>
      <c r="X358" s="630" t="s">
        <v>541</v>
      </c>
      <c r="Y358" s="630" t="s">
        <v>541</v>
      </c>
      <c r="Z358" s="630">
        <v>0.60864300000000005</v>
      </c>
      <c r="AA358" s="630">
        <v>0.979518</v>
      </c>
      <c r="AB358" s="631">
        <v>0</v>
      </c>
      <c r="AC358" s="631">
        <v>0</v>
      </c>
      <c r="AD358" s="631">
        <f t="shared" si="5"/>
        <v>0</v>
      </c>
    </row>
    <row r="359" spans="2:30" x14ac:dyDescent="0.15">
      <c r="B359" s="630">
        <v>17043009126</v>
      </c>
      <c r="C359" s="630">
        <v>17043000487</v>
      </c>
      <c r="D359" s="630">
        <v>17043007333</v>
      </c>
      <c r="E359" s="630" t="s">
        <v>533</v>
      </c>
      <c r="F359" s="630" t="s">
        <v>534</v>
      </c>
      <c r="G359" s="630" t="s">
        <v>367</v>
      </c>
      <c r="H359" s="630" t="s">
        <v>535</v>
      </c>
      <c r="I359" s="630"/>
      <c r="J359" s="630"/>
      <c r="K359" s="630"/>
      <c r="L359" s="630"/>
      <c r="M359" s="630"/>
      <c r="N359" s="630"/>
      <c r="O359" s="630"/>
      <c r="P359" s="630"/>
      <c r="Q359" s="630"/>
      <c r="R359" s="630"/>
      <c r="S359" s="630"/>
      <c r="T359" s="630"/>
      <c r="U359" s="630" t="s">
        <v>559</v>
      </c>
      <c r="V359" s="630">
        <v>1</v>
      </c>
      <c r="W359" s="630" t="s">
        <v>560</v>
      </c>
      <c r="X359" s="630" t="s">
        <v>541</v>
      </c>
      <c r="Y359" s="630" t="s">
        <v>541</v>
      </c>
      <c r="Z359" s="630">
        <v>0.52532299999999998</v>
      </c>
      <c r="AA359" s="630">
        <v>0.84542600000000001</v>
      </c>
      <c r="AB359" s="631">
        <v>0</v>
      </c>
      <c r="AC359" s="631">
        <v>0</v>
      </c>
      <c r="AD359" s="631">
        <f t="shared" si="5"/>
        <v>0</v>
      </c>
    </row>
    <row r="360" spans="2:30" x14ac:dyDescent="0.15">
      <c r="B360" s="630">
        <v>17097009411</v>
      </c>
      <c r="C360" s="630">
        <v>17097004540</v>
      </c>
      <c r="D360" s="630">
        <v>17097007522</v>
      </c>
      <c r="E360" s="630" t="s">
        <v>533</v>
      </c>
      <c r="F360" s="630" t="s">
        <v>534</v>
      </c>
      <c r="G360" s="630" t="s">
        <v>373</v>
      </c>
      <c r="H360" s="630" t="s">
        <v>552</v>
      </c>
      <c r="I360" s="630"/>
      <c r="J360" s="630" t="s">
        <v>542</v>
      </c>
      <c r="K360" s="630"/>
      <c r="L360" s="630"/>
      <c r="M360" s="630"/>
      <c r="N360" s="630"/>
      <c r="O360" s="630"/>
      <c r="P360" s="630"/>
      <c r="Q360" s="630"/>
      <c r="R360" s="630"/>
      <c r="S360" s="630" t="s">
        <v>564</v>
      </c>
      <c r="T360" s="630"/>
      <c r="U360" s="630" t="s">
        <v>538</v>
      </c>
      <c r="V360" s="630">
        <v>2</v>
      </c>
      <c r="W360" s="630" t="s">
        <v>545</v>
      </c>
      <c r="X360" s="630" t="s">
        <v>549</v>
      </c>
      <c r="Y360" s="630" t="s">
        <v>549</v>
      </c>
      <c r="Z360" s="630">
        <v>1.454879</v>
      </c>
      <c r="AA360" s="630">
        <v>2.341405</v>
      </c>
      <c r="AB360" s="631">
        <v>502101</v>
      </c>
      <c r="AC360" s="631">
        <v>30386712</v>
      </c>
      <c r="AD360" s="631">
        <f t="shared" si="5"/>
        <v>44208989.167847998</v>
      </c>
    </row>
    <row r="361" spans="2:30" x14ac:dyDescent="0.15">
      <c r="B361" s="630">
        <v>17031002162</v>
      </c>
      <c r="C361" s="630">
        <v>17031000525</v>
      </c>
      <c r="D361" s="630">
        <v>17031000533</v>
      </c>
      <c r="E361" s="630" t="s">
        <v>533</v>
      </c>
      <c r="F361" s="630" t="s">
        <v>534</v>
      </c>
      <c r="G361" s="630" t="s">
        <v>365</v>
      </c>
      <c r="H361" s="630" t="s">
        <v>382</v>
      </c>
      <c r="I361" s="630"/>
      <c r="J361" s="630"/>
      <c r="K361" s="630"/>
      <c r="L361" s="630"/>
      <c r="M361" s="630"/>
      <c r="N361" s="630"/>
      <c r="O361" s="630"/>
      <c r="P361" s="630"/>
      <c r="Q361" s="630"/>
      <c r="R361" s="630"/>
      <c r="S361" s="630"/>
      <c r="T361" s="630" t="s">
        <v>626</v>
      </c>
      <c r="U361" s="630" t="s">
        <v>559</v>
      </c>
      <c r="V361" s="630">
        <v>1</v>
      </c>
      <c r="W361" s="630" t="s">
        <v>539</v>
      </c>
      <c r="X361" s="630" t="s">
        <v>541</v>
      </c>
      <c r="Y361" s="630" t="s">
        <v>541</v>
      </c>
      <c r="Z361" s="630">
        <v>0.258521</v>
      </c>
      <c r="AA361" s="630">
        <v>0.41604999999999998</v>
      </c>
      <c r="AB361" s="631">
        <v>205960</v>
      </c>
      <c r="AC361" s="631">
        <v>3030880</v>
      </c>
      <c r="AD361" s="631">
        <f t="shared" si="5"/>
        <v>783546.12847999996</v>
      </c>
    </row>
    <row r="362" spans="2:30" x14ac:dyDescent="0.15">
      <c r="B362" s="630">
        <v>17031002199</v>
      </c>
      <c r="C362" s="630">
        <v>17031000303</v>
      </c>
      <c r="D362" s="630">
        <v>17031000293</v>
      </c>
      <c r="E362" s="630" t="s">
        <v>533</v>
      </c>
      <c r="F362" s="630" t="s">
        <v>534</v>
      </c>
      <c r="G362" s="630" t="s">
        <v>365</v>
      </c>
      <c r="H362" s="630" t="s">
        <v>382</v>
      </c>
      <c r="I362" s="630"/>
      <c r="J362" s="630"/>
      <c r="K362" s="630"/>
      <c r="L362" s="630"/>
      <c r="M362" s="630"/>
      <c r="N362" s="630"/>
      <c r="O362" s="630"/>
      <c r="P362" s="630"/>
      <c r="Q362" s="630"/>
      <c r="R362" s="630"/>
      <c r="S362" s="630" t="s">
        <v>608</v>
      </c>
      <c r="T362" s="630"/>
      <c r="U362" s="630" t="s">
        <v>538</v>
      </c>
      <c r="V362" s="630">
        <v>1</v>
      </c>
      <c r="W362" s="630" t="s">
        <v>582</v>
      </c>
      <c r="X362" s="630" t="s">
        <v>540</v>
      </c>
      <c r="Y362" s="630" t="s">
        <v>554</v>
      </c>
      <c r="Z362" s="630">
        <v>1.278608</v>
      </c>
      <c r="AA362" s="630">
        <v>2.0577239999999999</v>
      </c>
      <c r="AB362" s="631">
        <v>8570</v>
      </c>
      <c r="AC362" s="631">
        <v>809285</v>
      </c>
      <c r="AD362" s="631">
        <f t="shared" si="5"/>
        <v>1034758.2752799999</v>
      </c>
    </row>
    <row r="363" spans="2:30" x14ac:dyDescent="0.15">
      <c r="B363" s="630">
        <v>17031002204</v>
      </c>
      <c r="C363" s="630">
        <v>17031000339</v>
      </c>
      <c r="D363" s="630">
        <v>17031000306</v>
      </c>
      <c r="E363" s="630" t="s">
        <v>533</v>
      </c>
      <c r="F363" s="630" t="s">
        <v>534</v>
      </c>
      <c r="G363" s="630" t="s">
        <v>365</v>
      </c>
      <c r="H363" s="630" t="s">
        <v>382</v>
      </c>
      <c r="I363" s="630"/>
      <c r="J363" s="630" t="s">
        <v>552</v>
      </c>
      <c r="K363" s="630"/>
      <c r="L363" s="630"/>
      <c r="M363" s="630"/>
      <c r="N363" s="630"/>
      <c r="O363" s="630"/>
      <c r="P363" s="630"/>
      <c r="Q363" s="630"/>
      <c r="R363" s="630"/>
      <c r="S363" s="630" t="s">
        <v>586</v>
      </c>
      <c r="T363" s="630"/>
      <c r="U363" s="630" t="s">
        <v>538</v>
      </c>
      <c r="V363" s="630">
        <v>2</v>
      </c>
      <c r="W363" s="630" t="s">
        <v>582</v>
      </c>
      <c r="X363" s="630" t="s">
        <v>580</v>
      </c>
      <c r="Y363" s="630" t="s">
        <v>549</v>
      </c>
      <c r="Z363" s="630">
        <v>1.7597700000000001</v>
      </c>
      <c r="AA363" s="630">
        <v>2.8320810000000001</v>
      </c>
      <c r="AB363" s="631">
        <v>604542</v>
      </c>
      <c r="AC363" s="631">
        <v>41645174</v>
      </c>
      <c r="AD363" s="631">
        <f t="shared" si="5"/>
        <v>73285927.849979997</v>
      </c>
    </row>
    <row r="364" spans="2:30" x14ac:dyDescent="0.15">
      <c r="B364" s="630">
        <v>17031002432</v>
      </c>
      <c r="C364" s="630">
        <v>17031001427</v>
      </c>
      <c r="D364" s="630">
        <v>17031001423</v>
      </c>
      <c r="E364" s="630" t="s">
        <v>533</v>
      </c>
      <c r="F364" s="630" t="s">
        <v>534</v>
      </c>
      <c r="G364" s="630" t="s">
        <v>365</v>
      </c>
      <c r="H364" s="630" t="s">
        <v>382</v>
      </c>
      <c r="I364" s="630"/>
      <c r="J364" s="630" t="s">
        <v>542</v>
      </c>
      <c r="K364" s="630" t="s">
        <v>551</v>
      </c>
      <c r="L364" s="630" t="s">
        <v>555</v>
      </c>
      <c r="M364" s="630" t="s">
        <v>552</v>
      </c>
      <c r="N364" s="630" t="s">
        <v>535</v>
      </c>
      <c r="O364" s="630"/>
      <c r="P364" s="630"/>
      <c r="Q364" s="630"/>
      <c r="R364" s="630"/>
      <c r="S364" s="630" t="s">
        <v>556</v>
      </c>
      <c r="T364" s="630"/>
      <c r="U364" s="630" t="s">
        <v>538</v>
      </c>
      <c r="V364" s="630">
        <v>2</v>
      </c>
      <c r="W364" s="630" t="s">
        <v>545</v>
      </c>
      <c r="X364" s="630" t="s">
        <v>580</v>
      </c>
      <c r="Y364" s="630" t="s">
        <v>554</v>
      </c>
      <c r="Z364" s="630">
        <v>0.40879300000000002</v>
      </c>
      <c r="AA364" s="630">
        <v>0.65788999999999997</v>
      </c>
      <c r="AB364" s="631">
        <v>873804</v>
      </c>
      <c r="AC364" s="631">
        <v>34252363</v>
      </c>
      <c r="AD364" s="631">
        <f t="shared" si="5"/>
        <v>14002126.227859</v>
      </c>
    </row>
    <row r="365" spans="2:30" x14ac:dyDescent="0.15">
      <c r="B365" s="630">
        <v>17197002649</v>
      </c>
      <c r="C365" s="630">
        <v>17197004797</v>
      </c>
      <c r="D365" s="630">
        <v>17197001452</v>
      </c>
      <c r="E365" s="630" t="s">
        <v>533</v>
      </c>
      <c r="F365" s="630" t="s">
        <v>534</v>
      </c>
      <c r="G365" s="630" t="s">
        <v>377</v>
      </c>
      <c r="H365" s="630" t="s">
        <v>535</v>
      </c>
      <c r="I365" s="630"/>
      <c r="J365" s="630" t="s">
        <v>382</v>
      </c>
      <c r="K365" s="630" t="s">
        <v>536</v>
      </c>
      <c r="L365" s="630"/>
      <c r="M365" s="630"/>
      <c r="N365" s="630"/>
      <c r="O365" s="630"/>
      <c r="P365" s="630"/>
      <c r="Q365" s="630"/>
      <c r="R365" s="630"/>
      <c r="S365" s="630" t="s">
        <v>550</v>
      </c>
      <c r="T365" s="630"/>
      <c r="U365" s="630" t="s">
        <v>538</v>
      </c>
      <c r="V365" s="630">
        <v>2</v>
      </c>
      <c r="W365" s="630" t="s">
        <v>545</v>
      </c>
      <c r="X365" s="630" t="s">
        <v>540</v>
      </c>
      <c r="Y365" s="630" t="s">
        <v>541</v>
      </c>
      <c r="Z365" s="630">
        <v>0.18140500000000001</v>
      </c>
      <c r="AA365" s="630">
        <v>0.29194399999999998</v>
      </c>
      <c r="AB365" s="631">
        <v>28423</v>
      </c>
      <c r="AC365" s="631">
        <v>2560478</v>
      </c>
      <c r="AD365" s="631">
        <f t="shared" si="5"/>
        <v>464483.51159000001</v>
      </c>
    </row>
    <row r="366" spans="2:30" x14ac:dyDescent="0.15">
      <c r="B366" s="630">
        <v>17031003241</v>
      </c>
      <c r="C366" s="630">
        <v>17031004692</v>
      </c>
      <c r="D366" s="630">
        <v>17031004693</v>
      </c>
      <c r="E366" s="630" t="s">
        <v>533</v>
      </c>
      <c r="F366" s="630" t="s">
        <v>534</v>
      </c>
      <c r="G366" s="630" t="s">
        <v>365</v>
      </c>
      <c r="H366" s="630" t="s">
        <v>547</v>
      </c>
      <c r="I366" s="630"/>
      <c r="J366" s="630" t="s">
        <v>577</v>
      </c>
      <c r="K366" s="630" t="s">
        <v>551</v>
      </c>
      <c r="L366" s="630" t="s">
        <v>615</v>
      </c>
      <c r="M366" s="630"/>
      <c r="N366" s="630"/>
      <c r="O366" s="630"/>
      <c r="P366" s="630"/>
      <c r="Q366" s="630"/>
      <c r="R366" s="630"/>
      <c r="S366" s="630" t="s">
        <v>581</v>
      </c>
      <c r="T366" s="630"/>
      <c r="U366" s="630" t="s">
        <v>538</v>
      </c>
      <c r="V366" s="630">
        <v>2</v>
      </c>
      <c r="W366" s="630" t="s">
        <v>582</v>
      </c>
      <c r="X366" s="630" t="s">
        <v>540</v>
      </c>
      <c r="Y366" s="630" t="s">
        <v>540</v>
      </c>
      <c r="Z366" s="630">
        <v>1.577285</v>
      </c>
      <c r="AA366" s="630">
        <v>2.5383990000000001</v>
      </c>
      <c r="AB366" s="631">
        <v>89629</v>
      </c>
      <c r="AC366" s="631">
        <v>8779272</v>
      </c>
      <c r="AD366" s="631">
        <f t="shared" si="5"/>
        <v>13847414.036520001</v>
      </c>
    </row>
    <row r="367" spans="2:30" x14ac:dyDescent="0.15">
      <c r="B367" s="630">
        <v>17031003292</v>
      </c>
      <c r="C367" s="630">
        <v>17999019959</v>
      </c>
      <c r="D367" s="630">
        <v>17031000355</v>
      </c>
      <c r="E367" s="630" t="s">
        <v>533</v>
      </c>
      <c r="F367" s="630" t="s">
        <v>534</v>
      </c>
      <c r="G367" s="630" t="s">
        <v>365</v>
      </c>
      <c r="H367" s="630" t="s">
        <v>552</v>
      </c>
      <c r="I367" s="630"/>
      <c r="J367" s="630"/>
      <c r="K367" s="630"/>
      <c r="L367" s="630"/>
      <c r="M367" s="630"/>
      <c r="N367" s="630"/>
      <c r="O367" s="630"/>
      <c r="P367" s="630"/>
      <c r="Q367" s="630"/>
      <c r="R367" s="630"/>
      <c r="S367" s="630"/>
      <c r="T367" s="630"/>
      <c r="U367" s="630" t="s">
        <v>559</v>
      </c>
      <c r="V367" s="630">
        <v>1</v>
      </c>
      <c r="W367" s="630" t="s">
        <v>560</v>
      </c>
      <c r="X367" s="630" t="s">
        <v>541</v>
      </c>
      <c r="Y367" s="630" t="s">
        <v>541</v>
      </c>
      <c r="Z367" s="630">
        <v>0.30828</v>
      </c>
      <c r="AA367" s="630">
        <v>0.49612899999999999</v>
      </c>
      <c r="AB367" s="631">
        <v>0</v>
      </c>
      <c r="AC367" s="631">
        <v>0</v>
      </c>
      <c r="AD367" s="631">
        <f t="shared" si="5"/>
        <v>0</v>
      </c>
    </row>
    <row r="368" spans="2:30" x14ac:dyDescent="0.15">
      <c r="B368" s="630">
        <v>17031003658</v>
      </c>
      <c r="C368" s="630">
        <v>17031001068</v>
      </c>
      <c r="D368" s="630">
        <v>17031001077</v>
      </c>
      <c r="E368" s="630" t="s">
        <v>533</v>
      </c>
      <c r="F368" s="630" t="s">
        <v>534</v>
      </c>
      <c r="G368" s="630" t="s">
        <v>365</v>
      </c>
      <c r="H368" s="630" t="s">
        <v>577</v>
      </c>
      <c r="I368" s="630"/>
      <c r="J368" s="630"/>
      <c r="K368" s="630"/>
      <c r="L368" s="630"/>
      <c r="M368" s="630"/>
      <c r="N368" s="630"/>
      <c r="O368" s="630"/>
      <c r="P368" s="630"/>
      <c r="Q368" s="630"/>
      <c r="R368" s="630"/>
      <c r="S368" s="630"/>
      <c r="T368" s="630"/>
      <c r="U368" s="630" t="s">
        <v>538</v>
      </c>
      <c r="V368" s="630">
        <v>1</v>
      </c>
      <c r="W368" s="630" t="s">
        <v>560</v>
      </c>
      <c r="X368" s="630" t="s">
        <v>541</v>
      </c>
      <c r="Y368" s="630" t="s">
        <v>541</v>
      </c>
      <c r="Z368" s="630">
        <v>0.239617</v>
      </c>
      <c r="AA368" s="630">
        <v>0.385627</v>
      </c>
      <c r="AB368" s="631">
        <v>0</v>
      </c>
      <c r="AC368" s="631">
        <v>0</v>
      </c>
      <c r="AD368" s="631">
        <f t="shared" si="5"/>
        <v>0</v>
      </c>
    </row>
    <row r="369" spans="2:30" x14ac:dyDescent="0.15">
      <c r="B369" s="630">
        <v>17031003670</v>
      </c>
      <c r="C369" s="630">
        <v>17031000843</v>
      </c>
      <c r="D369" s="630">
        <v>17031000877</v>
      </c>
      <c r="E369" s="630" t="s">
        <v>533</v>
      </c>
      <c r="F369" s="630" t="s">
        <v>534</v>
      </c>
      <c r="G369" s="630" t="s">
        <v>365</v>
      </c>
      <c r="H369" s="630" t="s">
        <v>547</v>
      </c>
      <c r="I369" s="630"/>
      <c r="J369" s="630" t="s">
        <v>542</v>
      </c>
      <c r="K369" s="630" t="s">
        <v>543</v>
      </c>
      <c r="L369" s="630" t="s">
        <v>382</v>
      </c>
      <c r="M369" s="630"/>
      <c r="N369" s="630"/>
      <c r="O369" s="630"/>
      <c r="P369" s="630"/>
      <c r="Q369" s="630"/>
      <c r="R369" s="630"/>
      <c r="S369" s="630" t="s">
        <v>602</v>
      </c>
      <c r="T369" s="630" t="s">
        <v>659</v>
      </c>
      <c r="U369" s="630" t="s">
        <v>538</v>
      </c>
      <c r="V369" s="630">
        <v>2</v>
      </c>
      <c r="W369" s="630" t="s">
        <v>545</v>
      </c>
      <c r="X369" s="630" t="s">
        <v>540</v>
      </c>
      <c r="Y369" s="630" t="s">
        <v>540</v>
      </c>
      <c r="Z369" s="630">
        <v>0.76160700000000003</v>
      </c>
      <c r="AA369" s="630">
        <v>1.2256899999999999</v>
      </c>
      <c r="AB369" s="631">
        <v>202799</v>
      </c>
      <c r="AC369" s="631">
        <v>7241376</v>
      </c>
      <c r="AD369" s="631">
        <f t="shared" si="5"/>
        <v>5515082.6512320004</v>
      </c>
    </row>
    <row r="370" spans="2:30" x14ac:dyDescent="0.15">
      <c r="B370" s="630">
        <v>17031003878</v>
      </c>
      <c r="C370" s="630">
        <v>17031004653</v>
      </c>
      <c r="D370" s="630">
        <v>17031000576</v>
      </c>
      <c r="E370" s="630" t="s">
        <v>533</v>
      </c>
      <c r="F370" s="630" t="s">
        <v>534</v>
      </c>
      <c r="G370" s="630" t="s">
        <v>365</v>
      </c>
      <c r="H370" s="630" t="s">
        <v>382</v>
      </c>
      <c r="I370" s="630"/>
      <c r="J370" s="630" t="s">
        <v>572</v>
      </c>
      <c r="K370" s="630" t="s">
        <v>547</v>
      </c>
      <c r="L370" s="630"/>
      <c r="M370" s="630"/>
      <c r="N370" s="630"/>
      <c r="O370" s="630"/>
      <c r="P370" s="630"/>
      <c r="Q370" s="630"/>
      <c r="R370" s="630"/>
      <c r="S370" s="630" t="s">
        <v>583</v>
      </c>
      <c r="T370" s="630"/>
      <c r="U370" s="630" t="s">
        <v>538</v>
      </c>
      <c r="V370" s="630">
        <v>3</v>
      </c>
      <c r="W370" s="630" t="s">
        <v>545</v>
      </c>
      <c r="X370" s="630" t="s">
        <v>580</v>
      </c>
      <c r="Y370" s="630" t="s">
        <v>549</v>
      </c>
      <c r="Z370" s="630">
        <v>1.7631019999999999</v>
      </c>
      <c r="AA370" s="630">
        <v>2.8374429999999999</v>
      </c>
      <c r="AB370" s="631">
        <v>858401</v>
      </c>
      <c r="AC370" s="631">
        <v>28501686</v>
      </c>
      <c r="AD370" s="631">
        <f t="shared" si="5"/>
        <v>50251379.589971997</v>
      </c>
    </row>
    <row r="371" spans="2:30" x14ac:dyDescent="0.15">
      <c r="B371" s="630">
        <v>17031003895</v>
      </c>
      <c r="C371" s="630">
        <v>17031000505</v>
      </c>
      <c r="D371" s="630">
        <v>17031000501</v>
      </c>
      <c r="E371" s="630" t="s">
        <v>533</v>
      </c>
      <c r="F371" s="630" t="s">
        <v>534</v>
      </c>
      <c r="G371" s="630" t="s">
        <v>365</v>
      </c>
      <c r="H371" s="630" t="s">
        <v>382</v>
      </c>
      <c r="I371" s="630"/>
      <c r="J371" s="630"/>
      <c r="K371" s="630"/>
      <c r="L371" s="630"/>
      <c r="M371" s="630"/>
      <c r="N371" s="630"/>
      <c r="O371" s="630"/>
      <c r="P371" s="630"/>
      <c r="Q371" s="630"/>
      <c r="R371" s="630"/>
      <c r="S371" s="630" t="s">
        <v>586</v>
      </c>
      <c r="T371" s="630"/>
      <c r="U371" s="630" t="s">
        <v>538</v>
      </c>
      <c r="V371" s="630">
        <v>2</v>
      </c>
      <c r="W371" s="630" t="s">
        <v>582</v>
      </c>
      <c r="X371" s="630" t="s">
        <v>549</v>
      </c>
      <c r="Y371" s="630" t="s">
        <v>554</v>
      </c>
      <c r="Z371" s="630">
        <v>8.5568000000000005E-2</v>
      </c>
      <c r="AA371" s="630">
        <v>0.137709</v>
      </c>
      <c r="AB371" s="631">
        <v>91188</v>
      </c>
      <c r="AC371" s="631">
        <v>10090202</v>
      </c>
      <c r="AD371" s="631">
        <f t="shared" si="5"/>
        <v>863398.404736</v>
      </c>
    </row>
    <row r="372" spans="2:30" x14ac:dyDescent="0.15">
      <c r="B372" s="630">
        <v>17031004068</v>
      </c>
      <c r="C372" s="630">
        <v>17031000708</v>
      </c>
      <c r="D372" s="630">
        <v>17031004674</v>
      </c>
      <c r="E372" s="630" t="s">
        <v>533</v>
      </c>
      <c r="F372" s="630" t="s">
        <v>534</v>
      </c>
      <c r="G372" s="630" t="s">
        <v>365</v>
      </c>
      <c r="H372" s="630" t="s">
        <v>644</v>
      </c>
      <c r="I372" s="630"/>
      <c r="J372" s="630"/>
      <c r="K372" s="630"/>
      <c r="L372" s="630"/>
      <c r="M372" s="630"/>
      <c r="N372" s="630"/>
      <c r="O372" s="630"/>
      <c r="P372" s="630"/>
      <c r="Q372" s="630"/>
      <c r="R372" s="630"/>
      <c r="S372" s="630"/>
      <c r="T372" s="630"/>
      <c r="U372" s="630" t="s">
        <v>559</v>
      </c>
      <c r="V372" s="630">
        <v>1</v>
      </c>
      <c r="W372" s="630" t="s">
        <v>560</v>
      </c>
      <c r="X372" s="630" t="s">
        <v>541</v>
      </c>
      <c r="Y372" s="630" t="s">
        <v>541</v>
      </c>
      <c r="Z372" s="630">
        <v>0.98022399999999998</v>
      </c>
      <c r="AA372" s="630">
        <v>1.57752</v>
      </c>
      <c r="AB372" s="631">
        <v>0</v>
      </c>
      <c r="AC372" s="631">
        <v>0</v>
      </c>
      <c r="AD372" s="631">
        <f t="shared" si="5"/>
        <v>0</v>
      </c>
    </row>
    <row r="373" spans="2:30" x14ac:dyDescent="0.15">
      <c r="B373" s="630">
        <v>17031004182</v>
      </c>
      <c r="C373" s="630">
        <v>17031000256</v>
      </c>
      <c r="D373" s="630">
        <v>17031004614</v>
      </c>
      <c r="E373" s="630" t="s">
        <v>533</v>
      </c>
      <c r="F373" s="630" t="s">
        <v>534</v>
      </c>
      <c r="G373" s="630" t="s">
        <v>365</v>
      </c>
      <c r="H373" s="630" t="s">
        <v>552</v>
      </c>
      <c r="I373" s="630"/>
      <c r="J373" s="630" t="s">
        <v>542</v>
      </c>
      <c r="K373" s="630" t="s">
        <v>547</v>
      </c>
      <c r="L373" s="630" t="s">
        <v>563</v>
      </c>
      <c r="M373" s="630" t="s">
        <v>382</v>
      </c>
      <c r="N373" s="630"/>
      <c r="O373" s="630"/>
      <c r="P373" s="630"/>
      <c r="Q373" s="630"/>
      <c r="R373" s="630"/>
      <c r="S373" s="630" t="s">
        <v>564</v>
      </c>
      <c r="T373" s="630"/>
      <c r="U373" s="630" t="s">
        <v>538</v>
      </c>
      <c r="V373" s="630">
        <v>2</v>
      </c>
      <c r="W373" s="630" t="s">
        <v>545</v>
      </c>
      <c r="X373" s="630" t="s">
        <v>549</v>
      </c>
      <c r="Y373" s="630" t="s">
        <v>549</v>
      </c>
      <c r="Z373" s="630">
        <v>0.55004200000000003</v>
      </c>
      <c r="AA373" s="630">
        <v>0.88520900000000002</v>
      </c>
      <c r="AB373" s="631">
        <v>529599</v>
      </c>
      <c r="AC373" s="631">
        <v>32992685</v>
      </c>
      <c r="AD373" s="631">
        <f t="shared" si="5"/>
        <v>18147362.442770001</v>
      </c>
    </row>
    <row r="374" spans="2:30" x14ac:dyDescent="0.15">
      <c r="B374" s="630">
        <v>17031004188</v>
      </c>
      <c r="C374" s="630">
        <v>17031000665</v>
      </c>
      <c r="D374" s="630">
        <v>17031000626</v>
      </c>
      <c r="E374" s="630" t="s">
        <v>533</v>
      </c>
      <c r="F374" s="630" t="s">
        <v>534</v>
      </c>
      <c r="G374" s="630" t="s">
        <v>365</v>
      </c>
      <c r="H374" s="630" t="s">
        <v>381</v>
      </c>
      <c r="I374" s="630"/>
      <c r="J374" s="630" t="s">
        <v>542</v>
      </c>
      <c r="K374" s="630" t="s">
        <v>547</v>
      </c>
      <c r="L374" s="630"/>
      <c r="M374" s="630"/>
      <c r="N374" s="630"/>
      <c r="O374" s="630"/>
      <c r="P374" s="630"/>
      <c r="Q374" s="630"/>
      <c r="R374" s="630"/>
      <c r="S374" s="630" t="s">
        <v>579</v>
      </c>
      <c r="T374" s="630" t="s">
        <v>660</v>
      </c>
      <c r="U374" s="630" t="s">
        <v>538</v>
      </c>
      <c r="V374" s="630">
        <v>2</v>
      </c>
      <c r="W374" s="630" t="s">
        <v>545</v>
      </c>
      <c r="X374" s="630" t="s">
        <v>541</v>
      </c>
      <c r="Y374" s="630" t="s">
        <v>554</v>
      </c>
      <c r="Z374" s="630">
        <v>0.55506599999999995</v>
      </c>
      <c r="AA374" s="630">
        <v>0.893293</v>
      </c>
      <c r="AB374" s="631">
        <v>73164</v>
      </c>
      <c r="AC374" s="631">
        <v>3320572</v>
      </c>
      <c r="AD374" s="631">
        <f t="shared" si="5"/>
        <v>1843136.6177519998</v>
      </c>
    </row>
    <row r="375" spans="2:30" x14ac:dyDescent="0.15">
      <c r="B375" s="630">
        <v>17031005738</v>
      </c>
      <c r="C375" s="630">
        <v>17031001370</v>
      </c>
      <c r="D375" s="630">
        <v>17031001364</v>
      </c>
      <c r="E375" s="630" t="s">
        <v>533</v>
      </c>
      <c r="F375" s="630" t="s">
        <v>534</v>
      </c>
      <c r="G375" s="630" t="s">
        <v>365</v>
      </c>
      <c r="H375" s="630" t="s">
        <v>535</v>
      </c>
      <c r="I375" s="630"/>
      <c r="J375" s="630" t="s">
        <v>382</v>
      </c>
      <c r="K375" s="630" t="s">
        <v>555</v>
      </c>
      <c r="L375" s="630" t="s">
        <v>557</v>
      </c>
      <c r="M375" s="630"/>
      <c r="N375" s="630"/>
      <c r="O375" s="630"/>
      <c r="P375" s="630"/>
      <c r="Q375" s="630"/>
      <c r="R375" s="630"/>
      <c r="S375" s="630"/>
      <c r="T375" s="630"/>
      <c r="U375" s="630" t="s">
        <v>538</v>
      </c>
      <c r="V375" s="630">
        <v>1</v>
      </c>
      <c r="W375" s="630" t="s">
        <v>560</v>
      </c>
      <c r="X375" s="630" t="s">
        <v>541</v>
      </c>
      <c r="Y375" s="630" t="s">
        <v>541</v>
      </c>
      <c r="Z375" s="630">
        <v>0.52598199999999995</v>
      </c>
      <c r="AA375" s="630">
        <v>0.84648800000000002</v>
      </c>
      <c r="AB375" s="631">
        <v>37520</v>
      </c>
      <c r="AC375" s="631">
        <v>3745512</v>
      </c>
      <c r="AD375" s="631">
        <f t="shared" si="5"/>
        <v>1970071.8927839999</v>
      </c>
    </row>
    <row r="376" spans="2:30" x14ac:dyDescent="0.15">
      <c r="B376" s="630">
        <v>17031006173</v>
      </c>
      <c r="C376" s="630">
        <v>17031000647</v>
      </c>
      <c r="D376" s="630">
        <v>17031000680</v>
      </c>
      <c r="E376" s="630" t="s">
        <v>533</v>
      </c>
      <c r="F376" s="630" t="s">
        <v>534</v>
      </c>
      <c r="G376" s="630" t="s">
        <v>365</v>
      </c>
      <c r="H376" s="630" t="s">
        <v>551</v>
      </c>
      <c r="I376" s="630"/>
      <c r="J376" s="630"/>
      <c r="K376" s="630"/>
      <c r="L376" s="630"/>
      <c r="M376" s="630"/>
      <c r="N376" s="630"/>
      <c r="O376" s="630"/>
      <c r="P376" s="630"/>
      <c r="Q376" s="630"/>
      <c r="R376" s="630"/>
      <c r="S376" s="630" t="s">
        <v>600</v>
      </c>
      <c r="T376" s="630"/>
      <c r="U376" s="630" t="s">
        <v>538</v>
      </c>
      <c r="V376" s="630">
        <v>2</v>
      </c>
      <c r="W376" s="630" t="s">
        <v>582</v>
      </c>
      <c r="X376" s="630" t="s">
        <v>549</v>
      </c>
      <c r="Y376" s="630" t="s">
        <v>554</v>
      </c>
      <c r="Z376" s="630">
        <v>0.163661</v>
      </c>
      <c r="AA376" s="630">
        <v>0.26338699999999998</v>
      </c>
      <c r="AB376" s="631">
        <v>168273</v>
      </c>
      <c r="AC376" s="631">
        <v>5149362</v>
      </c>
      <c r="AD376" s="631">
        <f t="shared" si="5"/>
        <v>842749.73428199999</v>
      </c>
    </row>
    <row r="377" spans="2:30" x14ac:dyDescent="0.15">
      <c r="B377" s="630">
        <v>17031006268</v>
      </c>
      <c r="C377" s="630">
        <v>17031001109</v>
      </c>
      <c r="D377" s="630">
        <v>17031006704</v>
      </c>
      <c r="E377" s="630" t="s">
        <v>533</v>
      </c>
      <c r="F377" s="630" t="s">
        <v>534</v>
      </c>
      <c r="G377" s="630" t="s">
        <v>365</v>
      </c>
      <c r="H377" s="630" t="s">
        <v>661</v>
      </c>
      <c r="I377" s="630"/>
      <c r="J377" s="630"/>
      <c r="K377" s="630"/>
      <c r="L377" s="630"/>
      <c r="M377" s="630"/>
      <c r="N377" s="630"/>
      <c r="O377" s="630"/>
      <c r="P377" s="630"/>
      <c r="Q377" s="630"/>
      <c r="R377" s="630"/>
      <c r="S377" s="630"/>
      <c r="T377" s="630" t="s">
        <v>662</v>
      </c>
      <c r="U377" s="630" t="s">
        <v>538</v>
      </c>
      <c r="V377" s="630">
        <v>1</v>
      </c>
      <c r="W377" s="630" t="s">
        <v>560</v>
      </c>
      <c r="X377" s="630" t="s">
        <v>541</v>
      </c>
      <c r="Y377" s="630" t="s">
        <v>541</v>
      </c>
      <c r="Z377" s="630">
        <v>0.48571300000000001</v>
      </c>
      <c r="AA377" s="630">
        <v>0.78168099999999996</v>
      </c>
      <c r="AB377" s="631">
        <v>0</v>
      </c>
      <c r="AC377" s="631">
        <v>0</v>
      </c>
      <c r="AD377" s="631">
        <f t="shared" si="5"/>
        <v>0</v>
      </c>
    </row>
    <row r="378" spans="2:30" x14ac:dyDescent="0.15">
      <c r="B378" s="630">
        <v>17043008199</v>
      </c>
      <c r="C378" s="630">
        <v>17043000589</v>
      </c>
      <c r="D378" s="630">
        <v>17043006566</v>
      </c>
      <c r="E378" s="630" t="s">
        <v>533</v>
      </c>
      <c r="F378" s="630" t="s">
        <v>534</v>
      </c>
      <c r="G378" s="630" t="s">
        <v>367</v>
      </c>
      <c r="H378" s="630" t="s">
        <v>382</v>
      </c>
      <c r="I378" s="630"/>
      <c r="J378" s="630"/>
      <c r="K378" s="630"/>
      <c r="L378" s="630"/>
      <c r="M378" s="630"/>
      <c r="N378" s="630"/>
      <c r="O378" s="630"/>
      <c r="P378" s="630"/>
      <c r="Q378" s="630"/>
      <c r="R378" s="630"/>
      <c r="S378" s="630" t="s">
        <v>635</v>
      </c>
      <c r="T378" s="630" t="s">
        <v>587</v>
      </c>
      <c r="U378" s="630" t="s">
        <v>559</v>
      </c>
      <c r="V378" s="630">
        <v>1</v>
      </c>
      <c r="W378" s="630" t="s">
        <v>560</v>
      </c>
      <c r="X378" s="630" t="s">
        <v>541</v>
      </c>
      <c r="Y378" s="630" t="s">
        <v>541</v>
      </c>
      <c r="Z378" s="630">
        <v>4.6785E-2</v>
      </c>
      <c r="AA378" s="630">
        <v>7.5294E-2</v>
      </c>
      <c r="AB378" s="631">
        <v>0</v>
      </c>
      <c r="AC378" s="631">
        <v>0</v>
      </c>
      <c r="AD378" s="631">
        <f t="shared" si="5"/>
        <v>0</v>
      </c>
    </row>
    <row r="379" spans="2:30" x14ac:dyDescent="0.15">
      <c r="B379" s="630">
        <v>17197008971</v>
      </c>
      <c r="C379" s="630">
        <v>17197007187</v>
      </c>
      <c r="D379" s="630">
        <v>17197007190</v>
      </c>
      <c r="E379" s="630" t="s">
        <v>533</v>
      </c>
      <c r="F379" s="630" t="s">
        <v>534</v>
      </c>
      <c r="G379" s="630" t="s">
        <v>377</v>
      </c>
      <c r="H379" s="630" t="s">
        <v>381</v>
      </c>
      <c r="I379" s="630"/>
      <c r="J379" s="630"/>
      <c r="K379" s="630"/>
      <c r="L379" s="630"/>
      <c r="M379" s="630"/>
      <c r="N379" s="630"/>
      <c r="O379" s="630"/>
      <c r="P379" s="630"/>
      <c r="Q379" s="630"/>
      <c r="R379" s="630"/>
      <c r="S379" s="630"/>
      <c r="T379" s="630"/>
      <c r="U379" s="630" t="s">
        <v>559</v>
      </c>
      <c r="V379" s="630">
        <v>1</v>
      </c>
      <c r="W379" s="630" t="s">
        <v>560</v>
      </c>
      <c r="X379" s="630" t="s">
        <v>541</v>
      </c>
      <c r="Y379" s="630" t="s">
        <v>541</v>
      </c>
      <c r="Z379" s="630">
        <v>6.4431000000000002E-2</v>
      </c>
      <c r="AA379" s="630">
        <v>0.10369200000000001</v>
      </c>
      <c r="AB379" s="631">
        <v>0</v>
      </c>
      <c r="AC379" s="631">
        <v>0</v>
      </c>
      <c r="AD379" s="631">
        <f t="shared" si="5"/>
        <v>0</v>
      </c>
    </row>
    <row r="380" spans="2:30" x14ac:dyDescent="0.15">
      <c r="B380" s="630">
        <v>17097009393</v>
      </c>
      <c r="C380" s="630">
        <v>17097004534</v>
      </c>
      <c r="D380" s="630">
        <v>17097007506</v>
      </c>
      <c r="E380" s="630" t="s">
        <v>533</v>
      </c>
      <c r="F380" s="630" t="s">
        <v>534</v>
      </c>
      <c r="G380" s="630" t="s">
        <v>373</v>
      </c>
      <c r="H380" s="630" t="s">
        <v>552</v>
      </c>
      <c r="I380" s="630"/>
      <c r="J380" s="630" t="s">
        <v>547</v>
      </c>
      <c r="K380" s="630" t="s">
        <v>563</v>
      </c>
      <c r="L380" s="630"/>
      <c r="M380" s="630"/>
      <c r="N380" s="630"/>
      <c r="O380" s="630"/>
      <c r="P380" s="630"/>
      <c r="Q380" s="630"/>
      <c r="R380" s="630"/>
      <c r="S380" s="630" t="s">
        <v>629</v>
      </c>
      <c r="T380" s="630"/>
      <c r="U380" s="630" t="s">
        <v>538</v>
      </c>
      <c r="V380" s="630">
        <v>1</v>
      </c>
      <c r="W380" s="630" t="s">
        <v>582</v>
      </c>
      <c r="X380" s="630" t="s">
        <v>554</v>
      </c>
      <c r="Y380" s="630" t="s">
        <v>540</v>
      </c>
      <c r="Z380" s="630">
        <v>0.30332999999999999</v>
      </c>
      <c r="AA380" s="630">
        <v>0.48816300000000001</v>
      </c>
      <c r="AB380" s="631">
        <v>27578</v>
      </c>
      <c r="AC380" s="631">
        <v>2612533</v>
      </c>
      <c r="AD380" s="631">
        <f t="shared" si="5"/>
        <v>792459.63488999999</v>
      </c>
    </row>
    <row r="381" spans="2:30" x14ac:dyDescent="0.15">
      <c r="B381" s="630">
        <v>17031009682</v>
      </c>
      <c r="C381" s="630">
        <v>17031000675</v>
      </c>
      <c r="D381" s="630">
        <v>17031007765</v>
      </c>
      <c r="E381" s="630" t="s">
        <v>533</v>
      </c>
      <c r="F381" s="630" t="s">
        <v>534</v>
      </c>
      <c r="G381" s="630" t="s">
        <v>365</v>
      </c>
      <c r="H381" s="630" t="s">
        <v>557</v>
      </c>
      <c r="I381" s="630"/>
      <c r="J381" s="630" t="s">
        <v>535</v>
      </c>
      <c r="K381" s="630"/>
      <c r="L381" s="630"/>
      <c r="M381" s="630"/>
      <c r="N381" s="630"/>
      <c r="O381" s="630"/>
      <c r="P381" s="630"/>
      <c r="Q381" s="630"/>
      <c r="R381" s="630"/>
      <c r="S381" s="630"/>
      <c r="T381" s="630"/>
      <c r="U381" s="630" t="s">
        <v>538</v>
      </c>
      <c r="V381" s="630">
        <v>1</v>
      </c>
      <c r="W381" s="630" t="s">
        <v>560</v>
      </c>
      <c r="X381" s="630" t="s">
        <v>541</v>
      </c>
      <c r="Y381" s="630" t="s">
        <v>541</v>
      </c>
      <c r="Z381" s="630">
        <v>5.3323000000000002E-2</v>
      </c>
      <c r="AA381" s="630">
        <v>8.5816000000000003E-2</v>
      </c>
      <c r="AB381" s="631">
        <v>1000</v>
      </c>
      <c r="AC381" s="631">
        <v>83400</v>
      </c>
      <c r="AD381" s="631">
        <f t="shared" si="5"/>
        <v>4447.1382000000003</v>
      </c>
    </row>
    <row r="382" spans="2:30" x14ac:dyDescent="0.15">
      <c r="B382" s="630">
        <v>17031002253</v>
      </c>
      <c r="C382" s="630">
        <v>17031000811</v>
      </c>
      <c r="D382" s="630">
        <v>17031007764</v>
      </c>
      <c r="E382" s="630" t="s">
        <v>533</v>
      </c>
      <c r="F382" s="630" t="s">
        <v>534</v>
      </c>
      <c r="G382" s="630" t="s">
        <v>365</v>
      </c>
      <c r="H382" s="630" t="s">
        <v>557</v>
      </c>
      <c r="I382" s="630"/>
      <c r="J382" s="630" t="s">
        <v>535</v>
      </c>
      <c r="K382" s="630" t="s">
        <v>552</v>
      </c>
      <c r="L382" s="630" t="s">
        <v>543</v>
      </c>
      <c r="M382" s="630" t="s">
        <v>382</v>
      </c>
      <c r="N382" s="630"/>
      <c r="O382" s="630"/>
      <c r="P382" s="630"/>
      <c r="Q382" s="630"/>
      <c r="R382" s="630"/>
      <c r="S382" s="630" t="s">
        <v>570</v>
      </c>
      <c r="T382" s="630"/>
      <c r="U382" s="630" t="s">
        <v>538</v>
      </c>
      <c r="V382" s="630">
        <v>2</v>
      </c>
      <c r="W382" s="630" t="s">
        <v>545</v>
      </c>
      <c r="X382" s="630" t="s">
        <v>580</v>
      </c>
      <c r="Y382" s="630" t="s">
        <v>540</v>
      </c>
      <c r="Z382" s="630">
        <v>2.0407709999999999</v>
      </c>
      <c r="AA382" s="630">
        <v>3.2843100000000001</v>
      </c>
      <c r="AB382" s="631">
        <v>1637135</v>
      </c>
      <c r="AC382" s="631">
        <v>64276946</v>
      </c>
      <c r="AD382" s="631">
        <f t="shared" si="5"/>
        <v>131174527.365366</v>
      </c>
    </row>
    <row r="383" spans="2:30" x14ac:dyDescent="0.15">
      <c r="B383" s="630">
        <v>17197002272</v>
      </c>
      <c r="C383" s="630">
        <v>17197001473</v>
      </c>
      <c r="D383" s="630">
        <v>17197001471</v>
      </c>
      <c r="E383" s="630" t="s">
        <v>533</v>
      </c>
      <c r="F383" s="630" t="s">
        <v>534</v>
      </c>
      <c r="G383" s="630" t="s">
        <v>377</v>
      </c>
      <c r="H383" s="630" t="s">
        <v>535</v>
      </c>
      <c r="I383" s="630"/>
      <c r="J383" s="630"/>
      <c r="K383" s="630"/>
      <c r="L383" s="630"/>
      <c r="M383" s="630"/>
      <c r="N383" s="630"/>
      <c r="O383" s="630"/>
      <c r="P383" s="630"/>
      <c r="Q383" s="630"/>
      <c r="R383" s="630"/>
      <c r="S383" s="630"/>
      <c r="T383" s="630"/>
      <c r="U383" s="630" t="s">
        <v>559</v>
      </c>
      <c r="V383" s="630">
        <v>1</v>
      </c>
      <c r="W383" s="630" t="s">
        <v>560</v>
      </c>
      <c r="X383" s="630" t="s">
        <v>541</v>
      </c>
      <c r="Y383" s="630" t="s">
        <v>541</v>
      </c>
      <c r="Z383" s="630">
        <v>0.56336200000000003</v>
      </c>
      <c r="AA383" s="630">
        <v>0.90664400000000001</v>
      </c>
      <c r="AB383" s="631">
        <v>41040</v>
      </c>
      <c r="AC383" s="631">
        <v>1081040</v>
      </c>
      <c r="AD383" s="631">
        <f t="shared" si="5"/>
        <v>609016.85648000007</v>
      </c>
    </row>
    <row r="384" spans="2:30" x14ac:dyDescent="0.15">
      <c r="B384" s="630">
        <v>17043002315</v>
      </c>
      <c r="C384" s="630">
        <v>17043000921</v>
      </c>
      <c r="D384" s="630">
        <v>17043004888</v>
      </c>
      <c r="E384" s="630" t="s">
        <v>533</v>
      </c>
      <c r="F384" s="630" t="s">
        <v>534</v>
      </c>
      <c r="G384" s="630" t="s">
        <v>367</v>
      </c>
      <c r="H384" s="630" t="s">
        <v>381</v>
      </c>
      <c r="I384" s="630"/>
      <c r="J384" s="630" t="s">
        <v>542</v>
      </c>
      <c r="K384" s="630" t="s">
        <v>547</v>
      </c>
      <c r="L384" s="630" t="s">
        <v>382</v>
      </c>
      <c r="M384" s="630"/>
      <c r="N384" s="630"/>
      <c r="O384" s="630"/>
      <c r="P384" s="630"/>
      <c r="Q384" s="630"/>
      <c r="R384" s="630"/>
      <c r="S384" s="630" t="s">
        <v>579</v>
      </c>
      <c r="T384" s="630"/>
      <c r="U384" s="630" t="s">
        <v>538</v>
      </c>
      <c r="V384" s="630">
        <v>3</v>
      </c>
      <c r="W384" s="630" t="s">
        <v>545</v>
      </c>
      <c r="X384" s="630" t="s">
        <v>580</v>
      </c>
      <c r="Y384" s="630" t="s">
        <v>549</v>
      </c>
      <c r="Z384" s="630">
        <v>4.0735890000000001</v>
      </c>
      <c r="AA384" s="630">
        <v>6.5558199999999998</v>
      </c>
      <c r="AB384" s="631">
        <v>1180642</v>
      </c>
      <c r="AC384" s="631">
        <v>46493460</v>
      </c>
      <c r="AD384" s="631">
        <f t="shared" si="5"/>
        <v>189395247.22793999</v>
      </c>
    </row>
    <row r="385" spans="2:30" x14ac:dyDescent="0.15">
      <c r="B385" s="630">
        <v>17111002545</v>
      </c>
      <c r="C385" s="630">
        <v>17111004829</v>
      </c>
      <c r="D385" s="630">
        <v>17111000032</v>
      </c>
      <c r="E385" s="630" t="s">
        <v>533</v>
      </c>
      <c r="F385" s="630" t="s">
        <v>534</v>
      </c>
      <c r="G385" s="630" t="s">
        <v>375</v>
      </c>
      <c r="H385" s="630" t="s">
        <v>563</v>
      </c>
      <c r="I385" s="630"/>
      <c r="J385" s="630"/>
      <c r="K385" s="630"/>
      <c r="L385" s="630"/>
      <c r="M385" s="630"/>
      <c r="N385" s="630"/>
      <c r="O385" s="630"/>
      <c r="P385" s="630"/>
      <c r="Q385" s="630"/>
      <c r="R385" s="630"/>
      <c r="S385" s="630" t="s">
        <v>629</v>
      </c>
      <c r="T385" s="630"/>
      <c r="U385" s="630" t="s">
        <v>538</v>
      </c>
      <c r="V385" s="630">
        <v>1</v>
      </c>
      <c r="W385" s="630" t="s">
        <v>562</v>
      </c>
      <c r="X385" s="630" t="s">
        <v>554</v>
      </c>
      <c r="Y385" s="630" t="s">
        <v>554</v>
      </c>
      <c r="Z385" s="630">
        <v>1.6306719999999999</v>
      </c>
      <c r="AA385" s="630">
        <v>2.624317</v>
      </c>
      <c r="AB385" s="631">
        <v>27178</v>
      </c>
      <c r="AC385" s="631">
        <v>2575893</v>
      </c>
      <c r="AD385" s="631">
        <f t="shared" si="5"/>
        <v>4200436.5900959997</v>
      </c>
    </row>
    <row r="386" spans="2:30" x14ac:dyDescent="0.15">
      <c r="B386" s="630">
        <v>17111002576</v>
      </c>
      <c r="C386" s="630">
        <v>17111000187</v>
      </c>
      <c r="D386" s="630">
        <v>17111004835</v>
      </c>
      <c r="E386" s="630" t="s">
        <v>533</v>
      </c>
      <c r="F386" s="630" t="s">
        <v>534</v>
      </c>
      <c r="G386" s="630" t="s">
        <v>375</v>
      </c>
      <c r="H386" s="630" t="s">
        <v>382</v>
      </c>
      <c r="I386" s="630"/>
      <c r="J386" s="630" t="s">
        <v>547</v>
      </c>
      <c r="K386" s="630"/>
      <c r="L386" s="630"/>
      <c r="M386" s="630"/>
      <c r="N386" s="630"/>
      <c r="O386" s="630"/>
      <c r="P386" s="630"/>
      <c r="Q386" s="630"/>
      <c r="R386" s="630"/>
      <c r="S386" s="630" t="s">
        <v>608</v>
      </c>
      <c r="T386" s="630"/>
      <c r="U386" s="630" t="s">
        <v>538</v>
      </c>
      <c r="V386" s="630">
        <v>2</v>
      </c>
      <c r="W386" s="630" t="s">
        <v>566</v>
      </c>
      <c r="X386" s="630" t="s">
        <v>549</v>
      </c>
      <c r="Y386" s="630" t="s">
        <v>549</v>
      </c>
      <c r="Z386" s="630">
        <v>3.3840409999999999</v>
      </c>
      <c r="AA386" s="630">
        <v>5.446097</v>
      </c>
      <c r="AB386" s="631">
        <v>9672</v>
      </c>
      <c r="AC386" s="631">
        <v>874093</v>
      </c>
      <c r="AD386" s="631">
        <f t="shared" si="5"/>
        <v>2957966.549813</v>
      </c>
    </row>
    <row r="387" spans="2:30" x14ac:dyDescent="0.15">
      <c r="B387" s="630">
        <v>17197003245</v>
      </c>
      <c r="C387" s="630">
        <v>17999024513</v>
      </c>
      <c r="D387" s="630">
        <v>17197001591</v>
      </c>
      <c r="E387" s="630" t="s">
        <v>533</v>
      </c>
      <c r="F387" s="630" t="s">
        <v>534</v>
      </c>
      <c r="G387" s="630" t="s">
        <v>377</v>
      </c>
      <c r="H387" s="630" t="s">
        <v>551</v>
      </c>
      <c r="I387" s="630"/>
      <c r="J387" s="630" t="s">
        <v>535</v>
      </c>
      <c r="K387" s="630" t="s">
        <v>615</v>
      </c>
      <c r="L387" s="630"/>
      <c r="M387" s="630"/>
      <c r="N387" s="630"/>
      <c r="O387" s="630"/>
      <c r="P387" s="630"/>
      <c r="Q387" s="630"/>
      <c r="R387" s="630"/>
      <c r="S387" s="630" t="s">
        <v>663</v>
      </c>
      <c r="T387" s="630"/>
      <c r="U387" s="630" t="s">
        <v>538</v>
      </c>
      <c r="V387" s="630">
        <v>1</v>
      </c>
      <c r="W387" s="630" t="s">
        <v>562</v>
      </c>
      <c r="X387" s="630" t="s">
        <v>540</v>
      </c>
      <c r="Y387" s="630" t="s">
        <v>540</v>
      </c>
      <c r="Z387" s="630">
        <v>4.4336890000000002</v>
      </c>
      <c r="AA387" s="630">
        <v>7.135345</v>
      </c>
      <c r="AB387" s="631">
        <v>86109</v>
      </c>
      <c r="AC387" s="631">
        <v>8449584</v>
      </c>
      <c r="AD387" s="631">
        <f t="shared" si="5"/>
        <v>37462827.635375999</v>
      </c>
    </row>
    <row r="388" spans="2:30" x14ac:dyDescent="0.15">
      <c r="B388" s="630">
        <v>17031003286</v>
      </c>
      <c r="C388" s="630">
        <v>17031004642</v>
      </c>
      <c r="D388" s="630">
        <v>17031000484</v>
      </c>
      <c r="E388" s="630" t="s">
        <v>533</v>
      </c>
      <c r="F388" s="630" t="s">
        <v>534</v>
      </c>
      <c r="G388" s="630" t="s">
        <v>365</v>
      </c>
      <c r="H388" s="630" t="s">
        <v>552</v>
      </c>
      <c r="I388" s="630"/>
      <c r="J388" s="630" t="s">
        <v>551</v>
      </c>
      <c r="K388" s="630" t="s">
        <v>547</v>
      </c>
      <c r="L388" s="630" t="s">
        <v>382</v>
      </c>
      <c r="M388" s="630" t="s">
        <v>563</v>
      </c>
      <c r="N388" s="630"/>
      <c r="O388" s="630"/>
      <c r="P388" s="630"/>
      <c r="Q388" s="630"/>
      <c r="R388" s="630"/>
      <c r="S388" s="630" t="s">
        <v>589</v>
      </c>
      <c r="T388" s="630"/>
      <c r="U388" s="630" t="s">
        <v>538</v>
      </c>
      <c r="V388" s="630">
        <v>3</v>
      </c>
      <c r="W388" s="630" t="s">
        <v>545</v>
      </c>
      <c r="X388" s="630" t="s">
        <v>549</v>
      </c>
      <c r="Y388" s="630" t="s">
        <v>549</v>
      </c>
      <c r="Z388" s="630">
        <v>0.62507900000000005</v>
      </c>
      <c r="AA388" s="630">
        <v>1.0059689999999999</v>
      </c>
      <c r="AB388" s="631">
        <v>313574</v>
      </c>
      <c r="AC388" s="631">
        <v>20645328</v>
      </c>
      <c r="AD388" s="631">
        <f t="shared" si="5"/>
        <v>12904960.980912002</v>
      </c>
    </row>
    <row r="389" spans="2:30" x14ac:dyDescent="0.15">
      <c r="B389" s="630">
        <v>17031003538</v>
      </c>
      <c r="C389" s="630">
        <v>17031006831</v>
      </c>
      <c r="D389" s="630">
        <v>17031000704</v>
      </c>
      <c r="E389" s="630" t="s">
        <v>533</v>
      </c>
      <c r="F389" s="630" t="s">
        <v>534</v>
      </c>
      <c r="G389" s="630" t="s">
        <v>365</v>
      </c>
      <c r="H389" s="630" t="s">
        <v>382</v>
      </c>
      <c r="I389" s="630"/>
      <c r="J389" s="630"/>
      <c r="K389" s="630"/>
      <c r="L389" s="630"/>
      <c r="M389" s="630"/>
      <c r="N389" s="630"/>
      <c r="O389" s="630"/>
      <c r="P389" s="630"/>
      <c r="Q389" s="630"/>
      <c r="R389" s="630"/>
      <c r="S389" s="630"/>
      <c r="T389" s="630" t="s">
        <v>664</v>
      </c>
      <c r="U389" s="630" t="s">
        <v>559</v>
      </c>
      <c r="V389" s="630">
        <v>1</v>
      </c>
      <c r="W389" s="630" t="s">
        <v>560</v>
      </c>
      <c r="X389" s="630" t="s">
        <v>541</v>
      </c>
      <c r="Y389" s="630" t="s">
        <v>541</v>
      </c>
      <c r="Z389" s="630">
        <v>0.62362099999999998</v>
      </c>
      <c r="AA389" s="630">
        <v>1.003622</v>
      </c>
      <c r="AB389" s="631">
        <v>200</v>
      </c>
      <c r="AC389" s="631">
        <v>13360</v>
      </c>
      <c r="AD389" s="631">
        <f t="shared" si="5"/>
        <v>8331.5765599999995</v>
      </c>
    </row>
    <row r="390" spans="2:30" x14ac:dyDescent="0.15">
      <c r="B390" s="630">
        <v>17031003605</v>
      </c>
      <c r="C390" s="630">
        <v>17031001008</v>
      </c>
      <c r="D390" s="630">
        <v>17031001013</v>
      </c>
      <c r="E390" s="630" t="s">
        <v>533</v>
      </c>
      <c r="F390" s="630" t="s">
        <v>534</v>
      </c>
      <c r="G390" s="630" t="s">
        <v>365</v>
      </c>
      <c r="H390" s="630" t="s">
        <v>571</v>
      </c>
      <c r="I390" s="630"/>
      <c r="J390" s="630" t="s">
        <v>535</v>
      </c>
      <c r="K390" s="630" t="s">
        <v>552</v>
      </c>
      <c r="L390" s="630" t="s">
        <v>572</v>
      </c>
      <c r="M390" s="630" t="s">
        <v>551</v>
      </c>
      <c r="N390" s="630" t="s">
        <v>555</v>
      </c>
      <c r="O390" s="630" t="s">
        <v>543</v>
      </c>
      <c r="P390" s="630" t="s">
        <v>382</v>
      </c>
      <c r="Q390" s="630" t="s">
        <v>381</v>
      </c>
      <c r="R390" s="630"/>
      <c r="S390" s="630" t="s">
        <v>573</v>
      </c>
      <c r="T390" s="630"/>
      <c r="U390" s="630" t="s">
        <v>538</v>
      </c>
      <c r="V390" s="630">
        <v>4</v>
      </c>
      <c r="W390" s="630" t="s">
        <v>545</v>
      </c>
      <c r="X390" s="630" t="s">
        <v>575</v>
      </c>
      <c r="Y390" s="630" t="s">
        <v>554</v>
      </c>
      <c r="Z390" s="630">
        <v>0.157217</v>
      </c>
      <c r="AA390" s="630">
        <v>0.25301699999999999</v>
      </c>
      <c r="AB390" s="631">
        <v>371285</v>
      </c>
      <c r="AC390" s="631">
        <v>16601511</v>
      </c>
      <c r="AD390" s="631">
        <f t="shared" ref="AD390:AD453" si="6">AC390*Z390</f>
        <v>2610039.7548869997</v>
      </c>
    </row>
    <row r="391" spans="2:30" x14ac:dyDescent="0.15">
      <c r="B391" s="630">
        <v>17031003854</v>
      </c>
      <c r="C391" s="630">
        <v>17031001320</v>
      </c>
      <c r="D391" s="630">
        <v>99999022337</v>
      </c>
      <c r="E391" s="630" t="s">
        <v>533</v>
      </c>
      <c r="F391" s="630" t="s">
        <v>534</v>
      </c>
      <c r="G391" s="630" t="s">
        <v>365</v>
      </c>
      <c r="H391" s="630" t="s">
        <v>557</v>
      </c>
      <c r="I391" s="630"/>
      <c r="J391" s="630"/>
      <c r="K391" s="630"/>
      <c r="L391" s="630"/>
      <c r="M391" s="630"/>
      <c r="N391" s="630"/>
      <c r="O391" s="630"/>
      <c r="P391" s="630"/>
      <c r="Q391" s="630"/>
      <c r="R391" s="630"/>
      <c r="S391" s="630" t="s">
        <v>665</v>
      </c>
      <c r="T391" s="630"/>
      <c r="U391" s="630" t="s">
        <v>559</v>
      </c>
      <c r="V391" s="630">
        <v>1</v>
      </c>
      <c r="W391" s="630" t="s">
        <v>560</v>
      </c>
      <c r="X391" s="630" t="s">
        <v>541</v>
      </c>
      <c r="Y391" s="630" t="s">
        <v>541</v>
      </c>
      <c r="Z391" s="630">
        <v>2.1834060000000002</v>
      </c>
      <c r="AA391" s="630">
        <v>3.5138579999999999</v>
      </c>
      <c r="AB391" s="631">
        <v>284</v>
      </c>
      <c r="AC391" s="631">
        <v>28772</v>
      </c>
      <c r="AD391" s="631">
        <f t="shared" si="6"/>
        <v>62820.957432000003</v>
      </c>
    </row>
    <row r="392" spans="2:30" x14ac:dyDescent="0.15">
      <c r="B392" s="630">
        <v>17031004016</v>
      </c>
      <c r="C392" s="630">
        <v>17031000909</v>
      </c>
      <c r="D392" s="630">
        <v>17031000908</v>
      </c>
      <c r="E392" s="630" t="s">
        <v>533</v>
      </c>
      <c r="F392" s="630" t="s">
        <v>534</v>
      </c>
      <c r="G392" s="630" t="s">
        <v>365</v>
      </c>
      <c r="H392" s="630" t="s">
        <v>557</v>
      </c>
      <c r="I392" s="630"/>
      <c r="J392" s="630"/>
      <c r="K392" s="630"/>
      <c r="L392" s="630"/>
      <c r="M392" s="630"/>
      <c r="N392" s="630"/>
      <c r="O392" s="630"/>
      <c r="P392" s="630"/>
      <c r="Q392" s="630"/>
      <c r="R392" s="630"/>
      <c r="S392" s="630" t="s">
        <v>666</v>
      </c>
      <c r="T392" s="630"/>
      <c r="U392" s="630" t="s">
        <v>559</v>
      </c>
      <c r="V392" s="630">
        <v>1</v>
      </c>
      <c r="W392" s="630" t="s">
        <v>560</v>
      </c>
      <c r="X392" s="630" t="s">
        <v>541</v>
      </c>
      <c r="Y392" s="630" t="s">
        <v>541</v>
      </c>
      <c r="Z392" s="630">
        <v>1.456353</v>
      </c>
      <c r="AA392" s="630">
        <v>2.3437779999999999</v>
      </c>
      <c r="AB392" s="631">
        <v>0</v>
      </c>
      <c r="AC392" s="631">
        <v>0</v>
      </c>
      <c r="AD392" s="631">
        <f t="shared" si="6"/>
        <v>0</v>
      </c>
    </row>
    <row r="393" spans="2:30" x14ac:dyDescent="0.15">
      <c r="B393" s="630">
        <v>17031004072</v>
      </c>
      <c r="C393" s="630">
        <v>17031000619</v>
      </c>
      <c r="D393" s="630">
        <v>17031000617</v>
      </c>
      <c r="E393" s="630" t="s">
        <v>533</v>
      </c>
      <c r="F393" s="630" t="s">
        <v>534</v>
      </c>
      <c r="G393" s="630" t="s">
        <v>365</v>
      </c>
      <c r="H393" s="630" t="s">
        <v>551</v>
      </c>
      <c r="I393" s="630"/>
      <c r="J393" s="630" t="s">
        <v>535</v>
      </c>
      <c r="K393" s="630"/>
      <c r="L393" s="630"/>
      <c r="M393" s="630"/>
      <c r="N393" s="630"/>
      <c r="O393" s="630"/>
      <c r="P393" s="630"/>
      <c r="Q393" s="630"/>
      <c r="R393" s="630"/>
      <c r="S393" s="630" t="s">
        <v>667</v>
      </c>
      <c r="T393" s="630"/>
      <c r="U393" s="630" t="s">
        <v>538</v>
      </c>
      <c r="V393" s="630">
        <v>2</v>
      </c>
      <c r="W393" s="630" t="s">
        <v>582</v>
      </c>
      <c r="X393" s="630" t="s">
        <v>541</v>
      </c>
      <c r="Y393" s="630" t="s">
        <v>541</v>
      </c>
      <c r="Z393" s="630">
        <v>0.50689899999999999</v>
      </c>
      <c r="AA393" s="630">
        <v>0.81577599999999995</v>
      </c>
      <c r="AB393" s="631">
        <v>0</v>
      </c>
      <c r="AC393" s="631">
        <v>0</v>
      </c>
      <c r="AD393" s="631">
        <f t="shared" si="6"/>
        <v>0</v>
      </c>
    </row>
    <row r="394" spans="2:30" x14ac:dyDescent="0.15">
      <c r="B394" s="630">
        <v>17031004201</v>
      </c>
      <c r="C394" s="630">
        <v>17031000346</v>
      </c>
      <c r="D394" s="630">
        <v>17031000348</v>
      </c>
      <c r="E394" s="630" t="s">
        <v>533</v>
      </c>
      <c r="F394" s="630" t="s">
        <v>534</v>
      </c>
      <c r="G394" s="630" t="s">
        <v>365</v>
      </c>
      <c r="H394" s="630" t="s">
        <v>590</v>
      </c>
      <c r="I394" s="630"/>
      <c r="J394" s="630"/>
      <c r="K394" s="630"/>
      <c r="L394" s="630"/>
      <c r="M394" s="630"/>
      <c r="N394" s="630"/>
      <c r="O394" s="630"/>
      <c r="P394" s="630"/>
      <c r="Q394" s="630"/>
      <c r="R394" s="630"/>
      <c r="S394" s="630"/>
      <c r="T394" s="630"/>
      <c r="U394" s="630" t="s">
        <v>559</v>
      </c>
      <c r="V394" s="630">
        <v>1</v>
      </c>
      <c r="W394" s="630" t="s">
        <v>560</v>
      </c>
      <c r="X394" s="630" t="s">
        <v>541</v>
      </c>
      <c r="Y394" s="630" t="s">
        <v>541</v>
      </c>
      <c r="Z394" s="630">
        <v>0.79060900000000001</v>
      </c>
      <c r="AA394" s="630">
        <v>1.272365</v>
      </c>
      <c r="AB394" s="631">
        <v>0</v>
      </c>
      <c r="AC394" s="631">
        <v>0</v>
      </c>
      <c r="AD394" s="631">
        <f t="shared" si="6"/>
        <v>0</v>
      </c>
    </row>
    <row r="395" spans="2:30" x14ac:dyDescent="0.15">
      <c r="B395" s="630">
        <v>17031004203</v>
      </c>
      <c r="C395" s="630">
        <v>17031007556</v>
      </c>
      <c r="D395" s="630">
        <v>17031000356</v>
      </c>
      <c r="E395" s="630" t="s">
        <v>533</v>
      </c>
      <c r="F395" s="630" t="s">
        <v>534</v>
      </c>
      <c r="G395" s="630" t="s">
        <v>365</v>
      </c>
      <c r="H395" s="630" t="s">
        <v>590</v>
      </c>
      <c r="I395" s="630"/>
      <c r="J395" s="630"/>
      <c r="K395" s="630"/>
      <c r="L395" s="630"/>
      <c r="M395" s="630"/>
      <c r="N395" s="630"/>
      <c r="O395" s="630"/>
      <c r="P395" s="630"/>
      <c r="Q395" s="630"/>
      <c r="R395" s="630"/>
      <c r="S395" s="630"/>
      <c r="T395" s="630"/>
      <c r="U395" s="630" t="s">
        <v>559</v>
      </c>
      <c r="V395" s="630">
        <v>1</v>
      </c>
      <c r="W395" s="630" t="s">
        <v>560</v>
      </c>
      <c r="X395" s="630" t="s">
        <v>541</v>
      </c>
      <c r="Y395" s="630" t="s">
        <v>541</v>
      </c>
      <c r="Z395" s="630">
        <v>0.90288900000000005</v>
      </c>
      <c r="AA395" s="630">
        <v>1.4530620000000001</v>
      </c>
      <c r="AB395" s="631">
        <v>0</v>
      </c>
      <c r="AC395" s="631">
        <v>0</v>
      </c>
      <c r="AD395" s="631">
        <f t="shared" si="6"/>
        <v>0</v>
      </c>
    </row>
    <row r="396" spans="2:30" x14ac:dyDescent="0.15">
      <c r="B396" s="630">
        <v>17031004249</v>
      </c>
      <c r="C396" s="630">
        <v>17031001574</v>
      </c>
      <c r="D396" s="630">
        <v>17031001583</v>
      </c>
      <c r="E396" s="630" t="s">
        <v>533</v>
      </c>
      <c r="F396" s="630" t="s">
        <v>534</v>
      </c>
      <c r="G396" s="630" t="s">
        <v>365</v>
      </c>
      <c r="H396" s="630" t="s">
        <v>382</v>
      </c>
      <c r="I396" s="630"/>
      <c r="J396" s="630"/>
      <c r="K396" s="630"/>
      <c r="L396" s="630"/>
      <c r="M396" s="630"/>
      <c r="N396" s="630"/>
      <c r="O396" s="630"/>
      <c r="P396" s="630"/>
      <c r="Q396" s="630"/>
      <c r="R396" s="630"/>
      <c r="S396" s="630" t="s">
        <v>576</v>
      </c>
      <c r="T396" s="630"/>
      <c r="U396" s="630" t="s">
        <v>559</v>
      </c>
      <c r="V396" s="630">
        <v>1</v>
      </c>
      <c r="W396" s="630" t="s">
        <v>560</v>
      </c>
      <c r="X396" s="630" t="s">
        <v>541</v>
      </c>
      <c r="Y396" s="630" t="s">
        <v>541</v>
      </c>
      <c r="Z396" s="630">
        <v>0.10358299999999999</v>
      </c>
      <c r="AA396" s="630">
        <v>0.16670099999999999</v>
      </c>
      <c r="AB396" s="631">
        <v>0</v>
      </c>
      <c r="AC396" s="631">
        <v>0</v>
      </c>
      <c r="AD396" s="631">
        <f t="shared" si="6"/>
        <v>0</v>
      </c>
    </row>
    <row r="397" spans="2:30" x14ac:dyDescent="0.15">
      <c r="B397" s="630">
        <v>17031005661</v>
      </c>
      <c r="C397" s="630">
        <v>17031000587</v>
      </c>
      <c r="D397" s="630">
        <v>17031000583</v>
      </c>
      <c r="E397" s="630" t="s">
        <v>533</v>
      </c>
      <c r="F397" s="630" t="s">
        <v>534</v>
      </c>
      <c r="G397" s="630" t="s">
        <v>365</v>
      </c>
      <c r="H397" s="630" t="s">
        <v>382</v>
      </c>
      <c r="I397" s="630"/>
      <c r="J397" s="630" t="s">
        <v>547</v>
      </c>
      <c r="K397" s="630"/>
      <c r="L397" s="630"/>
      <c r="M397" s="630"/>
      <c r="N397" s="630"/>
      <c r="O397" s="630"/>
      <c r="P397" s="630"/>
      <c r="Q397" s="630"/>
      <c r="R397" s="630"/>
      <c r="S397" s="630" t="s">
        <v>583</v>
      </c>
      <c r="T397" s="630"/>
      <c r="U397" s="630" t="s">
        <v>538</v>
      </c>
      <c r="V397" s="630">
        <v>4</v>
      </c>
      <c r="W397" s="630" t="s">
        <v>545</v>
      </c>
      <c r="X397" s="630" t="s">
        <v>541</v>
      </c>
      <c r="Y397" s="630" t="s">
        <v>541</v>
      </c>
      <c r="Z397" s="630">
        <v>0.26130500000000001</v>
      </c>
      <c r="AA397" s="630">
        <v>0.42053000000000001</v>
      </c>
      <c r="AB397" s="631">
        <v>0</v>
      </c>
      <c r="AC397" s="631">
        <v>0</v>
      </c>
      <c r="AD397" s="631">
        <f t="shared" si="6"/>
        <v>0</v>
      </c>
    </row>
    <row r="398" spans="2:30" x14ac:dyDescent="0.15">
      <c r="B398" s="630">
        <v>17031006185</v>
      </c>
      <c r="C398" s="630">
        <v>17031000752</v>
      </c>
      <c r="D398" s="630">
        <v>17031000744</v>
      </c>
      <c r="E398" s="630" t="s">
        <v>533</v>
      </c>
      <c r="F398" s="630" t="s">
        <v>534</v>
      </c>
      <c r="G398" s="630" t="s">
        <v>365</v>
      </c>
      <c r="H398" s="630" t="s">
        <v>644</v>
      </c>
      <c r="I398" s="630"/>
      <c r="J398" s="630" t="s">
        <v>535</v>
      </c>
      <c r="K398" s="630"/>
      <c r="L398" s="630"/>
      <c r="M398" s="630"/>
      <c r="N398" s="630"/>
      <c r="O398" s="630"/>
      <c r="P398" s="630"/>
      <c r="Q398" s="630"/>
      <c r="R398" s="630"/>
      <c r="S398" s="630"/>
      <c r="T398" s="630"/>
      <c r="U398" s="630" t="s">
        <v>559</v>
      </c>
      <c r="V398" s="630">
        <v>1</v>
      </c>
      <c r="W398" s="630" t="s">
        <v>560</v>
      </c>
      <c r="X398" s="630" t="s">
        <v>541</v>
      </c>
      <c r="Y398" s="630" t="s">
        <v>541</v>
      </c>
      <c r="Z398" s="630">
        <v>0.16115499999999999</v>
      </c>
      <c r="AA398" s="630">
        <v>0.25935399999999997</v>
      </c>
      <c r="AB398" s="631">
        <v>0</v>
      </c>
      <c r="AC398" s="631">
        <v>0</v>
      </c>
      <c r="AD398" s="631">
        <f t="shared" si="6"/>
        <v>0</v>
      </c>
    </row>
    <row r="399" spans="2:30" x14ac:dyDescent="0.15">
      <c r="B399" s="630">
        <v>17031006371</v>
      </c>
      <c r="C399" s="630">
        <v>17031000721</v>
      </c>
      <c r="D399" s="630">
        <v>17031000745</v>
      </c>
      <c r="E399" s="630" t="s">
        <v>533</v>
      </c>
      <c r="F399" s="630" t="s">
        <v>534</v>
      </c>
      <c r="G399" s="630" t="s">
        <v>365</v>
      </c>
      <c r="H399" s="630" t="s">
        <v>571</v>
      </c>
      <c r="I399" s="630"/>
      <c r="J399" s="630" t="s">
        <v>381</v>
      </c>
      <c r="K399" s="630" t="s">
        <v>535</v>
      </c>
      <c r="L399" s="630" t="s">
        <v>552</v>
      </c>
      <c r="M399" s="630" t="s">
        <v>551</v>
      </c>
      <c r="N399" s="630" t="s">
        <v>563</v>
      </c>
      <c r="O399" s="630" t="s">
        <v>543</v>
      </c>
      <c r="P399" s="630"/>
      <c r="Q399" s="630"/>
      <c r="R399" s="630"/>
      <c r="S399" s="630" t="s">
        <v>573</v>
      </c>
      <c r="T399" s="630"/>
      <c r="U399" s="630" t="s">
        <v>538</v>
      </c>
      <c r="V399" s="630">
        <v>2</v>
      </c>
      <c r="W399" s="630" t="s">
        <v>545</v>
      </c>
      <c r="X399" s="630" t="s">
        <v>580</v>
      </c>
      <c r="Y399" s="630" t="s">
        <v>554</v>
      </c>
      <c r="Z399" s="630">
        <v>3.0428E-2</v>
      </c>
      <c r="AA399" s="630">
        <v>4.8968999999999999E-2</v>
      </c>
      <c r="AB399" s="631">
        <v>997701</v>
      </c>
      <c r="AC399" s="631">
        <v>41624226</v>
      </c>
      <c r="AD399" s="631">
        <f t="shared" si="6"/>
        <v>1266541.948728</v>
      </c>
    </row>
    <row r="400" spans="2:30" x14ac:dyDescent="0.15">
      <c r="B400" s="630">
        <v>17043008193</v>
      </c>
      <c r="C400" s="630">
        <v>17043004781</v>
      </c>
      <c r="D400" s="630">
        <v>17043006561</v>
      </c>
      <c r="E400" s="630" t="s">
        <v>533</v>
      </c>
      <c r="F400" s="630" t="s">
        <v>534</v>
      </c>
      <c r="G400" s="630" t="s">
        <v>367</v>
      </c>
      <c r="H400" s="630" t="s">
        <v>382</v>
      </c>
      <c r="I400" s="630"/>
      <c r="J400" s="630"/>
      <c r="K400" s="630"/>
      <c r="L400" s="630"/>
      <c r="M400" s="630"/>
      <c r="N400" s="630"/>
      <c r="O400" s="630"/>
      <c r="P400" s="630"/>
      <c r="Q400" s="630"/>
      <c r="R400" s="630"/>
      <c r="S400" s="630"/>
      <c r="T400" s="630"/>
      <c r="U400" s="630" t="s">
        <v>559</v>
      </c>
      <c r="V400" s="630">
        <v>1</v>
      </c>
      <c r="W400" s="630" t="s">
        <v>560</v>
      </c>
      <c r="X400" s="630" t="s">
        <v>541</v>
      </c>
      <c r="Y400" s="630" t="s">
        <v>541</v>
      </c>
      <c r="Z400" s="630">
        <v>8.5347000000000006E-2</v>
      </c>
      <c r="AA400" s="630">
        <v>0.137353</v>
      </c>
      <c r="AB400" s="631">
        <v>0</v>
      </c>
      <c r="AC400" s="631">
        <v>0</v>
      </c>
      <c r="AD400" s="631">
        <f t="shared" si="6"/>
        <v>0</v>
      </c>
    </row>
    <row r="401" spans="2:30" x14ac:dyDescent="0.15">
      <c r="B401" s="630">
        <v>17031009518</v>
      </c>
      <c r="C401" s="630">
        <v>17031007616</v>
      </c>
      <c r="D401" s="630">
        <v>17031001574</v>
      </c>
      <c r="E401" s="630" t="s">
        <v>533</v>
      </c>
      <c r="F401" s="630" t="s">
        <v>534</v>
      </c>
      <c r="G401" s="630" t="s">
        <v>365</v>
      </c>
      <c r="H401" s="630" t="s">
        <v>382</v>
      </c>
      <c r="I401" s="630"/>
      <c r="J401" s="630"/>
      <c r="K401" s="630"/>
      <c r="L401" s="630"/>
      <c r="M401" s="630"/>
      <c r="N401" s="630"/>
      <c r="O401" s="630"/>
      <c r="P401" s="630"/>
      <c r="Q401" s="630"/>
      <c r="R401" s="630"/>
      <c r="S401" s="630" t="s">
        <v>576</v>
      </c>
      <c r="T401" s="630"/>
      <c r="U401" s="630" t="s">
        <v>559</v>
      </c>
      <c r="V401" s="630">
        <v>1</v>
      </c>
      <c r="W401" s="630" t="s">
        <v>560</v>
      </c>
      <c r="X401" s="630" t="s">
        <v>541</v>
      </c>
      <c r="Y401" s="630" t="s">
        <v>541</v>
      </c>
      <c r="Z401" s="630">
        <v>0.18687699999999999</v>
      </c>
      <c r="AA401" s="630">
        <v>0.30075000000000002</v>
      </c>
      <c r="AB401" s="631">
        <v>0</v>
      </c>
      <c r="AC401" s="631">
        <v>0</v>
      </c>
      <c r="AD401" s="631">
        <f t="shared" si="6"/>
        <v>0</v>
      </c>
    </row>
    <row r="402" spans="2:30" x14ac:dyDescent="0.15">
      <c r="B402" s="630">
        <v>17031009681</v>
      </c>
      <c r="C402" s="630">
        <v>17031007764</v>
      </c>
      <c r="D402" s="630">
        <v>17031000643</v>
      </c>
      <c r="E402" s="630" t="s">
        <v>533</v>
      </c>
      <c r="F402" s="630" t="s">
        <v>534</v>
      </c>
      <c r="G402" s="630" t="s">
        <v>365</v>
      </c>
      <c r="H402" s="630" t="s">
        <v>557</v>
      </c>
      <c r="I402" s="630"/>
      <c r="J402" s="630" t="s">
        <v>535</v>
      </c>
      <c r="K402" s="630" t="s">
        <v>552</v>
      </c>
      <c r="L402" s="630" t="s">
        <v>543</v>
      </c>
      <c r="M402" s="630" t="s">
        <v>382</v>
      </c>
      <c r="N402" s="630"/>
      <c r="O402" s="630"/>
      <c r="P402" s="630"/>
      <c r="Q402" s="630"/>
      <c r="R402" s="630"/>
      <c r="S402" s="630" t="s">
        <v>570</v>
      </c>
      <c r="T402" s="630"/>
      <c r="U402" s="630" t="s">
        <v>538</v>
      </c>
      <c r="V402" s="630">
        <v>2</v>
      </c>
      <c r="W402" s="630" t="s">
        <v>545</v>
      </c>
      <c r="X402" s="630" t="s">
        <v>580</v>
      </c>
      <c r="Y402" s="630" t="s">
        <v>540</v>
      </c>
      <c r="Z402" s="630">
        <v>0.91985099999999997</v>
      </c>
      <c r="AA402" s="630">
        <v>1.4803599999999999</v>
      </c>
      <c r="AB402" s="631">
        <v>1637135</v>
      </c>
      <c r="AC402" s="631">
        <v>64276946</v>
      </c>
      <c r="AD402" s="631">
        <f t="shared" si="6"/>
        <v>59125213.055046</v>
      </c>
    </row>
    <row r="403" spans="2:30" x14ac:dyDescent="0.15">
      <c r="B403" s="630">
        <v>17031009837</v>
      </c>
      <c r="C403" s="630">
        <v>17031001564</v>
      </c>
      <c r="D403" s="630">
        <v>17031007902</v>
      </c>
      <c r="E403" s="630" t="s">
        <v>533</v>
      </c>
      <c r="F403" s="630" t="s">
        <v>534</v>
      </c>
      <c r="G403" s="630" t="s">
        <v>365</v>
      </c>
      <c r="H403" s="630" t="s">
        <v>535</v>
      </c>
      <c r="I403" s="630"/>
      <c r="J403" s="630" t="s">
        <v>382</v>
      </c>
      <c r="K403" s="630" t="s">
        <v>536</v>
      </c>
      <c r="L403" s="630"/>
      <c r="M403" s="630"/>
      <c r="N403" s="630"/>
      <c r="O403" s="630"/>
      <c r="P403" s="630"/>
      <c r="Q403" s="630"/>
      <c r="R403" s="630"/>
      <c r="S403" s="630" t="s">
        <v>537</v>
      </c>
      <c r="T403" s="630"/>
      <c r="U403" s="630" t="s">
        <v>538</v>
      </c>
      <c r="V403" s="630">
        <v>2</v>
      </c>
      <c r="W403" s="630" t="s">
        <v>582</v>
      </c>
      <c r="X403" s="630" t="s">
        <v>540</v>
      </c>
      <c r="Y403" s="630" t="s">
        <v>549</v>
      </c>
      <c r="Z403" s="630">
        <v>1.7413000000000001E-2</v>
      </c>
      <c r="AA403" s="630">
        <v>2.8024E-2</v>
      </c>
      <c r="AB403" s="631">
        <v>13392</v>
      </c>
      <c r="AC403" s="631">
        <v>1051945</v>
      </c>
      <c r="AD403" s="631">
        <f t="shared" si="6"/>
        <v>18317.518285000002</v>
      </c>
    </row>
    <row r="404" spans="2:30" x14ac:dyDescent="0.15">
      <c r="B404" s="630">
        <v>17097001927</v>
      </c>
      <c r="C404" s="630">
        <v>17097004542</v>
      </c>
      <c r="D404" s="630">
        <v>17097004528</v>
      </c>
      <c r="E404" s="630" t="s">
        <v>533</v>
      </c>
      <c r="F404" s="630" t="s">
        <v>534</v>
      </c>
      <c r="G404" s="630" t="s">
        <v>373</v>
      </c>
      <c r="H404" s="630" t="s">
        <v>382</v>
      </c>
      <c r="I404" s="630"/>
      <c r="J404" s="630"/>
      <c r="K404" s="630"/>
      <c r="L404" s="630"/>
      <c r="M404" s="630"/>
      <c r="N404" s="630"/>
      <c r="O404" s="630"/>
      <c r="P404" s="630"/>
      <c r="Q404" s="630"/>
      <c r="R404" s="630"/>
      <c r="S404" s="630" t="s">
        <v>586</v>
      </c>
      <c r="T404" s="630"/>
      <c r="U404" s="630" t="s">
        <v>538</v>
      </c>
      <c r="V404" s="630">
        <v>1</v>
      </c>
      <c r="W404" s="630" t="s">
        <v>582</v>
      </c>
      <c r="X404" s="630" t="s">
        <v>549</v>
      </c>
      <c r="Y404" s="630" t="s">
        <v>549</v>
      </c>
      <c r="Z404" s="630">
        <v>0.73044900000000001</v>
      </c>
      <c r="AA404" s="630">
        <v>1.175546</v>
      </c>
      <c r="AB404" s="631">
        <v>87849</v>
      </c>
      <c r="AC404" s="631">
        <v>9730215</v>
      </c>
      <c r="AD404" s="631">
        <f t="shared" si="6"/>
        <v>7107425.8165349998</v>
      </c>
    </row>
    <row r="405" spans="2:30" x14ac:dyDescent="0.15">
      <c r="B405" s="630">
        <v>17097002156</v>
      </c>
      <c r="C405" s="630">
        <v>17097004571</v>
      </c>
      <c r="D405" s="630">
        <v>17097004570</v>
      </c>
      <c r="E405" s="630" t="s">
        <v>533</v>
      </c>
      <c r="F405" s="630" t="s">
        <v>534</v>
      </c>
      <c r="G405" s="630" t="s">
        <v>373</v>
      </c>
      <c r="H405" s="630" t="s">
        <v>382</v>
      </c>
      <c r="I405" s="630"/>
      <c r="J405" s="630" t="s">
        <v>547</v>
      </c>
      <c r="K405" s="630"/>
      <c r="L405" s="630"/>
      <c r="M405" s="630"/>
      <c r="N405" s="630"/>
      <c r="O405" s="630"/>
      <c r="P405" s="630"/>
      <c r="Q405" s="630"/>
      <c r="R405" s="630"/>
      <c r="S405" s="630" t="s">
        <v>565</v>
      </c>
      <c r="T405" s="630"/>
      <c r="U405" s="630" t="s">
        <v>538</v>
      </c>
      <c r="V405" s="630">
        <v>2</v>
      </c>
      <c r="W405" s="630" t="s">
        <v>566</v>
      </c>
      <c r="X405" s="630" t="s">
        <v>541</v>
      </c>
      <c r="Y405" s="630" t="s">
        <v>549</v>
      </c>
      <c r="Z405" s="630">
        <v>1.4639629999999999</v>
      </c>
      <c r="AA405" s="630">
        <v>2.3560249999999998</v>
      </c>
      <c r="AB405" s="631">
        <v>0</v>
      </c>
      <c r="AC405" s="631">
        <v>0</v>
      </c>
      <c r="AD405" s="631">
        <f t="shared" si="6"/>
        <v>0</v>
      </c>
    </row>
    <row r="406" spans="2:30" x14ac:dyDescent="0.15">
      <c r="B406" s="630">
        <v>17031002208</v>
      </c>
      <c r="C406" s="630">
        <v>17031004601</v>
      </c>
      <c r="D406" s="630">
        <v>17031004600</v>
      </c>
      <c r="E406" s="630" t="s">
        <v>533</v>
      </c>
      <c r="F406" s="630" t="s">
        <v>534</v>
      </c>
      <c r="G406" s="630" t="s">
        <v>365</v>
      </c>
      <c r="H406" s="630" t="s">
        <v>382</v>
      </c>
      <c r="I406" s="630"/>
      <c r="J406" s="630" t="s">
        <v>535</v>
      </c>
      <c r="K406" s="630" t="s">
        <v>547</v>
      </c>
      <c r="L406" s="630"/>
      <c r="M406" s="630"/>
      <c r="N406" s="630"/>
      <c r="O406" s="630"/>
      <c r="P406" s="630"/>
      <c r="Q406" s="630"/>
      <c r="R406" s="630"/>
      <c r="S406" s="630" t="s">
        <v>608</v>
      </c>
      <c r="T406" s="630"/>
      <c r="U406" s="630" t="s">
        <v>538</v>
      </c>
      <c r="V406" s="630">
        <v>3</v>
      </c>
      <c r="W406" s="630" t="s">
        <v>566</v>
      </c>
      <c r="X406" s="630" t="s">
        <v>549</v>
      </c>
      <c r="Y406" s="630" t="s">
        <v>549</v>
      </c>
      <c r="Z406" s="630">
        <v>1.4864710000000001</v>
      </c>
      <c r="AA406" s="630">
        <v>2.3922490000000001</v>
      </c>
      <c r="AB406" s="631">
        <v>8866</v>
      </c>
      <c r="AC406" s="631">
        <v>836957</v>
      </c>
      <c r="AD406" s="631">
        <f t="shared" si="6"/>
        <v>1244112.3087470001</v>
      </c>
    </row>
    <row r="407" spans="2:30" x14ac:dyDescent="0.15">
      <c r="B407" s="630">
        <v>17031002251</v>
      </c>
      <c r="C407" s="630">
        <v>17031000577</v>
      </c>
      <c r="D407" s="630">
        <v>17031004652</v>
      </c>
      <c r="E407" s="630" t="s">
        <v>533</v>
      </c>
      <c r="F407" s="630" t="s">
        <v>534</v>
      </c>
      <c r="G407" s="630" t="s">
        <v>365</v>
      </c>
      <c r="H407" s="630" t="s">
        <v>382</v>
      </c>
      <c r="I407" s="630"/>
      <c r="J407" s="630" t="s">
        <v>572</v>
      </c>
      <c r="K407" s="630" t="s">
        <v>547</v>
      </c>
      <c r="L407" s="630"/>
      <c r="M407" s="630"/>
      <c r="N407" s="630"/>
      <c r="O407" s="630"/>
      <c r="P407" s="630"/>
      <c r="Q407" s="630"/>
      <c r="R407" s="630"/>
      <c r="S407" s="630" t="s">
        <v>583</v>
      </c>
      <c r="T407" s="630"/>
      <c r="U407" s="630" t="s">
        <v>538</v>
      </c>
      <c r="V407" s="630">
        <v>3</v>
      </c>
      <c r="W407" s="630" t="s">
        <v>545</v>
      </c>
      <c r="X407" s="630" t="s">
        <v>580</v>
      </c>
      <c r="Y407" s="630" t="s">
        <v>549</v>
      </c>
      <c r="Z407" s="630">
        <v>0.40878399999999998</v>
      </c>
      <c r="AA407" s="630">
        <v>0.65787600000000002</v>
      </c>
      <c r="AB407" s="631">
        <v>858401</v>
      </c>
      <c r="AC407" s="631">
        <v>28501686</v>
      </c>
      <c r="AD407" s="631">
        <f t="shared" si="6"/>
        <v>11651033.209824</v>
      </c>
    </row>
    <row r="408" spans="2:30" x14ac:dyDescent="0.15">
      <c r="B408" s="630">
        <v>17097002284</v>
      </c>
      <c r="C408" s="630">
        <v>17097007479</v>
      </c>
      <c r="D408" s="630">
        <v>17097007487</v>
      </c>
      <c r="E408" s="630" t="s">
        <v>533</v>
      </c>
      <c r="F408" s="630" t="s">
        <v>534</v>
      </c>
      <c r="G408" s="630" t="s">
        <v>373</v>
      </c>
      <c r="H408" s="630" t="s">
        <v>382</v>
      </c>
      <c r="I408" s="630"/>
      <c r="J408" s="630" t="s">
        <v>535</v>
      </c>
      <c r="K408" s="630" t="s">
        <v>547</v>
      </c>
      <c r="L408" s="630"/>
      <c r="M408" s="630"/>
      <c r="N408" s="630"/>
      <c r="O408" s="630"/>
      <c r="P408" s="630"/>
      <c r="Q408" s="630"/>
      <c r="R408" s="630"/>
      <c r="S408" s="630" t="s">
        <v>565</v>
      </c>
      <c r="T408" s="630"/>
      <c r="U408" s="630" t="s">
        <v>538</v>
      </c>
      <c r="V408" s="630">
        <v>2</v>
      </c>
      <c r="W408" s="630" t="s">
        <v>566</v>
      </c>
      <c r="X408" s="630" t="s">
        <v>549</v>
      </c>
      <c r="Y408" s="630" t="s">
        <v>549</v>
      </c>
      <c r="Z408" s="630">
        <v>1.5163660000000001</v>
      </c>
      <c r="AA408" s="630">
        <v>2.4403600000000001</v>
      </c>
      <c r="AB408" s="631">
        <v>11334</v>
      </c>
      <c r="AC408" s="631">
        <v>1200930</v>
      </c>
      <c r="AD408" s="631">
        <f t="shared" si="6"/>
        <v>1821049.42038</v>
      </c>
    </row>
    <row r="409" spans="2:30" x14ac:dyDescent="0.15">
      <c r="B409" s="630">
        <v>17031002368</v>
      </c>
      <c r="C409" s="630">
        <v>17031007611</v>
      </c>
      <c r="D409" s="630">
        <v>17999024193</v>
      </c>
      <c r="E409" s="630" t="s">
        <v>533</v>
      </c>
      <c r="F409" s="630" t="s">
        <v>534</v>
      </c>
      <c r="G409" s="630" t="s">
        <v>365</v>
      </c>
      <c r="H409" s="630" t="s">
        <v>535</v>
      </c>
      <c r="I409" s="630"/>
      <c r="J409" s="630" t="s">
        <v>382</v>
      </c>
      <c r="K409" s="630" t="s">
        <v>536</v>
      </c>
      <c r="L409" s="630"/>
      <c r="M409" s="630"/>
      <c r="N409" s="630"/>
      <c r="O409" s="630"/>
      <c r="P409" s="630"/>
      <c r="Q409" s="630"/>
      <c r="R409" s="630"/>
      <c r="S409" s="630" t="s">
        <v>537</v>
      </c>
      <c r="T409" s="630"/>
      <c r="U409" s="630" t="s">
        <v>538</v>
      </c>
      <c r="V409" s="630">
        <v>1</v>
      </c>
      <c r="W409" s="630" t="s">
        <v>545</v>
      </c>
      <c r="X409" s="630" t="s">
        <v>540</v>
      </c>
      <c r="Y409" s="630" t="s">
        <v>549</v>
      </c>
      <c r="Z409" s="630">
        <v>2.0109689999999998</v>
      </c>
      <c r="AA409" s="630">
        <v>3.2363469999999999</v>
      </c>
      <c r="AB409" s="631">
        <v>30651</v>
      </c>
      <c r="AC409" s="631">
        <v>2787674</v>
      </c>
      <c r="AD409" s="631">
        <f t="shared" si="6"/>
        <v>5605925.9961059997</v>
      </c>
    </row>
    <row r="410" spans="2:30" x14ac:dyDescent="0.15">
      <c r="B410" s="630">
        <v>17031003003</v>
      </c>
      <c r="C410" s="630">
        <v>17031001363</v>
      </c>
      <c r="D410" s="630">
        <v>17031001366</v>
      </c>
      <c r="E410" s="630" t="s">
        <v>533</v>
      </c>
      <c r="F410" s="630" t="s">
        <v>534</v>
      </c>
      <c r="G410" s="630" t="s">
        <v>365</v>
      </c>
      <c r="H410" s="630" t="s">
        <v>557</v>
      </c>
      <c r="I410" s="630"/>
      <c r="J410" s="630" t="s">
        <v>569</v>
      </c>
      <c r="K410" s="630" t="s">
        <v>535</v>
      </c>
      <c r="L410" s="630" t="s">
        <v>551</v>
      </c>
      <c r="M410" s="630" t="s">
        <v>543</v>
      </c>
      <c r="N410" s="630" t="s">
        <v>382</v>
      </c>
      <c r="O410" s="630" t="s">
        <v>552</v>
      </c>
      <c r="P410" s="630" t="s">
        <v>555</v>
      </c>
      <c r="Q410" s="630"/>
      <c r="R410" s="630"/>
      <c r="S410" s="630" t="s">
        <v>570</v>
      </c>
      <c r="T410" s="630" t="s">
        <v>600</v>
      </c>
      <c r="U410" s="630" t="s">
        <v>538</v>
      </c>
      <c r="V410" s="630">
        <v>2</v>
      </c>
      <c r="W410" s="630" t="s">
        <v>545</v>
      </c>
      <c r="X410" s="630" t="s">
        <v>546</v>
      </c>
      <c r="Y410" s="630" t="s">
        <v>554</v>
      </c>
      <c r="Z410" s="630">
        <v>7.7494999999999994E-2</v>
      </c>
      <c r="AA410" s="630">
        <v>0.12471599999999999</v>
      </c>
      <c r="AB410" s="631">
        <v>1071149</v>
      </c>
      <c r="AC410" s="631">
        <v>31664523</v>
      </c>
      <c r="AD410" s="631">
        <f t="shared" si="6"/>
        <v>2453842.2098849998</v>
      </c>
    </row>
    <row r="411" spans="2:30" x14ac:dyDescent="0.15">
      <c r="B411" s="630">
        <v>17031003467</v>
      </c>
      <c r="C411" s="630">
        <v>17031000940</v>
      </c>
      <c r="D411" s="630">
        <v>17031007705</v>
      </c>
      <c r="E411" s="630" t="s">
        <v>533</v>
      </c>
      <c r="F411" s="630" t="s">
        <v>534</v>
      </c>
      <c r="G411" s="630" t="s">
        <v>365</v>
      </c>
      <c r="H411" s="630" t="s">
        <v>535</v>
      </c>
      <c r="I411" s="630"/>
      <c r="J411" s="630" t="s">
        <v>542</v>
      </c>
      <c r="K411" s="630" t="s">
        <v>572</v>
      </c>
      <c r="L411" s="630" t="s">
        <v>547</v>
      </c>
      <c r="M411" s="630" t="s">
        <v>382</v>
      </c>
      <c r="N411" s="630"/>
      <c r="O411" s="630"/>
      <c r="P411" s="630"/>
      <c r="Q411" s="630"/>
      <c r="R411" s="630"/>
      <c r="S411" s="630" t="s">
        <v>601</v>
      </c>
      <c r="T411" s="630"/>
      <c r="U411" s="630" t="s">
        <v>538</v>
      </c>
      <c r="V411" s="630">
        <v>2</v>
      </c>
      <c r="W411" s="630" t="s">
        <v>545</v>
      </c>
      <c r="X411" s="630" t="s">
        <v>540</v>
      </c>
      <c r="Y411" s="630" t="s">
        <v>549</v>
      </c>
      <c r="Z411" s="630">
        <v>0.54025999999999996</v>
      </c>
      <c r="AA411" s="630">
        <v>0.86946500000000004</v>
      </c>
      <c r="AB411" s="631">
        <v>48760</v>
      </c>
      <c r="AC411" s="631">
        <v>1832520</v>
      </c>
      <c r="AD411" s="631">
        <f t="shared" si="6"/>
        <v>990037.2551999999</v>
      </c>
    </row>
    <row r="412" spans="2:30" x14ac:dyDescent="0.15">
      <c r="B412" s="630">
        <v>17031003631</v>
      </c>
      <c r="C412" s="630">
        <v>17031001020</v>
      </c>
      <c r="D412" s="630">
        <v>17031001019</v>
      </c>
      <c r="E412" s="630" t="s">
        <v>533</v>
      </c>
      <c r="F412" s="630" t="s">
        <v>534</v>
      </c>
      <c r="G412" s="630" t="s">
        <v>365</v>
      </c>
      <c r="H412" s="630" t="s">
        <v>571</v>
      </c>
      <c r="I412" s="630"/>
      <c r="J412" s="630" t="s">
        <v>552</v>
      </c>
      <c r="K412" s="630" t="s">
        <v>572</v>
      </c>
      <c r="L412" s="630" t="s">
        <v>555</v>
      </c>
      <c r="M412" s="630" t="s">
        <v>543</v>
      </c>
      <c r="N412" s="630" t="s">
        <v>382</v>
      </c>
      <c r="O412" s="630"/>
      <c r="P412" s="630"/>
      <c r="Q412" s="630"/>
      <c r="R412" s="630"/>
      <c r="S412" s="630" t="s">
        <v>573</v>
      </c>
      <c r="T412" s="630"/>
      <c r="U412" s="630" t="s">
        <v>538</v>
      </c>
      <c r="V412" s="630">
        <v>2</v>
      </c>
      <c r="W412" s="630" t="s">
        <v>545</v>
      </c>
      <c r="X412" s="630" t="s">
        <v>580</v>
      </c>
      <c r="Y412" s="630" t="s">
        <v>554</v>
      </c>
      <c r="Z412" s="630">
        <v>0.38766099999999998</v>
      </c>
      <c r="AA412" s="630">
        <v>0.62388100000000002</v>
      </c>
      <c r="AB412" s="631">
        <v>349013</v>
      </c>
      <c r="AC412" s="631">
        <v>15938551</v>
      </c>
      <c r="AD412" s="631">
        <f t="shared" si="6"/>
        <v>6178754.6192109995</v>
      </c>
    </row>
    <row r="413" spans="2:30" x14ac:dyDescent="0.15">
      <c r="B413" s="630">
        <v>17031003982</v>
      </c>
      <c r="C413" s="630">
        <v>17031007765</v>
      </c>
      <c r="D413" s="630">
        <v>17031000643</v>
      </c>
      <c r="E413" s="630" t="s">
        <v>533</v>
      </c>
      <c r="F413" s="630" t="s">
        <v>534</v>
      </c>
      <c r="G413" s="630" t="s">
        <v>365</v>
      </c>
      <c r="H413" s="630" t="s">
        <v>557</v>
      </c>
      <c r="I413" s="630"/>
      <c r="J413" s="630" t="s">
        <v>535</v>
      </c>
      <c r="K413" s="630"/>
      <c r="L413" s="630"/>
      <c r="M413" s="630"/>
      <c r="N413" s="630"/>
      <c r="O413" s="630"/>
      <c r="P413" s="630"/>
      <c r="Q413" s="630"/>
      <c r="R413" s="630"/>
      <c r="S413" s="630"/>
      <c r="T413" s="630"/>
      <c r="U413" s="630" t="s">
        <v>538</v>
      </c>
      <c r="V413" s="630">
        <v>1</v>
      </c>
      <c r="W413" s="630" t="s">
        <v>560</v>
      </c>
      <c r="X413" s="630" t="s">
        <v>541</v>
      </c>
      <c r="Y413" s="630" t="s">
        <v>541</v>
      </c>
      <c r="Z413" s="630">
        <v>0.27813700000000002</v>
      </c>
      <c r="AA413" s="630">
        <v>0.44761899999999999</v>
      </c>
      <c r="AB413" s="631">
        <v>1000</v>
      </c>
      <c r="AC413" s="631">
        <v>83400</v>
      </c>
      <c r="AD413" s="631">
        <f t="shared" si="6"/>
        <v>23196.625800000002</v>
      </c>
    </row>
    <row r="414" spans="2:30" x14ac:dyDescent="0.15">
      <c r="B414" s="630">
        <v>17031006387</v>
      </c>
      <c r="C414" s="630">
        <v>17031000625</v>
      </c>
      <c r="D414" s="630">
        <v>17031004675</v>
      </c>
      <c r="E414" s="630" t="s">
        <v>533</v>
      </c>
      <c r="F414" s="630" t="s">
        <v>534</v>
      </c>
      <c r="G414" s="630" t="s">
        <v>365</v>
      </c>
      <c r="H414" s="630" t="s">
        <v>382</v>
      </c>
      <c r="I414" s="630"/>
      <c r="J414" s="630" t="s">
        <v>572</v>
      </c>
      <c r="K414" s="630" t="s">
        <v>543</v>
      </c>
      <c r="L414" s="630"/>
      <c r="M414" s="630"/>
      <c r="N414" s="630"/>
      <c r="O414" s="630"/>
      <c r="P414" s="630"/>
      <c r="Q414" s="630"/>
      <c r="R414" s="630"/>
      <c r="S414" s="630" t="s">
        <v>609</v>
      </c>
      <c r="T414" s="630"/>
      <c r="U414" s="630" t="s">
        <v>538</v>
      </c>
      <c r="V414" s="630">
        <v>2</v>
      </c>
      <c r="W414" s="630" t="s">
        <v>539</v>
      </c>
      <c r="X414" s="630" t="s">
        <v>580</v>
      </c>
      <c r="Y414" s="630" t="s">
        <v>554</v>
      </c>
      <c r="Z414" s="630">
        <v>0.17044699999999999</v>
      </c>
      <c r="AA414" s="630">
        <v>0.27430900000000003</v>
      </c>
      <c r="AB414" s="631">
        <v>3060435</v>
      </c>
      <c r="AC414" s="631">
        <v>83299595</v>
      </c>
      <c r="AD414" s="631">
        <f t="shared" si="6"/>
        <v>14198166.068964999</v>
      </c>
    </row>
    <row r="415" spans="2:30" x14ac:dyDescent="0.15">
      <c r="B415" s="630">
        <v>17031006401</v>
      </c>
      <c r="C415" s="630">
        <v>17031004679</v>
      </c>
      <c r="D415" s="630">
        <v>17031004678</v>
      </c>
      <c r="E415" s="630" t="s">
        <v>533</v>
      </c>
      <c r="F415" s="630" t="s">
        <v>534</v>
      </c>
      <c r="G415" s="630" t="s">
        <v>365</v>
      </c>
      <c r="H415" s="630" t="s">
        <v>381</v>
      </c>
      <c r="I415" s="630"/>
      <c r="J415" s="630" t="s">
        <v>382</v>
      </c>
      <c r="K415" s="630" t="s">
        <v>535</v>
      </c>
      <c r="L415" s="630"/>
      <c r="M415" s="630"/>
      <c r="N415" s="630"/>
      <c r="O415" s="630"/>
      <c r="P415" s="630"/>
      <c r="Q415" s="630"/>
      <c r="R415" s="630"/>
      <c r="S415" s="630"/>
      <c r="T415" s="630" t="s">
        <v>668</v>
      </c>
      <c r="U415" s="630" t="s">
        <v>559</v>
      </c>
      <c r="V415" s="630">
        <v>1</v>
      </c>
      <c r="W415" s="630" t="s">
        <v>539</v>
      </c>
      <c r="X415" s="630" t="s">
        <v>541</v>
      </c>
      <c r="Y415" s="630" t="s">
        <v>541</v>
      </c>
      <c r="Z415" s="630">
        <v>0.132326</v>
      </c>
      <c r="AA415" s="630">
        <v>0.21295800000000001</v>
      </c>
      <c r="AB415" s="631">
        <v>2325061</v>
      </c>
      <c r="AC415" s="631">
        <v>61139518</v>
      </c>
      <c r="AD415" s="631">
        <f t="shared" si="6"/>
        <v>8090347.8588680001</v>
      </c>
    </row>
    <row r="416" spans="2:30" x14ac:dyDescent="0.15">
      <c r="B416" s="630">
        <v>17197009011</v>
      </c>
      <c r="C416" s="630">
        <v>17197001625</v>
      </c>
      <c r="D416" s="630">
        <v>17197007229</v>
      </c>
      <c r="E416" s="630" t="s">
        <v>533</v>
      </c>
      <c r="F416" s="630" t="s">
        <v>534</v>
      </c>
      <c r="G416" s="630" t="s">
        <v>377</v>
      </c>
      <c r="H416" s="630" t="s">
        <v>381</v>
      </c>
      <c r="I416" s="630"/>
      <c r="J416" s="630"/>
      <c r="K416" s="630"/>
      <c r="L416" s="630"/>
      <c r="M416" s="630"/>
      <c r="N416" s="630"/>
      <c r="O416" s="630"/>
      <c r="P416" s="630"/>
      <c r="Q416" s="630"/>
      <c r="R416" s="630"/>
      <c r="S416" s="630" t="s">
        <v>591</v>
      </c>
      <c r="T416" s="630"/>
      <c r="U416" s="630" t="s">
        <v>559</v>
      </c>
      <c r="V416" s="630">
        <v>1</v>
      </c>
      <c r="W416" s="630" t="s">
        <v>560</v>
      </c>
      <c r="X416" s="630" t="s">
        <v>541</v>
      </c>
      <c r="Y416" s="630" t="s">
        <v>541</v>
      </c>
      <c r="Z416" s="630">
        <v>0.125112</v>
      </c>
      <c r="AA416" s="630">
        <v>0.201348</v>
      </c>
      <c r="AB416" s="631">
        <v>0</v>
      </c>
      <c r="AC416" s="631">
        <v>0</v>
      </c>
      <c r="AD416" s="631">
        <f t="shared" si="6"/>
        <v>0</v>
      </c>
    </row>
    <row r="417" spans="2:30" x14ac:dyDescent="0.15">
      <c r="B417" s="630">
        <v>17043009166</v>
      </c>
      <c r="C417" s="630">
        <v>17043004887</v>
      </c>
      <c r="D417" s="630">
        <v>17043007372</v>
      </c>
      <c r="E417" s="630" t="s">
        <v>533</v>
      </c>
      <c r="F417" s="630" t="s">
        <v>534</v>
      </c>
      <c r="G417" s="630" t="s">
        <v>367</v>
      </c>
      <c r="H417" s="630" t="s">
        <v>381</v>
      </c>
      <c r="I417" s="630"/>
      <c r="J417" s="630" t="s">
        <v>542</v>
      </c>
      <c r="K417" s="630" t="s">
        <v>547</v>
      </c>
      <c r="L417" s="630" t="s">
        <v>382</v>
      </c>
      <c r="M417" s="630"/>
      <c r="N417" s="630"/>
      <c r="O417" s="630"/>
      <c r="P417" s="630"/>
      <c r="Q417" s="630"/>
      <c r="R417" s="630"/>
      <c r="S417" s="630" t="s">
        <v>579</v>
      </c>
      <c r="T417" s="630"/>
      <c r="U417" s="630" t="s">
        <v>538</v>
      </c>
      <c r="V417" s="630">
        <v>3</v>
      </c>
      <c r="W417" s="630" t="s">
        <v>545</v>
      </c>
      <c r="X417" s="630" t="s">
        <v>580</v>
      </c>
      <c r="Y417" s="630" t="s">
        <v>549</v>
      </c>
      <c r="Z417" s="630">
        <v>0.32319399999999998</v>
      </c>
      <c r="AA417" s="630">
        <v>0.52013200000000004</v>
      </c>
      <c r="AB417" s="631">
        <v>1180642</v>
      </c>
      <c r="AC417" s="631">
        <v>46493460</v>
      </c>
      <c r="AD417" s="631">
        <f t="shared" si="6"/>
        <v>15026407.311239999</v>
      </c>
    </row>
    <row r="418" spans="2:30" x14ac:dyDescent="0.15">
      <c r="B418" s="630">
        <v>17031009482</v>
      </c>
      <c r="C418" s="630">
        <v>17031007579</v>
      </c>
      <c r="D418" s="630">
        <v>17031007581</v>
      </c>
      <c r="E418" s="630" t="s">
        <v>533</v>
      </c>
      <c r="F418" s="630" t="s">
        <v>534</v>
      </c>
      <c r="G418" s="630" t="s">
        <v>365</v>
      </c>
      <c r="H418" s="630" t="s">
        <v>535</v>
      </c>
      <c r="I418" s="630"/>
      <c r="J418" s="630" t="s">
        <v>547</v>
      </c>
      <c r="K418" s="630"/>
      <c r="L418" s="630"/>
      <c r="M418" s="630"/>
      <c r="N418" s="630"/>
      <c r="O418" s="630"/>
      <c r="P418" s="630"/>
      <c r="Q418" s="630"/>
      <c r="R418" s="630"/>
      <c r="S418" s="630" t="s">
        <v>548</v>
      </c>
      <c r="T418" s="630"/>
      <c r="U418" s="630" t="s">
        <v>538</v>
      </c>
      <c r="V418" s="630">
        <v>2</v>
      </c>
      <c r="W418" s="630" t="s">
        <v>545</v>
      </c>
      <c r="X418" s="630" t="s">
        <v>546</v>
      </c>
      <c r="Y418" s="630" t="s">
        <v>549</v>
      </c>
      <c r="Z418" s="630">
        <v>5.4663999999999997E-2</v>
      </c>
      <c r="AA418" s="630">
        <v>8.7972999999999996E-2</v>
      </c>
      <c r="AB418" s="631">
        <v>805460</v>
      </c>
      <c r="AC418" s="631">
        <v>39336999</v>
      </c>
      <c r="AD418" s="631">
        <f t="shared" si="6"/>
        <v>2150317.7133359998</v>
      </c>
    </row>
    <row r="419" spans="2:30" x14ac:dyDescent="0.15">
      <c r="B419" s="630">
        <v>17031002185</v>
      </c>
      <c r="C419" s="630">
        <v>17031004754</v>
      </c>
      <c r="D419" s="630">
        <v>17031000733</v>
      </c>
      <c r="E419" s="630" t="s">
        <v>533</v>
      </c>
      <c r="F419" s="630" t="s">
        <v>534</v>
      </c>
      <c r="G419" s="630" t="s">
        <v>365</v>
      </c>
      <c r="H419" s="630" t="s">
        <v>535</v>
      </c>
      <c r="I419" s="630"/>
      <c r="J419" s="630" t="s">
        <v>542</v>
      </c>
      <c r="K419" s="630" t="s">
        <v>572</v>
      </c>
      <c r="L419" s="630"/>
      <c r="M419" s="630"/>
      <c r="N419" s="630"/>
      <c r="O419" s="630"/>
      <c r="P419" s="630"/>
      <c r="Q419" s="630"/>
      <c r="R419" s="630"/>
      <c r="S419" s="630" t="s">
        <v>544</v>
      </c>
      <c r="T419" s="630"/>
      <c r="U419" s="630" t="s">
        <v>538</v>
      </c>
      <c r="V419" s="630">
        <v>2</v>
      </c>
      <c r="W419" s="630" t="s">
        <v>545</v>
      </c>
      <c r="X419" s="630" t="s">
        <v>549</v>
      </c>
      <c r="Y419" s="630" t="s">
        <v>549</v>
      </c>
      <c r="Z419" s="630">
        <v>4.814584</v>
      </c>
      <c r="AA419" s="630">
        <v>7.7483370000000003</v>
      </c>
      <c r="AB419" s="631">
        <v>16696</v>
      </c>
      <c r="AC419" s="631">
        <v>1424574</v>
      </c>
      <c r="AD419" s="631">
        <f t="shared" si="6"/>
        <v>6858731.1872159997</v>
      </c>
    </row>
    <row r="420" spans="2:30" x14ac:dyDescent="0.15">
      <c r="B420" s="630">
        <v>17031002188</v>
      </c>
      <c r="C420" s="630">
        <v>17031001153</v>
      </c>
      <c r="D420" s="630">
        <v>17031001154</v>
      </c>
      <c r="E420" s="630" t="s">
        <v>533</v>
      </c>
      <c r="F420" s="630" t="s">
        <v>534</v>
      </c>
      <c r="G420" s="630" t="s">
        <v>365</v>
      </c>
      <c r="H420" s="630" t="s">
        <v>557</v>
      </c>
      <c r="I420" s="630"/>
      <c r="J420" s="630" t="s">
        <v>543</v>
      </c>
      <c r="K420" s="630"/>
      <c r="L420" s="630"/>
      <c r="M420" s="630"/>
      <c r="N420" s="630"/>
      <c r="O420" s="630"/>
      <c r="P420" s="630"/>
      <c r="Q420" s="630"/>
      <c r="R420" s="630"/>
      <c r="S420" s="630"/>
      <c r="T420" s="630"/>
      <c r="U420" s="630" t="s">
        <v>538</v>
      </c>
      <c r="V420" s="630">
        <v>1</v>
      </c>
      <c r="W420" s="630" t="s">
        <v>560</v>
      </c>
      <c r="X420" s="630" t="s">
        <v>541</v>
      </c>
      <c r="Y420" s="630" t="s">
        <v>541</v>
      </c>
      <c r="Z420" s="630">
        <v>0.17455399999999999</v>
      </c>
      <c r="AA420" s="630">
        <v>0.280918</v>
      </c>
      <c r="AB420" s="631">
        <v>320</v>
      </c>
      <c r="AC420" s="631">
        <v>23200</v>
      </c>
      <c r="AD420" s="631">
        <f t="shared" si="6"/>
        <v>4049.6527999999998</v>
      </c>
    </row>
    <row r="421" spans="2:30" x14ac:dyDescent="0.15">
      <c r="B421" s="630">
        <v>17097002314</v>
      </c>
      <c r="C421" s="630">
        <v>17999019043</v>
      </c>
      <c r="D421" s="630">
        <v>17097004544</v>
      </c>
      <c r="E421" s="630" t="s">
        <v>533</v>
      </c>
      <c r="F421" s="630" t="s">
        <v>534</v>
      </c>
      <c r="G421" s="630" t="s">
        <v>373</v>
      </c>
      <c r="H421" s="630" t="s">
        <v>382</v>
      </c>
      <c r="I421" s="630"/>
      <c r="J421" s="630" t="s">
        <v>535</v>
      </c>
      <c r="K421" s="630"/>
      <c r="L421" s="630"/>
      <c r="M421" s="630"/>
      <c r="N421" s="630"/>
      <c r="O421" s="630"/>
      <c r="P421" s="630"/>
      <c r="Q421" s="630"/>
      <c r="R421" s="630"/>
      <c r="S421" s="630" t="s">
        <v>586</v>
      </c>
      <c r="T421" s="630"/>
      <c r="U421" s="630" t="s">
        <v>538</v>
      </c>
      <c r="V421" s="630">
        <v>2</v>
      </c>
      <c r="W421" s="630" t="s">
        <v>582</v>
      </c>
      <c r="X421" s="630" t="s">
        <v>549</v>
      </c>
      <c r="Y421" s="630" t="s">
        <v>549</v>
      </c>
      <c r="Z421" s="630">
        <v>1.947257</v>
      </c>
      <c r="AA421" s="630">
        <v>3.133813</v>
      </c>
      <c r="AB421" s="631">
        <v>92223</v>
      </c>
      <c r="AC421" s="631">
        <v>10277729</v>
      </c>
      <c r="AD421" s="631">
        <f t="shared" si="6"/>
        <v>20013379.739353001</v>
      </c>
    </row>
    <row r="422" spans="2:30" x14ac:dyDescent="0.15">
      <c r="B422" s="630">
        <v>17043002346</v>
      </c>
      <c r="C422" s="630">
        <v>17043000522</v>
      </c>
      <c r="D422" s="630">
        <v>17043004775</v>
      </c>
      <c r="E422" s="630" t="s">
        <v>533</v>
      </c>
      <c r="F422" s="630" t="s">
        <v>534</v>
      </c>
      <c r="G422" s="630" t="s">
        <v>367</v>
      </c>
      <c r="H422" s="630" t="s">
        <v>382</v>
      </c>
      <c r="I422" s="630"/>
      <c r="J422" s="630" t="s">
        <v>547</v>
      </c>
      <c r="K422" s="630"/>
      <c r="L422" s="630"/>
      <c r="M422" s="630"/>
      <c r="N422" s="630"/>
      <c r="O422" s="630"/>
      <c r="P422" s="630"/>
      <c r="Q422" s="630"/>
      <c r="R422" s="630"/>
      <c r="S422" s="630" t="s">
        <v>583</v>
      </c>
      <c r="T422" s="630"/>
      <c r="U422" s="630" t="s">
        <v>538</v>
      </c>
      <c r="V422" s="630">
        <v>3</v>
      </c>
      <c r="W422" s="630" t="s">
        <v>588</v>
      </c>
      <c r="X422" s="630" t="s">
        <v>575</v>
      </c>
      <c r="Y422" s="630" t="s">
        <v>549</v>
      </c>
      <c r="Z422" s="630">
        <v>0.82846399999999998</v>
      </c>
      <c r="AA422" s="630">
        <v>1.333286</v>
      </c>
      <c r="AB422" s="631">
        <v>1830855</v>
      </c>
      <c r="AC422" s="631">
        <v>57776893</v>
      </c>
      <c r="AD422" s="631">
        <f t="shared" si="6"/>
        <v>47866075.882352002</v>
      </c>
    </row>
    <row r="423" spans="2:30" x14ac:dyDescent="0.15">
      <c r="B423" s="630">
        <v>17031002354</v>
      </c>
      <c r="C423" s="630">
        <v>17031004646</v>
      </c>
      <c r="D423" s="630">
        <v>17031004647</v>
      </c>
      <c r="E423" s="630" t="s">
        <v>533</v>
      </c>
      <c r="F423" s="630" t="s">
        <v>534</v>
      </c>
      <c r="G423" s="630" t="s">
        <v>365</v>
      </c>
      <c r="H423" s="630" t="s">
        <v>382</v>
      </c>
      <c r="I423" s="630"/>
      <c r="J423" s="630" t="s">
        <v>547</v>
      </c>
      <c r="K423" s="630"/>
      <c r="L423" s="630"/>
      <c r="M423" s="630"/>
      <c r="N423" s="630"/>
      <c r="O423" s="630"/>
      <c r="P423" s="630"/>
      <c r="Q423" s="630"/>
      <c r="R423" s="630"/>
      <c r="S423" s="630" t="s">
        <v>583</v>
      </c>
      <c r="T423" s="630" t="s">
        <v>626</v>
      </c>
      <c r="U423" s="630" t="s">
        <v>538</v>
      </c>
      <c r="V423" s="630">
        <v>3</v>
      </c>
      <c r="W423" s="630" t="s">
        <v>545</v>
      </c>
      <c r="X423" s="630" t="s">
        <v>580</v>
      </c>
      <c r="Y423" s="630" t="s">
        <v>549</v>
      </c>
      <c r="Z423" s="630">
        <v>1.758249</v>
      </c>
      <c r="AA423" s="630">
        <v>2.8296320000000001</v>
      </c>
      <c r="AB423" s="631">
        <v>1566993</v>
      </c>
      <c r="AC423" s="631">
        <v>47958017</v>
      </c>
      <c r="AD423" s="631">
        <f t="shared" si="6"/>
        <v>84322135.432232991</v>
      </c>
    </row>
    <row r="424" spans="2:30" x14ac:dyDescent="0.15">
      <c r="B424" s="630">
        <v>17031006293</v>
      </c>
      <c r="C424" s="630">
        <v>17031000625</v>
      </c>
      <c r="D424" s="630">
        <v>17031000629</v>
      </c>
      <c r="E424" s="630" t="s">
        <v>533</v>
      </c>
      <c r="F424" s="630" t="s">
        <v>534</v>
      </c>
      <c r="G424" s="630" t="s">
        <v>365</v>
      </c>
      <c r="H424" s="630" t="s">
        <v>382</v>
      </c>
      <c r="I424" s="630"/>
      <c r="J424" s="630" t="s">
        <v>572</v>
      </c>
      <c r="K424" s="630" t="s">
        <v>543</v>
      </c>
      <c r="L424" s="630"/>
      <c r="M424" s="630"/>
      <c r="N424" s="630"/>
      <c r="O424" s="630"/>
      <c r="P424" s="630"/>
      <c r="Q424" s="630"/>
      <c r="R424" s="630"/>
      <c r="S424" s="630" t="s">
        <v>609</v>
      </c>
      <c r="T424" s="630"/>
      <c r="U424" s="630" t="s">
        <v>538</v>
      </c>
      <c r="V424" s="630">
        <v>2</v>
      </c>
      <c r="W424" s="630" t="s">
        <v>539</v>
      </c>
      <c r="X424" s="630" t="s">
        <v>580</v>
      </c>
      <c r="Y424" s="630" t="s">
        <v>554</v>
      </c>
      <c r="Z424" s="630">
        <v>8.7497000000000005E-2</v>
      </c>
      <c r="AA424" s="630">
        <v>0.14081299999999999</v>
      </c>
      <c r="AB424" s="631">
        <v>858401</v>
      </c>
      <c r="AC424" s="631">
        <v>28501686</v>
      </c>
      <c r="AD424" s="631">
        <f t="shared" si="6"/>
        <v>2493812.019942</v>
      </c>
    </row>
    <row r="425" spans="2:30" x14ac:dyDescent="0.15">
      <c r="B425" s="630">
        <v>17031006363</v>
      </c>
      <c r="C425" s="630">
        <v>17999020762</v>
      </c>
      <c r="D425" s="630">
        <v>17031004654</v>
      </c>
      <c r="E425" s="630" t="s">
        <v>533</v>
      </c>
      <c r="F425" s="630" t="s">
        <v>534</v>
      </c>
      <c r="G425" s="630" t="s">
        <v>365</v>
      </c>
      <c r="H425" s="630" t="s">
        <v>535</v>
      </c>
      <c r="I425" s="630"/>
      <c r="J425" s="630"/>
      <c r="K425" s="630"/>
      <c r="L425" s="630"/>
      <c r="M425" s="630"/>
      <c r="N425" s="630"/>
      <c r="O425" s="630"/>
      <c r="P425" s="630"/>
      <c r="Q425" s="630"/>
      <c r="R425" s="630"/>
      <c r="S425" s="630" t="s">
        <v>624</v>
      </c>
      <c r="T425" s="630"/>
      <c r="U425" s="630" t="s">
        <v>538</v>
      </c>
      <c r="V425" s="630">
        <v>1</v>
      </c>
      <c r="W425" s="630" t="s">
        <v>582</v>
      </c>
      <c r="X425" s="630" t="s">
        <v>554</v>
      </c>
      <c r="Y425" s="630" t="s">
        <v>540</v>
      </c>
      <c r="Z425" s="630">
        <v>1.267617</v>
      </c>
      <c r="AA425" s="630">
        <v>2.0400360000000002</v>
      </c>
      <c r="AB425" s="631">
        <v>840</v>
      </c>
      <c r="AC425" s="631">
        <v>70920</v>
      </c>
      <c r="AD425" s="631">
        <f t="shared" si="6"/>
        <v>89899.397639999996</v>
      </c>
    </row>
    <row r="426" spans="2:30" x14ac:dyDescent="0.15">
      <c r="B426" s="630">
        <v>17031006410</v>
      </c>
      <c r="C426" s="630">
        <v>17031004702</v>
      </c>
      <c r="D426" s="630">
        <v>17031004701</v>
      </c>
      <c r="E426" s="630" t="s">
        <v>533</v>
      </c>
      <c r="F426" s="630" t="s">
        <v>534</v>
      </c>
      <c r="G426" s="630" t="s">
        <v>365</v>
      </c>
      <c r="H426" s="630" t="s">
        <v>547</v>
      </c>
      <c r="I426" s="630"/>
      <c r="J426" s="630"/>
      <c r="K426" s="630"/>
      <c r="L426" s="630"/>
      <c r="M426" s="630"/>
      <c r="N426" s="630"/>
      <c r="O426" s="630"/>
      <c r="P426" s="630"/>
      <c r="Q426" s="630"/>
      <c r="R426" s="630"/>
      <c r="S426" s="630" t="s">
        <v>611</v>
      </c>
      <c r="T426" s="630"/>
      <c r="U426" s="630" t="s">
        <v>538</v>
      </c>
      <c r="V426" s="630">
        <v>2</v>
      </c>
      <c r="W426" s="630" t="s">
        <v>582</v>
      </c>
      <c r="X426" s="630" t="s">
        <v>541</v>
      </c>
      <c r="Y426" s="630" t="s">
        <v>540</v>
      </c>
      <c r="Z426" s="630">
        <v>0.52367699999999995</v>
      </c>
      <c r="AA426" s="630">
        <v>0.84277899999999994</v>
      </c>
      <c r="AB426" s="631">
        <v>0</v>
      </c>
      <c r="AC426" s="631">
        <v>0</v>
      </c>
      <c r="AD426" s="631">
        <f t="shared" si="6"/>
        <v>0</v>
      </c>
    </row>
    <row r="427" spans="2:30" x14ac:dyDescent="0.15">
      <c r="B427" s="630">
        <v>17031006417</v>
      </c>
      <c r="C427" s="630">
        <v>17031000959</v>
      </c>
      <c r="D427" s="630">
        <v>17031004728</v>
      </c>
      <c r="E427" s="630" t="s">
        <v>533</v>
      </c>
      <c r="F427" s="630" t="s">
        <v>534</v>
      </c>
      <c r="G427" s="630" t="s">
        <v>365</v>
      </c>
      <c r="H427" s="630" t="s">
        <v>571</v>
      </c>
      <c r="I427" s="630"/>
      <c r="J427" s="630" t="s">
        <v>381</v>
      </c>
      <c r="K427" s="630" t="s">
        <v>535</v>
      </c>
      <c r="L427" s="630" t="s">
        <v>552</v>
      </c>
      <c r="M427" s="630" t="s">
        <v>551</v>
      </c>
      <c r="N427" s="630" t="s">
        <v>557</v>
      </c>
      <c r="O427" s="630" t="s">
        <v>543</v>
      </c>
      <c r="P427" s="630" t="s">
        <v>382</v>
      </c>
      <c r="Q427" s="630" t="s">
        <v>563</v>
      </c>
      <c r="R427" s="630"/>
      <c r="S427" s="630" t="s">
        <v>605</v>
      </c>
      <c r="T427" s="630"/>
      <c r="U427" s="630" t="s">
        <v>538</v>
      </c>
      <c r="V427" s="630">
        <v>1</v>
      </c>
      <c r="W427" s="630" t="s">
        <v>545</v>
      </c>
      <c r="X427" s="630" t="s">
        <v>546</v>
      </c>
      <c r="Y427" s="630" t="s">
        <v>554</v>
      </c>
      <c r="Z427" s="630">
        <v>0.217775</v>
      </c>
      <c r="AA427" s="630">
        <v>0.35047499999999998</v>
      </c>
      <c r="AB427" s="631">
        <v>563210</v>
      </c>
      <c r="AC427" s="631">
        <v>33756067</v>
      </c>
      <c r="AD427" s="631">
        <f t="shared" si="6"/>
        <v>7351227.490925</v>
      </c>
    </row>
    <row r="428" spans="2:30" x14ac:dyDescent="0.15">
      <c r="B428" s="630">
        <v>17031006472</v>
      </c>
      <c r="C428" s="630">
        <v>17031000999</v>
      </c>
      <c r="D428" s="630">
        <v>17031001009</v>
      </c>
      <c r="E428" s="630" t="s">
        <v>533</v>
      </c>
      <c r="F428" s="630" t="s">
        <v>534</v>
      </c>
      <c r="G428" s="630" t="s">
        <v>365</v>
      </c>
      <c r="H428" s="630" t="s">
        <v>551</v>
      </c>
      <c r="I428" s="630"/>
      <c r="J428" s="630" t="s">
        <v>381</v>
      </c>
      <c r="K428" s="630" t="s">
        <v>535</v>
      </c>
      <c r="L428" s="630" t="s">
        <v>552</v>
      </c>
      <c r="M428" s="630" t="s">
        <v>382</v>
      </c>
      <c r="N428" s="630"/>
      <c r="O428" s="630"/>
      <c r="P428" s="630"/>
      <c r="Q428" s="630"/>
      <c r="R428" s="630"/>
      <c r="S428" s="630" t="s">
        <v>600</v>
      </c>
      <c r="T428" s="630"/>
      <c r="U428" s="630" t="s">
        <v>538</v>
      </c>
      <c r="V428" s="630">
        <v>2</v>
      </c>
      <c r="W428" s="630" t="s">
        <v>582</v>
      </c>
      <c r="X428" s="630" t="s">
        <v>575</v>
      </c>
      <c r="Y428" s="630" t="s">
        <v>554</v>
      </c>
      <c r="Z428" s="630">
        <v>0.18213399999999999</v>
      </c>
      <c r="AA428" s="630">
        <v>0.29311700000000002</v>
      </c>
      <c r="AB428" s="631">
        <v>441393</v>
      </c>
      <c r="AC428" s="631">
        <v>9058562</v>
      </c>
      <c r="AD428" s="631">
        <f t="shared" si="6"/>
        <v>1649872.1313079998</v>
      </c>
    </row>
    <row r="429" spans="2:30" x14ac:dyDescent="0.15">
      <c r="B429" s="630">
        <v>17089006567</v>
      </c>
      <c r="C429" s="630">
        <v>17089000709</v>
      </c>
      <c r="D429" s="630">
        <v>17089004859</v>
      </c>
      <c r="E429" s="630" t="s">
        <v>533</v>
      </c>
      <c r="F429" s="630" t="s">
        <v>534</v>
      </c>
      <c r="G429" s="630" t="s">
        <v>369</v>
      </c>
      <c r="H429" s="630" t="s">
        <v>381</v>
      </c>
      <c r="I429" s="630"/>
      <c r="J429" s="630"/>
      <c r="K429" s="630"/>
      <c r="L429" s="630"/>
      <c r="M429" s="630"/>
      <c r="N429" s="630"/>
      <c r="O429" s="630"/>
      <c r="P429" s="630"/>
      <c r="Q429" s="630"/>
      <c r="R429" s="630"/>
      <c r="S429" s="630" t="s">
        <v>585</v>
      </c>
      <c r="T429" s="630"/>
      <c r="U429" s="630" t="s">
        <v>559</v>
      </c>
      <c r="V429" s="630">
        <v>1</v>
      </c>
      <c r="W429" s="630" t="s">
        <v>560</v>
      </c>
      <c r="X429" s="630" t="s">
        <v>541</v>
      </c>
      <c r="Y429" s="630" t="s">
        <v>541</v>
      </c>
      <c r="Z429" s="630">
        <v>0.26410800000000001</v>
      </c>
      <c r="AA429" s="630">
        <v>0.425041</v>
      </c>
      <c r="AB429" s="631">
        <v>0</v>
      </c>
      <c r="AC429" s="631">
        <v>0</v>
      </c>
      <c r="AD429" s="631">
        <f t="shared" si="6"/>
        <v>0</v>
      </c>
    </row>
    <row r="430" spans="2:30" x14ac:dyDescent="0.15">
      <c r="B430" s="630">
        <v>17097009349</v>
      </c>
      <c r="C430" s="630">
        <v>17097004520</v>
      </c>
      <c r="D430" s="630">
        <v>17097007468</v>
      </c>
      <c r="E430" s="630" t="s">
        <v>533</v>
      </c>
      <c r="F430" s="630" t="s">
        <v>534</v>
      </c>
      <c r="G430" s="630" t="s">
        <v>373</v>
      </c>
      <c r="H430" s="630" t="s">
        <v>382</v>
      </c>
      <c r="I430" s="630"/>
      <c r="J430" s="630" t="s">
        <v>547</v>
      </c>
      <c r="K430" s="630"/>
      <c r="L430" s="630"/>
      <c r="M430" s="630"/>
      <c r="N430" s="630"/>
      <c r="O430" s="630"/>
      <c r="P430" s="630"/>
      <c r="Q430" s="630"/>
      <c r="R430" s="630"/>
      <c r="S430" s="630" t="s">
        <v>608</v>
      </c>
      <c r="T430" s="630"/>
      <c r="U430" s="630" t="s">
        <v>538</v>
      </c>
      <c r="V430" s="630">
        <v>2</v>
      </c>
      <c r="W430" s="630" t="s">
        <v>566</v>
      </c>
      <c r="X430" s="630" t="s">
        <v>549</v>
      </c>
      <c r="Y430" s="630" t="s">
        <v>549</v>
      </c>
      <c r="Z430" s="630">
        <v>0.170735</v>
      </c>
      <c r="AA430" s="630">
        <v>0.27477099999999999</v>
      </c>
      <c r="AB430" s="631">
        <v>9672</v>
      </c>
      <c r="AC430" s="631">
        <v>874093</v>
      </c>
      <c r="AD430" s="631">
        <f t="shared" si="6"/>
        <v>149238.26835500001</v>
      </c>
    </row>
    <row r="431" spans="2:30" x14ac:dyDescent="0.15">
      <c r="B431" s="630">
        <v>17031009553</v>
      </c>
      <c r="C431" s="630">
        <v>17031007649</v>
      </c>
      <c r="D431" s="630">
        <v>17031001522</v>
      </c>
      <c r="E431" s="630" t="s">
        <v>533</v>
      </c>
      <c r="F431" s="630" t="s">
        <v>534</v>
      </c>
      <c r="G431" s="630" t="s">
        <v>365</v>
      </c>
      <c r="H431" s="630" t="s">
        <v>382</v>
      </c>
      <c r="I431" s="630"/>
      <c r="J431" s="630"/>
      <c r="K431" s="630"/>
      <c r="L431" s="630"/>
      <c r="M431" s="630"/>
      <c r="N431" s="630"/>
      <c r="O431" s="630"/>
      <c r="P431" s="630"/>
      <c r="Q431" s="630"/>
      <c r="R431" s="630"/>
      <c r="S431" s="630" t="s">
        <v>576</v>
      </c>
      <c r="T431" s="630"/>
      <c r="U431" s="630" t="s">
        <v>559</v>
      </c>
      <c r="V431" s="630">
        <v>1</v>
      </c>
      <c r="W431" s="630" t="s">
        <v>560</v>
      </c>
      <c r="X431" s="630" t="s">
        <v>541</v>
      </c>
      <c r="Y431" s="630" t="s">
        <v>541</v>
      </c>
      <c r="Z431" s="630">
        <v>0.22430900000000001</v>
      </c>
      <c r="AA431" s="630">
        <v>0.36099100000000001</v>
      </c>
      <c r="AB431" s="631">
        <v>0</v>
      </c>
      <c r="AC431" s="631">
        <v>0</v>
      </c>
      <c r="AD431" s="631">
        <f t="shared" si="6"/>
        <v>0</v>
      </c>
    </row>
    <row r="432" spans="2:30" x14ac:dyDescent="0.15">
      <c r="B432" s="630">
        <v>17031009732</v>
      </c>
      <c r="C432" s="630">
        <v>17031007812</v>
      </c>
      <c r="D432" s="630">
        <v>17031007810</v>
      </c>
      <c r="E432" s="630" t="s">
        <v>533</v>
      </c>
      <c r="F432" s="630" t="s">
        <v>534</v>
      </c>
      <c r="G432" s="630" t="s">
        <v>365</v>
      </c>
      <c r="H432" s="630" t="s">
        <v>613</v>
      </c>
      <c r="I432" s="630"/>
      <c r="J432" s="630" t="s">
        <v>577</v>
      </c>
      <c r="K432" s="630" t="s">
        <v>572</v>
      </c>
      <c r="L432" s="630"/>
      <c r="M432" s="630"/>
      <c r="N432" s="630"/>
      <c r="O432" s="630"/>
      <c r="P432" s="630"/>
      <c r="Q432" s="630"/>
      <c r="R432" s="630"/>
      <c r="S432" s="630"/>
      <c r="T432" s="630"/>
      <c r="U432" s="630" t="s">
        <v>559</v>
      </c>
      <c r="V432" s="630">
        <v>1</v>
      </c>
      <c r="W432" s="630" t="s">
        <v>560</v>
      </c>
      <c r="X432" s="630" t="s">
        <v>541</v>
      </c>
      <c r="Y432" s="630" t="s">
        <v>541</v>
      </c>
      <c r="Z432" s="630">
        <v>1.8491E-2</v>
      </c>
      <c r="AA432" s="630">
        <v>2.9758E-2</v>
      </c>
      <c r="AB432" s="631">
        <v>0</v>
      </c>
      <c r="AC432" s="631">
        <v>0</v>
      </c>
      <c r="AD432" s="631">
        <f t="shared" si="6"/>
        <v>0</v>
      </c>
    </row>
    <row r="433" spans="2:30" x14ac:dyDescent="0.15">
      <c r="B433" s="630">
        <v>17031002203</v>
      </c>
      <c r="C433" s="630">
        <v>17999019947</v>
      </c>
      <c r="D433" s="630">
        <v>17031000339</v>
      </c>
      <c r="E433" s="630" t="s">
        <v>533</v>
      </c>
      <c r="F433" s="630" t="s">
        <v>534</v>
      </c>
      <c r="G433" s="630" t="s">
        <v>365</v>
      </c>
      <c r="H433" s="630" t="s">
        <v>382</v>
      </c>
      <c r="I433" s="630"/>
      <c r="J433" s="630" t="s">
        <v>552</v>
      </c>
      <c r="K433" s="630"/>
      <c r="L433" s="630"/>
      <c r="M433" s="630"/>
      <c r="N433" s="630"/>
      <c r="O433" s="630"/>
      <c r="P433" s="630"/>
      <c r="Q433" s="630"/>
      <c r="R433" s="630"/>
      <c r="S433" s="630" t="s">
        <v>586</v>
      </c>
      <c r="T433" s="630"/>
      <c r="U433" s="630" t="s">
        <v>538</v>
      </c>
      <c r="V433" s="630">
        <v>2</v>
      </c>
      <c r="W433" s="630" t="s">
        <v>582</v>
      </c>
      <c r="X433" s="630" t="s">
        <v>580</v>
      </c>
      <c r="Y433" s="630" t="s">
        <v>549</v>
      </c>
      <c r="Z433" s="630">
        <v>0.69888700000000004</v>
      </c>
      <c r="AA433" s="630">
        <v>1.1247510000000001</v>
      </c>
      <c r="AB433" s="631">
        <v>605882</v>
      </c>
      <c r="AC433" s="631">
        <v>41727974</v>
      </c>
      <c r="AD433" s="631">
        <f t="shared" si="6"/>
        <v>29163138.564938001</v>
      </c>
    </row>
    <row r="434" spans="2:30" x14ac:dyDescent="0.15">
      <c r="B434" s="630">
        <v>17031002214</v>
      </c>
      <c r="C434" s="630">
        <v>17031000545</v>
      </c>
      <c r="D434" s="630">
        <v>17031000536</v>
      </c>
      <c r="E434" s="630" t="s">
        <v>533</v>
      </c>
      <c r="F434" s="630" t="s">
        <v>534</v>
      </c>
      <c r="G434" s="630" t="s">
        <v>365</v>
      </c>
      <c r="H434" s="630" t="s">
        <v>382</v>
      </c>
      <c r="I434" s="630"/>
      <c r="J434" s="630" t="s">
        <v>572</v>
      </c>
      <c r="K434" s="630"/>
      <c r="L434" s="630"/>
      <c r="M434" s="630"/>
      <c r="N434" s="630"/>
      <c r="O434" s="630"/>
      <c r="P434" s="630"/>
      <c r="Q434" s="630"/>
      <c r="R434" s="630"/>
      <c r="S434" s="630" t="s">
        <v>650</v>
      </c>
      <c r="T434" s="630" t="s">
        <v>626</v>
      </c>
      <c r="U434" s="630" t="s">
        <v>559</v>
      </c>
      <c r="V434" s="630">
        <v>1</v>
      </c>
      <c r="W434" s="630" t="s">
        <v>539</v>
      </c>
      <c r="X434" s="630" t="s">
        <v>541</v>
      </c>
      <c r="Y434" s="630" t="s">
        <v>541</v>
      </c>
      <c r="Z434" s="630">
        <v>0.532447</v>
      </c>
      <c r="AA434" s="630">
        <v>0.85689300000000002</v>
      </c>
      <c r="AB434" s="631">
        <v>0</v>
      </c>
      <c r="AC434" s="631">
        <v>0</v>
      </c>
      <c r="AD434" s="631">
        <f t="shared" si="6"/>
        <v>0</v>
      </c>
    </row>
    <row r="435" spans="2:30" x14ac:dyDescent="0.15">
      <c r="B435" s="630">
        <v>17097002260</v>
      </c>
      <c r="C435" s="630">
        <v>17097004565</v>
      </c>
      <c r="D435" s="630">
        <v>17097004550</v>
      </c>
      <c r="E435" s="630" t="s">
        <v>533</v>
      </c>
      <c r="F435" s="630" t="s">
        <v>534</v>
      </c>
      <c r="G435" s="630" t="s">
        <v>373</v>
      </c>
      <c r="H435" s="630" t="s">
        <v>382</v>
      </c>
      <c r="I435" s="630"/>
      <c r="J435" s="630" t="s">
        <v>535</v>
      </c>
      <c r="K435" s="630" t="s">
        <v>547</v>
      </c>
      <c r="L435" s="630"/>
      <c r="M435" s="630"/>
      <c r="N435" s="630"/>
      <c r="O435" s="630"/>
      <c r="P435" s="630"/>
      <c r="Q435" s="630"/>
      <c r="R435" s="630"/>
      <c r="S435" s="630" t="s">
        <v>565</v>
      </c>
      <c r="T435" s="630"/>
      <c r="U435" s="630" t="s">
        <v>538</v>
      </c>
      <c r="V435" s="630">
        <v>2</v>
      </c>
      <c r="W435" s="630" t="s">
        <v>566</v>
      </c>
      <c r="X435" s="630" t="s">
        <v>540</v>
      </c>
      <c r="Y435" s="630" t="s">
        <v>549</v>
      </c>
      <c r="Z435" s="630">
        <v>0.49994300000000003</v>
      </c>
      <c r="AA435" s="630">
        <v>0.80458200000000002</v>
      </c>
      <c r="AB435" s="631">
        <v>4940</v>
      </c>
      <c r="AC435" s="631">
        <v>456256</v>
      </c>
      <c r="AD435" s="631">
        <f t="shared" si="6"/>
        <v>228101.99340800001</v>
      </c>
    </row>
    <row r="436" spans="2:30" x14ac:dyDescent="0.15">
      <c r="B436" s="630">
        <v>17031002271</v>
      </c>
      <c r="C436" s="630">
        <v>17031000780</v>
      </c>
      <c r="D436" s="630">
        <v>17031000778</v>
      </c>
      <c r="E436" s="630" t="s">
        <v>533</v>
      </c>
      <c r="F436" s="630" t="s">
        <v>534</v>
      </c>
      <c r="G436" s="630" t="s">
        <v>365</v>
      </c>
      <c r="H436" s="630" t="s">
        <v>535</v>
      </c>
      <c r="I436" s="630"/>
      <c r="J436" s="630" t="s">
        <v>542</v>
      </c>
      <c r="K436" s="630" t="s">
        <v>572</v>
      </c>
      <c r="L436" s="630" t="s">
        <v>547</v>
      </c>
      <c r="M436" s="630" t="s">
        <v>382</v>
      </c>
      <c r="N436" s="630"/>
      <c r="O436" s="630"/>
      <c r="P436" s="630"/>
      <c r="Q436" s="630"/>
      <c r="R436" s="630"/>
      <c r="S436" s="630" t="s">
        <v>601</v>
      </c>
      <c r="T436" s="630"/>
      <c r="U436" s="630" t="s">
        <v>538</v>
      </c>
      <c r="V436" s="630">
        <v>2</v>
      </c>
      <c r="W436" s="630" t="s">
        <v>545</v>
      </c>
      <c r="X436" s="630" t="s">
        <v>540</v>
      </c>
      <c r="Y436" s="630" t="s">
        <v>549</v>
      </c>
      <c r="Z436" s="630">
        <v>0.48915900000000001</v>
      </c>
      <c r="AA436" s="630">
        <v>0.78722599999999998</v>
      </c>
      <c r="AB436" s="631">
        <v>103316</v>
      </c>
      <c r="AC436" s="631">
        <v>4167946</v>
      </c>
      <c r="AD436" s="631">
        <f t="shared" si="6"/>
        <v>2038788.2974140001</v>
      </c>
    </row>
    <row r="437" spans="2:30" x14ac:dyDescent="0.15">
      <c r="B437" s="630">
        <v>17031002427</v>
      </c>
      <c r="C437" s="630">
        <v>17031000675</v>
      </c>
      <c r="D437" s="630">
        <v>17031000723</v>
      </c>
      <c r="E437" s="630" t="s">
        <v>533</v>
      </c>
      <c r="F437" s="630" t="s">
        <v>534</v>
      </c>
      <c r="G437" s="630" t="s">
        <v>365</v>
      </c>
      <c r="H437" s="630" t="s">
        <v>535</v>
      </c>
      <c r="I437" s="630"/>
      <c r="J437" s="630"/>
      <c r="K437" s="630"/>
      <c r="L437" s="630"/>
      <c r="M437" s="630"/>
      <c r="N437" s="630"/>
      <c r="O437" s="630"/>
      <c r="P437" s="630"/>
      <c r="Q437" s="630"/>
      <c r="R437" s="630"/>
      <c r="S437" s="630" t="s">
        <v>624</v>
      </c>
      <c r="T437" s="630"/>
      <c r="U437" s="630" t="s">
        <v>538</v>
      </c>
      <c r="V437" s="630">
        <v>2</v>
      </c>
      <c r="W437" s="630" t="s">
        <v>582</v>
      </c>
      <c r="X437" s="630" t="s">
        <v>554</v>
      </c>
      <c r="Y437" s="630" t="s">
        <v>554</v>
      </c>
      <c r="Z437" s="630">
        <v>3.0634350000000001</v>
      </c>
      <c r="AA437" s="630">
        <v>4.9301300000000001</v>
      </c>
      <c r="AB437" s="631">
        <v>0</v>
      </c>
      <c r="AC437" s="631">
        <v>0</v>
      </c>
      <c r="AD437" s="631">
        <f t="shared" si="6"/>
        <v>0</v>
      </c>
    </row>
    <row r="438" spans="2:30" x14ac:dyDescent="0.15">
      <c r="B438" s="630">
        <v>17031004057</v>
      </c>
      <c r="C438" s="630">
        <v>17031007820</v>
      </c>
      <c r="D438" s="630">
        <v>17031001118</v>
      </c>
      <c r="E438" s="630" t="s">
        <v>533</v>
      </c>
      <c r="F438" s="630" t="s">
        <v>534</v>
      </c>
      <c r="G438" s="630" t="s">
        <v>365</v>
      </c>
      <c r="H438" s="630" t="s">
        <v>543</v>
      </c>
      <c r="I438" s="630"/>
      <c r="J438" s="630"/>
      <c r="K438" s="630"/>
      <c r="L438" s="630"/>
      <c r="M438" s="630"/>
      <c r="N438" s="630"/>
      <c r="O438" s="630"/>
      <c r="P438" s="630"/>
      <c r="Q438" s="630"/>
      <c r="R438" s="630"/>
      <c r="S438" s="630" t="s">
        <v>617</v>
      </c>
      <c r="T438" s="630"/>
      <c r="U438" s="630" t="s">
        <v>559</v>
      </c>
      <c r="V438" s="630">
        <v>1</v>
      </c>
      <c r="W438" s="630" t="s">
        <v>560</v>
      </c>
      <c r="X438" s="630" t="s">
        <v>541</v>
      </c>
      <c r="Y438" s="630" t="s">
        <v>541</v>
      </c>
      <c r="Z438" s="630">
        <v>0.73368</v>
      </c>
      <c r="AA438" s="630">
        <v>1.180747</v>
      </c>
      <c r="AB438" s="631">
        <v>0</v>
      </c>
      <c r="AC438" s="631">
        <v>0</v>
      </c>
      <c r="AD438" s="631">
        <f t="shared" si="6"/>
        <v>0</v>
      </c>
    </row>
    <row r="439" spans="2:30" x14ac:dyDescent="0.15">
      <c r="B439" s="630">
        <v>17043004083</v>
      </c>
      <c r="C439" s="630">
        <v>17043004767</v>
      </c>
      <c r="D439" s="630">
        <v>17043000584</v>
      </c>
      <c r="E439" s="630" t="s">
        <v>533</v>
      </c>
      <c r="F439" s="630" t="s">
        <v>534</v>
      </c>
      <c r="G439" s="630" t="s">
        <v>367</v>
      </c>
      <c r="H439" s="630" t="s">
        <v>535</v>
      </c>
      <c r="I439" s="630"/>
      <c r="J439" s="630"/>
      <c r="K439" s="630"/>
      <c r="L439" s="630"/>
      <c r="M439" s="630"/>
      <c r="N439" s="630"/>
      <c r="O439" s="630"/>
      <c r="P439" s="630"/>
      <c r="Q439" s="630"/>
      <c r="R439" s="630"/>
      <c r="S439" s="630" t="s">
        <v>624</v>
      </c>
      <c r="T439" s="630"/>
      <c r="U439" s="630" t="s">
        <v>538</v>
      </c>
      <c r="V439" s="630">
        <v>1</v>
      </c>
      <c r="W439" s="630" t="s">
        <v>582</v>
      </c>
      <c r="X439" s="630" t="s">
        <v>554</v>
      </c>
      <c r="Y439" s="630" t="s">
        <v>540</v>
      </c>
      <c r="Z439" s="630">
        <v>2.0170249999999998</v>
      </c>
      <c r="AA439" s="630">
        <v>3.2460930000000001</v>
      </c>
      <c r="AB439" s="631">
        <v>840</v>
      </c>
      <c r="AC439" s="631">
        <v>70920</v>
      </c>
      <c r="AD439" s="631">
        <f t="shared" si="6"/>
        <v>143047.413</v>
      </c>
    </row>
    <row r="440" spans="2:30" x14ac:dyDescent="0.15">
      <c r="B440" s="630">
        <v>17031004989</v>
      </c>
      <c r="C440" s="630">
        <v>17031001393</v>
      </c>
      <c r="D440" s="630">
        <v>17031001386</v>
      </c>
      <c r="E440" s="630" t="s">
        <v>533</v>
      </c>
      <c r="F440" s="630" t="s">
        <v>534</v>
      </c>
      <c r="G440" s="630" t="s">
        <v>365</v>
      </c>
      <c r="H440" s="630" t="s">
        <v>551</v>
      </c>
      <c r="I440" s="630"/>
      <c r="J440" s="630" t="s">
        <v>557</v>
      </c>
      <c r="K440" s="630"/>
      <c r="L440" s="630"/>
      <c r="M440" s="630"/>
      <c r="N440" s="630"/>
      <c r="O440" s="630"/>
      <c r="P440" s="630"/>
      <c r="Q440" s="630"/>
      <c r="R440" s="630"/>
      <c r="S440" s="630" t="s">
        <v>603</v>
      </c>
      <c r="T440" s="630"/>
      <c r="U440" s="630" t="s">
        <v>538</v>
      </c>
      <c r="V440" s="630">
        <v>1</v>
      </c>
      <c r="W440" s="630" t="s">
        <v>545</v>
      </c>
      <c r="X440" s="630" t="s">
        <v>575</v>
      </c>
      <c r="Y440" s="630" t="s">
        <v>554</v>
      </c>
      <c r="Z440" s="630">
        <v>0.10864</v>
      </c>
      <c r="AA440" s="630">
        <v>0.17484</v>
      </c>
      <c r="AB440" s="631">
        <v>0</v>
      </c>
      <c r="AC440" s="631">
        <v>0</v>
      </c>
      <c r="AD440" s="631">
        <f t="shared" si="6"/>
        <v>0</v>
      </c>
    </row>
    <row r="441" spans="2:30" x14ac:dyDescent="0.15">
      <c r="B441" s="630">
        <v>17031005080</v>
      </c>
      <c r="C441" s="630">
        <v>17031001324</v>
      </c>
      <c r="D441" s="630">
        <v>17031001346</v>
      </c>
      <c r="E441" s="630" t="s">
        <v>533</v>
      </c>
      <c r="F441" s="630" t="s">
        <v>534</v>
      </c>
      <c r="G441" s="630" t="s">
        <v>365</v>
      </c>
      <c r="H441" s="630" t="s">
        <v>543</v>
      </c>
      <c r="I441" s="630"/>
      <c r="J441" s="630"/>
      <c r="K441" s="630"/>
      <c r="L441" s="630"/>
      <c r="M441" s="630"/>
      <c r="N441" s="630"/>
      <c r="O441" s="630"/>
      <c r="P441" s="630"/>
      <c r="Q441" s="630"/>
      <c r="R441" s="630"/>
      <c r="S441" s="630"/>
      <c r="T441" s="630" t="s">
        <v>669</v>
      </c>
      <c r="U441" s="630" t="s">
        <v>559</v>
      </c>
      <c r="V441" s="630">
        <v>1</v>
      </c>
      <c r="W441" s="630" t="s">
        <v>560</v>
      </c>
      <c r="X441" s="630" t="s">
        <v>541</v>
      </c>
      <c r="Y441" s="630" t="s">
        <v>541</v>
      </c>
      <c r="Z441" s="630">
        <v>7.7465999999999993E-2</v>
      </c>
      <c r="AA441" s="630">
        <v>0.124669</v>
      </c>
      <c r="AB441" s="631">
        <v>0</v>
      </c>
      <c r="AC441" s="631">
        <v>0</v>
      </c>
      <c r="AD441" s="631">
        <f t="shared" si="6"/>
        <v>0</v>
      </c>
    </row>
    <row r="442" spans="2:30" x14ac:dyDescent="0.15">
      <c r="B442" s="630">
        <v>17089005758</v>
      </c>
      <c r="C442" s="630">
        <v>17089000990</v>
      </c>
      <c r="D442" s="630">
        <v>17089000982</v>
      </c>
      <c r="E442" s="630" t="s">
        <v>533</v>
      </c>
      <c r="F442" s="630" t="s">
        <v>534</v>
      </c>
      <c r="G442" s="630" t="s">
        <v>369</v>
      </c>
      <c r="H442" s="630" t="s">
        <v>381</v>
      </c>
      <c r="I442" s="630"/>
      <c r="J442" s="630" t="s">
        <v>547</v>
      </c>
      <c r="K442" s="630"/>
      <c r="L442" s="630"/>
      <c r="M442" s="630"/>
      <c r="N442" s="630"/>
      <c r="O442" s="630"/>
      <c r="P442" s="630"/>
      <c r="Q442" s="630"/>
      <c r="R442" s="630"/>
      <c r="S442" s="630" t="s">
        <v>585</v>
      </c>
      <c r="T442" s="630"/>
      <c r="U442" s="630" t="s">
        <v>538</v>
      </c>
      <c r="V442" s="630">
        <v>2</v>
      </c>
      <c r="W442" s="630" t="s">
        <v>545</v>
      </c>
      <c r="X442" s="630" t="s">
        <v>541</v>
      </c>
      <c r="Y442" s="630" t="s">
        <v>554</v>
      </c>
      <c r="Z442" s="630">
        <v>0.93219799999999997</v>
      </c>
      <c r="AA442" s="630">
        <v>1.50023</v>
      </c>
      <c r="AB442" s="631">
        <v>640</v>
      </c>
      <c r="AC442" s="631">
        <v>61280</v>
      </c>
      <c r="AD442" s="631">
        <f t="shared" si="6"/>
        <v>57125.093439999997</v>
      </c>
    </row>
    <row r="443" spans="2:30" x14ac:dyDescent="0.15">
      <c r="B443" s="630">
        <v>17043006055</v>
      </c>
      <c r="C443" s="630">
        <v>17999099090</v>
      </c>
      <c r="D443" s="630">
        <v>17043000522</v>
      </c>
      <c r="E443" s="630" t="s">
        <v>533</v>
      </c>
      <c r="F443" s="630" t="s">
        <v>534</v>
      </c>
      <c r="G443" s="630" t="s">
        <v>367</v>
      </c>
      <c r="H443" s="630" t="s">
        <v>382</v>
      </c>
      <c r="I443" s="630"/>
      <c r="J443" s="630"/>
      <c r="K443" s="630"/>
      <c r="L443" s="630"/>
      <c r="M443" s="630"/>
      <c r="N443" s="630"/>
      <c r="O443" s="630"/>
      <c r="P443" s="630"/>
      <c r="Q443" s="630"/>
      <c r="R443" s="630"/>
      <c r="S443" s="630"/>
      <c r="T443" s="630" t="s">
        <v>626</v>
      </c>
      <c r="U443" s="630" t="s">
        <v>559</v>
      </c>
      <c r="V443" s="630">
        <v>1</v>
      </c>
      <c r="W443" s="630" t="s">
        <v>562</v>
      </c>
      <c r="X443" s="630" t="s">
        <v>541</v>
      </c>
      <c r="Y443" s="630" t="s">
        <v>541</v>
      </c>
      <c r="Z443" s="630">
        <v>0.233903</v>
      </c>
      <c r="AA443" s="630">
        <v>0.37643100000000002</v>
      </c>
      <c r="AB443" s="631">
        <v>206080</v>
      </c>
      <c r="AC443" s="631">
        <v>3031800</v>
      </c>
      <c r="AD443" s="631">
        <f t="shared" si="6"/>
        <v>709147.11540000001</v>
      </c>
    </row>
    <row r="444" spans="2:30" x14ac:dyDescent="0.15">
      <c r="B444" s="630">
        <v>17031006167</v>
      </c>
      <c r="C444" s="630">
        <v>17031000688</v>
      </c>
      <c r="D444" s="630">
        <v>17031000718</v>
      </c>
      <c r="E444" s="630" t="s">
        <v>533</v>
      </c>
      <c r="F444" s="630" t="s">
        <v>534</v>
      </c>
      <c r="G444" s="630" t="s">
        <v>365</v>
      </c>
      <c r="H444" s="630" t="s">
        <v>381</v>
      </c>
      <c r="I444" s="630"/>
      <c r="J444" s="630"/>
      <c r="K444" s="630"/>
      <c r="L444" s="630"/>
      <c r="M444" s="630"/>
      <c r="N444" s="630"/>
      <c r="O444" s="630"/>
      <c r="P444" s="630"/>
      <c r="Q444" s="630"/>
      <c r="R444" s="630"/>
      <c r="S444" s="630"/>
      <c r="T444" s="630"/>
      <c r="U444" s="630" t="s">
        <v>559</v>
      </c>
      <c r="V444" s="630">
        <v>1</v>
      </c>
      <c r="W444" s="630" t="s">
        <v>560</v>
      </c>
      <c r="X444" s="630" t="s">
        <v>541</v>
      </c>
      <c r="Y444" s="630" t="s">
        <v>541</v>
      </c>
      <c r="Z444" s="630">
        <v>0.73253599999999996</v>
      </c>
      <c r="AA444" s="630">
        <v>1.178904</v>
      </c>
      <c r="AB444" s="631">
        <v>0</v>
      </c>
      <c r="AC444" s="631">
        <v>0</v>
      </c>
      <c r="AD444" s="631">
        <f t="shared" si="6"/>
        <v>0</v>
      </c>
    </row>
    <row r="445" spans="2:30" x14ac:dyDescent="0.15">
      <c r="B445" s="630">
        <v>17031006318</v>
      </c>
      <c r="C445" s="630">
        <v>17031000910</v>
      </c>
      <c r="D445" s="630">
        <v>17031000934</v>
      </c>
      <c r="E445" s="630" t="s">
        <v>533</v>
      </c>
      <c r="F445" s="630" t="s">
        <v>534</v>
      </c>
      <c r="G445" s="630" t="s">
        <v>365</v>
      </c>
      <c r="H445" s="630" t="s">
        <v>535</v>
      </c>
      <c r="I445" s="630"/>
      <c r="J445" s="630" t="s">
        <v>542</v>
      </c>
      <c r="K445" s="630" t="s">
        <v>572</v>
      </c>
      <c r="L445" s="630" t="s">
        <v>547</v>
      </c>
      <c r="M445" s="630" t="s">
        <v>382</v>
      </c>
      <c r="N445" s="630" t="s">
        <v>552</v>
      </c>
      <c r="O445" s="630" t="s">
        <v>381</v>
      </c>
      <c r="P445" s="630"/>
      <c r="Q445" s="630"/>
      <c r="R445" s="630"/>
      <c r="S445" s="630" t="s">
        <v>601</v>
      </c>
      <c r="T445" s="630"/>
      <c r="U445" s="630" t="s">
        <v>538</v>
      </c>
      <c r="V445" s="630">
        <v>2</v>
      </c>
      <c r="W445" s="630" t="s">
        <v>545</v>
      </c>
      <c r="X445" s="630" t="s">
        <v>540</v>
      </c>
      <c r="Y445" s="630" t="s">
        <v>549</v>
      </c>
      <c r="Z445" s="630">
        <v>7.2438000000000002E-2</v>
      </c>
      <c r="AA445" s="630">
        <v>0.116578</v>
      </c>
      <c r="AB445" s="631">
        <v>2020</v>
      </c>
      <c r="AC445" s="631">
        <v>180608</v>
      </c>
      <c r="AD445" s="631">
        <f t="shared" si="6"/>
        <v>13082.882304000001</v>
      </c>
    </row>
    <row r="446" spans="2:30" x14ac:dyDescent="0.15">
      <c r="B446" s="630">
        <v>17031006339</v>
      </c>
      <c r="C446" s="630">
        <v>17031000259</v>
      </c>
      <c r="D446" s="630">
        <v>17031004588</v>
      </c>
      <c r="E446" s="630" t="s">
        <v>533</v>
      </c>
      <c r="F446" s="630" t="s">
        <v>534</v>
      </c>
      <c r="G446" s="630" t="s">
        <v>365</v>
      </c>
      <c r="H446" s="630" t="s">
        <v>382</v>
      </c>
      <c r="I446" s="630"/>
      <c r="J446" s="630" t="s">
        <v>535</v>
      </c>
      <c r="K446" s="630"/>
      <c r="L446" s="630"/>
      <c r="M446" s="630"/>
      <c r="N446" s="630"/>
      <c r="O446" s="630"/>
      <c r="P446" s="630"/>
      <c r="Q446" s="630"/>
      <c r="R446" s="630"/>
      <c r="S446" s="630" t="s">
        <v>586</v>
      </c>
      <c r="T446" s="630"/>
      <c r="U446" s="630" t="s">
        <v>538</v>
      </c>
      <c r="V446" s="630">
        <v>2</v>
      </c>
      <c r="W446" s="630" t="s">
        <v>582</v>
      </c>
      <c r="X446" s="630" t="s">
        <v>549</v>
      </c>
      <c r="Y446" s="630" t="s">
        <v>549</v>
      </c>
      <c r="Z446" s="630">
        <v>1.3260400000000001</v>
      </c>
      <c r="AA446" s="630">
        <v>2.1340590000000002</v>
      </c>
      <c r="AB446" s="631">
        <v>92223</v>
      </c>
      <c r="AC446" s="631">
        <v>10277729</v>
      </c>
      <c r="AD446" s="631">
        <f t="shared" si="6"/>
        <v>13628679.763160001</v>
      </c>
    </row>
    <row r="447" spans="2:30" x14ac:dyDescent="0.15">
      <c r="B447" s="630">
        <v>17031006450</v>
      </c>
      <c r="C447" s="630">
        <v>17031001543</v>
      </c>
      <c r="D447" s="630">
        <v>17031001528</v>
      </c>
      <c r="E447" s="630" t="s">
        <v>533</v>
      </c>
      <c r="F447" s="630" t="s">
        <v>534</v>
      </c>
      <c r="G447" s="630" t="s">
        <v>365</v>
      </c>
      <c r="H447" s="630" t="s">
        <v>382</v>
      </c>
      <c r="I447" s="630"/>
      <c r="J447" s="630"/>
      <c r="K447" s="630"/>
      <c r="L447" s="630"/>
      <c r="M447" s="630"/>
      <c r="N447" s="630"/>
      <c r="O447" s="630"/>
      <c r="P447" s="630"/>
      <c r="Q447" s="630"/>
      <c r="R447" s="630"/>
      <c r="S447" s="630" t="s">
        <v>576</v>
      </c>
      <c r="T447" s="630"/>
      <c r="U447" s="630" t="s">
        <v>559</v>
      </c>
      <c r="V447" s="630">
        <v>1</v>
      </c>
      <c r="W447" s="630" t="s">
        <v>560</v>
      </c>
      <c r="X447" s="630" t="s">
        <v>541</v>
      </c>
      <c r="Y447" s="630" t="s">
        <v>541</v>
      </c>
      <c r="Z447" s="630">
        <v>7.2559999999999999E-2</v>
      </c>
      <c r="AA447" s="630">
        <v>0.116775</v>
      </c>
      <c r="AB447" s="631">
        <v>0</v>
      </c>
      <c r="AC447" s="631">
        <v>0</v>
      </c>
      <c r="AD447" s="631">
        <f t="shared" si="6"/>
        <v>0</v>
      </c>
    </row>
    <row r="448" spans="2:30" x14ac:dyDescent="0.15">
      <c r="B448" s="630">
        <v>17031006493</v>
      </c>
      <c r="C448" s="630">
        <v>17031001167</v>
      </c>
      <c r="D448" s="630">
        <v>17031001415</v>
      </c>
      <c r="E448" s="630" t="s">
        <v>533</v>
      </c>
      <c r="F448" s="630" t="s">
        <v>534</v>
      </c>
      <c r="G448" s="630" t="s">
        <v>365</v>
      </c>
      <c r="H448" s="630" t="s">
        <v>547</v>
      </c>
      <c r="I448" s="630"/>
      <c r="J448" s="630"/>
      <c r="K448" s="630"/>
      <c r="L448" s="630"/>
      <c r="M448" s="630"/>
      <c r="N448" s="630"/>
      <c r="O448" s="630"/>
      <c r="P448" s="630"/>
      <c r="Q448" s="630"/>
      <c r="R448" s="630"/>
      <c r="S448" s="630"/>
      <c r="T448" s="630"/>
      <c r="U448" s="630" t="s">
        <v>538</v>
      </c>
      <c r="V448" s="630">
        <v>4</v>
      </c>
      <c r="W448" s="630" t="s">
        <v>545</v>
      </c>
      <c r="X448" s="630" t="s">
        <v>541</v>
      </c>
      <c r="Y448" s="630" t="s">
        <v>540</v>
      </c>
      <c r="Z448" s="630">
        <v>4.9474049999999998</v>
      </c>
      <c r="AA448" s="630">
        <v>7.9620930000000003</v>
      </c>
      <c r="AB448" s="631">
        <v>0</v>
      </c>
      <c r="AC448" s="631">
        <v>0</v>
      </c>
      <c r="AD448" s="631">
        <f t="shared" si="6"/>
        <v>0</v>
      </c>
    </row>
    <row r="449" spans="2:30" x14ac:dyDescent="0.15">
      <c r="B449" s="630">
        <v>17089006563</v>
      </c>
      <c r="C449" s="630">
        <v>17089000473</v>
      </c>
      <c r="D449" s="630">
        <v>17089000474</v>
      </c>
      <c r="E449" s="630" t="s">
        <v>533</v>
      </c>
      <c r="F449" s="630" t="s">
        <v>534</v>
      </c>
      <c r="G449" s="630" t="s">
        <v>369</v>
      </c>
      <c r="H449" s="630" t="s">
        <v>382</v>
      </c>
      <c r="I449" s="630"/>
      <c r="J449" s="630"/>
      <c r="K449" s="630"/>
      <c r="L449" s="630"/>
      <c r="M449" s="630"/>
      <c r="N449" s="630"/>
      <c r="O449" s="630"/>
      <c r="P449" s="630"/>
      <c r="Q449" s="630"/>
      <c r="R449" s="630"/>
      <c r="S449" s="630" t="s">
        <v>635</v>
      </c>
      <c r="T449" s="630"/>
      <c r="U449" s="630" t="s">
        <v>559</v>
      </c>
      <c r="V449" s="630">
        <v>1</v>
      </c>
      <c r="W449" s="630" t="s">
        <v>560</v>
      </c>
      <c r="X449" s="630" t="s">
        <v>541</v>
      </c>
      <c r="Y449" s="630" t="s">
        <v>541</v>
      </c>
      <c r="Z449" s="630">
        <v>0.30532799999999999</v>
      </c>
      <c r="AA449" s="630">
        <v>0.49137900000000001</v>
      </c>
      <c r="AB449" s="631">
        <v>0</v>
      </c>
      <c r="AC449" s="631">
        <v>0</v>
      </c>
      <c r="AD449" s="631">
        <f t="shared" si="6"/>
        <v>0</v>
      </c>
    </row>
    <row r="450" spans="2:30" x14ac:dyDescent="0.15">
      <c r="B450" s="630">
        <v>17197007027</v>
      </c>
      <c r="C450" s="630">
        <v>17197005582</v>
      </c>
      <c r="D450" s="630">
        <v>17197005583</v>
      </c>
      <c r="E450" s="630" t="s">
        <v>533</v>
      </c>
      <c r="F450" s="630" t="s">
        <v>534</v>
      </c>
      <c r="G450" s="630" t="s">
        <v>377</v>
      </c>
      <c r="H450" s="630" t="s">
        <v>382</v>
      </c>
      <c r="I450" s="630"/>
      <c r="J450" s="630"/>
      <c r="K450" s="630"/>
      <c r="L450" s="630"/>
      <c r="M450" s="630"/>
      <c r="N450" s="630"/>
      <c r="O450" s="630"/>
      <c r="P450" s="630"/>
      <c r="Q450" s="630"/>
      <c r="R450" s="630"/>
      <c r="S450" s="630" t="s">
        <v>592</v>
      </c>
      <c r="T450" s="630"/>
      <c r="U450" s="630" t="s">
        <v>559</v>
      </c>
      <c r="V450" s="630">
        <v>1</v>
      </c>
      <c r="W450" s="630" t="s">
        <v>539</v>
      </c>
      <c r="X450" s="630" t="s">
        <v>541</v>
      </c>
      <c r="Y450" s="630" t="s">
        <v>541</v>
      </c>
      <c r="Z450" s="630">
        <v>3.7377539999999998</v>
      </c>
      <c r="AA450" s="630">
        <v>6.0153439999999998</v>
      </c>
      <c r="AB450" s="631">
        <v>0</v>
      </c>
      <c r="AC450" s="631">
        <v>0</v>
      </c>
      <c r="AD450" s="631">
        <f t="shared" si="6"/>
        <v>0</v>
      </c>
    </row>
    <row r="451" spans="2:30" x14ac:dyDescent="0.15">
      <c r="B451" s="630">
        <v>17197008210</v>
      </c>
      <c r="C451" s="630">
        <v>17197004813</v>
      </c>
      <c r="D451" s="630">
        <v>17197006574</v>
      </c>
      <c r="E451" s="630" t="s">
        <v>533</v>
      </c>
      <c r="F451" s="630" t="s">
        <v>534</v>
      </c>
      <c r="G451" s="630" t="s">
        <v>377</v>
      </c>
      <c r="H451" s="630" t="s">
        <v>381</v>
      </c>
      <c r="I451" s="630"/>
      <c r="J451" s="630" t="s">
        <v>382</v>
      </c>
      <c r="K451" s="630"/>
      <c r="L451" s="630"/>
      <c r="M451" s="630"/>
      <c r="N451" s="630"/>
      <c r="O451" s="630"/>
      <c r="P451" s="630"/>
      <c r="Q451" s="630"/>
      <c r="R451" s="630"/>
      <c r="S451" s="630" t="s">
        <v>651</v>
      </c>
      <c r="T451" s="630" t="s">
        <v>651</v>
      </c>
      <c r="U451" s="630" t="s">
        <v>559</v>
      </c>
      <c r="V451" s="630">
        <v>1</v>
      </c>
      <c r="W451" s="630" t="s">
        <v>539</v>
      </c>
      <c r="X451" s="630" t="s">
        <v>540</v>
      </c>
      <c r="Y451" s="630" t="s">
        <v>554</v>
      </c>
      <c r="Z451" s="630">
        <v>9.4731999999999997E-2</v>
      </c>
      <c r="AA451" s="630">
        <v>0.15245700000000001</v>
      </c>
      <c r="AB451" s="631">
        <v>0</v>
      </c>
      <c r="AC451" s="631">
        <v>0</v>
      </c>
      <c r="AD451" s="631">
        <f t="shared" si="6"/>
        <v>0</v>
      </c>
    </row>
    <row r="452" spans="2:30" x14ac:dyDescent="0.15">
      <c r="B452" s="630">
        <v>17043009095</v>
      </c>
      <c r="C452" s="630">
        <v>17043007304</v>
      </c>
      <c r="D452" s="630">
        <v>17043004766</v>
      </c>
      <c r="E452" s="630" t="s">
        <v>533</v>
      </c>
      <c r="F452" s="630" t="s">
        <v>534</v>
      </c>
      <c r="G452" s="630" t="s">
        <v>367</v>
      </c>
      <c r="H452" s="630" t="s">
        <v>381</v>
      </c>
      <c r="I452" s="630"/>
      <c r="J452" s="630"/>
      <c r="K452" s="630"/>
      <c r="L452" s="630"/>
      <c r="M452" s="630"/>
      <c r="N452" s="630"/>
      <c r="O452" s="630"/>
      <c r="P452" s="630"/>
      <c r="Q452" s="630"/>
      <c r="R452" s="630"/>
      <c r="S452" s="630" t="s">
        <v>585</v>
      </c>
      <c r="T452" s="630"/>
      <c r="U452" s="630" t="s">
        <v>559</v>
      </c>
      <c r="V452" s="630">
        <v>1</v>
      </c>
      <c r="W452" s="630" t="s">
        <v>560</v>
      </c>
      <c r="X452" s="630" t="s">
        <v>541</v>
      </c>
      <c r="Y452" s="630" t="s">
        <v>541</v>
      </c>
      <c r="Z452" s="630">
        <v>8.8806999999999997E-2</v>
      </c>
      <c r="AA452" s="630">
        <v>0.14292099999999999</v>
      </c>
      <c r="AB452" s="631">
        <v>0</v>
      </c>
      <c r="AC452" s="631">
        <v>0</v>
      </c>
      <c r="AD452" s="631">
        <f t="shared" si="6"/>
        <v>0</v>
      </c>
    </row>
    <row r="453" spans="2:30" x14ac:dyDescent="0.15">
      <c r="B453" s="630">
        <v>17031009524</v>
      </c>
      <c r="C453" s="630">
        <v>17031007625</v>
      </c>
      <c r="D453" s="630">
        <v>99999024146</v>
      </c>
      <c r="E453" s="630" t="s">
        <v>533</v>
      </c>
      <c r="F453" s="630" t="s">
        <v>534</v>
      </c>
      <c r="G453" s="630" t="s">
        <v>365</v>
      </c>
      <c r="H453" s="630" t="s">
        <v>543</v>
      </c>
      <c r="I453" s="630"/>
      <c r="J453" s="630"/>
      <c r="K453" s="630"/>
      <c r="L453" s="630"/>
      <c r="M453" s="630"/>
      <c r="N453" s="630"/>
      <c r="O453" s="630"/>
      <c r="P453" s="630"/>
      <c r="Q453" s="630"/>
      <c r="R453" s="630"/>
      <c r="S453" s="630" t="s">
        <v>670</v>
      </c>
      <c r="T453" s="630"/>
      <c r="U453" s="630" t="s">
        <v>559</v>
      </c>
      <c r="V453" s="630">
        <v>1</v>
      </c>
      <c r="W453" s="630" t="s">
        <v>560</v>
      </c>
      <c r="X453" s="630" t="s">
        <v>541</v>
      </c>
      <c r="Y453" s="630" t="s">
        <v>541</v>
      </c>
      <c r="Z453" s="630">
        <v>1.4959309999999999</v>
      </c>
      <c r="AA453" s="630">
        <v>2.4074719999999998</v>
      </c>
      <c r="AB453" s="631">
        <v>40</v>
      </c>
      <c r="AC453" s="631">
        <v>840</v>
      </c>
      <c r="AD453" s="631">
        <f t="shared" si="6"/>
        <v>1256.58204</v>
      </c>
    </row>
    <row r="454" spans="2:30" x14ac:dyDescent="0.15">
      <c r="B454" s="630">
        <v>17097002143</v>
      </c>
      <c r="C454" s="630">
        <v>17097000055</v>
      </c>
      <c r="D454" s="630">
        <v>17097004540</v>
      </c>
      <c r="E454" s="630" t="s">
        <v>533</v>
      </c>
      <c r="F454" s="630" t="s">
        <v>534</v>
      </c>
      <c r="G454" s="630" t="s">
        <v>373</v>
      </c>
      <c r="H454" s="630" t="s">
        <v>552</v>
      </c>
      <c r="I454" s="630"/>
      <c r="J454" s="630" t="s">
        <v>542</v>
      </c>
      <c r="K454" s="630"/>
      <c r="L454" s="630"/>
      <c r="M454" s="630"/>
      <c r="N454" s="630"/>
      <c r="O454" s="630"/>
      <c r="P454" s="630"/>
      <c r="Q454" s="630"/>
      <c r="R454" s="630"/>
      <c r="S454" s="630" t="s">
        <v>564</v>
      </c>
      <c r="T454" s="630"/>
      <c r="U454" s="630" t="s">
        <v>538</v>
      </c>
      <c r="V454" s="630">
        <v>2</v>
      </c>
      <c r="W454" s="630" t="s">
        <v>545</v>
      </c>
      <c r="X454" s="630" t="s">
        <v>549</v>
      </c>
      <c r="Y454" s="630" t="s">
        <v>549</v>
      </c>
      <c r="Z454" s="630">
        <v>4.3996510000000004</v>
      </c>
      <c r="AA454" s="630">
        <v>7.0805670000000003</v>
      </c>
      <c r="AB454" s="631">
        <v>502101</v>
      </c>
      <c r="AC454" s="631">
        <v>30386712</v>
      </c>
      <c r="AD454" s="631">
        <f t="shared" ref="AD454:AD517" si="7">AC454*Z454</f>
        <v>133690927.83751202</v>
      </c>
    </row>
    <row r="455" spans="2:30" x14ac:dyDescent="0.15">
      <c r="B455" s="630">
        <v>17043002283</v>
      </c>
      <c r="C455" s="630">
        <v>17043004776</v>
      </c>
      <c r="D455" s="630">
        <v>17043004775</v>
      </c>
      <c r="E455" s="630" t="s">
        <v>533</v>
      </c>
      <c r="F455" s="630" t="s">
        <v>534</v>
      </c>
      <c r="G455" s="630" t="s">
        <v>367</v>
      </c>
      <c r="H455" s="630" t="s">
        <v>382</v>
      </c>
      <c r="I455" s="630"/>
      <c r="J455" s="630" t="s">
        <v>547</v>
      </c>
      <c r="K455" s="630"/>
      <c r="L455" s="630"/>
      <c r="M455" s="630"/>
      <c r="N455" s="630"/>
      <c r="O455" s="630"/>
      <c r="P455" s="630"/>
      <c r="Q455" s="630"/>
      <c r="R455" s="630"/>
      <c r="S455" s="630" t="s">
        <v>583</v>
      </c>
      <c r="T455" s="630"/>
      <c r="U455" s="630" t="s">
        <v>538</v>
      </c>
      <c r="V455" s="630">
        <v>3</v>
      </c>
      <c r="W455" s="630" t="s">
        <v>588</v>
      </c>
      <c r="X455" s="630" t="s">
        <v>575</v>
      </c>
      <c r="Y455" s="630" t="s">
        <v>549</v>
      </c>
      <c r="Z455" s="630">
        <v>1.8898429999999999</v>
      </c>
      <c r="AA455" s="630">
        <v>3.0414140000000001</v>
      </c>
      <c r="AB455" s="631">
        <v>1830855</v>
      </c>
      <c r="AC455" s="631">
        <v>57776893</v>
      </c>
      <c r="AD455" s="631">
        <f t="shared" si="7"/>
        <v>109189256.79779899</v>
      </c>
    </row>
    <row r="456" spans="2:30" x14ac:dyDescent="0.15">
      <c r="B456" s="630">
        <v>17031006307</v>
      </c>
      <c r="C456" s="630">
        <v>17031001427</v>
      </c>
      <c r="D456" s="630">
        <v>17031001432</v>
      </c>
      <c r="E456" s="630" t="s">
        <v>533</v>
      </c>
      <c r="F456" s="630" t="s">
        <v>534</v>
      </c>
      <c r="G456" s="630" t="s">
        <v>365</v>
      </c>
      <c r="H456" s="630" t="s">
        <v>382</v>
      </c>
      <c r="I456" s="630"/>
      <c r="J456" s="630" t="s">
        <v>542</v>
      </c>
      <c r="K456" s="630" t="s">
        <v>551</v>
      </c>
      <c r="L456" s="630" t="s">
        <v>555</v>
      </c>
      <c r="M456" s="630" t="s">
        <v>552</v>
      </c>
      <c r="N456" s="630" t="s">
        <v>535</v>
      </c>
      <c r="O456" s="630"/>
      <c r="P456" s="630"/>
      <c r="Q456" s="630"/>
      <c r="R456" s="630"/>
      <c r="S456" s="630"/>
      <c r="T456" s="630"/>
      <c r="U456" s="630" t="s">
        <v>538</v>
      </c>
      <c r="V456" s="630">
        <v>1</v>
      </c>
      <c r="W456" s="630" t="s">
        <v>545</v>
      </c>
      <c r="X456" s="630" t="s">
        <v>554</v>
      </c>
      <c r="Y456" s="630" t="s">
        <v>554</v>
      </c>
      <c r="Z456" s="630">
        <v>0.33631299999999997</v>
      </c>
      <c r="AA456" s="630">
        <v>0.54124499999999998</v>
      </c>
      <c r="AB456" s="631">
        <v>12628</v>
      </c>
      <c r="AC456" s="631">
        <v>800822</v>
      </c>
      <c r="AD456" s="631">
        <f t="shared" si="7"/>
        <v>269326.84928599995</v>
      </c>
    </row>
    <row r="457" spans="2:30" x14ac:dyDescent="0.15">
      <c r="B457" s="630">
        <v>17031006350</v>
      </c>
      <c r="C457" s="630">
        <v>17031004627</v>
      </c>
      <c r="D457" s="630">
        <v>17031004593</v>
      </c>
      <c r="E457" s="630" t="s">
        <v>533</v>
      </c>
      <c r="F457" s="630" t="s">
        <v>534</v>
      </c>
      <c r="G457" s="630" t="s">
        <v>365</v>
      </c>
      <c r="H457" s="630" t="s">
        <v>535</v>
      </c>
      <c r="I457" s="630"/>
      <c r="J457" s="630" t="s">
        <v>547</v>
      </c>
      <c r="K457" s="630" t="s">
        <v>551</v>
      </c>
      <c r="L457" s="630"/>
      <c r="M457" s="630"/>
      <c r="N457" s="630"/>
      <c r="O457" s="630"/>
      <c r="P457" s="630"/>
      <c r="Q457" s="630"/>
      <c r="R457" s="630"/>
      <c r="S457" s="630" t="s">
        <v>548</v>
      </c>
      <c r="T457" s="630" t="s">
        <v>671</v>
      </c>
      <c r="U457" s="630" t="s">
        <v>538</v>
      </c>
      <c r="V457" s="630">
        <v>1</v>
      </c>
      <c r="W457" s="630" t="s">
        <v>545</v>
      </c>
      <c r="X457" s="630" t="s">
        <v>546</v>
      </c>
      <c r="Y457" s="630" t="s">
        <v>554</v>
      </c>
      <c r="Z457" s="630">
        <v>0.18984599999999999</v>
      </c>
      <c r="AA457" s="630">
        <v>0.305529</v>
      </c>
      <c r="AB457" s="631">
        <v>805460</v>
      </c>
      <c r="AC457" s="631">
        <v>39336999</v>
      </c>
      <c r="AD457" s="631">
        <f t="shared" si="7"/>
        <v>7467971.9121539993</v>
      </c>
    </row>
    <row r="458" spans="2:30" x14ac:dyDescent="0.15">
      <c r="B458" s="630">
        <v>17031006415</v>
      </c>
      <c r="C458" s="630">
        <v>17031001559</v>
      </c>
      <c r="D458" s="630">
        <v>17031001562</v>
      </c>
      <c r="E458" s="630" t="s">
        <v>533</v>
      </c>
      <c r="F458" s="630" t="s">
        <v>534</v>
      </c>
      <c r="G458" s="630" t="s">
        <v>365</v>
      </c>
      <c r="H458" s="630" t="s">
        <v>535</v>
      </c>
      <c r="I458" s="630"/>
      <c r="J458" s="630" t="s">
        <v>382</v>
      </c>
      <c r="K458" s="630" t="s">
        <v>536</v>
      </c>
      <c r="L458" s="630"/>
      <c r="M458" s="630"/>
      <c r="N458" s="630"/>
      <c r="O458" s="630"/>
      <c r="P458" s="630"/>
      <c r="Q458" s="630"/>
      <c r="R458" s="630"/>
      <c r="S458" s="630" t="s">
        <v>537</v>
      </c>
      <c r="T458" s="630"/>
      <c r="U458" s="630" t="s">
        <v>538</v>
      </c>
      <c r="V458" s="630">
        <v>2</v>
      </c>
      <c r="W458" s="630" t="s">
        <v>582</v>
      </c>
      <c r="X458" s="630" t="s">
        <v>540</v>
      </c>
      <c r="Y458" s="630" t="s">
        <v>549</v>
      </c>
      <c r="Z458" s="630">
        <v>0.28319899999999998</v>
      </c>
      <c r="AA458" s="630">
        <v>0.455766</v>
      </c>
      <c r="AB458" s="631">
        <v>10720</v>
      </c>
      <c r="AC458" s="631">
        <v>853160</v>
      </c>
      <c r="AD458" s="631">
        <f t="shared" si="7"/>
        <v>241614.05883999998</v>
      </c>
    </row>
    <row r="459" spans="2:30" x14ac:dyDescent="0.15">
      <c r="B459" s="630">
        <v>17197007034</v>
      </c>
      <c r="C459" s="630">
        <v>17197005584</v>
      </c>
      <c r="D459" s="630">
        <v>17197005588</v>
      </c>
      <c r="E459" s="630" t="s">
        <v>533</v>
      </c>
      <c r="F459" s="630" t="s">
        <v>534</v>
      </c>
      <c r="G459" s="630" t="s">
        <v>377</v>
      </c>
      <c r="H459" s="630" t="s">
        <v>382</v>
      </c>
      <c r="I459" s="630"/>
      <c r="J459" s="630"/>
      <c r="K459" s="630"/>
      <c r="L459" s="630"/>
      <c r="M459" s="630"/>
      <c r="N459" s="630"/>
      <c r="O459" s="630"/>
      <c r="P459" s="630"/>
      <c r="Q459" s="630"/>
      <c r="R459" s="630"/>
      <c r="S459" s="630" t="s">
        <v>592</v>
      </c>
      <c r="T459" s="630" t="s">
        <v>593</v>
      </c>
      <c r="U459" s="630" t="s">
        <v>559</v>
      </c>
      <c r="V459" s="630">
        <v>1</v>
      </c>
      <c r="W459" s="630" t="s">
        <v>539</v>
      </c>
      <c r="X459" s="630" t="s">
        <v>541</v>
      </c>
      <c r="Y459" s="630" t="s">
        <v>541</v>
      </c>
      <c r="Z459" s="630">
        <v>1.5826519999999999</v>
      </c>
      <c r="AA459" s="630">
        <v>2.547037</v>
      </c>
      <c r="AB459" s="631">
        <v>0</v>
      </c>
      <c r="AC459" s="631">
        <v>0</v>
      </c>
      <c r="AD459" s="631">
        <f t="shared" si="7"/>
        <v>0</v>
      </c>
    </row>
    <row r="460" spans="2:30" x14ac:dyDescent="0.15">
      <c r="B460" s="630">
        <v>17089002003</v>
      </c>
      <c r="C460" s="630">
        <v>17089001056</v>
      </c>
      <c r="D460" s="630">
        <v>17089000835</v>
      </c>
      <c r="E460" s="630" t="s">
        <v>533</v>
      </c>
      <c r="F460" s="630" t="s">
        <v>534</v>
      </c>
      <c r="G460" s="630" t="s">
        <v>369</v>
      </c>
      <c r="H460" s="630" t="s">
        <v>381</v>
      </c>
      <c r="I460" s="630"/>
      <c r="J460" s="630"/>
      <c r="K460" s="630"/>
      <c r="L460" s="630"/>
      <c r="M460" s="630"/>
      <c r="N460" s="630"/>
      <c r="O460" s="630"/>
      <c r="P460" s="630"/>
      <c r="Q460" s="630"/>
      <c r="R460" s="630"/>
      <c r="S460" s="630" t="s">
        <v>672</v>
      </c>
      <c r="T460" s="630"/>
      <c r="U460" s="630" t="s">
        <v>559</v>
      </c>
      <c r="V460" s="630">
        <v>1</v>
      </c>
      <c r="W460" s="630" t="s">
        <v>560</v>
      </c>
      <c r="X460" s="630" t="s">
        <v>541</v>
      </c>
      <c r="Y460" s="630" t="s">
        <v>541</v>
      </c>
      <c r="Z460" s="630">
        <v>3.5094259999999999</v>
      </c>
      <c r="AA460" s="630">
        <v>5.6478849999999996</v>
      </c>
      <c r="AB460" s="631">
        <v>0</v>
      </c>
      <c r="AC460" s="631">
        <v>0</v>
      </c>
      <c r="AD460" s="631">
        <f t="shared" si="7"/>
        <v>0</v>
      </c>
    </row>
    <row r="461" spans="2:30" x14ac:dyDescent="0.15">
      <c r="B461" s="630">
        <v>17093002025</v>
      </c>
      <c r="C461" s="630">
        <v>17999024460</v>
      </c>
      <c r="D461" s="630">
        <v>17999024341</v>
      </c>
      <c r="E461" s="630" t="s">
        <v>533</v>
      </c>
      <c r="F461" s="630" t="s">
        <v>534</v>
      </c>
      <c r="G461" s="630" t="s">
        <v>371</v>
      </c>
      <c r="H461" s="630" t="s">
        <v>535</v>
      </c>
      <c r="I461" s="630"/>
      <c r="J461" s="630"/>
      <c r="K461" s="630"/>
      <c r="L461" s="630"/>
      <c r="M461" s="630"/>
      <c r="N461" s="630"/>
      <c r="O461" s="630"/>
      <c r="P461" s="630"/>
      <c r="Q461" s="630"/>
      <c r="R461" s="630"/>
      <c r="S461" s="630" t="s">
        <v>673</v>
      </c>
      <c r="T461" s="630"/>
      <c r="U461" s="630" t="s">
        <v>538</v>
      </c>
      <c r="V461" s="630">
        <v>1</v>
      </c>
      <c r="W461" s="630" t="s">
        <v>560</v>
      </c>
      <c r="X461" s="630" t="s">
        <v>541</v>
      </c>
      <c r="Y461" s="630" t="s">
        <v>554</v>
      </c>
      <c r="Z461" s="630">
        <v>1.12005</v>
      </c>
      <c r="AA461" s="630">
        <v>1.8025500000000001</v>
      </c>
      <c r="AB461" s="631">
        <v>13440</v>
      </c>
      <c r="AC461" s="631">
        <v>1159760</v>
      </c>
      <c r="AD461" s="631">
        <f t="shared" si="7"/>
        <v>1298989.1880000001</v>
      </c>
    </row>
    <row r="462" spans="2:30" x14ac:dyDescent="0.15">
      <c r="B462" s="630">
        <v>17031002094</v>
      </c>
      <c r="C462" s="630">
        <v>17031000565</v>
      </c>
      <c r="D462" s="630">
        <v>17031000556</v>
      </c>
      <c r="E462" s="630" t="s">
        <v>533</v>
      </c>
      <c r="F462" s="630" t="s">
        <v>534</v>
      </c>
      <c r="G462" s="630" t="s">
        <v>365</v>
      </c>
      <c r="H462" s="630" t="s">
        <v>382</v>
      </c>
      <c r="I462" s="630"/>
      <c r="J462" s="630" t="s">
        <v>547</v>
      </c>
      <c r="K462" s="630"/>
      <c r="L462" s="630"/>
      <c r="M462" s="630"/>
      <c r="N462" s="630"/>
      <c r="O462" s="630"/>
      <c r="P462" s="630"/>
      <c r="Q462" s="630"/>
      <c r="R462" s="630"/>
      <c r="S462" s="630" t="s">
        <v>583</v>
      </c>
      <c r="T462" s="630"/>
      <c r="U462" s="630" t="s">
        <v>538</v>
      </c>
      <c r="V462" s="630">
        <v>4</v>
      </c>
      <c r="W462" s="630" t="s">
        <v>545</v>
      </c>
      <c r="X462" s="630" t="s">
        <v>541</v>
      </c>
      <c r="Y462" s="630" t="s">
        <v>554</v>
      </c>
      <c r="Z462" s="630">
        <v>0.80212099999999997</v>
      </c>
      <c r="AA462" s="630">
        <v>1.290891</v>
      </c>
      <c r="AB462" s="631">
        <v>0</v>
      </c>
      <c r="AC462" s="631">
        <v>0</v>
      </c>
      <c r="AD462" s="631">
        <f t="shared" si="7"/>
        <v>0</v>
      </c>
    </row>
    <row r="463" spans="2:30" x14ac:dyDescent="0.15">
      <c r="B463" s="630">
        <v>17097002133</v>
      </c>
      <c r="C463" s="630">
        <v>17097004533</v>
      </c>
      <c r="D463" s="630">
        <v>17097004532</v>
      </c>
      <c r="E463" s="630" t="s">
        <v>533</v>
      </c>
      <c r="F463" s="630" t="s">
        <v>534</v>
      </c>
      <c r="G463" s="630" t="s">
        <v>373</v>
      </c>
      <c r="H463" s="630" t="s">
        <v>552</v>
      </c>
      <c r="I463" s="630"/>
      <c r="J463" s="630" t="s">
        <v>547</v>
      </c>
      <c r="K463" s="630" t="s">
        <v>563</v>
      </c>
      <c r="L463" s="630"/>
      <c r="M463" s="630"/>
      <c r="N463" s="630"/>
      <c r="O463" s="630"/>
      <c r="P463" s="630"/>
      <c r="Q463" s="630"/>
      <c r="R463" s="630"/>
      <c r="S463" s="630" t="s">
        <v>629</v>
      </c>
      <c r="T463" s="630"/>
      <c r="U463" s="630" t="s">
        <v>538</v>
      </c>
      <c r="V463" s="630">
        <v>1</v>
      </c>
      <c r="W463" s="630" t="s">
        <v>582</v>
      </c>
      <c r="X463" s="630" t="s">
        <v>554</v>
      </c>
      <c r="Y463" s="630" t="s">
        <v>540</v>
      </c>
      <c r="Z463" s="630">
        <v>3.0207259999999998</v>
      </c>
      <c r="AA463" s="630">
        <v>4.8613960000000001</v>
      </c>
      <c r="AB463" s="631">
        <v>27538</v>
      </c>
      <c r="AC463" s="631">
        <v>2609253</v>
      </c>
      <c r="AD463" s="631">
        <f t="shared" si="7"/>
        <v>7881838.3776779994</v>
      </c>
    </row>
    <row r="464" spans="2:30" x14ac:dyDescent="0.15">
      <c r="B464" s="630">
        <v>17043002232</v>
      </c>
      <c r="C464" s="630">
        <v>17043007351</v>
      </c>
      <c r="D464" s="630">
        <v>17043000388</v>
      </c>
      <c r="E464" s="630" t="s">
        <v>533</v>
      </c>
      <c r="F464" s="630" t="s">
        <v>534</v>
      </c>
      <c r="G464" s="630" t="s">
        <v>367</v>
      </c>
      <c r="H464" s="630" t="s">
        <v>552</v>
      </c>
      <c r="I464" s="630"/>
      <c r="J464" s="630" t="s">
        <v>547</v>
      </c>
      <c r="K464" s="630"/>
      <c r="L464" s="630"/>
      <c r="M464" s="630"/>
      <c r="N464" s="630"/>
      <c r="O464" s="630"/>
      <c r="P464" s="630"/>
      <c r="Q464" s="630"/>
      <c r="R464" s="630"/>
      <c r="S464" s="630" t="s">
        <v>589</v>
      </c>
      <c r="T464" s="630"/>
      <c r="U464" s="630" t="s">
        <v>538</v>
      </c>
      <c r="V464" s="630">
        <v>2</v>
      </c>
      <c r="W464" s="630" t="s">
        <v>545</v>
      </c>
      <c r="X464" s="630" t="s">
        <v>540</v>
      </c>
      <c r="Y464" s="630" t="s">
        <v>549</v>
      </c>
      <c r="Z464" s="630">
        <v>0.76895899999999995</v>
      </c>
      <c r="AA464" s="630">
        <v>1.2375229999999999</v>
      </c>
      <c r="AB464" s="631">
        <v>74183</v>
      </c>
      <c r="AC464" s="631">
        <v>7767504</v>
      </c>
      <c r="AD464" s="631">
        <f t="shared" si="7"/>
        <v>5972892.1083359998</v>
      </c>
    </row>
    <row r="465" spans="2:30" x14ac:dyDescent="0.15">
      <c r="B465" s="630">
        <v>17031002248</v>
      </c>
      <c r="C465" s="630">
        <v>17031000567</v>
      </c>
      <c r="D465" s="630">
        <v>17031000560</v>
      </c>
      <c r="E465" s="630" t="s">
        <v>533</v>
      </c>
      <c r="F465" s="630" t="s">
        <v>534</v>
      </c>
      <c r="G465" s="630" t="s">
        <v>365</v>
      </c>
      <c r="H465" s="630" t="s">
        <v>382</v>
      </c>
      <c r="I465" s="630"/>
      <c r="J465" s="630" t="s">
        <v>547</v>
      </c>
      <c r="K465" s="630"/>
      <c r="L465" s="630"/>
      <c r="M465" s="630"/>
      <c r="N465" s="630"/>
      <c r="O465" s="630"/>
      <c r="P465" s="630"/>
      <c r="Q465" s="630"/>
      <c r="R465" s="630"/>
      <c r="S465" s="630"/>
      <c r="T465" s="630" t="s">
        <v>674</v>
      </c>
      <c r="U465" s="630" t="s">
        <v>559</v>
      </c>
      <c r="V465" s="630">
        <v>1</v>
      </c>
      <c r="W465" s="630" t="s">
        <v>539</v>
      </c>
      <c r="X465" s="630" t="s">
        <v>541</v>
      </c>
      <c r="Y465" s="630" t="s">
        <v>541</v>
      </c>
      <c r="Z465" s="630">
        <v>0.27496300000000001</v>
      </c>
      <c r="AA465" s="630">
        <v>0.44251099999999999</v>
      </c>
      <c r="AB465" s="631">
        <v>0</v>
      </c>
      <c r="AC465" s="631">
        <v>0</v>
      </c>
      <c r="AD465" s="631">
        <f t="shared" si="7"/>
        <v>0</v>
      </c>
    </row>
    <row r="466" spans="2:30" x14ac:dyDescent="0.15">
      <c r="B466" s="630">
        <v>17031002993</v>
      </c>
      <c r="C466" s="630">
        <v>17031004611</v>
      </c>
      <c r="D466" s="630">
        <v>17031000453</v>
      </c>
      <c r="E466" s="630" t="s">
        <v>533</v>
      </c>
      <c r="F466" s="630" t="s">
        <v>534</v>
      </c>
      <c r="G466" s="630" t="s">
        <v>365</v>
      </c>
      <c r="H466" s="630" t="s">
        <v>382</v>
      </c>
      <c r="I466" s="630"/>
      <c r="J466" s="630" t="s">
        <v>547</v>
      </c>
      <c r="K466" s="630"/>
      <c r="L466" s="630"/>
      <c r="M466" s="630"/>
      <c r="N466" s="630"/>
      <c r="O466" s="630"/>
      <c r="P466" s="630"/>
      <c r="Q466" s="630"/>
      <c r="R466" s="630"/>
      <c r="S466" s="630" t="s">
        <v>608</v>
      </c>
      <c r="T466" s="630"/>
      <c r="U466" s="630" t="s">
        <v>538</v>
      </c>
      <c r="V466" s="630">
        <v>3</v>
      </c>
      <c r="W466" s="630" t="s">
        <v>566</v>
      </c>
      <c r="X466" s="630" t="s">
        <v>541</v>
      </c>
      <c r="Y466" s="630" t="s">
        <v>540</v>
      </c>
      <c r="Z466" s="630">
        <v>1.191324</v>
      </c>
      <c r="AA466" s="630">
        <v>1.9172549999999999</v>
      </c>
      <c r="AB466" s="631">
        <v>0</v>
      </c>
      <c r="AC466" s="631">
        <v>0</v>
      </c>
      <c r="AD466" s="631">
        <f t="shared" si="7"/>
        <v>0</v>
      </c>
    </row>
    <row r="467" spans="2:30" x14ac:dyDescent="0.15">
      <c r="B467" s="630">
        <v>17197003553</v>
      </c>
      <c r="C467" s="630">
        <v>17197001623</v>
      </c>
      <c r="D467" s="630">
        <v>17197001571</v>
      </c>
      <c r="E467" s="630" t="s">
        <v>533</v>
      </c>
      <c r="F467" s="630" t="s">
        <v>534</v>
      </c>
      <c r="G467" s="630" t="s">
        <v>377</v>
      </c>
      <c r="H467" s="630" t="s">
        <v>547</v>
      </c>
      <c r="I467" s="630"/>
      <c r="J467" s="630" t="s">
        <v>543</v>
      </c>
      <c r="K467" s="630"/>
      <c r="L467" s="630"/>
      <c r="M467" s="630"/>
      <c r="N467" s="630"/>
      <c r="O467" s="630"/>
      <c r="P467" s="630"/>
      <c r="Q467" s="630"/>
      <c r="R467" s="630"/>
      <c r="S467" s="630" t="s">
        <v>602</v>
      </c>
      <c r="T467" s="630"/>
      <c r="U467" s="630" t="s">
        <v>538</v>
      </c>
      <c r="V467" s="630">
        <v>1</v>
      </c>
      <c r="W467" s="630" t="s">
        <v>582</v>
      </c>
      <c r="X467" s="630" t="s">
        <v>541</v>
      </c>
      <c r="Y467" s="630" t="s">
        <v>540</v>
      </c>
      <c r="Z467" s="630">
        <v>4.7967069999999996</v>
      </c>
      <c r="AA467" s="630">
        <v>7.7195679999999998</v>
      </c>
      <c r="AB467" s="631">
        <v>320</v>
      </c>
      <c r="AC467" s="631">
        <v>23200</v>
      </c>
      <c r="AD467" s="631">
        <f t="shared" si="7"/>
        <v>111283.60239999999</v>
      </c>
    </row>
    <row r="468" spans="2:30" x14ac:dyDescent="0.15">
      <c r="B468" s="630">
        <v>17031004669</v>
      </c>
      <c r="C468" s="630">
        <v>17031001132</v>
      </c>
      <c r="D468" s="630">
        <v>17031001128</v>
      </c>
      <c r="E468" s="630" t="s">
        <v>533</v>
      </c>
      <c r="F468" s="630" t="s">
        <v>534</v>
      </c>
      <c r="G468" s="630" t="s">
        <v>365</v>
      </c>
      <c r="H468" s="630" t="s">
        <v>543</v>
      </c>
      <c r="I468" s="630"/>
      <c r="J468" s="630" t="s">
        <v>577</v>
      </c>
      <c r="K468" s="630"/>
      <c r="L468" s="630"/>
      <c r="M468" s="630"/>
      <c r="N468" s="630"/>
      <c r="O468" s="630"/>
      <c r="P468" s="630"/>
      <c r="Q468" s="630"/>
      <c r="R468" s="630"/>
      <c r="S468" s="630" t="s">
        <v>656</v>
      </c>
      <c r="T468" s="630"/>
      <c r="U468" s="630" t="s">
        <v>559</v>
      </c>
      <c r="V468" s="630">
        <v>1</v>
      </c>
      <c r="W468" s="630" t="s">
        <v>560</v>
      </c>
      <c r="X468" s="630" t="s">
        <v>541</v>
      </c>
      <c r="Y468" s="630" t="s">
        <v>541</v>
      </c>
      <c r="Z468" s="630">
        <v>0.52064299999999997</v>
      </c>
      <c r="AA468" s="630">
        <v>0.83789499999999995</v>
      </c>
      <c r="AB468" s="631">
        <v>0</v>
      </c>
      <c r="AC468" s="631">
        <v>0</v>
      </c>
      <c r="AD468" s="631">
        <f t="shared" si="7"/>
        <v>0</v>
      </c>
    </row>
    <row r="469" spans="2:30" x14ac:dyDescent="0.15">
      <c r="B469" s="630">
        <v>17031005365</v>
      </c>
      <c r="C469" s="630">
        <v>17031001184</v>
      </c>
      <c r="D469" s="630">
        <v>17031001190</v>
      </c>
      <c r="E469" s="630" t="s">
        <v>533</v>
      </c>
      <c r="F469" s="630" t="s">
        <v>534</v>
      </c>
      <c r="G469" s="630" t="s">
        <v>365</v>
      </c>
      <c r="H469" s="630" t="s">
        <v>543</v>
      </c>
      <c r="I469" s="630"/>
      <c r="J469" s="630"/>
      <c r="K469" s="630"/>
      <c r="L469" s="630"/>
      <c r="M469" s="630"/>
      <c r="N469" s="630"/>
      <c r="O469" s="630"/>
      <c r="P469" s="630"/>
      <c r="Q469" s="630"/>
      <c r="R469" s="630"/>
      <c r="S469" s="630" t="s">
        <v>604</v>
      </c>
      <c r="T469" s="630" t="s">
        <v>623</v>
      </c>
      <c r="U469" s="630" t="s">
        <v>538</v>
      </c>
      <c r="V469" s="630">
        <v>1</v>
      </c>
      <c r="W469" s="630" t="s">
        <v>545</v>
      </c>
      <c r="X469" s="630" t="s">
        <v>546</v>
      </c>
      <c r="Y469" s="630" t="s">
        <v>554</v>
      </c>
      <c r="Z469" s="630">
        <v>0.18354400000000001</v>
      </c>
      <c r="AA469" s="630">
        <v>0.29538599999999998</v>
      </c>
      <c r="AB469" s="631">
        <v>10277</v>
      </c>
      <c r="AC469" s="631">
        <v>921789</v>
      </c>
      <c r="AD469" s="631">
        <f t="shared" si="7"/>
        <v>169188.84021600001</v>
      </c>
    </row>
    <row r="470" spans="2:30" x14ac:dyDescent="0.15">
      <c r="B470" s="630">
        <v>17031005651</v>
      </c>
      <c r="C470" s="630">
        <v>17031000669</v>
      </c>
      <c r="D470" s="630">
        <v>17031000682</v>
      </c>
      <c r="E470" s="630" t="s">
        <v>533</v>
      </c>
      <c r="F470" s="630" t="s">
        <v>534</v>
      </c>
      <c r="G470" s="630" t="s">
        <v>365</v>
      </c>
      <c r="H470" s="630" t="s">
        <v>644</v>
      </c>
      <c r="I470" s="630"/>
      <c r="J470" s="630"/>
      <c r="K470" s="630"/>
      <c r="L470" s="630"/>
      <c r="M470" s="630"/>
      <c r="N470" s="630"/>
      <c r="O470" s="630"/>
      <c r="P470" s="630"/>
      <c r="Q470" s="630"/>
      <c r="R470" s="630"/>
      <c r="S470" s="630"/>
      <c r="T470" s="630"/>
      <c r="U470" s="630" t="s">
        <v>559</v>
      </c>
      <c r="V470" s="630">
        <v>1</v>
      </c>
      <c r="W470" s="630" t="s">
        <v>560</v>
      </c>
      <c r="X470" s="630" t="s">
        <v>541</v>
      </c>
      <c r="Y470" s="630" t="s">
        <v>541</v>
      </c>
      <c r="Z470" s="630">
        <v>1.019398</v>
      </c>
      <c r="AA470" s="630">
        <v>1.640566</v>
      </c>
      <c r="AB470" s="631">
        <v>0</v>
      </c>
      <c r="AC470" s="631">
        <v>0</v>
      </c>
      <c r="AD470" s="631">
        <f t="shared" si="7"/>
        <v>0</v>
      </c>
    </row>
    <row r="471" spans="2:30" x14ac:dyDescent="0.15">
      <c r="B471" s="630">
        <v>17197005986</v>
      </c>
      <c r="C471" s="630">
        <v>17197001537</v>
      </c>
      <c r="D471" s="630">
        <v>17197001493</v>
      </c>
      <c r="E471" s="630" t="s">
        <v>533</v>
      </c>
      <c r="F471" s="630" t="s">
        <v>534</v>
      </c>
      <c r="G471" s="630" t="s">
        <v>377</v>
      </c>
      <c r="H471" s="630" t="s">
        <v>535</v>
      </c>
      <c r="I471" s="630"/>
      <c r="J471" s="630" t="s">
        <v>542</v>
      </c>
      <c r="K471" s="630" t="s">
        <v>382</v>
      </c>
      <c r="L471" s="630"/>
      <c r="M471" s="630"/>
      <c r="N471" s="630"/>
      <c r="O471" s="630"/>
      <c r="P471" s="630"/>
      <c r="Q471" s="630"/>
      <c r="R471" s="630"/>
      <c r="S471" s="630" t="s">
        <v>601</v>
      </c>
      <c r="T471" s="630"/>
      <c r="U471" s="630" t="s">
        <v>538</v>
      </c>
      <c r="V471" s="630">
        <v>2</v>
      </c>
      <c r="W471" s="630" t="s">
        <v>582</v>
      </c>
      <c r="X471" s="630" t="s">
        <v>540</v>
      </c>
      <c r="Y471" s="630" t="s">
        <v>540</v>
      </c>
      <c r="Z471" s="630">
        <v>1.13364</v>
      </c>
      <c r="AA471" s="630">
        <v>1.8244199999999999</v>
      </c>
      <c r="AB471" s="631">
        <v>530600</v>
      </c>
      <c r="AC471" s="631">
        <v>7881600</v>
      </c>
      <c r="AD471" s="631">
        <f t="shared" si="7"/>
        <v>8934897.0240000002</v>
      </c>
    </row>
    <row r="472" spans="2:30" x14ac:dyDescent="0.15">
      <c r="B472" s="630">
        <v>17031006364</v>
      </c>
      <c r="C472" s="630">
        <v>17031007080</v>
      </c>
      <c r="D472" s="630">
        <v>17031000754</v>
      </c>
      <c r="E472" s="630" t="s">
        <v>533</v>
      </c>
      <c r="F472" s="630" t="s">
        <v>534</v>
      </c>
      <c r="G472" s="630" t="s">
        <v>365</v>
      </c>
      <c r="H472" s="630" t="s">
        <v>535</v>
      </c>
      <c r="I472" s="630"/>
      <c r="J472" s="630" t="s">
        <v>571</v>
      </c>
      <c r="K472" s="630"/>
      <c r="L472" s="630"/>
      <c r="M472" s="630"/>
      <c r="N472" s="630"/>
      <c r="O472" s="630"/>
      <c r="P472" s="630"/>
      <c r="Q472" s="630"/>
      <c r="R472" s="630"/>
      <c r="S472" s="630"/>
      <c r="T472" s="630"/>
      <c r="U472" s="630" t="s">
        <v>559</v>
      </c>
      <c r="V472" s="630">
        <v>1</v>
      </c>
      <c r="W472" s="630" t="s">
        <v>560</v>
      </c>
      <c r="X472" s="630" t="s">
        <v>541</v>
      </c>
      <c r="Y472" s="630" t="s">
        <v>541</v>
      </c>
      <c r="Z472" s="630">
        <v>2.0719999999999999E-2</v>
      </c>
      <c r="AA472" s="630">
        <v>3.3346000000000001E-2</v>
      </c>
      <c r="AB472" s="631">
        <v>0</v>
      </c>
      <c r="AC472" s="631">
        <v>0</v>
      </c>
      <c r="AD472" s="631">
        <f t="shared" si="7"/>
        <v>0</v>
      </c>
    </row>
    <row r="473" spans="2:30" x14ac:dyDescent="0.15">
      <c r="B473" s="630">
        <v>17031006511</v>
      </c>
      <c r="C473" s="630">
        <v>17031001103</v>
      </c>
      <c r="D473" s="630">
        <v>17031001095</v>
      </c>
      <c r="E473" s="630" t="s">
        <v>533</v>
      </c>
      <c r="F473" s="630" t="s">
        <v>534</v>
      </c>
      <c r="G473" s="630" t="s">
        <v>365</v>
      </c>
      <c r="H473" s="630" t="s">
        <v>535</v>
      </c>
      <c r="I473" s="630"/>
      <c r="J473" s="630"/>
      <c r="K473" s="630"/>
      <c r="L473" s="630"/>
      <c r="M473" s="630"/>
      <c r="N473" s="630"/>
      <c r="O473" s="630"/>
      <c r="P473" s="630"/>
      <c r="Q473" s="630"/>
      <c r="R473" s="630"/>
      <c r="S473" s="630" t="s">
        <v>597</v>
      </c>
      <c r="T473" s="630"/>
      <c r="U473" s="630" t="s">
        <v>538</v>
      </c>
      <c r="V473" s="630">
        <v>1</v>
      </c>
      <c r="W473" s="630" t="s">
        <v>539</v>
      </c>
      <c r="X473" s="630" t="s">
        <v>541</v>
      </c>
      <c r="Y473" s="630" t="s">
        <v>541</v>
      </c>
      <c r="Z473" s="630">
        <v>4.3005000000000002E-2</v>
      </c>
      <c r="AA473" s="630">
        <v>6.9209000000000007E-2</v>
      </c>
      <c r="AB473" s="631">
        <v>0</v>
      </c>
      <c r="AC473" s="631">
        <v>0</v>
      </c>
      <c r="AD473" s="631">
        <f t="shared" si="7"/>
        <v>0</v>
      </c>
    </row>
    <row r="474" spans="2:30" x14ac:dyDescent="0.15">
      <c r="B474" s="630">
        <v>17031008522</v>
      </c>
      <c r="C474" s="630">
        <v>17031001281</v>
      </c>
      <c r="D474" s="630">
        <v>17031007015</v>
      </c>
      <c r="E474" s="630" t="s">
        <v>533</v>
      </c>
      <c r="F474" s="630" t="s">
        <v>534</v>
      </c>
      <c r="G474" s="630" t="s">
        <v>365</v>
      </c>
      <c r="H474" s="630" t="s">
        <v>543</v>
      </c>
      <c r="I474" s="630"/>
      <c r="J474" s="630"/>
      <c r="K474" s="630"/>
      <c r="L474" s="630"/>
      <c r="M474" s="630"/>
      <c r="N474" s="630"/>
      <c r="O474" s="630"/>
      <c r="P474" s="630"/>
      <c r="Q474" s="630"/>
      <c r="R474" s="630"/>
      <c r="S474" s="630" t="s">
        <v>604</v>
      </c>
      <c r="T474" s="630" t="s">
        <v>669</v>
      </c>
      <c r="U474" s="630" t="s">
        <v>538</v>
      </c>
      <c r="V474" s="630">
        <v>2</v>
      </c>
      <c r="W474" s="630" t="s">
        <v>545</v>
      </c>
      <c r="X474" s="630" t="s">
        <v>546</v>
      </c>
      <c r="Y474" s="630" t="s">
        <v>554</v>
      </c>
      <c r="Z474" s="630">
        <v>5.0370999999999999E-2</v>
      </c>
      <c r="AA474" s="630">
        <v>8.1063999999999997E-2</v>
      </c>
      <c r="AB474" s="631">
        <v>10277</v>
      </c>
      <c r="AC474" s="631">
        <v>921789</v>
      </c>
      <c r="AD474" s="631">
        <f t="shared" si="7"/>
        <v>46431.433719000001</v>
      </c>
    </row>
    <row r="475" spans="2:30" x14ac:dyDescent="0.15">
      <c r="B475" s="630">
        <v>17043001985</v>
      </c>
      <c r="C475" s="630">
        <v>17043000579</v>
      </c>
      <c r="D475" s="630">
        <v>17043000541</v>
      </c>
      <c r="E475" s="630" t="s">
        <v>533</v>
      </c>
      <c r="F475" s="630" t="s">
        <v>534</v>
      </c>
      <c r="G475" s="630" t="s">
        <v>367</v>
      </c>
      <c r="H475" s="630" t="s">
        <v>382</v>
      </c>
      <c r="I475" s="630"/>
      <c r="J475" s="630"/>
      <c r="K475" s="630"/>
      <c r="L475" s="630"/>
      <c r="M475" s="630"/>
      <c r="N475" s="630"/>
      <c r="O475" s="630"/>
      <c r="P475" s="630"/>
      <c r="Q475" s="630"/>
      <c r="R475" s="630"/>
      <c r="S475" s="630" t="s">
        <v>653</v>
      </c>
      <c r="T475" s="630"/>
      <c r="U475" s="630" t="s">
        <v>559</v>
      </c>
      <c r="V475" s="630">
        <v>1</v>
      </c>
      <c r="W475" s="630" t="s">
        <v>560</v>
      </c>
      <c r="X475" s="630" t="s">
        <v>541</v>
      </c>
      <c r="Y475" s="630" t="s">
        <v>541</v>
      </c>
      <c r="Z475" s="630">
        <v>0.87960400000000005</v>
      </c>
      <c r="AA475" s="630">
        <v>1.4155880000000001</v>
      </c>
      <c r="AB475" s="631">
        <v>0</v>
      </c>
      <c r="AC475" s="631">
        <v>0</v>
      </c>
      <c r="AD475" s="631">
        <f t="shared" si="7"/>
        <v>0</v>
      </c>
    </row>
    <row r="476" spans="2:30" x14ac:dyDescent="0.15">
      <c r="B476" s="630">
        <v>17197002056</v>
      </c>
      <c r="C476" s="630">
        <v>17197001753</v>
      </c>
      <c r="D476" s="630">
        <v>17197001738</v>
      </c>
      <c r="E476" s="630" t="s">
        <v>533</v>
      </c>
      <c r="F476" s="630" t="s">
        <v>534</v>
      </c>
      <c r="G476" s="630" t="s">
        <v>377</v>
      </c>
      <c r="H476" s="630" t="s">
        <v>382</v>
      </c>
      <c r="I476" s="630"/>
      <c r="J476" s="630" t="s">
        <v>542</v>
      </c>
      <c r="K476" s="630"/>
      <c r="L476" s="630"/>
      <c r="M476" s="630"/>
      <c r="N476" s="630"/>
      <c r="O476" s="630"/>
      <c r="P476" s="630"/>
      <c r="Q476" s="630"/>
      <c r="R476" s="630"/>
      <c r="S476" s="630" t="s">
        <v>606</v>
      </c>
      <c r="T476" s="630"/>
      <c r="U476" s="630" t="s">
        <v>538</v>
      </c>
      <c r="V476" s="630">
        <v>1</v>
      </c>
      <c r="W476" s="630" t="s">
        <v>545</v>
      </c>
      <c r="X476" s="630" t="s">
        <v>541</v>
      </c>
      <c r="Y476" s="630" t="s">
        <v>549</v>
      </c>
      <c r="Z476" s="630">
        <v>0.58857999999999999</v>
      </c>
      <c r="AA476" s="630">
        <v>0.94723000000000002</v>
      </c>
      <c r="AB476" s="631">
        <v>80</v>
      </c>
      <c r="AC476" s="631">
        <v>7840</v>
      </c>
      <c r="AD476" s="631">
        <f t="shared" si="7"/>
        <v>4614.4672</v>
      </c>
    </row>
    <row r="477" spans="2:30" x14ac:dyDescent="0.15">
      <c r="B477" s="630">
        <v>17031002070</v>
      </c>
      <c r="C477" s="630">
        <v>17031000661</v>
      </c>
      <c r="D477" s="630">
        <v>17031000666</v>
      </c>
      <c r="E477" s="630" t="s">
        <v>533</v>
      </c>
      <c r="F477" s="630" t="s">
        <v>534</v>
      </c>
      <c r="G477" s="630" t="s">
        <v>365</v>
      </c>
      <c r="H477" s="630" t="s">
        <v>535</v>
      </c>
      <c r="I477" s="630"/>
      <c r="J477" s="630" t="s">
        <v>542</v>
      </c>
      <c r="K477" s="630" t="s">
        <v>572</v>
      </c>
      <c r="L477" s="630"/>
      <c r="M477" s="630"/>
      <c r="N477" s="630"/>
      <c r="O477" s="630"/>
      <c r="P477" s="630"/>
      <c r="Q477" s="630"/>
      <c r="R477" s="630"/>
      <c r="S477" s="630" t="s">
        <v>544</v>
      </c>
      <c r="T477" s="630"/>
      <c r="U477" s="630" t="s">
        <v>538</v>
      </c>
      <c r="V477" s="630">
        <v>2</v>
      </c>
      <c r="W477" s="630" t="s">
        <v>545</v>
      </c>
      <c r="X477" s="630" t="s">
        <v>549</v>
      </c>
      <c r="Y477" s="630" t="s">
        <v>541</v>
      </c>
      <c r="Z477" s="630">
        <v>0.50986500000000001</v>
      </c>
      <c r="AA477" s="630">
        <v>0.82054899999999997</v>
      </c>
      <c r="AB477" s="631">
        <v>16696</v>
      </c>
      <c r="AC477" s="631">
        <v>1424574</v>
      </c>
      <c r="AD477" s="631">
        <f t="shared" si="7"/>
        <v>726340.42251000006</v>
      </c>
    </row>
    <row r="478" spans="2:30" x14ac:dyDescent="0.15">
      <c r="B478" s="630">
        <v>17031002241</v>
      </c>
      <c r="C478" s="630">
        <v>17031004639</v>
      </c>
      <c r="D478" s="630">
        <v>17031004638</v>
      </c>
      <c r="E478" s="630" t="s">
        <v>533</v>
      </c>
      <c r="F478" s="630" t="s">
        <v>534</v>
      </c>
      <c r="G478" s="630" t="s">
        <v>365</v>
      </c>
      <c r="H478" s="630" t="s">
        <v>552</v>
      </c>
      <c r="I478" s="630"/>
      <c r="J478" s="630" t="s">
        <v>551</v>
      </c>
      <c r="K478" s="630" t="s">
        <v>547</v>
      </c>
      <c r="L478" s="630" t="s">
        <v>382</v>
      </c>
      <c r="M478" s="630" t="s">
        <v>563</v>
      </c>
      <c r="N478" s="630"/>
      <c r="O478" s="630"/>
      <c r="P478" s="630"/>
      <c r="Q478" s="630"/>
      <c r="R478" s="630"/>
      <c r="S478" s="630" t="s">
        <v>589</v>
      </c>
      <c r="T478" s="630"/>
      <c r="U478" s="630" t="s">
        <v>538</v>
      </c>
      <c r="V478" s="630">
        <v>3</v>
      </c>
      <c r="W478" s="630" t="s">
        <v>545</v>
      </c>
      <c r="X478" s="630" t="s">
        <v>549</v>
      </c>
      <c r="Y478" s="630" t="s">
        <v>549</v>
      </c>
      <c r="Z478" s="630">
        <v>0.41120299999999999</v>
      </c>
      <c r="AA478" s="630">
        <v>0.66176800000000002</v>
      </c>
      <c r="AB478" s="631">
        <v>313574</v>
      </c>
      <c r="AC478" s="631">
        <v>20645328</v>
      </c>
      <c r="AD478" s="631">
        <f t="shared" si="7"/>
        <v>8489420.8095839992</v>
      </c>
    </row>
    <row r="479" spans="2:30" x14ac:dyDescent="0.15">
      <c r="B479" s="630">
        <v>17031002356</v>
      </c>
      <c r="C479" s="630">
        <v>17031001362</v>
      </c>
      <c r="D479" s="630">
        <v>17031001359</v>
      </c>
      <c r="E479" s="630" t="s">
        <v>533</v>
      </c>
      <c r="F479" s="630" t="s">
        <v>534</v>
      </c>
      <c r="G479" s="630" t="s">
        <v>365</v>
      </c>
      <c r="H479" s="630" t="s">
        <v>557</v>
      </c>
      <c r="I479" s="630"/>
      <c r="J479" s="630" t="s">
        <v>569</v>
      </c>
      <c r="K479" s="630" t="s">
        <v>535</v>
      </c>
      <c r="L479" s="630" t="s">
        <v>551</v>
      </c>
      <c r="M479" s="630" t="s">
        <v>543</v>
      </c>
      <c r="N479" s="630" t="s">
        <v>382</v>
      </c>
      <c r="O479" s="630" t="s">
        <v>552</v>
      </c>
      <c r="P479" s="630"/>
      <c r="Q479" s="630"/>
      <c r="R479" s="630"/>
      <c r="S479" s="630" t="s">
        <v>570</v>
      </c>
      <c r="T479" s="630"/>
      <c r="U479" s="630" t="s">
        <v>538</v>
      </c>
      <c r="V479" s="630">
        <v>2</v>
      </c>
      <c r="W479" s="630" t="s">
        <v>545</v>
      </c>
      <c r="X479" s="630" t="s">
        <v>540</v>
      </c>
      <c r="Y479" s="630" t="s">
        <v>554</v>
      </c>
      <c r="Z479" s="630">
        <v>0.184365</v>
      </c>
      <c r="AA479" s="630">
        <v>0.296707</v>
      </c>
      <c r="AB479" s="631">
        <v>758094</v>
      </c>
      <c r="AC479" s="631">
        <v>15339660</v>
      </c>
      <c r="AD479" s="631">
        <f t="shared" si="7"/>
        <v>2828096.4158999999</v>
      </c>
    </row>
    <row r="480" spans="2:30" x14ac:dyDescent="0.15">
      <c r="B480" s="630">
        <v>17043002379</v>
      </c>
      <c r="C480" s="630">
        <v>17043004885</v>
      </c>
      <c r="D480" s="630">
        <v>17043000858</v>
      </c>
      <c r="E480" s="630" t="s">
        <v>533</v>
      </c>
      <c r="F480" s="630" t="s">
        <v>534</v>
      </c>
      <c r="G480" s="630" t="s">
        <v>367</v>
      </c>
      <c r="H480" s="630" t="s">
        <v>381</v>
      </c>
      <c r="I480" s="630"/>
      <c r="J480" s="630" t="s">
        <v>542</v>
      </c>
      <c r="K480" s="630" t="s">
        <v>547</v>
      </c>
      <c r="L480" s="630" t="s">
        <v>382</v>
      </c>
      <c r="M480" s="630"/>
      <c r="N480" s="630"/>
      <c r="O480" s="630"/>
      <c r="P480" s="630"/>
      <c r="Q480" s="630"/>
      <c r="R480" s="630"/>
      <c r="S480" s="630" t="s">
        <v>579</v>
      </c>
      <c r="T480" s="630"/>
      <c r="U480" s="630" t="s">
        <v>538</v>
      </c>
      <c r="V480" s="630">
        <v>3</v>
      </c>
      <c r="W480" s="630" t="s">
        <v>545</v>
      </c>
      <c r="X480" s="630" t="s">
        <v>580</v>
      </c>
      <c r="Y480" s="630" t="s">
        <v>549</v>
      </c>
      <c r="Z480" s="630">
        <v>0.48378300000000002</v>
      </c>
      <c r="AA480" s="630">
        <v>0.77857500000000002</v>
      </c>
      <c r="AB480" s="631">
        <v>1180642</v>
      </c>
      <c r="AC480" s="631">
        <v>46493460</v>
      </c>
      <c r="AD480" s="631">
        <f t="shared" si="7"/>
        <v>22492745.559180003</v>
      </c>
    </row>
    <row r="481" spans="2:30" x14ac:dyDescent="0.15">
      <c r="B481" s="630">
        <v>17043002989</v>
      </c>
      <c r="C481" s="630">
        <v>17043004895</v>
      </c>
      <c r="D481" s="630">
        <v>17043007285</v>
      </c>
      <c r="E481" s="630" t="s">
        <v>533</v>
      </c>
      <c r="F481" s="630" t="s">
        <v>534</v>
      </c>
      <c r="G481" s="630" t="s">
        <v>367</v>
      </c>
      <c r="H481" s="630" t="s">
        <v>535</v>
      </c>
      <c r="I481" s="630"/>
      <c r="J481" s="630" t="s">
        <v>536</v>
      </c>
      <c r="K481" s="630" t="s">
        <v>382</v>
      </c>
      <c r="L481" s="630"/>
      <c r="M481" s="630"/>
      <c r="N481" s="630"/>
      <c r="O481" s="630"/>
      <c r="P481" s="630"/>
      <c r="Q481" s="630"/>
      <c r="R481" s="630"/>
      <c r="S481" s="630" t="s">
        <v>550</v>
      </c>
      <c r="T481" s="630"/>
      <c r="U481" s="630" t="s">
        <v>538</v>
      </c>
      <c r="V481" s="630">
        <v>1</v>
      </c>
      <c r="W481" s="630" t="s">
        <v>545</v>
      </c>
      <c r="X481" s="630" t="s">
        <v>540</v>
      </c>
      <c r="Y481" s="630" t="s">
        <v>549</v>
      </c>
      <c r="Z481" s="630">
        <v>3.6689449999999999</v>
      </c>
      <c r="AA481" s="630">
        <v>5.9046070000000004</v>
      </c>
      <c r="AB481" s="631">
        <v>21201</v>
      </c>
      <c r="AC481" s="631">
        <v>2116817</v>
      </c>
      <c r="AD481" s="631">
        <f t="shared" si="7"/>
        <v>7766485.1480649998</v>
      </c>
    </row>
    <row r="482" spans="2:30" x14ac:dyDescent="0.15">
      <c r="B482" s="630">
        <v>17031003814</v>
      </c>
      <c r="C482" s="630">
        <v>17031001275</v>
      </c>
      <c r="D482" s="630">
        <v>17031001287</v>
      </c>
      <c r="E482" s="630" t="s">
        <v>533</v>
      </c>
      <c r="F482" s="630" t="s">
        <v>534</v>
      </c>
      <c r="G482" s="630" t="s">
        <v>365</v>
      </c>
      <c r="H482" s="630" t="s">
        <v>543</v>
      </c>
      <c r="I482" s="630"/>
      <c r="J482" s="630" t="s">
        <v>557</v>
      </c>
      <c r="K482" s="630"/>
      <c r="L482" s="630"/>
      <c r="M482" s="630"/>
      <c r="N482" s="630"/>
      <c r="O482" s="630"/>
      <c r="P482" s="630"/>
      <c r="Q482" s="630"/>
      <c r="R482" s="630"/>
      <c r="S482" s="630" t="s">
        <v>558</v>
      </c>
      <c r="T482" s="630"/>
      <c r="U482" s="630" t="s">
        <v>559</v>
      </c>
      <c r="V482" s="630">
        <v>1</v>
      </c>
      <c r="W482" s="630" t="s">
        <v>560</v>
      </c>
      <c r="X482" s="630" t="s">
        <v>541</v>
      </c>
      <c r="Y482" s="630" t="s">
        <v>541</v>
      </c>
      <c r="Z482" s="630">
        <v>0.308226</v>
      </c>
      <c r="AA482" s="630">
        <v>0.49604300000000001</v>
      </c>
      <c r="AB482" s="631">
        <v>0</v>
      </c>
      <c r="AC482" s="631">
        <v>0</v>
      </c>
      <c r="AD482" s="631">
        <f t="shared" si="7"/>
        <v>0</v>
      </c>
    </row>
    <row r="483" spans="2:30" x14ac:dyDescent="0.15">
      <c r="B483" s="630">
        <v>17031003959</v>
      </c>
      <c r="C483" s="630">
        <v>17031000717</v>
      </c>
      <c r="D483" s="630">
        <v>17031000716</v>
      </c>
      <c r="E483" s="630" t="s">
        <v>533</v>
      </c>
      <c r="F483" s="630" t="s">
        <v>534</v>
      </c>
      <c r="G483" s="630" t="s">
        <v>365</v>
      </c>
      <c r="H483" s="630" t="s">
        <v>381</v>
      </c>
      <c r="I483" s="630"/>
      <c r="J483" s="630" t="s">
        <v>542</v>
      </c>
      <c r="K483" s="630" t="s">
        <v>572</v>
      </c>
      <c r="L483" s="630" t="s">
        <v>547</v>
      </c>
      <c r="M483" s="630" t="s">
        <v>382</v>
      </c>
      <c r="N483" s="630"/>
      <c r="O483" s="630"/>
      <c r="P483" s="630"/>
      <c r="Q483" s="630"/>
      <c r="R483" s="630"/>
      <c r="S483" s="630" t="s">
        <v>579</v>
      </c>
      <c r="T483" s="630"/>
      <c r="U483" s="630" t="s">
        <v>538</v>
      </c>
      <c r="V483" s="630">
        <v>4</v>
      </c>
      <c r="W483" s="630" t="s">
        <v>545</v>
      </c>
      <c r="X483" s="630" t="s">
        <v>580</v>
      </c>
      <c r="Y483" s="630" t="s">
        <v>549</v>
      </c>
      <c r="Z483" s="630">
        <v>0.24427099999999999</v>
      </c>
      <c r="AA483" s="630">
        <v>0.39311699999999999</v>
      </c>
      <c r="AB483" s="631">
        <v>80066</v>
      </c>
      <c r="AC483" s="631">
        <v>3921120</v>
      </c>
      <c r="AD483" s="631">
        <f t="shared" si="7"/>
        <v>957815.90351999993</v>
      </c>
    </row>
    <row r="484" spans="2:30" x14ac:dyDescent="0.15">
      <c r="B484" s="630">
        <v>17031004217</v>
      </c>
      <c r="C484" s="630">
        <v>17031000313</v>
      </c>
      <c r="D484" s="630">
        <v>17031000312</v>
      </c>
      <c r="E484" s="630" t="s">
        <v>533</v>
      </c>
      <c r="F484" s="630" t="s">
        <v>534</v>
      </c>
      <c r="G484" s="630" t="s">
        <v>365</v>
      </c>
      <c r="H484" s="630" t="s">
        <v>590</v>
      </c>
      <c r="I484" s="630"/>
      <c r="J484" s="630"/>
      <c r="K484" s="630"/>
      <c r="L484" s="630"/>
      <c r="M484" s="630"/>
      <c r="N484" s="630"/>
      <c r="O484" s="630"/>
      <c r="P484" s="630"/>
      <c r="Q484" s="630"/>
      <c r="R484" s="630"/>
      <c r="S484" s="630"/>
      <c r="T484" s="630"/>
      <c r="U484" s="630" t="s">
        <v>559</v>
      </c>
      <c r="V484" s="630">
        <v>1</v>
      </c>
      <c r="W484" s="630" t="s">
        <v>560</v>
      </c>
      <c r="X484" s="630" t="s">
        <v>541</v>
      </c>
      <c r="Y484" s="630" t="s">
        <v>541</v>
      </c>
      <c r="Z484" s="630">
        <v>0.48008099999999998</v>
      </c>
      <c r="AA484" s="630">
        <v>0.772617</v>
      </c>
      <c r="AB484" s="631">
        <v>0</v>
      </c>
      <c r="AC484" s="631">
        <v>0</v>
      </c>
      <c r="AD484" s="631">
        <f t="shared" si="7"/>
        <v>0</v>
      </c>
    </row>
    <row r="485" spans="2:30" x14ac:dyDescent="0.15">
      <c r="B485" s="630">
        <v>17031004259</v>
      </c>
      <c r="C485" s="630">
        <v>17031004617</v>
      </c>
      <c r="D485" s="630">
        <v>17031000302</v>
      </c>
      <c r="E485" s="630" t="s">
        <v>533</v>
      </c>
      <c r="F485" s="630" t="s">
        <v>534</v>
      </c>
      <c r="G485" s="630" t="s">
        <v>365</v>
      </c>
      <c r="H485" s="630" t="s">
        <v>552</v>
      </c>
      <c r="I485" s="630"/>
      <c r="J485" s="630" t="s">
        <v>542</v>
      </c>
      <c r="K485" s="630" t="s">
        <v>547</v>
      </c>
      <c r="L485" s="630" t="s">
        <v>563</v>
      </c>
      <c r="M485" s="630"/>
      <c r="N485" s="630"/>
      <c r="O485" s="630"/>
      <c r="P485" s="630"/>
      <c r="Q485" s="630"/>
      <c r="R485" s="630"/>
      <c r="S485" s="630" t="s">
        <v>564</v>
      </c>
      <c r="T485" s="630"/>
      <c r="U485" s="630" t="s">
        <v>538</v>
      </c>
      <c r="V485" s="630">
        <v>2</v>
      </c>
      <c r="W485" s="630" t="s">
        <v>545</v>
      </c>
      <c r="X485" s="630" t="s">
        <v>541</v>
      </c>
      <c r="Y485" s="630" t="s">
        <v>549</v>
      </c>
      <c r="Z485" s="630">
        <v>1.169065</v>
      </c>
      <c r="AA485" s="630">
        <v>1.8814310000000001</v>
      </c>
      <c r="AB485" s="631">
        <v>27538</v>
      </c>
      <c r="AC485" s="631">
        <v>2609253</v>
      </c>
      <c r="AD485" s="631">
        <f t="shared" si="7"/>
        <v>3050386.3584449999</v>
      </c>
    </row>
    <row r="486" spans="2:30" x14ac:dyDescent="0.15">
      <c r="B486" s="630">
        <v>17031006240</v>
      </c>
      <c r="C486" s="630">
        <v>17031001354</v>
      </c>
      <c r="D486" s="630">
        <v>17031001361</v>
      </c>
      <c r="E486" s="630" t="s">
        <v>533</v>
      </c>
      <c r="F486" s="630" t="s">
        <v>534</v>
      </c>
      <c r="G486" s="630" t="s">
        <v>365</v>
      </c>
      <c r="H486" s="630" t="s">
        <v>551</v>
      </c>
      <c r="I486" s="630"/>
      <c r="J486" s="630"/>
      <c r="K486" s="630"/>
      <c r="L486" s="630"/>
      <c r="M486" s="630"/>
      <c r="N486" s="630"/>
      <c r="O486" s="630"/>
      <c r="P486" s="630"/>
      <c r="Q486" s="630"/>
      <c r="R486" s="630"/>
      <c r="S486" s="630"/>
      <c r="T486" s="630"/>
      <c r="U486" s="630" t="s">
        <v>538</v>
      </c>
      <c r="V486" s="630">
        <v>1</v>
      </c>
      <c r="W486" s="630" t="s">
        <v>560</v>
      </c>
      <c r="X486" s="630" t="s">
        <v>541</v>
      </c>
      <c r="Y486" s="630" t="s">
        <v>541</v>
      </c>
      <c r="Z486" s="630">
        <v>0.29633300000000001</v>
      </c>
      <c r="AA486" s="630">
        <v>0.47690300000000002</v>
      </c>
      <c r="AB486" s="631">
        <v>0</v>
      </c>
      <c r="AC486" s="631">
        <v>0</v>
      </c>
      <c r="AD486" s="631">
        <f t="shared" si="7"/>
        <v>0</v>
      </c>
    </row>
    <row r="487" spans="2:30" x14ac:dyDescent="0.15">
      <c r="B487" s="630">
        <v>17031006346</v>
      </c>
      <c r="C487" s="630">
        <v>17031004603</v>
      </c>
      <c r="D487" s="630">
        <v>17031000293</v>
      </c>
      <c r="E487" s="630" t="s">
        <v>533</v>
      </c>
      <c r="F487" s="630" t="s">
        <v>534</v>
      </c>
      <c r="G487" s="630" t="s">
        <v>365</v>
      </c>
      <c r="H487" s="630" t="s">
        <v>382</v>
      </c>
      <c r="I487" s="630"/>
      <c r="J487" s="630" t="s">
        <v>535</v>
      </c>
      <c r="K487" s="630" t="s">
        <v>547</v>
      </c>
      <c r="L487" s="630"/>
      <c r="M487" s="630"/>
      <c r="N487" s="630"/>
      <c r="O487" s="630"/>
      <c r="P487" s="630"/>
      <c r="Q487" s="630"/>
      <c r="R487" s="630"/>
      <c r="S487" s="630" t="s">
        <v>608</v>
      </c>
      <c r="T487" s="630"/>
      <c r="U487" s="630" t="s">
        <v>538</v>
      </c>
      <c r="V487" s="630">
        <v>3</v>
      </c>
      <c r="W487" s="630" t="s">
        <v>566</v>
      </c>
      <c r="X487" s="630" t="s">
        <v>554</v>
      </c>
      <c r="Y487" s="630" t="s">
        <v>549</v>
      </c>
      <c r="Z487" s="630">
        <v>0.231518</v>
      </c>
      <c r="AA487" s="630">
        <v>0.37259199999999998</v>
      </c>
      <c r="AB487" s="631">
        <v>336</v>
      </c>
      <c r="AC487" s="631">
        <v>31392</v>
      </c>
      <c r="AD487" s="631">
        <f t="shared" si="7"/>
        <v>7267.813056</v>
      </c>
    </row>
    <row r="488" spans="2:30" x14ac:dyDescent="0.15">
      <c r="B488" s="630">
        <v>17031006418</v>
      </c>
      <c r="C488" s="630">
        <v>17031000964</v>
      </c>
      <c r="D488" s="630">
        <v>17031004728</v>
      </c>
      <c r="E488" s="630" t="s">
        <v>533</v>
      </c>
      <c r="F488" s="630" t="s">
        <v>534</v>
      </c>
      <c r="G488" s="630" t="s">
        <v>365</v>
      </c>
      <c r="H488" s="630" t="s">
        <v>571</v>
      </c>
      <c r="I488" s="630"/>
      <c r="J488" s="630" t="s">
        <v>381</v>
      </c>
      <c r="K488" s="630" t="s">
        <v>535</v>
      </c>
      <c r="L488" s="630" t="s">
        <v>552</v>
      </c>
      <c r="M488" s="630" t="s">
        <v>551</v>
      </c>
      <c r="N488" s="630" t="s">
        <v>382</v>
      </c>
      <c r="O488" s="630" t="s">
        <v>563</v>
      </c>
      <c r="P488" s="630"/>
      <c r="Q488" s="630"/>
      <c r="R488" s="630"/>
      <c r="S488" s="630" t="s">
        <v>655</v>
      </c>
      <c r="T488" s="630"/>
      <c r="U488" s="630" t="s">
        <v>538</v>
      </c>
      <c r="V488" s="630">
        <v>2</v>
      </c>
      <c r="W488" s="630" t="s">
        <v>545</v>
      </c>
      <c r="X488" s="630" t="s">
        <v>546</v>
      </c>
      <c r="Y488" s="630" t="s">
        <v>554</v>
      </c>
      <c r="Z488" s="630">
        <v>0.21063699999999999</v>
      </c>
      <c r="AA488" s="630">
        <v>0.33898800000000001</v>
      </c>
      <c r="AB488" s="631">
        <v>93514</v>
      </c>
      <c r="AC488" s="631">
        <v>5176370</v>
      </c>
      <c r="AD488" s="631">
        <f t="shared" si="7"/>
        <v>1090335.0476899999</v>
      </c>
    </row>
    <row r="489" spans="2:30" x14ac:dyDescent="0.15">
      <c r="B489" s="630">
        <v>17031006465</v>
      </c>
      <c r="C489" s="630">
        <v>17031000852</v>
      </c>
      <c r="D489" s="630">
        <v>17031000849</v>
      </c>
      <c r="E489" s="630" t="s">
        <v>533</v>
      </c>
      <c r="F489" s="630" t="s">
        <v>534</v>
      </c>
      <c r="G489" s="630" t="s">
        <v>365</v>
      </c>
      <c r="H489" s="630" t="s">
        <v>571</v>
      </c>
      <c r="I489" s="630"/>
      <c r="J489" s="630" t="s">
        <v>535</v>
      </c>
      <c r="K489" s="630" t="s">
        <v>543</v>
      </c>
      <c r="L489" s="630"/>
      <c r="M489" s="630"/>
      <c r="N489" s="630"/>
      <c r="O489" s="630"/>
      <c r="P489" s="630"/>
      <c r="Q489" s="630"/>
      <c r="R489" s="630"/>
      <c r="S489" s="630"/>
      <c r="T489" s="630"/>
      <c r="U489" s="630" t="s">
        <v>559</v>
      </c>
      <c r="V489" s="630">
        <v>1</v>
      </c>
      <c r="W489" s="630" t="s">
        <v>560</v>
      </c>
      <c r="X489" s="630" t="s">
        <v>541</v>
      </c>
      <c r="Y489" s="630" t="s">
        <v>541</v>
      </c>
      <c r="Z489" s="630">
        <v>1.9474000000000002E-2</v>
      </c>
      <c r="AA489" s="630">
        <v>3.1341000000000001E-2</v>
      </c>
      <c r="AB489" s="631">
        <v>63280</v>
      </c>
      <c r="AC489" s="631">
        <v>3022040</v>
      </c>
      <c r="AD489" s="631">
        <f t="shared" si="7"/>
        <v>58851.206960000003</v>
      </c>
    </row>
    <row r="490" spans="2:30" x14ac:dyDescent="0.15">
      <c r="B490" s="630">
        <v>17031006479</v>
      </c>
      <c r="C490" s="630">
        <v>17031004744</v>
      </c>
      <c r="D490" s="630">
        <v>17031001403</v>
      </c>
      <c r="E490" s="630" t="s">
        <v>533</v>
      </c>
      <c r="F490" s="630" t="s">
        <v>534</v>
      </c>
      <c r="G490" s="630" t="s">
        <v>365</v>
      </c>
      <c r="H490" s="630" t="s">
        <v>557</v>
      </c>
      <c r="I490" s="630"/>
      <c r="J490" s="630" t="s">
        <v>552</v>
      </c>
      <c r="K490" s="630"/>
      <c r="L490" s="630"/>
      <c r="M490" s="630"/>
      <c r="N490" s="630"/>
      <c r="O490" s="630"/>
      <c r="P490" s="630"/>
      <c r="Q490" s="630"/>
      <c r="R490" s="630"/>
      <c r="S490" s="630" t="s">
        <v>567</v>
      </c>
      <c r="T490" s="630"/>
      <c r="U490" s="630" t="s">
        <v>559</v>
      </c>
      <c r="V490" s="630">
        <v>1</v>
      </c>
      <c r="W490" s="630" t="s">
        <v>560</v>
      </c>
      <c r="X490" s="630" t="s">
        <v>541</v>
      </c>
      <c r="Y490" s="630" t="s">
        <v>541</v>
      </c>
      <c r="Z490" s="630">
        <v>0.17177899999999999</v>
      </c>
      <c r="AA490" s="630">
        <v>0.27645199999999998</v>
      </c>
      <c r="AB490" s="631">
        <v>84</v>
      </c>
      <c r="AC490" s="631">
        <v>7692</v>
      </c>
      <c r="AD490" s="631">
        <f t="shared" si="7"/>
        <v>1321.3240679999999</v>
      </c>
    </row>
    <row r="491" spans="2:30" x14ac:dyDescent="0.15">
      <c r="B491" s="630">
        <v>17043006533</v>
      </c>
      <c r="C491" s="630">
        <v>17043000588</v>
      </c>
      <c r="D491" s="630">
        <v>17043000591</v>
      </c>
      <c r="E491" s="630" t="s">
        <v>533</v>
      </c>
      <c r="F491" s="630" t="s">
        <v>534</v>
      </c>
      <c r="G491" s="630" t="s">
        <v>367</v>
      </c>
      <c r="H491" s="630" t="s">
        <v>382</v>
      </c>
      <c r="I491" s="630"/>
      <c r="J491" s="630"/>
      <c r="K491" s="630"/>
      <c r="L491" s="630"/>
      <c r="M491" s="630"/>
      <c r="N491" s="630"/>
      <c r="O491" s="630"/>
      <c r="P491" s="630"/>
      <c r="Q491" s="630"/>
      <c r="R491" s="630"/>
      <c r="S491" s="630" t="s">
        <v>561</v>
      </c>
      <c r="T491" s="630" t="s">
        <v>587</v>
      </c>
      <c r="U491" s="630" t="s">
        <v>538</v>
      </c>
      <c r="V491" s="630">
        <v>1</v>
      </c>
      <c r="W491" s="630" t="s">
        <v>562</v>
      </c>
      <c r="X491" s="630" t="s">
        <v>541</v>
      </c>
      <c r="Y491" s="630" t="s">
        <v>540</v>
      </c>
      <c r="Z491" s="630">
        <v>8.0825999999999995E-2</v>
      </c>
      <c r="AA491" s="630">
        <v>0.130077</v>
      </c>
      <c r="AB491" s="631">
        <v>22996</v>
      </c>
      <c r="AC491" s="631">
        <v>1030696</v>
      </c>
      <c r="AD491" s="631">
        <f t="shared" si="7"/>
        <v>83307.034895999997</v>
      </c>
    </row>
    <row r="492" spans="2:30" x14ac:dyDescent="0.15">
      <c r="B492" s="630">
        <v>17031008564</v>
      </c>
      <c r="C492" s="630">
        <v>17031007042</v>
      </c>
      <c r="D492" s="630">
        <v>17031004710</v>
      </c>
      <c r="E492" s="630" t="s">
        <v>533</v>
      </c>
      <c r="F492" s="630" t="s">
        <v>534</v>
      </c>
      <c r="G492" s="630" t="s">
        <v>365</v>
      </c>
      <c r="H492" s="630" t="s">
        <v>382</v>
      </c>
      <c r="I492" s="630"/>
      <c r="J492" s="630"/>
      <c r="K492" s="630"/>
      <c r="L492" s="630"/>
      <c r="M492" s="630"/>
      <c r="N492" s="630"/>
      <c r="O492" s="630"/>
      <c r="P492" s="630"/>
      <c r="Q492" s="630"/>
      <c r="R492" s="630"/>
      <c r="S492" s="630"/>
      <c r="T492" s="630" t="s">
        <v>675</v>
      </c>
      <c r="U492" s="630" t="s">
        <v>559</v>
      </c>
      <c r="V492" s="630">
        <v>1</v>
      </c>
      <c r="W492" s="630" t="s">
        <v>560</v>
      </c>
      <c r="X492" s="630" t="s">
        <v>541</v>
      </c>
      <c r="Y492" s="630" t="s">
        <v>541</v>
      </c>
      <c r="Z492" s="630">
        <v>2.2712E-2</v>
      </c>
      <c r="AA492" s="630">
        <v>3.6551E-2</v>
      </c>
      <c r="AB492" s="631">
        <v>0</v>
      </c>
      <c r="AC492" s="631">
        <v>0</v>
      </c>
      <c r="AD492" s="631">
        <f t="shared" si="7"/>
        <v>0</v>
      </c>
    </row>
    <row r="493" spans="2:30" x14ac:dyDescent="0.15">
      <c r="B493" s="630">
        <v>17197009012</v>
      </c>
      <c r="C493" s="630">
        <v>17197007227</v>
      </c>
      <c r="D493" s="630">
        <v>17197007239</v>
      </c>
      <c r="E493" s="630" t="s">
        <v>533</v>
      </c>
      <c r="F493" s="630" t="s">
        <v>534</v>
      </c>
      <c r="G493" s="630" t="s">
        <v>377</v>
      </c>
      <c r="H493" s="630" t="s">
        <v>381</v>
      </c>
      <c r="I493" s="630"/>
      <c r="J493" s="630"/>
      <c r="K493" s="630"/>
      <c r="L493" s="630"/>
      <c r="M493" s="630"/>
      <c r="N493" s="630"/>
      <c r="O493" s="630"/>
      <c r="P493" s="630"/>
      <c r="Q493" s="630"/>
      <c r="R493" s="630"/>
      <c r="S493" s="630" t="s">
        <v>591</v>
      </c>
      <c r="T493" s="630"/>
      <c r="U493" s="630" t="s">
        <v>559</v>
      </c>
      <c r="V493" s="630">
        <v>1</v>
      </c>
      <c r="W493" s="630" t="s">
        <v>560</v>
      </c>
      <c r="X493" s="630" t="s">
        <v>541</v>
      </c>
      <c r="Y493" s="630" t="s">
        <v>541</v>
      </c>
      <c r="Z493" s="630">
        <v>0.18413099999999999</v>
      </c>
      <c r="AA493" s="630">
        <v>0.29633100000000001</v>
      </c>
      <c r="AB493" s="631">
        <v>0</v>
      </c>
      <c r="AC493" s="631">
        <v>0</v>
      </c>
      <c r="AD493" s="631">
        <f t="shared" si="7"/>
        <v>0</v>
      </c>
    </row>
    <row r="494" spans="2:30" x14ac:dyDescent="0.15">
      <c r="B494" s="630">
        <v>17197009013</v>
      </c>
      <c r="C494" s="630">
        <v>17197007226</v>
      </c>
      <c r="D494" s="630">
        <v>17197007227</v>
      </c>
      <c r="E494" s="630" t="s">
        <v>533</v>
      </c>
      <c r="F494" s="630" t="s">
        <v>534</v>
      </c>
      <c r="G494" s="630" t="s">
        <v>377</v>
      </c>
      <c r="H494" s="630" t="s">
        <v>381</v>
      </c>
      <c r="I494" s="630"/>
      <c r="J494" s="630"/>
      <c r="K494" s="630"/>
      <c r="L494" s="630"/>
      <c r="M494" s="630"/>
      <c r="N494" s="630"/>
      <c r="O494" s="630"/>
      <c r="P494" s="630"/>
      <c r="Q494" s="630"/>
      <c r="R494" s="630"/>
      <c r="S494" s="630" t="s">
        <v>591</v>
      </c>
      <c r="T494" s="630"/>
      <c r="U494" s="630" t="s">
        <v>559</v>
      </c>
      <c r="V494" s="630">
        <v>1</v>
      </c>
      <c r="W494" s="630" t="s">
        <v>560</v>
      </c>
      <c r="X494" s="630" t="s">
        <v>541</v>
      </c>
      <c r="Y494" s="630" t="s">
        <v>541</v>
      </c>
      <c r="Z494" s="630">
        <v>5.7818000000000001E-2</v>
      </c>
      <c r="AA494" s="630">
        <v>9.3049999999999994E-2</v>
      </c>
      <c r="AB494" s="631">
        <v>0</v>
      </c>
      <c r="AC494" s="631">
        <v>0</v>
      </c>
      <c r="AD494" s="631">
        <f t="shared" si="7"/>
        <v>0</v>
      </c>
    </row>
    <row r="495" spans="2:30" x14ac:dyDescent="0.15">
      <c r="B495" s="630">
        <v>17031009831</v>
      </c>
      <c r="C495" s="630">
        <v>17031007902</v>
      </c>
      <c r="D495" s="630">
        <v>17031001565</v>
      </c>
      <c r="E495" s="630" t="s">
        <v>533</v>
      </c>
      <c r="F495" s="630" t="s">
        <v>534</v>
      </c>
      <c r="G495" s="630" t="s">
        <v>365</v>
      </c>
      <c r="H495" s="630" t="s">
        <v>535</v>
      </c>
      <c r="I495" s="630"/>
      <c r="J495" s="630" t="s">
        <v>382</v>
      </c>
      <c r="K495" s="630" t="s">
        <v>536</v>
      </c>
      <c r="L495" s="630"/>
      <c r="M495" s="630"/>
      <c r="N495" s="630"/>
      <c r="O495" s="630"/>
      <c r="P495" s="630"/>
      <c r="Q495" s="630"/>
      <c r="R495" s="630"/>
      <c r="S495" s="630" t="s">
        <v>537</v>
      </c>
      <c r="T495" s="630"/>
      <c r="U495" s="630" t="s">
        <v>538</v>
      </c>
      <c r="V495" s="630">
        <v>2</v>
      </c>
      <c r="W495" s="630" t="s">
        <v>582</v>
      </c>
      <c r="X495" s="630" t="s">
        <v>540</v>
      </c>
      <c r="Y495" s="630" t="s">
        <v>549</v>
      </c>
      <c r="Z495" s="630">
        <v>0.32351000000000002</v>
      </c>
      <c r="AA495" s="630">
        <v>0.52063899999999996</v>
      </c>
      <c r="AB495" s="631">
        <v>5244</v>
      </c>
      <c r="AC495" s="631">
        <v>453236</v>
      </c>
      <c r="AD495" s="631">
        <f t="shared" si="7"/>
        <v>146626.37836</v>
      </c>
    </row>
    <row r="496" spans="2:30" x14ac:dyDescent="0.15">
      <c r="B496" s="630">
        <v>17031001972</v>
      </c>
      <c r="C496" s="630">
        <v>17031001058</v>
      </c>
      <c r="D496" s="630">
        <v>17031000991</v>
      </c>
      <c r="E496" s="630" t="s">
        <v>533</v>
      </c>
      <c r="F496" s="630" t="s">
        <v>534</v>
      </c>
      <c r="G496" s="630" t="s">
        <v>365</v>
      </c>
      <c r="H496" s="630" t="s">
        <v>547</v>
      </c>
      <c r="I496" s="630"/>
      <c r="J496" s="630"/>
      <c r="K496" s="630"/>
      <c r="L496" s="630"/>
      <c r="M496" s="630"/>
      <c r="N496" s="630"/>
      <c r="O496" s="630"/>
      <c r="P496" s="630"/>
      <c r="Q496" s="630"/>
      <c r="R496" s="630"/>
      <c r="S496" s="630"/>
      <c r="T496" s="630"/>
      <c r="U496" s="630" t="s">
        <v>538</v>
      </c>
      <c r="V496" s="630">
        <v>2</v>
      </c>
      <c r="W496" s="630" t="s">
        <v>545</v>
      </c>
      <c r="X496" s="630" t="s">
        <v>541</v>
      </c>
      <c r="Y496" s="630" t="s">
        <v>540</v>
      </c>
      <c r="Z496" s="630">
        <v>2.185654</v>
      </c>
      <c r="AA496" s="630">
        <v>3.5174759999999998</v>
      </c>
      <c r="AB496" s="631">
        <v>0</v>
      </c>
      <c r="AC496" s="631">
        <v>0</v>
      </c>
      <c r="AD496" s="631">
        <f t="shared" si="7"/>
        <v>0</v>
      </c>
    </row>
    <row r="497" spans="2:30" x14ac:dyDescent="0.15">
      <c r="B497" s="630">
        <v>17031004208</v>
      </c>
      <c r="C497" s="630">
        <v>17031000352</v>
      </c>
      <c r="D497" s="630">
        <v>17031007557</v>
      </c>
      <c r="E497" s="630" t="s">
        <v>533</v>
      </c>
      <c r="F497" s="630" t="s">
        <v>534</v>
      </c>
      <c r="G497" s="630" t="s">
        <v>365</v>
      </c>
      <c r="H497" s="630" t="s">
        <v>590</v>
      </c>
      <c r="I497" s="630"/>
      <c r="J497" s="630"/>
      <c r="K497" s="630"/>
      <c r="L497" s="630"/>
      <c r="M497" s="630"/>
      <c r="N497" s="630"/>
      <c r="O497" s="630"/>
      <c r="P497" s="630"/>
      <c r="Q497" s="630"/>
      <c r="R497" s="630"/>
      <c r="S497" s="630"/>
      <c r="T497" s="630"/>
      <c r="U497" s="630" t="s">
        <v>559</v>
      </c>
      <c r="V497" s="630">
        <v>1</v>
      </c>
      <c r="W497" s="630" t="s">
        <v>560</v>
      </c>
      <c r="X497" s="630" t="s">
        <v>541</v>
      </c>
      <c r="Y497" s="630" t="s">
        <v>541</v>
      </c>
      <c r="Z497" s="630">
        <v>0.68821500000000002</v>
      </c>
      <c r="AA497" s="630">
        <v>1.107577</v>
      </c>
      <c r="AB497" s="631">
        <v>0</v>
      </c>
      <c r="AC497" s="631">
        <v>0</v>
      </c>
      <c r="AD497" s="631">
        <f t="shared" si="7"/>
        <v>0</v>
      </c>
    </row>
    <row r="498" spans="2:30" x14ac:dyDescent="0.15">
      <c r="B498" s="630">
        <v>17031004212</v>
      </c>
      <c r="C498" s="630">
        <v>17031000334</v>
      </c>
      <c r="D498" s="630">
        <v>17031000330</v>
      </c>
      <c r="E498" s="630" t="s">
        <v>533</v>
      </c>
      <c r="F498" s="630" t="s">
        <v>534</v>
      </c>
      <c r="G498" s="630" t="s">
        <v>365</v>
      </c>
      <c r="H498" s="630" t="s">
        <v>590</v>
      </c>
      <c r="I498" s="630"/>
      <c r="J498" s="630"/>
      <c r="K498" s="630"/>
      <c r="L498" s="630"/>
      <c r="M498" s="630"/>
      <c r="N498" s="630"/>
      <c r="O498" s="630"/>
      <c r="P498" s="630"/>
      <c r="Q498" s="630"/>
      <c r="R498" s="630"/>
      <c r="S498" s="630"/>
      <c r="T498" s="630"/>
      <c r="U498" s="630" t="s">
        <v>559</v>
      </c>
      <c r="V498" s="630">
        <v>1</v>
      </c>
      <c r="W498" s="630" t="s">
        <v>560</v>
      </c>
      <c r="X498" s="630" t="s">
        <v>541</v>
      </c>
      <c r="Y498" s="630" t="s">
        <v>541</v>
      </c>
      <c r="Z498" s="630">
        <v>0.80620700000000001</v>
      </c>
      <c r="AA498" s="630">
        <v>1.2974680000000001</v>
      </c>
      <c r="AB498" s="631">
        <v>0</v>
      </c>
      <c r="AC498" s="631">
        <v>0</v>
      </c>
      <c r="AD498" s="631">
        <f t="shared" si="7"/>
        <v>0</v>
      </c>
    </row>
    <row r="499" spans="2:30" x14ac:dyDescent="0.15">
      <c r="B499" s="630">
        <v>17031006485</v>
      </c>
      <c r="C499" s="630">
        <v>17031001367</v>
      </c>
      <c r="D499" s="630">
        <v>17031004745</v>
      </c>
      <c r="E499" s="630" t="s">
        <v>533</v>
      </c>
      <c r="F499" s="630" t="s">
        <v>534</v>
      </c>
      <c r="G499" s="630" t="s">
        <v>365</v>
      </c>
      <c r="H499" s="630" t="s">
        <v>557</v>
      </c>
      <c r="I499" s="630"/>
      <c r="J499" s="630" t="s">
        <v>569</v>
      </c>
      <c r="K499" s="630" t="s">
        <v>551</v>
      </c>
      <c r="L499" s="630" t="s">
        <v>543</v>
      </c>
      <c r="M499" s="630" t="s">
        <v>552</v>
      </c>
      <c r="N499" s="630"/>
      <c r="O499" s="630"/>
      <c r="P499" s="630"/>
      <c r="Q499" s="630"/>
      <c r="R499" s="630"/>
      <c r="S499" s="630" t="s">
        <v>570</v>
      </c>
      <c r="T499" s="630"/>
      <c r="U499" s="630" t="s">
        <v>538</v>
      </c>
      <c r="V499" s="630">
        <v>2</v>
      </c>
      <c r="W499" s="630" t="s">
        <v>545</v>
      </c>
      <c r="X499" s="630" t="s">
        <v>540</v>
      </c>
      <c r="Y499" s="630" t="s">
        <v>540</v>
      </c>
      <c r="Z499" s="630">
        <v>0.54322899999999996</v>
      </c>
      <c r="AA499" s="630">
        <v>0.87424500000000005</v>
      </c>
      <c r="AB499" s="631">
        <v>613026</v>
      </c>
      <c r="AC499" s="631">
        <v>12992048</v>
      </c>
      <c r="AD499" s="631">
        <f t="shared" si="7"/>
        <v>7057657.2429919997</v>
      </c>
    </row>
    <row r="500" spans="2:30" x14ac:dyDescent="0.15">
      <c r="B500" s="630">
        <v>17031009236</v>
      </c>
      <c r="C500" s="630">
        <v>17031000996</v>
      </c>
      <c r="D500" s="630">
        <v>17031007121</v>
      </c>
      <c r="E500" s="630" t="s">
        <v>533</v>
      </c>
      <c r="F500" s="630" t="s">
        <v>534</v>
      </c>
      <c r="G500" s="630" t="s">
        <v>365</v>
      </c>
      <c r="H500" s="630" t="s">
        <v>571</v>
      </c>
      <c r="I500" s="630"/>
      <c r="J500" s="630" t="s">
        <v>381</v>
      </c>
      <c r="K500" s="630" t="s">
        <v>535</v>
      </c>
      <c r="L500" s="630" t="s">
        <v>552</v>
      </c>
      <c r="M500" s="630" t="s">
        <v>551</v>
      </c>
      <c r="N500" s="630" t="s">
        <v>382</v>
      </c>
      <c r="O500" s="630"/>
      <c r="P500" s="630"/>
      <c r="Q500" s="630"/>
      <c r="R500" s="630"/>
      <c r="S500" s="630"/>
      <c r="T500" s="630" t="s">
        <v>574</v>
      </c>
      <c r="U500" s="630" t="s">
        <v>559</v>
      </c>
      <c r="V500" s="630">
        <v>1</v>
      </c>
      <c r="W500" s="630" t="s">
        <v>560</v>
      </c>
      <c r="X500" s="630" t="s">
        <v>541</v>
      </c>
      <c r="Y500" s="630" t="s">
        <v>541</v>
      </c>
      <c r="Z500" s="630">
        <v>0.12762499999999999</v>
      </c>
      <c r="AA500" s="630">
        <v>0.20539299999999999</v>
      </c>
      <c r="AB500" s="631">
        <v>0</v>
      </c>
      <c r="AC500" s="631">
        <v>0</v>
      </c>
      <c r="AD500" s="631">
        <f t="shared" si="7"/>
        <v>0</v>
      </c>
    </row>
    <row r="501" spans="2:30" x14ac:dyDescent="0.15">
      <c r="B501" s="630">
        <v>17031009834</v>
      </c>
      <c r="C501" s="630">
        <v>17031007900</v>
      </c>
      <c r="D501" s="630">
        <v>17031007901</v>
      </c>
      <c r="E501" s="630" t="s">
        <v>533</v>
      </c>
      <c r="F501" s="630" t="s">
        <v>534</v>
      </c>
      <c r="G501" s="630" t="s">
        <v>365</v>
      </c>
      <c r="H501" s="630" t="s">
        <v>535</v>
      </c>
      <c r="I501" s="630"/>
      <c r="J501" s="630" t="s">
        <v>382</v>
      </c>
      <c r="K501" s="630"/>
      <c r="L501" s="630"/>
      <c r="M501" s="630"/>
      <c r="N501" s="630"/>
      <c r="O501" s="630"/>
      <c r="P501" s="630"/>
      <c r="Q501" s="630"/>
      <c r="R501" s="630"/>
      <c r="S501" s="630"/>
      <c r="T501" s="630"/>
      <c r="U501" s="630" t="s">
        <v>538</v>
      </c>
      <c r="V501" s="630">
        <v>1</v>
      </c>
      <c r="W501" s="630" t="s">
        <v>560</v>
      </c>
      <c r="X501" s="630" t="s">
        <v>554</v>
      </c>
      <c r="Y501" s="630" t="s">
        <v>554</v>
      </c>
      <c r="Z501" s="630">
        <v>4.1030999999999998E-2</v>
      </c>
      <c r="AA501" s="630">
        <v>6.6032999999999994E-2</v>
      </c>
      <c r="AB501" s="631">
        <v>8148</v>
      </c>
      <c r="AC501" s="631">
        <v>598709</v>
      </c>
      <c r="AD501" s="631">
        <f t="shared" si="7"/>
        <v>24565.628978999997</v>
      </c>
    </row>
    <row r="502" spans="2:30" x14ac:dyDescent="0.15">
      <c r="B502" s="630">
        <v>17197002058</v>
      </c>
      <c r="C502" s="630">
        <v>17197001810</v>
      </c>
      <c r="D502" s="630">
        <v>17197001773</v>
      </c>
      <c r="E502" s="630" t="s">
        <v>533</v>
      </c>
      <c r="F502" s="630" t="s">
        <v>534</v>
      </c>
      <c r="G502" s="630" t="s">
        <v>377</v>
      </c>
      <c r="H502" s="630" t="s">
        <v>382</v>
      </c>
      <c r="I502" s="630"/>
      <c r="J502" s="630" t="s">
        <v>542</v>
      </c>
      <c r="K502" s="630"/>
      <c r="L502" s="630"/>
      <c r="M502" s="630"/>
      <c r="N502" s="630"/>
      <c r="O502" s="630"/>
      <c r="P502" s="630"/>
      <c r="Q502" s="630"/>
      <c r="R502" s="630"/>
      <c r="S502" s="630" t="s">
        <v>606</v>
      </c>
      <c r="T502" s="630"/>
      <c r="U502" s="630" t="s">
        <v>538</v>
      </c>
      <c r="V502" s="630">
        <v>1</v>
      </c>
      <c r="W502" s="630" t="s">
        <v>545</v>
      </c>
      <c r="X502" s="630" t="s">
        <v>541</v>
      </c>
      <c r="Y502" s="630" t="s">
        <v>549</v>
      </c>
      <c r="Z502" s="630">
        <v>4.3202999999999996</v>
      </c>
      <c r="AA502" s="630">
        <v>6.9528619999999997</v>
      </c>
      <c r="AB502" s="631">
        <v>0</v>
      </c>
      <c r="AC502" s="631">
        <v>0</v>
      </c>
      <c r="AD502" s="631">
        <f t="shared" si="7"/>
        <v>0</v>
      </c>
    </row>
    <row r="503" spans="2:30" x14ac:dyDescent="0.15">
      <c r="B503" s="630">
        <v>17031006368</v>
      </c>
      <c r="C503" s="630">
        <v>17031000751</v>
      </c>
      <c r="D503" s="630">
        <v>17031000753</v>
      </c>
      <c r="E503" s="630" t="s">
        <v>533</v>
      </c>
      <c r="F503" s="630" t="s">
        <v>534</v>
      </c>
      <c r="G503" s="630" t="s">
        <v>365</v>
      </c>
      <c r="H503" s="630" t="s">
        <v>535</v>
      </c>
      <c r="I503" s="630"/>
      <c r="J503" s="630"/>
      <c r="K503" s="630"/>
      <c r="L503" s="630"/>
      <c r="M503" s="630"/>
      <c r="N503" s="630"/>
      <c r="O503" s="630"/>
      <c r="P503" s="630"/>
      <c r="Q503" s="630"/>
      <c r="R503" s="630"/>
      <c r="S503" s="630" t="s">
        <v>624</v>
      </c>
      <c r="T503" s="630"/>
      <c r="U503" s="630" t="s">
        <v>538</v>
      </c>
      <c r="V503" s="630">
        <v>2</v>
      </c>
      <c r="W503" s="630" t="s">
        <v>582</v>
      </c>
      <c r="X503" s="630" t="s">
        <v>554</v>
      </c>
      <c r="Y503" s="630" t="s">
        <v>554</v>
      </c>
      <c r="Z503" s="630">
        <v>0.22819999999999999</v>
      </c>
      <c r="AA503" s="630">
        <v>0.367253</v>
      </c>
      <c r="AB503" s="631">
        <v>0</v>
      </c>
      <c r="AC503" s="631">
        <v>0</v>
      </c>
      <c r="AD503" s="631">
        <f t="shared" si="7"/>
        <v>0</v>
      </c>
    </row>
    <row r="504" spans="2:30" x14ac:dyDescent="0.15">
      <c r="B504" s="630">
        <v>17031001957</v>
      </c>
      <c r="C504" s="630">
        <v>17031004668</v>
      </c>
      <c r="D504" s="630">
        <v>17031007703</v>
      </c>
      <c r="E504" s="630" t="s">
        <v>533</v>
      </c>
      <c r="F504" s="630" t="s">
        <v>534</v>
      </c>
      <c r="G504" s="630" t="s">
        <v>365</v>
      </c>
      <c r="H504" s="630" t="s">
        <v>535</v>
      </c>
      <c r="I504" s="630"/>
      <c r="J504" s="630" t="s">
        <v>542</v>
      </c>
      <c r="K504" s="630" t="s">
        <v>572</v>
      </c>
      <c r="L504" s="630" t="s">
        <v>547</v>
      </c>
      <c r="M504" s="630" t="s">
        <v>382</v>
      </c>
      <c r="N504" s="630"/>
      <c r="O504" s="630"/>
      <c r="P504" s="630"/>
      <c r="Q504" s="630"/>
      <c r="R504" s="630"/>
      <c r="S504" s="630" t="s">
        <v>601</v>
      </c>
      <c r="T504" s="630"/>
      <c r="U504" s="630" t="s">
        <v>538</v>
      </c>
      <c r="V504" s="630">
        <v>2</v>
      </c>
      <c r="W504" s="630" t="s">
        <v>545</v>
      </c>
      <c r="X504" s="630" t="s">
        <v>540</v>
      </c>
      <c r="Y504" s="630" t="s">
        <v>549</v>
      </c>
      <c r="Z504" s="630">
        <v>2.8520780000000001</v>
      </c>
      <c r="AA504" s="630">
        <v>4.5899830000000001</v>
      </c>
      <c r="AB504" s="631">
        <v>48760</v>
      </c>
      <c r="AC504" s="631">
        <v>1832520</v>
      </c>
      <c r="AD504" s="631">
        <f t="shared" si="7"/>
        <v>5226489.9765600003</v>
      </c>
    </row>
    <row r="505" spans="2:30" x14ac:dyDescent="0.15">
      <c r="B505" s="630">
        <v>17031004263</v>
      </c>
      <c r="C505" s="630">
        <v>17031001394</v>
      </c>
      <c r="D505" s="630">
        <v>99999022928</v>
      </c>
      <c r="E505" s="630" t="s">
        <v>533</v>
      </c>
      <c r="F505" s="630" t="s">
        <v>534</v>
      </c>
      <c r="G505" s="630" t="s">
        <v>365</v>
      </c>
      <c r="H505" s="630" t="s">
        <v>551</v>
      </c>
      <c r="I505" s="630"/>
      <c r="J505" s="630"/>
      <c r="K505" s="630"/>
      <c r="L505" s="630"/>
      <c r="M505" s="630"/>
      <c r="N505" s="630"/>
      <c r="O505" s="630"/>
      <c r="P505" s="630"/>
      <c r="Q505" s="630"/>
      <c r="R505" s="630"/>
      <c r="S505" s="630" t="s">
        <v>603</v>
      </c>
      <c r="T505" s="630"/>
      <c r="U505" s="630" t="s">
        <v>538</v>
      </c>
      <c r="V505" s="630">
        <v>2</v>
      </c>
      <c r="W505" s="630" t="s">
        <v>545</v>
      </c>
      <c r="X505" s="630" t="s">
        <v>575</v>
      </c>
      <c r="Y505" s="630" t="s">
        <v>554</v>
      </c>
      <c r="Z505" s="630">
        <v>1.4485E-2</v>
      </c>
      <c r="AA505" s="630">
        <v>2.3310999999999998E-2</v>
      </c>
      <c r="AB505" s="631">
        <v>1464997</v>
      </c>
      <c r="AC505" s="631">
        <v>50040672</v>
      </c>
      <c r="AD505" s="631">
        <f t="shared" si="7"/>
        <v>724839.13391999993</v>
      </c>
    </row>
    <row r="506" spans="2:30" x14ac:dyDescent="0.15">
      <c r="B506" s="630">
        <v>17043009138</v>
      </c>
      <c r="C506" s="630">
        <v>17043007344</v>
      </c>
      <c r="D506" s="630">
        <v>17043004771</v>
      </c>
      <c r="E506" s="630" t="s">
        <v>533</v>
      </c>
      <c r="F506" s="630" t="s">
        <v>534</v>
      </c>
      <c r="G506" s="630" t="s">
        <v>367</v>
      </c>
      <c r="H506" s="630" t="s">
        <v>552</v>
      </c>
      <c r="I506" s="630"/>
      <c r="J506" s="630"/>
      <c r="K506" s="630"/>
      <c r="L506" s="630"/>
      <c r="M506" s="630"/>
      <c r="N506" s="630"/>
      <c r="O506" s="630"/>
      <c r="P506" s="630"/>
      <c r="Q506" s="630"/>
      <c r="R506" s="630"/>
      <c r="S506" s="630"/>
      <c r="T506" s="630"/>
      <c r="U506" s="630" t="s">
        <v>559</v>
      </c>
      <c r="V506" s="630">
        <v>1</v>
      </c>
      <c r="W506" s="630" t="s">
        <v>560</v>
      </c>
      <c r="X506" s="630" t="s">
        <v>541</v>
      </c>
      <c r="Y506" s="630" t="s">
        <v>541</v>
      </c>
      <c r="Z506" s="630">
        <v>6.4363000000000004E-2</v>
      </c>
      <c r="AA506" s="630">
        <v>0.10358199999999999</v>
      </c>
      <c r="AB506" s="631">
        <v>0</v>
      </c>
      <c r="AC506" s="631">
        <v>0</v>
      </c>
      <c r="AD506" s="631">
        <f t="shared" si="7"/>
        <v>0</v>
      </c>
    </row>
    <row r="507" spans="2:30" x14ac:dyDescent="0.15">
      <c r="B507" s="630">
        <v>17031003682</v>
      </c>
      <c r="C507" s="630">
        <v>17031001302</v>
      </c>
      <c r="D507" s="630">
        <v>17031001310</v>
      </c>
      <c r="E507" s="630" t="s">
        <v>533</v>
      </c>
      <c r="F507" s="630" t="s">
        <v>534</v>
      </c>
      <c r="G507" s="630" t="s">
        <v>365</v>
      </c>
      <c r="H507" s="630" t="s">
        <v>551</v>
      </c>
      <c r="I507" s="630"/>
      <c r="J507" s="630" t="s">
        <v>382</v>
      </c>
      <c r="K507" s="630"/>
      <c r="L507" s="630"/>
      <c r="M507" s="630"/>
      <c r="N507" s="630"/>
      <c r="O507" s="630"/>
      <c r="P507" s="630"/>
      <c r="Q507" s="630"/>
      <c r="R507" s="630"/>
      <c r="S507" s="630" t="s">
        <v>603</v>
      </c>
      <c r="T507" s="630" t="s">
        <v>603</v>
      </c>
      <c r="U507" s="630" t="s">
        <v>538</v>
      </c>
      <c r="V507" s="630">
        <v>3</v>
      </c>
      <c r="W507" s="630" t="s">
        <v>545</v>
      </c>
      <c r="X507" s="630" t="s">
        <v>575</v>
      </c>
      <c r="Y507" s="630" t="s">
        <v>540</v>
      </c>
      <c r="Z507" s="630">
        <v>0.116281</v>
      </c>
      <c r="AA507" s="630">
        <v>0.187136</v>
      </c>
      <c r="AB507" s="631">
        <v>1107008</v>
      </c>
      <c r="AC507" s="631">
        <v>48904786</v>
      </c>
      <c r="AD507" s="631">
        <f t="shared" si="7"/>
        <v>5686697.4208659995</v>
      </c>
    </row>
    <row r="508" spans="2:30" x14ac:dyDescent="0.15">
      <c r="B508" s="630">
        <v>17031006266</v>
      </c>
      <c r="C508" s="630">
        <v>17031001089</v>
      </c>
      <c r="D508" s="630">
        <v>17031001090</v>
      </c>
      <c r="E508" s="630" t="s">
        <v>533</v>
      </c>
      <c r="F508" s="630" t="s">
        <v>534</v>
      </c>
      <c r="G508" s="630" t="s">
        <v>365</v>
      </c>
      <c r="H508" s="630" t="s">
        <v>661</v>
      </c>
      <c r="I508" s="630"/>
      <c r="J508" s="630"/>
      <c r="K508" s="630"/>
      <c r="L508" s="630"/>
      <c r="M508" s="630"/>
      <c r="N508" s="630"/>
      <c r="O508" s="630"/>
      <c r="P508" s="630"/>
      <c r="Q508" s="630"/>
      <c r="R508" s="630"/>
      <c r="S508" s="630"/>
      <c r="T508" s="630"/>
      <c r="U508" s="630" t="s">
        <v>538</v>
      </c>
      <c r="V508" s="630">
        <v>1</v>
      </c>
      <c r="W508" s="630" t="s">
        <v>560</v>
      </c>
      <c r="X508" s="630" t="s">
        <v>541</v>
      </c>
      <c r="Y508" s="630" t="s">
        <v>541</v>
      </c>
      <c r="Z508" s="630">
        <v>6.9765999999999995E-2</v>
      </c>
      <c r="AA508" s="630">
        <v>0.112278</v>
      </c>
      <c r="AB508" s="631">
        <v>0</v>
      </c>
      <c r="AC508" s="631">
        <v>0</v>
      </c>
      <c r="AD508" s="631">
        <f t="shared" si="7"/>
        <v>0</v>
      </c>
    </row>
    <row r="509" spans="2:30" x14ac:dyDescent="0.15">
      <c r="B509" s="630">
        <v>17097009356</v>
      </c>
      <c r="C509" s="630">
        <v>17097004549</v>
      </c>
      <c r="D509" s="630">
        <v>17097007475</v>
      </c>
      <c r="E509" s="630" t="s">
        <v>533</v>
      </c>
      <c r="F509" s="630" t="s">
        <v>534</v>
      </c>
      <c r="G509" s="630" t="s">
        <v>373</v>
      </c>
      <c r="H509" s="630" t="s">
        <v>382</v>
      </c>
      <c r="I509" s="630"/>
      <c r="J509" s="630" t="s">
        <v>535</v>
      </c>
      <c r="K509" s="630"/>
      <c r="L509" s="630"/>
      <c r="M509" s="630"/>
      <c r="N509" s="630"/>
      <c r="O509" s="630"/>
      <c r="P509" s="630"/>
      <c r="Q509" s="630"/>
      <c r="R509" s="630"/>
      <c r="S509" s="630"/>
      <c r="T509" s="630"/>
      <c r="U509" s="630" t="s">
        <v>559</v>
      </c>
      <c r="V509" s="630">
        <v>1</v>
      </c>
      <c r="W509" s="630" t="s">
        <v>560</v>
      </c>
      <c r="X509" s="630" t="s">
        <v>541</v>
      </c>
      <c r="Y509" s="630" t="s">
        <v>541</v>
      </c>
      <c r="Z509" s="630">
        <v>0.122694</v>
      </c>
      <c r="AA509" s="630">
        <v>0.19745699999999999</v>
      </c>
      <c r="AB509" s="631">
        <v>0</v>
      </c>
      <c r="AC509" s="631">
        <v>0</v>
      </c>
      <c r="AD509" s="631">
        <f t="shared" si="7"/>
        <v>0</v>
      </c>
    </row>
    <row r="510" spans="2:30" x14ac:dyDescent="0.15">
      <c r="B510" s="630">
        <v>17031006370</v>
      </c>
      <c r="C510" s="630">
        <v>17031004664</v>
      </c>
      <c r="D510" s="630">
        <v>17031000719</v>
      </c>
      <c r="E510" s="630" t="s">
        <v>533</v>
      </c>
      <c r="F510" s="630" t="s">
        <v>534</v>
      </c>
      <c r="G510" s="630" t="s">
        <v>365</v>
      </c>
      <c r="H510" s="630" t="s">
        <v>381</v>
      </c>
      <c r="I510" s="630"/>
      <c r="J510" s="630" t="s">
        <v>542</v>
      </c>
      <c r="K510" s="630" t="s">
        <v>547</v>
      </c>
      <c r="L510" s="630" t="s">
        <v>382</v>
      </c>
      <c r="M510" s="630"/>
      <c r="N510" s="630"/>
      <c r="O510" s="630"/>
      <c r="P510" s="630"/>
      <c r="Q510" s="630"/>
      <c r="R510" s="630"/>
      <c r="S510" s="630" t="s">
        <v>579</v>
      </c>
      <c r="T510" s="630"/>
      <c r="U510" s="630" t="s">
        <v>538</v>
      </c>
      <c r="V510" s="630">
        <v>5</v>
      </c>
      <c r="W510" s="630" t="s">
        <v>545</v>
      </c>
      <c r="X510" s="630" t="s">
        <v>580</v>
      </c>
      <c r="Y510" s="630" t="s">
        <v>549</v>
      </c>
      <c r="Z510" s="630">
        <v>0.344275</v>
      </c>
      <c r="AA510" s="630">
        <v>0.55405800000000005</v>
      </c>
      <c r="AB510" s="631">
        <v>945771</v>
      </c>
      <c r="AC510" s="631">
        <v>40638017</v>
      </c>
      <c r="AD510" s="631">
        <f t="shared" si="7"/>
        <v>13990653.302674999</v>
      </c>
    </row>
    <row r="511" spans="2:30" x14ac:dyDescent="0.15">
      <c r="B511" s="630">
        <v>17031003683</v>
      </c>
      <c r="C511" s="630">
        <v>17031001310</v>
      </c>
      <c r="D511" s="630">
        <v>17031001313</v>
      </c>
      <c r="E511" s="630" t="s">
        <v>533</v>
      </c>
      <c r="F511" s="630" t="s">
        <v>534</v>
      </c>
      <c r="G511" s="630" t="s">
        <v>365</v>
      </c>
      <c r="H511" s="630" t="s">
        <v>551</v>
      </c>
      <c r="I511" s="630"/>
      <c r="J511" s="630" t="s">
        <v>382</v>
      </c>
      <c r="K511" s="630"/>
      <c r="L511" s="630"/>
      <c r="M511" s="630"/>
      <c r="N511" s="630"/>
      <c r="O511" s="630"/>
      <c r="P511" s="630"/>
      <c r="Q511" s="630"/>
      <c r="R511" s="630"/>
      <c r="S511" s="630" t="s">
        <v>603</v>
      </c>
      <c r="T511" s="630"/>
      <c r="U511" s="630" t="s">
        <v>538</v>
      </c>
      <c r="V511" s="630">
        <v>3</v>
      </c>
      <c r="W511" s="630" t="s">
        <v>545</v>
      </c>
      <c r="X511" s="630" t="s">
        <v>575</v>
      </c>
      <c r="Y511" s="630" t="s">
        <v>540</v>
      </c>
      <c r="Z511" s="630">
        <v>0.11040899999999999</v>
      </c>
      <c r="AA511" s="630">
        <v>0.17768600000000001</v>
      </c>
      <c r="AB511" s="631">
        <v>1107088</v>
      </c>
      <c r="AC511" s="631">
        <v>48912466</v>
      </c>
      <c r="AD511" s="631">
        <f t="shared" si="7"/>
        <v>5400376.458594</v>
      </c>
    </row>
    <row r="512" spans="2:30" x14ac:dyDescent="0.15">
      <c r="B512" s="630">
        <v>17043002352</v>
      </c>
      <c r="C512" s="630">
        <v>17043004635</v>
      </c>
      <c r="D512" s="630">
        <v>17043004772</v>
      </c>
      <c r="E512" s="630" t="s">
        <v>533</v>
      </c>
      <c r="F512" s="630" t="s">
        <v>534</v>
      </c>
      <c r="G512" s="630" t="s">
        <v>367</v>
      </c>
      <c r="H512" s="630" t="s">
        <v>552</v>
      </c>
      <c r="I512" s="630"/>
      <c r="J512" s="630" t="s">
        <v>547</v>
      </c>
      <c r="K512" s="630"/>
      <c r="L512" s="630"/>
      <c r="M512" s="630"/>
      <c r="N512" s="630"/>
      <c r="O512" s="630"/>
      <c r="P512" s="630"/>
      <c r="Q512" s="630"/>
      <c r="R512" s="630"/>
      <c r="S512" s="630" t="s">
        <v>589</v>
      </c>
      <c r="T512" s="630"/>
      <c r="U512" s="630" t="s">
        <v>538</v>
      </c>
      <c r="V512" s="630">
        <v>2</v>
      </c>
      <c r="W512" s="630" t="s">
        <v>545</v>
      </c>
      <c r="X512" s="630" t="s">
        <v>540</v>
      </c>
      <c r="Y512" s="630" t="s">
        <v>549</v>
      </c>
      <c r="Z512" s="630">
        <v>1.7556849999999999</v>
      </c>
      <c r="AA512" s="630">
        <v>2.825507</v>
      </c>
      <c r="AB512" s="631">
        <v>74183</v>
      </c>
      <c r="AC512" s="631">
        <v>7767504</v>
      </c>
      <c r="AD512" s="631">
        <f t="shared" si="7"/>
        <v>13637290.26024</v>
      </c>
    </row>
    <row r="513" spans="2:30" x14ac:dyDescent="0.15">
      <c r="B513" s="630">
        <v>17031003666</v>
      </c>
      <c r="C513" s="630">
        <v>17031001284</v>
      </c>
      <c r="D513" s="630">
        <v>17031001243</v>
      </c>
      <c r="E513" s="630" t="s">
        <v>533</v>
      </c>
      <c r="F513" s="630" t="s">
        <v>534</v>
      </c>
      <c r="G513" s="630" t="s">
        <v>365</v>
      </c>
      <c r="H513" s="630" t="s">
        <v>547</v>
      </c>
      <c r="I513" s="630"/>
      <c r="J513" s="630" t="s">
        <v>577</v>
      </c>
      <c r="K513" s="630" t="s">
        <v>615</v>
      </c>
      <c r="L513" s="630"/>
      <c r="M513" s="630"/>
      <c r="N513" s="630"/>
      <c r="O513" s="630"/>
      <c r="P513" s="630"/>
      <c r="Q513" s="630"/>
      <c r="R513" s="630"/>
      <c r="S513" s="630" t="s">
        <v>581</v>
      </c>
      <c r="T513" s="630"/>
      <c r="U513" s="630" t="s">
        <v>538</v>
      </c>
      <c r="V513" s="630">
        <v>2</v>
      </c>
      <c r="W513" s="630" t="s">
        <v>582</v>
      </c>
      <c r="X513" s="630" t="s">
        <v>541</v>
      </c>
      <c r="Y513" s="630" t="s">
        <v>540</v>
      </c>
      <c r="Z513" s="630">
        <v>1.262448</v>
      </c>
      <c r="AA513" s="630">
        <v>2.0317180000000001</v>
      </c>
      <c r="AB513" s="631">
        <v>0</v>
      </c>
      <c r="AC513" s="631">
        <v>0</v>
      </c>
      <c r="AD513" s="631">
        <f t="shared" si="7"/>
        <v>0</v>
      </c>
    </row>
    <row r="514" spans="2:30" x14ac:dyDescent="0.15">
      <c r="B514" s="630">
        <v>17031003843</v>
      </c>
      <c r="C514" s="630">
        <v>17031000783</v>
      </c>
      <c r="D514" s="630">
        <v>17031000771</v>
      </c>
      <c r="E514" s="630" t="s">
        <v>533</v>
      </c>
      <c r="F514" s="630" t="s">
        <v>534</v>
      </c>
      <c r="G514" s="630" t="s">
        <v>365</v>
      </c>
      <c r="H514" s="630" t="s">
        <v>381</v>
      </c>
      <c r="I514" s="630"/>
      <c r="J514" s="630"/>
      <c r="K514" s="630"/>
      <c r="L514" s="630"/>
      <c r="M514" s="630"/>
      <c r="N514" s="630"/>
      <c r="O514" s="630"/>
      <c r="P514" s="630"/>
      <c r="Q514" s="630"/>
      <c r="R514" s="630"/>
      <c r="S514" s="630"/>
      <c r="T514" s="630"/>
      <c r="U514" s="630" t="s">
        <v>559</v>
      </c>
      <c r="V514" s="630">
        <v>1</v>
      </c>
      <c r="W514" s="630" t="s">
        <v>560</v>
      </c>
      <c r="X514" s="630" t="s">
        <v>541</v>
      </c>
      <c r="Y514" s="630" t="s">
        <v>541</v>
      </c>
      <c r="Z514" s="630">
        <v>0.24884800000000001</v>
      </c>
      <c r="AA514" s="630">
        <v>0.40048299999999998</v>
      </c>
      <c r="AB514" s="631">
        <v>0</v>
      </c>
      <c r="AC514" s="631">
        <v>0</v>
      </c>
      <c r="AD514" s="631">
        <f t="shared" si="7"/>
        <v>0</v>
      </c>
    </row>
    <row r="515" spans="2:30" x14ac:dyDescent="0.15">
      <c r="B515" s="630">
        <v>17197004193</v>
      </c>
      <c r="C515" s="630">
        <v>17197001469</v>
      </c>
      <c r="D515" s="630">
        <v>17197004800</v>
      </c>
      <c r="E515" s="630" t="s">
        <v>533</v>
      </c>
      <c r="F515" s="630" t="s">
        <v>534</v>
      </c>
      <c r="G515" s="630" t="s">
        <v>377</v>
      </c>
      <c r="H515" s="630" t="s">
        <v>535</v>
      </c>
      <c r="I515" s="630"/>
      <c r="J515" s="630"/>
      <c r="K515" s="630"/>
      <c r="L515" s="630"/>
      <c r="M515" s="630"/>
      <c r="N515" s="630"/>
      <c r="O515" s="630"/>
      <c r="P515" s="630"/>
      <c r="Q515" s="630"/>
      <c r="R515" s="630"/>
      <c r="S515" s="630"/>
      <c r="T515" s="630"/>
      <c r="U515" s="630" t="s">
        <v>559</v>
      </c>
      <c r="V515" s="630">
        <v>1</v>
      </c>
      <c r="W515" s="630" t="s">
        <v>560</v>
      </c>
      <c r="X515" s="630" t="s">
        <v>541</v>
      </c>
      <c r="Y515" s="630" t="s">
        <v>541</v>
      </c>
      <c r="Z515" s="630">
        <v>0.13714699999999999</v>
      </c>
      <c r="AA515" s="630">
        <v>0.220717</v>
      </c>
      <c r="AB515" s="631">
        <v>2160</v>
      </c>
      <c r="AC515" s="631">
        <v>187560</v>
      </c>
      <c r="AD515" s="631">
        <f t="shared" si="7"/>
        <v>25723.291319999997</v>
      </c>
    </row>
    <row r="516" spans="2:30" x14ac:dyDescent="0.15">
      <c r="B516" s="630">
        <v>17031004202</v>
      </c>
      <c r="C516" s="630">
        <v>17031007568</v>
      </c>
      <c r="D516" s="630">
        <v>17031007567</v>
      </c>
      <c r="E516" s="630" t="s">
        <v>533</v>
      </c>
      <c r="F516" s="630" t="s">
        <v>534</v>
      </c>
      <c r="G516" s="630" t="s">
        <v>365</v>
      </c>
      <c r="H516" s="630" t="s">
        <v>590</v>
      </c>
      <c r="I516" s="630"/>
      <c r="J516" s="630"/>
      <c r="K516" s="630"/>
      <c r="L516" s="630"/>
      <c r="M516" s="630"/>
      <c r="N516" s="630"/>
      <c r="O516" s="630"/>
      <c r="P516" s="630"/>
      <c r="Q516" s="630"/>
      <c r="R516" s="630"/>
      <c r="S516" s="630"/>
      <c r="T516" s="630"/>
      <c r="U516" s="630" t="s">
        <v>559</v>
      </c>
      <c r="V516" s="630">
        <v>1</v>
      </c>
      <c r="W516" s="630" t="s">
        <v>560</v>
      </c>
      <c r="X516" s="630" t="s">
        <v>541</v>
      </c>
      <c r="Y516" s="630" t="s">
        <v>541</v>
      </c>
      <c r="Z516" s="630">
        <v>0.51705999999999996</v>
      </c>
      <c r="AA516" s="630">
        <v>0.83213000000000004</v>
      </c>
      <c r="AB516" s="631">
        <v>0</v>
      </c>
      <c r="AC516" s="631">
        <v>0</v>
      </c>
      <c r="AD516" s="631">
        <f t="shared" si="7"/>
        <v>0</v>
      </c>
    </row>
    <row r="517" spans="2:30" x14ac:dyDescent="0.15">
      <c r="B517" s="630">
        <v>17031002158</v>
      </c>
      <c r="C517" s="630">
        <v>17031004574</v>
      </c>
      <c r="D517" s="630">
        <v>17999019044</v>
      </c>
      <c r="E517" s="630" t="s">
        <v>533</v>
      </c>
      <c r="F517" s="630" t="s">
        <v>534</v>
      </c>
      <c r="G517" s="630" t="s">
        <v>365</v>
      </c>
      <c r="H517" s="630" t="s">
        <v>382</v>
      </c>
      <c r="I517" s="630"/>
      <c r="J517" s="630" t="s">
        <v>547</v>
      </c>
      <c r="K517" s="630"/>
      <c r="L517" s="630"/>
      <c r="M517" s="630"/>
      <c r="N517" s="630"/>
      <c r="O517" s="630"/>
      <c r="P517" s="630"/>
      <c r="Q517" s="630"/>
      <c r="R517" s="630"/>
      <c r="S517" s="630" t="s">
        <v>565</v>
      </c>
      <c r="T517" s="630"/>
      <c r="U517" s="630" t="s">
        <v>538</v>
      </c>
      <c r="V517" s="630">
        <v>2</v>
      </c>
      <c r="W517" s="630" t="s">
        <v>566</v>
      </c>
      <c r="X517" s="630" t="s">
        <v>541</v>
      </c>
      <c r="Y517" s="630" t="s">
        <v>549</v>
      </c>
      <c r="Z517" s="630">
        <v>1.363623</v>
      </c>
      <c r="AA517" s="630">
        <v>2.1945429999999999</v>
      </c>
      <c r="AB517" s="631">
        <v>0</v>
      </c>
      <c r="AC517" s="631">
        <v>0</v>
      </c>
      <c r="AD517" s="631">
        <f t="shared" si="7"/>
        <v>0</v>
      </c>
    </row>
    <row r="518" spans="2:30" x14ac:dyDescent="0.15">
      <c r="B518" s="630">
        <v>17031006317</v>
      </c>
      <c r="C518" s="630">
        <v>17031001172</v>
      </c>
      <c r="D518" s="630">
        <v>17031000958</v>
      </c>
      <c r="E518" s="630" t="s">
        <v>533</v>
      </c>
      <c r="F518" s="630" t="s">
        <v>534</v>
      </c>
      <c r="G518" s="630" t="s">
        <v>365</v>
      </c>
      <c r="H518" s="630" t="s">
        <v>547</v>
      </c>
      <c r="I518" s="630"/>
      <c r="J518" s="630" t="s">
        <v>627</v>
      </c>
      <c r="K518" s="630"/>
      <c r="L518" s="630"/>
      <c r="M518" s="630"/>
      <c r="N518" s="630"/>
      <c r="O518" s="630"/>
      <c r="P518" s="630"/>
      <c r="Q518" s="630"/>
      <c r="R518" s="630"/>
      <c r="S518" s="630"/>
      <c r="T518" s="630"/>
      <c r="U518" s="630" t="s">
        <v>538</v>
      </c>
      <c r="V518" s="630">
        <v>4</v>
      </c>
      <c r="W518" s="630" t="s">
        <v>545</v>
      </c>
      <c r="X518" s="630" t="s">
        <v>541</v>
      </c>
      <c r="Y518" s="630" t="s">
        <v>540</v>
      </c>
      <c r="Z518" s="630">
        <v>6.06473</v>
      </c>
      <c r="AA518" s="630">
        <v>9.760256</v>
      </c>
      <c r="AB518" s="631">
        <v>0</v>
      </c>
      <c r="AC518" s="631">
        <v>0</v>
      </c>
      <c r="AD518" s="631">
        <f t="shared" ref="AD518:AD581" si="8">AC518*Z518</f>
        <v>0</v>
      </c>
    </row>
    <row r="519" spans="2:30" x14ac:dyDescent="0.15">
      <c r="B519" s="630">
        <v>17097009400</v>
      </c>
      <c r="C519" s="630">
        <v>17097004557</v>
      </c>
      <c r="D519" s="630">
        <v>17097007511</v>
      </c>
      <c r="E519" s="630" t="s">
        <v>533</v>
      </c>
      <c r="F519" s="630" t="s">
        <v>534</v>
      </c>
      <c r="G519" s="630" t="s">
        <v>373</v>
      </c>
      <c r="H519" s="630" t="s">
        <v>535</v>
      </c>
      <c r="I519" s="630"/>
      <c r="J519" s="630" t="s">
        <v>547</v>
      </c>
      <c r="K519" s="630"/>
      <c r="L519" s="630"/>
      <c r="M519" s="630"/>
      <c r="N519" s="630"/>
      <c r="O519" s="630"/>
      <c r="P519" s="630"/>
      <c r="Q519" s="630"/>
      <c r="R519" s="630"/>
      <c r="S519" s="630" t="s">
        <v>548</v>
      </c>
      <c r="T519" s="630"/>
      <c r="U519" s="630" t="s">
        <v>538</v>
      </c>
      <c r="V519" s="630">
        <v>1</v>
      </c>
      <c r="W519" s="630" t="s">
        <v>545</v>
      </c>
      <c r="X519" s="630" t="s">
        <v>546</v>
      </c>
      <c r="Y519" s="630" t="s">
        <v>549</v>
      </c>
      <c r="Z519" s="630">
        <v>1.3640239999999999</v>
      </c>
      <c r="AA519" s="630">
        <v>2.1951890000000001</v>
      </c>
      <c r="AB519" s="631">
        <v>777350</v>
      </c>
      <c r="AC519" s="631">
        <v>36648785</v>
      </c>
      <c r="AD519" s="631">
        <f t="shared" si="8"/>
        <v>49989822.310839996</v>
      </c>
    </row>
    <row r="520" spans="2:30" x14ac:dyDescent="0.15">
      <c r="B520" s="630">
        <v>17031006388</v>
      </c>
      <c r="C520" s="630">
        <v>17031004675</v>
      </c>
      <c r="D520" s="630">
        <v>17031000638</v>
      </c>
      <c r="E520" s="630" t="s">
        <v>533</v>
      </c>
      <c r="F520" s="630" t="s">
        <v>534</v>
      </c>
      <c r="G520" s="630" t="s">
        <v>365</v>
      </c>
      <c r="H520" s="630" t="s">
        <v>382</v>
      </c>
      <c r="I520" s="630"/>
      <c r="J520" s="630" t="s">
        <v>572</v>
      </c>
      <c r="K520" s="630"/>
      <c r="L520" s="630"/>
      <c r="M520" s="630"/>
      <c r="N520" s="630"/>
      <c r="O520" s="630"/>
      <c r="P520" s="630"/>
      <c r="Q520" s="630"/>
      <c r="R520" s="630"/>
      <c r="S520" s="630" t="s">
        <v>609</v>
      </c>
      <c r="T520" s="630"/>
      <c r="U520" s="630" t="s">
        <v>538</v>
      </c>
      <c r="V520" s="630">
        <v>2</v>
      </c>
      <c r="W520" s="630" t="s">
        <v>539</v>
      </c>
      <c r="X520" s="630" t="s">
        <v>546</v>
      </c>
      <c r="Y520" s="630" t="s">
        <v>541</v>
      </c>
      <c r="Z520" s="630">
        <v>0.20289699999999999</v>
      </c>
      <c r="AA520" s="630">
        <v>0.32653100000000002</v>
      </c>
      <c r="AB520" s="631">
        <v>724224</v>
      </c>
      <c r="AC520" s="631">
        <v>24488076</v>
      </c>
      <c r="AD520" s="631">
        <f t="shared" si="8"/>
        <v>4968557.1561719999</v>
      </c>
    </row>
    <row r="521" spans="2:30" x14ac:dyDescent="0.15">
      <c r="B521" s="630">
        <v>17031008302</v>
      </c>
      <c r="C521" s="630">
        <v>17031000631</v>
      </c>
      <c r="D521" s="630">
        <v>17031006638</v>
      </c>
      <c r="E521" s="630" t="s">
        <v>533</v>
      </c>
      <c r="F521" s="630" t="s">
        <v>534</v>
      </c>
      <c r="G521" s="630" t="s">
        <v>365</v>
      </c>
      <c r="H521" s="630" t="s">
        <v>571</v>
      </c>
      <c r="I521" s="630"/>
      <c r="J521" s="630" t="s">
        <v>535</v>
      </c>
      <c r="K521" s="630" t="s">
        <v>552</v>
      </c>
      <c r="L521" s="630" t="s">
        <v>551</v>
      </c>
      <c r="M521" s="630" t="s">
        <v>563</v>
      </c>
      <c r="N521" s="630"/>
      <c r="O521" s="630"/>
      <c r="P521" s="630"/>
      <c r="Q521" s="630"/>
      <c r="R521" s="630"/>
      <c r="S521" s="630" t="s">
        <v>573</v>
      </c>
      <c r="T521" s="630" t="s">
        <v>612</v>
      </c>
      <c r="U521" s="630" t="s">
        <v>538</v>
      </c>
      <c r="V521" s="630">
        <v>2</v>
      </c>
      <c r="W521" s="630" t="s">
        <v>545</v>
      </c>
      <c r="X521" s="630" t="s">
        <v>580</v>
      </c>
      <c r="Y521" s="630" t="s">
        <v>554</v>
      </c>
      <c r="Z521" s="630">
        <v>0.2054</v>
      </c>
      <c r="AA521" s="630">
        <v>0.33056099999999999</v>
      </c>
      <c r="AB521" s="631">
        <v>126454</v>
      </c>
      <c r="AC521" s="631">
        <v>4429481</v>
      </c>
      <c r="AD521" s="631">
        <f t="shared" si="8"/>
        <v>909815.39740000002</v>
      </c>
    </row>
    <row r="522" spans="2:30" x14ac:dyDescent="0.15">
      <c r="B522" s="630">
        <v>17111001980</v>
      </c>
      <c r="C522" s="630">
        <v>17111000058</v>
      </c>
      <c r="D522" s="630">
        <v>17111000050</v>
      </c>
      <c r="E522" s="630" t="s">
        <v>533</v>
      </c>
      <c r="F522" s="630" t="s">
        <v>534</v>
      </c>
      <c r="G522" s="630" t="s">
        <v>375</v>
      </c>
      <c r="H522" s="630" t="s">
        <v>382</v>
      </c>
      <c r="I522" s="630"/>
      <c r="J522" s="630"/>
      <c r="K522" s="630"/>
      <c r="L522" s="630"/>
      <c r="M522" s="630"/>
      <c r="N522" s="630"/>
      <c r="O522" s="630"/>
      <c r="P522" s="630"/>
      <c r="Q522" s="630"/>
      <c r="R522" s="630"/>
      <c r="S522" s="630" t="s">
        <v>376</v>
      </c>
      <c r="T522" s="630"/>
      <c r="U522" s="630" t="s">
        <v>538</v>
      </c>
      <c r="V522" s="630">
        <v>1</v>
      </c>
      <c r="W522" s="630" t="s">
        <v>539</v>
      </c>
      <c r="X522" s="630" t="s">
        <v>541</v>
      </c>
      <c r="Y522" s="630" t="s">
        <v>541</v>
      </c>
      <c r="Z522" s="630">
        <v>3.4319920000000002</v>
      </c>
      <c r="AA522" s="630">
        <v>5.5232669999999997</v>
      </c>
      <c r="AB522" s="631">
        <v>0</v>
      </c>
      <c r="AC522" s="631">
        <v>0</v>
      </c>
      <c r="AD522" s="631">
        <f t="shared" si="8"/>
        <v>0</v>
      </c>
    </row>
    <row r="523" spans="2:30" x14ac:dyDescent="0.15">
      <c r="B523" s="630">
        <v>17097002580</v>
      </c>
      <c r="C523" s="630">
        <v>17097004572</v>
      </c>
      <c r="D523" s="630">
        <v>17097004571</v>
      </c>
      <c r="E523" s="630" t="s">
        <v>533</v>
      </c>
      <c r="F523" s="630" t="s">
        <v>534</v>
      </c>
      <c r="G523" s="630" t="s">
        <v>373</v>
      </c>
      <c r="H523" s="630" t="s">
        <v>382</v>
      </c>
      <c r="I523" s="630"/>
      <c r="J523" s="630" t="s">
        <v>547</v>
      </c>
      <c r="K523" s="630"/>
      <c r="L523" s="630"/>
      <c r="M523" s="630"/>
      <c r="N523" s="630"/>
      <c r="O523" s="630"/>
      <c r="P523" s="630"/>
      <c r="Q523" s="630"/>
      <c r="R523" s="630"/>
      <c r="S523" s="630" t="s">
        <v>565</v>
      </c>
      <c r="T523" s="630"/>
      <c r="U523" s="630" t="s">
        <v>538</v>
      </c>
      <c r="V523" s="630">
        <v>2</v>
      </c>
      <c r="W523" s="630" t="s">
        <v>566</v>
      </c>
      <c r="X523" s="630" t="s">
        <v>541</v>
      </c>
      <c r="Y523" s="630" t="s">
        <v>549</v>
      </c>
      <c r="Z523" s="630">
        <v>0.56928299999999998</v>
      </c>
      <c r="AA523" s="630">
        <v>0.91617400000000004</v>
      </c>
      <c r="AB523" s="631">
        <v>0</v>
      </c>
      <c r="AC523" s="631">
        <v>0</v>
      </c>
      <c r="AD523" s="631">
        <f t="shared" si="8"/>
        <v>0</v>
      </c>
    </row>
    <row r="524" spans="2:30" x14ac:dyDescent="0.15">
      <c r="B524" s="630">
        <v>17097006331</v>
      </c>
      <c r="C524" s="630">
        <v>17999019044</v>
      </c>
      <c r="D524" s="630">
        <v>17097004573</v>
      </c>
      <c r="E524" s="630" t="s">
        <v>533</v>
      </c>
      <c r="F524" s="630" t="s">
        <v>534</v>
      </c>
      <c r="G524" s="630" t="s">
        <v>373</v>
      </c>
      <c r="H524" s="630" t="s">
        <v>382</v>
      </c>
      <c r="I524" s="630"/>
      <c r="J524" s="630" t="s">
        <v>547</v>
      </c>
      <c r="K524" s="630"/>
      <c r="L524" s="630"/>
      <c r="M524" s="630"/>
      <c r="N524" s="630"/>
      <c r="O524" s="630"/>
      <c r="P524" s="630"/>
      <c r="Q524" s="630"/>
      <c r="R524" s="630"/>
      <c r="S524" s="630" t="s">
        <v>565</v>
      </c>
      <c r="T524" s="630"/>
      <c r="U524" s="630" t="s">
        <v>538</v>
      </c>
      <c r="V524" s="630">
        <v>2</v>
      </c>
      <c r="W524" s="630" t="s">
        <v>566</v>
      </c>
      <c r="X524" s="630" t="s">
        <v>541</v>
      </c>
      <c r="Y524" s="630" t="s">
        <v>549</v>
      </c>
      <c r="Z524" s="630">
        <v>3.9132E-2</v>
      </c>
      <c r="AA524" s="630">
        <v>6.2977000000000005E-2</v>
      </c>
      <c r="AB524" s="631">
        <v>0</v>
      </c>
      <c r="AC524" s="631">
        <v>0</v>
      </c>
      <c r="AD524" s="631">
        <f t="shared" si="8"/>
        <v>0</v>
      </c>
    </row>
    <row r="525" spans="2:30" x14ac:dyDescent="0.15">
      <c r="B525" s="630">
        <v>17031006400</v>
      </c>
      <c r="C525" s="630">
        <v>17031004680</v>
      </c>
      <c r="D525" s="630">
        <v>17031004679</v>
      </c>
      <c r="E525" s="630" t="s">
        <v>533</v>
      </c>
      <c r="F525" s="630" t="s">
        <v>534</v>
      </c>
      <c r="G525" s="630" t="s">
        <v>365</v>
      </c>
      <c r="H525" s="630" t="s">
        <v>381</v>
      </c>
      <c r="I525" s="630"/>
      <c r="J525" s="630" t="s">
        <v>382</v>
      </c>
      <c r="K525" s="630" t="s">
        <v>535</v>
      </c>
      <c r="L525" s="630"/>
      <c r="M525" s="630"/>
      <c r="N525" s="630"/>
      <c r="O525" s="630"/>
      <c r="P525" s="630"/>
      <c r="Q525" s="630"/>
      <c r="R525" s="630"/>
      <c r="S525" s="630"/>
      <c r="T525" s="630" t="s">
        <v>668</v>
      </c>
      <c r="U525" s="630" t="s">
        <v>559</v>
      </c>
      <c r="V525" s="630">
        <v>1</v>
      </c>
      <c r="W525" s="630" t="s">
        <v>539</v>
      </c>
      <c r="X525" s="630" t="s">
        <v>541</v>
      </c>
      <c r="Y525" s="630" t="s">
        <v>541</v>
      </c>
      <c r="Z525" s="630">
        <v>0.32686500000000002</v>
      </c>
      <c r="AA525" s="630">
        <v>0.52603900000000003</v>
      </c>
      <c r="AB525" s="631">
        <v>2325061</v>
      </c>
      <c r="AC525" s="631">
        <v>61139518</v>
      </c>
      <c r="AD525" s="631">
        <f t="shared" si="8"/>
        <v>19984368.551070001</v>
      </c>
    </row>
    <row r="526" spans="2:30" x14ac:dyDescent="0.15">
      <c r="B526" s="630">
        <v>17197005681</v>
      </c>
      <c r="C526" s="630">
        <v>17197001483</v>
      </c>
      <c r="D526" s="630">
        <v>17197001481</v>
      </c>
      <c r="E526" s="630" t="s">
        <v>533</v>
      </c>
      <c r="F526" s="630" t="s">
        <v>534</v>
      </c>
      <c r="G526" s="630" t="s">
        <v>377</v>
      </c>
      <c r="H526" s="630" t="s">
        <v>615</v>
      </c>
      <c r="I526" s="630"/>
      <c r="J526" s="630"/>
      <c r="K526" s="630"/>
      <c r="L526" s="630"/>
      <c r="M526" s="630"/>
      <c r="N526" s="630"/>
      <c r="O526" s="630"/>
      <c r="P526" s="630"/>
      <c r="Q526" s="630"/>
      <c r="R526" s="630"/>
      <c r="S526" s="630"/>
      <c r="T526" s="630"/>
      <c r="U526" s="630" t="s">
        <v>538</v>
      </c>
      <c r="V526" s="630">
        <v>1</v>
      </c>
      <c r="W526" s="630" t="s">
        <v>560</v>
      </c>
      <c r="X526" s="630" t="s">
        <v>541</v>
      </c>
      <c r="Y526" s="630" t="s">
        <v>541</v>
      </c>
      <c r="Z526" s="630">
        <v>0.24277299999999999</v>
      </c>
      <c r="AA526" s="630">
        <v>0.390706</v>
      </c>
      <c r="AB526" s="631">
        <v>120</v>
      </c>
      <c r="AC526" s="631">
        <v>10800</v>
      </c>
      <c r="AD526" s="631">
        <f t="shared" si="8"/>
        <v>2621.9483999999998</v>
      </c>
    </row>
    <row r="527" spans="2:30" x14ac:dyDescent="0.15">
      <c r="B527" s="630">
        <v>17197008287</v>
      </c>
      <c r="C527" s="630">
        <v>17197001468</v>
      </c>
      <c r="D527" s="630">
        <v>17197006628</v>
      </c>
      <c r="E527" s="630" t="s">
        <v>533</v>
      </c>
      <c r="F527" s="630" t="s">
        <v>534</v>
      </c>
      <c r="G527" s="630" t="s">
        <v>377</v>
      </c>
      <c r="H527" s="630" t="s">
        <v>535</v>
      </c>
      <c r="I527" s="630"/>
      <c r="J527" s="630"/>
      <c r="K527" s="630"/>
      <c r="L527" s="630"/>
      <c r="M527" s="630"/>
      <c r="N527" s="630"/>
      <c r="O527" s="630"/>
      <c r="P527" s="630"/>
      <c r="Q527" s="630"/>
      <c r="R527" s="630"/>
      <c r="S527" s="630"/>
      <c r="T527" s="630" t="s">
        <v>596</v>
      </c>
      <c r="U527" s="630" t="s">
        <v>559</v>
      </c>
      <c r="V527" s="630">
        <v>1</v>
      </c>
      <c r="W527" s="630" t="s">
        <v>560</v>
      </c>
      <c r="X527" s="630" t="s">
        <v>541</v>
      </c>
      <c r="Y527" s="630" t="s">
        <v>541</v>
      </c>
      <c r="Z527" s="630">
        <v>0.21437100000000001</v>
      </c>
      <c r="AA527" s="630">
        <v>0.344997</v>
      </c>
      <c r="AB527" s="631">
        <v>38880</v>
      </c>
      <c r="AC527" s="631">
        <v>893480</v>
      </c>
      <c r="AD527" s="631">
        <f t="shared" si="8"/>
        <v>191536.20108</v>
      </c>
    </row>
    <row r="528" spans="2:30" x14ac:dyDescent="0.15">
      <c r="B528" s="630">
        <v>17031009480</v>
      </c>
      <c r="C528" s="630">
        <v>17031007581</v>
      </c>
      <c r="D528" s="630">
        <v>17031007577</v>
      </c>
      <c r="E528" s="630" t="s">
        <v>533</v>
      </c>
      <c r="F528" s="630" t="s">
        <v>534</v>
      </c>
      <c r="G528" s="630" t="s">
        <v>365</v>
      </c>
      <c r="H528" s="630" t="s">
        <v>535</v>
      </c>
      <c r="I528" s="630"/>
      <c r="J528" s="630" t="s">
        <v>547</v>
      </c>
      <c r="K528" s="630"/>
      <c r="L528" s="630"/>
      <c r="M528" s="630"/>
      <c r="N528" s="630"/>
      <c r="O528" s="630"/>
      <c r="P528" s="630"/>
      <c r="Q528" s="630"/>
      <c r="R528" s="630"/>
      <c r="S528" s="630" t="s">
        <v>548</v>
      </c>
      <c r="T528" s="630"/>
      <c r="U528" s="630" t="s">
        <v>538</v>
      </c>
      <c r="V528" s="630">
        <v>2</v>
      </c>
      <c r="W528" s="630" t="s">
        <v>545</v>
      </c>
      <c r="X528" s="630" t="s">
        <v>546</v>
      </c>
      <c r="Y528" s="630" t="s">
        <v>549</v>
      </c>
      <c r="Z528" s="630">
        <v>0.105615</v>
      </c>
      <c r="AA528" s="630">
        <v>0.16997200000000001</v>
      </c>
      <c r="AB528" s="631">
        <v>805460</v>
      </c>
      <c r="AC528" s="631">
        <v>39336999</v>
      </c>
      <c r="AD528" s="631">
        <f t="shared" si="8"/>
        <v>4154577.1493850001</v>
      </c>
    </row>
    <row r="529" spans="2:30" x14ac:dyDescent="0.15">
      <c r="B529" s="630">
        <v>17031003981</v>
      </c>
      <c r="C529" s="630">
        <v>17031000626</v>
      </c>
      <c r="D529" s="630">
        <v>17031000604</v>
      </c>
      <c r="E529" s="630" t="s">
        <v>533</v>
      </c>
      <c r="F529" s="630" t="s">
        <v>534</v>
      </c>
      <c r="G529" s="630" t="s">
        <v>365</v>
      </c>
      <c r="H529" s="630" t="s">
        <v>381</v>
      </c>
      <c r="I529" s="630"/>
      <c r="J529" s="630" t="s">
        <v>542</v>
      </c>
      <c r="K529" s="630" t="s">
        <v>547</v>
      </c>
      <c r="L529" s="630"/>
      <c r="M529" s="630"/>
      <c r="N529" s="630"/>
      <c r="O529" s="630"/>
      <c r="P529" s="630"/>
      <c r="Q529" s="630"/>
      <c r="R529" s="630"/>
      <c r="S529" s="630" t="s">
        <v>579</v>
      </c>
      <c r="T529" s="630"/>
      <c r="U529" s="630" t="s">
        <v>538</v>
      </c>
      <c r="V529" s="630">
        <v>2</v>
      </c>
      <c r="W529" s="630" t="s">
        <v>545</v>
      </c>
      <c r="X529" s="630" t="s">
        <v>541</v>
      </c>
      <c r="Y529" s="630" t="s">
        <v>541</v>
      </c>
      <c r="Z529" s="630">
        <v>0.59470100000000004</v>
      </c>
      <c r="AA529" s="630">
        <v>0.95708099999999996</v>
      </c>
      <c r="AB529" s="631">
        <v>73164</v>
      </c>
      <c r="AC529" s="631">
        <v>3320572</v>
      </c>
      <c r="AD529" s="631">
        <f t="shared" si="8"/>
        <v>1974747.4889720001</v>
      </c>
    </row>
    <row r="530" spans="2:30" x14ac:dyDescent="0.15">
      <c r="B530" s="630">
        <v>17031009619</v>
      </c>
      <c r="C530" s="630">
        <v>17031007706</v>
      </c>
      <c r="D530" s="630">
        <v>17031000940</v>
      </c>
      <c r="E530" s="630" t="s">
        <v>533</v>
      </c>
      <c r="F530" s="630" t="s">
        <v>534</v>
      </c>
      <c r="G530" s="630" t="s">
        <v>365</v>
      </c>
      <c r="H530" s="630" t="s">
        <v>535</v>
      </c>
      <c r="I530" s="630"/>
      <c r="J530" s="630" t="s">
        <v>542</v>
      </c>
      <c r="K530" s="630" t="s">
        <v>572</v>
      </c>
      <c r="L530" s="630" t="s">
        <v>547</v>
      </c>
      <c r="M530" s="630" t="s">
        <v>382</v>
      </c>
      <c r="N530" s="630"/>
      <c r="O530" s="630"/>
      <c r="P530" s="630"/>
      <c r="Q530" s="630"/>
      <c r="R530" s="630"/>
      <c r="S530" s="630" t="s">
        <v>601</v>
      </c>
      <c r="T530" s="630"/>
      <c r="U530" s="630" t="s">
        <v>538</v>
      </c>
      <c r="V530" s="630">
        <v>2</v>
      </c>
      <c r="W530" s="630" t="s">
        <v>545</v>
      </c>
      <c r="X530" s="630" t="s">
        <v>540</v>
      </c>
      <c r="Y530" s="630" t="s">
        <v>549</v>
      </c>
      <c r="Z530" s="630">
        <v>0.28770299999999999</v>
      </c>
      <c r="AA530" s="630">
        <v>0.46301399999999998</v>
      </c>
      <c r="AB530" s="631">
        <v>48760</v>
      </c>
      <c r="AC530" s="631">
        <v>1832520</v>
      </c>
      <c r="AD530" s="631">
        <f t="shared" si="8"/>
        <v>527221.50156</v>
      </c>
    </row>
    <row r="531" spans="2:30" x14ac:dyDescent="0.15">
      <c r="B531" s="630">
        <v>17031002092</v>
      </c>
      <c r="C531" s="630">
        <v>17031004624</v>
      </c>
      <c r="D531" s="630">
        <v>17999019040</v>
      </c>
      <c r="E531" s="630" t="s">
        <v>533</v>
      </c>
      <c r="F531" s="630" t="s">
        <v>534</v>
      </c>
      <c r="G531" s="630" t="s">
        <v>365</v>
      </c>
      <c r="H531" s="630" t="s">
        <v>535</v>
      </c>
      <c r="I531" s="630"/>
      <c r="J531" s="630" t="s">
        <v>547</v>
      </c>
      <c r="K531" s="630"/>
      <c r="L531" s="630"/>
      <c r="M531" s="630"/>
      <c r="N531" s="630"/>
      <c r="O531" s="630"/>
      <c r="P531" s="630"/>
      <c r="Q531" s="630"/>
      <c r="R531" s="630"/>
      <c r="S531" s="630" t="s">
        <v>548</v>
      </c>
      <c r="T531" s="630"/>
      <c r="U531" s="630" t="s">
        <v>538</v>
      </c>
      <c r="V531" s="630">
        <v>3</v>
      </c>
      <c r="W531" s="630" t="s">
        <v>545</v>
      </c>
      <c r="X531" s="630" t="s">
        <v>546</v>
      </c>
      <c r="Y531" s="630" t="s">
        <v>549</v>
      </c>
      <c r="Z531" s="630">
        <v>0.82783300000000004</v>
      </c>
      <c r="AA531" s="630">
        <v>1.332271</v>
      </c>
      <c r="AB531" s="631">
        <v>805376</v>
      </c>
      <c r="AC531" s="631">
        <v>39329111</v>
      </c>
      <c r="AD531" s="631">
        <f t="shared" si="8"/>
        <v>32557935.946463</v>
      </c>
    </row>
    <row r="532" spans="2:30" x14ac:dyDescent="0.15">
      <c r="B532" s="630">
        <v>17043009143</v>
      </c>
      <c r="C532" s="630">
        <v>17043004772</v>
      </c>
      <c r="D532" s="630">
        <v>17043007349</v>
      </c>
      <c r="E532" s="630" t="s">
        <v>533</v>
      </c>
      <c r="F532" s="630" t="s">
        <v>534</v>
      </c>
      <c r="G532" s="630" t="s">
        <v>367</v>
      </c>
      <c r="H532" s="630" t="s">
        <v>552</v>
      </c>
      <c r="I532" s="630"/>
      <c r="J532" s="630" t="s">
        <v>547</v>
      </c>
      <c r="K532" s="630"/>
      <c r="L532" s="630"/>
      <c r="M532" s="630"/>
      <c r="N532" s="630"/>
      <c r="O532" s="630"/>
      <c r="P532" s="630"/>
      <c r="Q532" s="630"/>
      <c r="R532" s="630"/>
      <c r="S532" s="630" t="s">
        <v>589</v>
      </c>
      <c r="T532" s="630"/>
      <c r="U532" s="630" t="s">
        <v>538</v>
      </c>
      <c r="V532" s="630">
        <v>2</v>
      </c>
      <c r="W532" s="630" t="s">
        <v>545</v>
      </c>
      <c r="X532" s="630" t="s">
        <v>540</v>
      </c>
      <c r="Y532" s="630" t="s">
        <v>549</v>
      </c>
      <c r="Z532" s="630">
        <v>0.80619099999999999</v>
      </c>
      <c r="AA532" s="630">
        <v>1.2974410000000001</v>
      </c>
      <c r="AB532" s="631">
        <v>74183</v>
      </c>
      <c r="AC532" s="631">
        <v>7767504</v>
      </c>
      <c r="AD532" s="631">
        <f t="shared" si="8"/>
        <v>6262091.817264</v>
      </c>
    </row>
    <row r="533" spans="2:30" x14ac:dyDescent="0.15">
      <c r="B533" s="630">
        <v>17089002072</v>
      </c>
      <c r="C533" s="630">
        <v>17089000474</v>
      </c>
      <c r="D533" s="630">
        <v>17089004844</v>
      </c>
      <c r="E533" s="630" t="s">
        <v>533</v>
      </c>
      <c r="F533" s="630" t="s">
        <v>534</v>
      </c>
      <c r="G533" s="630" t="s">
        <v>369</v>
      </c>
      <c r="H533" s="630" t="s">
        <v>382</v>
      </c>
      <c r="I533" s="630"/>
      <c r="J533" s="630"/>
      <c r="K533" s="630"/>
      <c r="L533" s="630"/>
      <c r="M533" s="630"/>
      <c r="N533" s="630"/>
      <c r="O533" s="630"/>
      <c r="P533" s="630"/>
      <c r="Q533" s="630"/>
      <c r="R533" s="630"/>
      <c r="S533" s="630" t="s">
        <v>635</v>
      </c>
      <c r="T533" s="630"/>
      <c r="U533" s="630" t="s">
        <v>559</v>
      </c>
      <c r="V533" s="630">
        <v>1</v>
      </c>
      <c r="W533" s="630" t="s">
        <v>560</v>
      </c>
      <c r="X533" s="630" t="s">
        <v>541</v>
      </c>
      <c r="Y533" s="630" t="s">
        <v>541</v>
      </c>
      <c r="Z533" s="630">
        <v>0.55306900000000003</v>
      </c>
      <c r="AA533" s="630">
        <v>0.89008100000000001</v>
      </c>
      <c r="AB533" s="631">
        <v>0</v>
      </c>
      <c r="AC533" s="631">
        <v>0</v>
      </c>
      <c r="AD533" s="631">
        <f t="shared" si="8"/>
        <v>0</v>
      </c>
    </row>
    <row r="534" spans="2:30" x14ac:dyDescent="0.15">
      <c r="B534" s="630">
        <v>17031002290</v>
      </c>
      <c r="C534" s="630">
        <v>17031001067</v>
      </c>
      <c r="D534" s="630">
        <v>17031001058</v>
      </c>
      <c r="E534" s="630" t="s">
        <v>533</v>
      </c>
      <c r="F534" s="630" t="s">
        <v>534</v>
      </c>
      <c r="G534" s="630" t="s">
        <v>365</v>
      </c>
      <c r="H534" s="630" t="s">
        <v>547</v>
      </c>
      <c r="I534" s="630"/>
      <c r="J534" s="630"/>
      <c r="K534" s="630"/>
      <c r="L534" s="630"/>
      <c r="M534" s="630"/>
      <c r="N534" s="630"/>
      <c r="O534" s="630"/>
      <c r="P534" s="630"/>
      <c r="Q534" s="630"/>
      <c r="R534" s="630"/>
      <c r="S534" s="630"/>
      <c r="T534" s="630"/>
      <c r="U534" s="630" t="s">
        <v>538</v>
      </c>
      <c r="V534" s="630">
        <v>2</v>
      </c>
      <c r="W534" s="630" t="s">
        <v>545</v>
      </c>
      <c r="X534" s="630" t="s">
        <v>541</v>
      </c>
      <c r="Y534" s="630" t="s">
        <v>554</v>
      </c>
      <c r="Z534" s="630">
        <v>1.337412</v>
      </c>
      <c r="AA534" s="630">
        <v>2.152361</v>
      </c>
      <c r="AB534" s="631">
        <v>0</v>
      </c>
      <c r="AC534" s="631">
        <v>0</v>
      </c>
      <c r="AD534" s="631">
        <f t="shared" si="8"/>
        <v>0</v>
      </c>
    </row>
    <row r="535" spans="2:30" x14ac:dyDescent="0.15">
      <c r="B535" s="630">
        <v>17043002334</v>
      </c>
      <c r="C535" s="630">
        <v>17043004636</v>
      </c>
      <c r="D535" s="630">
        <v>17043004635</v>
      </c>
      <c r="E535" s="630" t="s">
        <v>533</v>
      </c>
      <c r="F535" s="630" t="s">
        <v>534</v>
      </c>
      <c r="G535" s="630" t="s">
        <v>367</v>
      </c>
      <c r="H535" s="630" t="s">
        <v>552</v>
      </c>
      <c r="I535" s="630"/>
      <c r="J535" s="630" t="s">
        <v>547</v>
      </c>
      <c r="K535" s="630"/>
      <c r="L535" s="630"/>
      <c r="M535" s="630"/>
      <c r="N535" s="630"/>
      <c r="O535" s="630"/>
      <c r="P535" s="630"/>
      <c r="Q535" s="630"/>
      <c r="R535" s="630"/>
      <c r="S535" s="630" t="s">
        <v>589</v>
      </c>
      <c r="T535" s="630"/>
      <c r="U535" s="630" t="s">
        <v>538</v>
      </c>
      <c r="V535" s="630">
        <v>2</v>
      </c>
      <c r="W535" s="630" t="s">
        <v>545</v>
      </c>
      <c r="X535" s="630" t="s">
        <v>540</v>
      </c>
      <c r="Y535" s="630" t="s">
        <v>549</v>
      </c>
      <c r="Z535" s="630">
        <v>0.22481499999999999</v>
      </c>
      <c r="AA535" s="630">
        <v>0.36180499999999999</v>
      </c>
      <c r="AB535" s="631">
        <v>74183</v>
      </c>
      <c r="AC535" s="631">
        <v>7767504</v>
      </c>
      <c r="AD535" s="631">
        <f t="shared" si="8"/>
        <v>1746251.4117599998</v>
      </c>
    </row>
    <row r="536" spans="2:30" x14ac:dyDescent="0.15">
      <c r="B536" s="630">
        <v>17097009350</v>
      </c>
      <c r="C536" s="630">
        <v>17097004546</v>
      </c>
      <c r="D536" s="630">
        <v>17097007469</v>
      </c>
      <c r="E536" s="630" t="s">
        <v>533</v>
      </c>
      <c r="F536" s="630" t="s">
        <v>534</v>
      </c>
      <c r="G536" s="630" t="s">
        <v>373</v>
      </c>
      <c r="H536" s="630" t="s">
        <v>535</v>
      </c>
      <c r="I536" s="630"/>
      <c r="J536" s="630" t="s">
        <v>382</v>
      </c>
      <c r="K536" s="630" t="s">
        <v>536</v>
      </c>
      <c r="L536" s="630"/>
      <c r="M536" s="630"/>
      <c r="N536" s="630"/>
      <c r="O536" s="630"/>
      <c r="P536" s="630"/>
      <c r="Q536" s="630"/>
      <c r="R536" s="630"/>
      <c r="S536" s="630" t="s">
        <v>550</v>
      </c>
      <c r="T536" s="630"/>
      <c r="U536" s="630" t="s">
        <v>538</v>
      </c>
      <c r="V536" s="630">
        <v>1</v>
      </c>
      <c r="W536" s="630" t="s">
        <v>545</v>
      </c>
      <c r="X536" s="630" t="s">
        <v>540</v>
      </c>
      <c r="Y536" s="630" t="s">
        <v>549</v>
      </c>
      <c r="Z536" s="630">
        <v>0.67196900000000004</v>
      </c>
      <c r="AA536" s="630">
        <v>1.0814319999999999</v>
      </c>
      <c r="AB536" s="631">
        <v>36082</v>
      </c>
      <c r="AC536" s="631">
        <v>3440570</v>
      </c>
      <c r="AD536" s="631">
        <f t="shared" si="8"/>
        <v>2311956.3823299999</v>
      </c>
    </row>
    <row r="537" spans="2:30" x14ac:dyDescent="0.15">
      <c r="B537" s="630">
        <v>17031002169</v>
      </c>
      <c r="C537" s="630">
        <v>17031001299</v>
      </c>
      <c r="D537" s="630">
        <v>17031001296</v>
      </c>
      <c r="E537" s="630" t="s">
        <v>533</v>
      </c>
      <c r="F537" s="630" t="s">
        <v>534</v>
      </c>
      <c r="G537" s="630" t="s">
        <v>365</v>
      </c>
      <c r="H537" s="630" t="s">
        <v>535</v>
      </c>
      <c r="I537" s="630"/>
      <c r="J537" s="630"/>
      <c r="K537" s="630"/>
      <c r="L537" s="630"/>
      <c r="M537" s="630"/>
      <c r="N537" s="630"/>
      <c r="O537" s="630"/>
      <c r="P537" s="630"/>
      <c r="Q537" s="630"/>
      <c r="R537" s="630"/>
      <c r="S537" s="630"/>
      <c r="T537" s="630"/>
      <c r="U537" s="630" t="s">
        <v>538</v>
      </c>
      <c r="V537" s="630">
        <v>1</v>
      </c>
      <c r="W537" s="630" t="s">
        <v>560</v>
      </c>
      <c r="X537" s="630" t="s">
        <v>549</v>
      </c>
      <c r="Y537" s="630" t="s">
        <v>541</v>
      </c>
      <c r="Z537" s="630">
        <v>0.121821</v>
      </c>
      <c r="AA537" s="630">
        <v>0.196052</v>
      </c>
      <c r="AB537" s="631">
        <v>681996</v>
      </c>
      <c r="AC537" s="631">
        <v>24444990</v>
      </c>
      <c r="AD537" s="631">
        <f t="shared" si="8"/>
        <v>2977913.1267900001</v>
      </c>
    </row>
    <row r="538" spans="2:30" x14ac:dyDescent="0.15">
      <c r="B538" s="630">
        <v>17031003660</v>
      </c>
      <c r="C538" s="630">
        <v>17031001079</v>
      </c>
      <c r="D538" s="630">
        <v>17031001070</v>
      </c>
      <c r="E538" s="630" t="s">
        <v>533</v>
      </c>
      <c r="F538" s="630" t="s">
        <v>534</v>
      </c>
      <c r="G538" s="630" t="s">
        <v>365</v>
      </c>
      <c r="H538" s="630" t="s">
        <v>547</v>
      </c>
      <c r="I538" s="630"/>
      <c r="J538" s="630"/>
      <c r="K538" s="630"/>
      <c r="L538" s="630"/>
      <c r="M538" s="630"/>
      <c r="N538" s="630"/>
      <c r="O538" s="630"/>
      <c r="P538" s="630"/>
      <c r="Q538" s="630"/>
      <c r="R538" s="630"/>
      <c r="S538" s="630" t="s">
        <v>611</v>
      </c>
      <c r="T538" s="630"/>
      <c r="U538" s="630" t="s">
        <v>538</v>
      </c>
      <c r="V538" s="630">
        <v>2</v>
      </c>
      <c r="W538" s="630" t="s">
        <v>582</v>
      </c>
      <c r="X538" s="630" t="s">
        <v>541</v>
      </c>
      <c r="Y538" s="630" t="s">
        <v>540</v>
      </c>
      <c r="Z538" s="630">
        <v>0.59193399999999996</v>
      </c>
      <c r="AA538" s="630">
        <v>0.95262800000000003</v>
      </c>
      <c r="AB538" s="631">
        <v>0</v>
      </c>
      <c r="AC538" s="631">
        <v>0</v>
      </c>
      <c r="AD538" s="631">
        <f t="shared" si="8"/>
        <v>0</v>
      </c>
    </row>
    <row r="539" spans="2:30" x14ac:dyDescent="0.15">
      <c r="B539" s="630">
        <v>17031003923</v>
      </c>
      <c r="C539" s="630">
        <v>17031000572</v>
      </c>
      <c r="D539" s="630">
        <v>17031000571</v>
      </c>
      <c r="E539" s="630" t="s">
        <v>533</v>
      </c>
      <c r="F539" s="630" t="s">
        <v>534</v>
      </c>
      <c r="G539" s="630" t="s">
        <v>365</v>
      </c>
      <c r="H539" s="630" t="s">
        <v>382</v>
      </c>
      <c r="I539" s="630"/>
      <c r="J539" s="630" t="s">
        <v>572</v>
      </c>
      <c r="K539" s="630" t="s">
        <v>547</v>
      </c>
      <c r="L539" s="630"/>
      <c r="M539" s="630"/>
      <c r="N539" s="630"/>
      <c r="O539" s="630"/>
      <c r="P539" s="630"/>
      <c r="Q539" s="630"/>
      <c r="R539" s="630"/>
      <c r="S539" s="630" t="s">
        <v>583</v>
      </c>
      <c r="T539" s="630"/>
      <c r="U539" s="630" t="s">
        <v>538</v>
      </c>
      <c r="V539" s="630">
        <v>4</v>
      </c>
      <c r="W539" s="630" t="s">
        <v>545</v>
      </c>
      <c r="X539" s="630" t="s">
        <v>580</v>
      </c>
      <c r="Y539" s="630" t="s">
        <v>540</v>
      </c>
      <c r="Z539" s="630">
        <v>0.29959000000000002</v>
      </c>
      <c r="AA539" s="630">
        <v>0.48214499999999999</v>
      </c>
      <c r="AB539" s="631">
        <v>858401</v>
      </c>
      <c r="AC539" s="631">
        <v>28501686</v>
      </c>
      <c r="AD539" s="631">
        <f t="shared" si="8"/>
        <v>8538820.1087400001</v>
      </c>
    </row>
    <row r="540" spans="2:30" x14ac:dyDescent="0.15">
      <c r="B540" s="630">
        <v>17089002065</v>
      </c>
      <c r="C540" s="630">
        <v>17089000297</v>
      </c>
      <c r="D540" s="630">
        <v>17089000295</v>
      </c>
      <c r="E540" s="630" t="s">
        <v>533</v>
      </c>
      <c r="F540" s="630" t="s">
        <v>534</v>
      </c>
      <c r="G540" s="630" t="s">
        <v>369</v>
      </c>
      <c r="H540" s="630" t="s">
        <v>535</v>
      </c>
      <c r="I540" s="630"/>
      <c r="J540" s="630"/>
      <c r="K540" s="630"/>
      <c r="L540" s="630"/>
      <c r="M540" s="630"/>
      <c r="N540" s="630"/>
      <c r="O540" s="630"/>
      <c r="P540" s="630"/>
      <c r="Q540" s="630"/>
      <c r="R540" s="630"/>
      <c r="S540" s="630" t="s">
        <v>624</v>
      </c>
      <c r="T540" s="630"/>
      <c r="U540" s="630" t="s">
        <v>538</v>
      </c>
      <c r="V540" s="630">
        <v>1</v>
      </c>
      <c r="W540" s="630" t="s">
        <v>582</v>
      </c>
      <c r="X540" s="630" t="s">
        <v>554</v>
      </c>
      <c r="Y540" s="630" t="s">
        <v>549</v>
      </c>
      <c r="Z540" s="630">
        <v>1.3421810000000001</v>
      </c>
      <c r="AA540" s="630">
        <v>2.1600359999999998</v>
      </c>
      <c r="AB540" s="631">
        <v>46181</v>
      </c>
      <c r="AC540" s="631">
        <v>4487359</v>
      </c>
      <c r="AD540" s="631">
        <f t="shared" si="8"/>
        <v>6022847.9899790008</v>
      </c>
    </row>
    <row r="541" spans="2:30" x14ac:dyDescent="0.15">
      <c r="B541" s="630">
        <v>17097002131</v>
      </c>
      <c r="C541" s="630">
        <v>17097000059</v>
      </c>
      <c r="D541" s="630">
        <v>17097007541</v>
      </c>
      <c r="E541" s="630" t="s">
        <v>533</v>
      </c>
      <c r="F541" s="630" t="s">
        <v>534</v>
      </c>
      <c r="G541" s="630" t="s">
        <v>373</v>
      </c>
      <c r="H541" s="630" t="s">
        <v>382</v>
      </c>
      <c r="I541" s="630"/>
      <c r="J541" s="630"/>
      <c r="K541" s="630"/>
      <c r="L541" s="630"/>
      <c r="M541" s="630"/>
      <c r="N541" s="630"/>
      <c r="O541" s="630"/>
      <c r="P541" s="630"/>
      <c r="Q541" s="630"/>
      <c r="R541" s="630"/>
      <c r="S541" s="630" t="s">
        <v>586</v>
      </c>
      <c r="T541" s="630"/>
      <c r="U541" s="630" t="s">
        <v>538</v>
      </c>
      <c r="V541" s="630">
        <v>2</v>
      </c>
      <c r="W541" s="630" t="s">
        <v>582</v>
      </c>
      <c r="X541" s="630" t="s">
        <v>549</v>
      </c>
      <c r="Y541" s="630" t="s">
        <v>549</v>
      </c>
      <c r="Z541" s="630">
        <v>2.055768</v>
      </c>
      <c r="AA541" s="630">
        <v>3.3084449999999999</v>
      </c>
      <c r="AB541" s="631">
        <v>84965</v>
      </c>
      <c r="AC541" s="631">
        <v>9450467</v>
      </c>
      <c r="AD541" s="631">
        <f t="shared" si="8"/>
        <v>19427967.643656</v>
      </c>
    </row>
    <row r="542" spans="2:30" x14ac:dyDescent="0.15">
      <c r="B542" s="630">
        <v>17043002350</v>
      </c>
      <c r="C542" s="630">
        <v>17043000552</v>
      </c>
      <c r="D542" s="630">
        <v>17043004776</v>
      </c>
      <c r="E542" s="630" t="s">
        <v>533</v>
      </c>
      <c r="F542" s="630" t="s">
        <v>534</v>
      </c>
      <c r="G542" s="630" t="s">
        <v>367</v>
      </c>
      <c r="H542" s="630" t="s">
        <v>382</v>
      </c>
      <c r="I542" s="630"/>
      <c r="J542" s="630" t="s">
        <v>547</v>
      </c>
      <c r="K542" s="630"/>
      <c r="L542" s="630"/>
      <c r="M542" s="630"/>
      <c r="N542" s="630"/>
      <c r="O542" s="630"/>
      <c r="P542" s="630"/>
      <c r="Q542" s="630"/>
      <c r="R542" s="630"/>
      <c r="S542" s="630" t="s">
        <v>583</v>
      </c>
      <c r="T542" s="630"/>
      <c r="U542" s="630" t="s">
        <v>538</v>
      </c>
      <c r="V542" s="630">
        <v>3</v>
      </c>
      <c r="W542" s="630" t="s">
        <v>588</v>
      </c>
      <c r="X542" s="630" t="s">
        <v>575</v>
      </c>
      <c r="Y542" s="630" t="s">
        <v>549</v>
      </c>
      <c r="Z542" s="630">
        <v>2.2358799999999999</v>
      </c>
      <c r="AA542" s="630">
        <v>3.5983070000000001</v>
      </c>
      <c r="AB542" s="631">
        <v>1830855</v>
      </c>
      <c r="AC542" s="631">
        <v>57776893</v>
      </c>
      <c r="AD542" s="631">
        <f t="shared" si="8"/>
        <v>129182199.52083999</v>
      </c>
    </row>
    <row r="543" spans="2:30" x14ac:dyDescent="0.15">
      <c r="B543" s="630">
        <v>17031003229</v>
      </c>
      <c r="C543" s="630">
        <v>17031000432</v>
      </c>
      <c r="D543" s="630">
        <v>17031004586</v>
      </c>
      <c r="E543" s="630" t="s">
        <v>533</v>
      </c>
      <c r="F543" s="630" t="s">
        <v>534</v>
      </c>
      <c r="G543" s="630" t="s">
        <v>365</v>
      </c>
      <c r="H543" s="630" t="s">
        <v>382</v>
      </c>
      <c r="I543" s="630"/>
      <c r="J543" s="630" t="s">
        <v>547</v>
      </c>
      <c r="K543" s="630"/>
      <c r="L543" s="630"/>
      <c r="M543" s="630"/>
      <c r="N543" s="630"/>
      <c r="O543" s="630"/>
      <c r="P543" s="630"/>
      <c r="Q543" s="630"/>
      <c r="R543" s="630"/>
      <c r="S543" s="630" t="s">
        <v>565</v>
      </c>
      <c r="T543" s="630"/>
      <c r="U543" s="630" t="s">
        <v>538</v>
      </c>
      <c r="V543" s="630">
        <v>2</v>
      </c>
      <c r="W543" s="630" t="s">
        <v>566</v>
      </c>
      <c r="X543" s="630" t="s">
        <v>541</v>
      </c>
      <c r="Y543" s="630" t="s">
        <v>549</v>
      </c>
      <c r="Z543" s="630">
        <v>2.0223930000000001</v>
      </c>
      <c r="AA543" s="630">
        <v>3.2547329999999999</v>
      </c>
      <c r="AB543" s="631">
        <v>0</v>
      </c>
      <c r="AC543" s="631">
        <v>0</v>
      </c>
      <c r="AD543" s="631">
        <f t="shared" si="8"/>
        <v>0</v>
      </c>
    </row>
    <row r="544" spans="2:30" x14ac:dyDescent="0.15">
      <c r="B544" s="630">
        <v>17031003692</v>
      </c>
      <c r="C544" s="630">
        <v>17031004584</v>
      </c>
      <c r="D544" s="630">
        <v>17031000372</v>
      </c>
      <c r="E544" s="630" t="s">
        <v>533</v>
      </c>
      <c r="F544" s="630" t="s">
        <v>534</v>
      </c>
      <c r="G544" s="630" t="s">
        <v>365</v>
      </c>
      <c r="H544" s="630" t="s">
        <v>382</v>
      </c>
      <c r="I544" s="630"/>
      <c r="J544" s="630" t="s">
        <v>547</v>
      </c>
      <c r="K544" s="630"/>
      <c r="L544" s="630"/>
      <c r="M544" s="630"/>
      <c r="N544" s="630"/>
      <c r="O544" s="630"/>
      <c r="P544" s="630"/>
      <c r="Q544" s="630"/>
      <c r="R544" s="630"/>
      <c r="S544" s="630" t="s">
        <v>565</v>
      </c>
      <c r="T544" s="630"/>
      <c r="U544" s="630" t="s">
        <v>538</v>
      </c>
      <c r="V544" s="630">
        <v>2</v>
      </c>
      <c r="W544" s="630" t="s">
        <v>566</v>
      </c>
      <c r="X544" s="630" t="s">
        <v>541</v>
      </c>
      <c r="Y544" s="630" t="s">
        <v>549</v>
      </c>
      <c r="Z544" s="630">
        <v>0.37741000000000002</v>
      </c>
      <c r="AA544" s="630">
        <v>0.60738300000000001</v>
      </c>
      <c r="AB544" s="631">
        <v>0</v>
      </c>
      <c r="AC544" s="631">
        <v>0</v>
      </c>
      <c r="AD544" s="631">
        <f t="shared" si="8"/>
        <v>0</v>
      </c>
    </row>
    <row r="545" spans="2:30" x14ac:dyDescent="0.15">
      <c r="B545" s="630">
        <v>17031004238</v>
      </c>
      <c r="C545" s="630">
        <v>17031001577</v>
      </c>
      <c r="D545" s="630">
        <v>17031001576</v>
      </c>
      <c r="E545" s="630" t="s">
        <v>533</v>
      </c>
      <c r="F545" s="630" t="s">
        <v>534</v>
      </c>
      <c r="G545" s="630" t="s">
        <v>365</v>
      </c>
      <c r="H545" s="630" t="s">
        <v>382</v>
      </c>
      <c r="I545" s="630"/>
      <c r="J545" s="630"/>
      <c r="K545" s="630"/>
      <c r="L545" s="630"/>
      <c r="M545" s="630"/>
      <c r="N545" s="630"/>
      <c r="O545" s="630"/>
      <c r="P545" s="630"/>
      <c r="Q545" s="630"/>
      <c r="R545" s="630"/>
      <c r="S545" s="630" t="s">
        <v>576</v>
      </c>
      <c r="T545" s="630"/>
      <c r="U545" s="630" t="s">
        <v>559</v>
      </c>
      <c r="V545" s="630">
        <v>1</v>
      </c>
      <c r="W545" s="630" t="s">
        <v>560</v>
      </c>
      <c r="X545" s="630" t="s">
        <v>541</v>
      </c>
      <c r="Y545" s="630" t="s">
        <v>541</v>
      </c>
      <c r="Z545" s="630">
        <v>0.58224900000000002</v>
      </c>
      <c r="AA545" s="630">
        <v>0.93704100000000001</v>
      </c>
      <c r="AB545" s="631">
        <v>0</v>
      </c>
      <c r="AC545" s="631">
        <v>0</v>
      </c>
      <c r="AD545" s="631">
        <f t="shared" si="8"/>
        <v>0</v>
      </c>
    </row>
    <row r="546" spans="2:30" x14ac:dyDescent="0.15">
      <c r="B546" s="630">
        <v>17031009502</v>
      </c>
      <c r="C546" s="630">
        <v>17031000402</v>
      </c>
      <c r="D546" s="630">
        <v>17031007600</v>
      </c>
      <c r="E546" s="630" t="s">
        <v>533</v>
      </c>
      <c r="F546" s="630" t="s">
        <v>534</v>
      </c>
      <c r="G546" s="630" t="s">
        <v>365</v>
      </c>
      <c r="H546" s="630" t="s">
        <v>382</v>
      </c>
      <c r="I546" s="630"/>
      <c r="J546" s="630"/>
      <c r="K546" s="630"/>
      <c r="L546" s="630"/>
      <c r="M546" s="630"/>
      <c r="N546" s="630"/>
      <c r="O546" s="630"/>
      <c r="P546" s="630"/>
      <c r="Q546" s="630"/>
      <c r="R546" s="630"/>
      <c r="S546" s="630" t="s">
        <v>616</v>
      </c>
      <c r="T546" s="630"/>
      <c r="U546" s="630" t="s">
        <v>559</v>
      </c>
      <c r="V546" s="630">
        <v>1</v>
      </c>
      <c r="W546" s="630" t="s">
        <v>560</v>
      </c>
      <c r="X546" s="630" t="s">
        <v>541</v>
      </c>
      <c r="Y546" s="630" t="s">
        <v>541</v>
      </c>
      <c r="Z546" s="630">
        <v>0.208234</v>
      </c>
      <c r="AA546" s="630">
        <v>0.33512199999999998</v>
      </c>
      <c r="AB546" s="631">
        <v>0</v>
      </c>
      <c r="AC546" s="631">
        <v>0</v>
      </c>
      <c r="AD546" s="631">
        <f t="shared" si="8"/>
        <v>0</v>
      </c>
    </row>
    <row r="547" spans="2:30" x14ac:dyDescent="0.15">
      <c r="B547" s="630">
        <v>17031002245</v>
      </c>
      <c r="C547" s="630">
        <v>17031000500</v>
      </c>
      <c r="D547" s="630">
        <v>17031000493</v>
      </c>
      <c r="E547" s="630" t="s">
        <v>533</v>
      </c>
      <c r="F547" s="630" t="s">
        <v>534</v>
      </c>
      <c r="G547" s="630" t="s">
        <v>365</v>
      </c>
      <c r="H547" s="630" t="s">
        <v>557</v>
      </c>
      <c r="I547" s="630"/>
      <c r="J547" s="630" t="s">
        <v>535</v>
      </c>
      <c r="K547" s="630" t="s">
        <v>552</v>
      </c>
      <c r="L547" s="630" t="s">
        <v>543</v>
      </c>
      <c r="M547" s="630" t="s">
        <v>382</v>
      </c>
      <c r="N547" s="630"/>
      <c r="O547" s="630"/>
      <c r="P547" s="630"/>
      <c r="Q547" s="630"/>
      <c r="R547" s="630"/>
      <c r="S547" s="630" t="s">
        <v>570</v>
      </c>
      <c r="T547" s="630" t="s">
        <v>676</v>
      </c>
      <c r="U547" s="630" t="s">
        <v>538</v>
      </c>
      <c r="V547" s="630">
        <v>2</v>
      </c>
      <c r="W547" s="630" t="s">
        <v>545</v>
      </c>
      <c r="X547" s="630" t="s">
        <v>546</v>
      </c>
      <c r="Y547" s="630" t="s">
        <v>554</v>
      </c>
      <c r="Z547" s="630">
        <v>0.13173000000000001</v>
      </c>
      <c r="AA547" s="630">
        <v>0.21199999999999999</v>
      </c>
      <c r="AB547" s="631">
        <v>943691</v>
      </c>
      <c r="AC547" s="631">
        <v>50467379</v>
      </c>
      <c r="AD547" s="631">
        <f t="shared" si="8"/>
        <v>6648067.8356700009</v>
      </c>
    </row>
    <row r="548" spans="2:30" x14ac:dyDescent="0.15">
      <c r="B548" s="630">
        <v>17111002555</v>
      </c>
      <c r="C548" s="630">
        <v>17111000144</v>
      </c>
      <c r="D548" s="630">
        <v>17111000119</v>
      </c>
      <c r="E548" s="630" t="s">
        <v>533</v>
      </c>
      <c r="F548" s="630" t="s">
        <v>534</v>
      </c>
      <c r="G548" s="630" t="s">
        <v>375</v>
      </c>
      <c r="H548" s="630" t="s">
        <v>382</v>
      </c>
      <c r="I548" s="630"/>
      <c r="J548" s="630"/>
      <c r="K548" s="630"/>
      <c r="L548" s="630"/>
      <c r="M548" s="630"/>
      <c r="N548" s="630"/>
      <c r="O548" s="630"/>
      <c r="P548" s="630"/>
      <c r="Q548" s="630"/>
      <c r="R548" s="630"/>
      <c r="S548" s="630" t="s">
        <v>620</v>
      </c>
      <c r="T548" s="630"/>
      <c r="U548" s="630" t="s">
        <v>559</v>
      </c>
      <c r="V548" s="630">
        <v>1</v>
      </c>
      <c r="W548" s="630" t="s">
        <v>560</v>
      </c>
      <c r="X548" s="630" t="s">
        <v>541</v>
      </c>
      <c r="Y548" s="630" t="s">
        <v>541</v>
      </c>
      <c r="Z548" s="630">
        <v>0.49689100000000003</v>
      </c>
      <c r="AA548" s="630">
        <v>0.79967100000000002</v>
      </c>
      <c r="AB548" s="631">
        <v>0</v>
      </c>
      <c r="AC548" s="631">
        <v>0</v>
      </c>
      <c r="AD548" s="631">
        <f t="shared" si="8"/>
        <v>0</v>
      </c>
    </row>
    <row r="549" spans="2:30" x14ac:dyDescent="0.15">
      <c r="B549" s="630">
        <v>17031002650</v>
      </c>
      <c r="C549" s="630">
        <v>17031001378</v>
      </c>
      <c r="D549" s="630">
        <v>17031007660</v>
      </c>
      <c r="E549" s="630" t="s">
        <v>533</v>
      </c>
      <c r="F549" s="630" t="s">
        <v>534</v>
      </c>
      <c r="G549" s="630" t="s">
        <v>365</v>
      </c>
      <c r="H549" s="630" t="s">
        <v>551</v>
      </c>
      <c r="I549" s="630" t="s">
        <v>535</v>
      </c>
      <c r="J549" s="630" t="s">
        <v>381</v>
      </c>
      <c r="K549" s="630" t="s">
        <v>552</v>
      </c>
      <c r="L549" s="630"/>
      <c r="M549" s="630"/>
      <c r="N549" s="630"/>
      <c r="O549" s="630"/>
      <c r="P549" s="630"/>
      <c r="Q549" s="630"/>
      <c r="R549" s="630"/>
      <c r="S549" s="630" t="s">
        <v>628</v>
      </c>
      <c r="T549" s="630"/>
      <c r="U549" s="630" t="s">
        <v>538</v>
      </c>
      <c r="V549" s="630">
        <v>1</v>
      </c>
      <c r="W549" s="630" t="s">
        <v>539</v>
      </c>
      <c r="X549" s="630" t="s">
        <v>541</v>
      </c>
      <c r="Y549" s="630" t="s">
        <v>541</v>
      </c>
      <c r="Z549" s="630">
        <v>0.95460299999999998</v>
      </c>
      <c r="AA549" s="630">
        <v>1.5362880000000001</v>
      </c>
      <c r="AB549" s="631">
        <v>120</v>
      </c>
      <c r="AC549" s="631">
        <v>12080</v>
      </c>
      <c r="AD549" s="631">
        <f t="shared" si="8"/>
        <v>11531.604240000001</v>
      </c>
    </row>
    <row r="550" spans="2:30" x14ac:dyDescent="0.15">
      <c r="B550" s="630">
        <v>17031002598</v>
      </c>
      <c r="C550" s="630">
        <v>17999023625</v>
      </c>
      <c r="D550" s="630">
        <v>17031004692</v>
      </c>
      <c r="E550" s="630" t="s">
        <v>533</v>
      </c>
      <c r="F550" s="630" t="s">
        <v>534</v>
      </c>
      <c r="G550" s="630" t="s">
        <v>365</v>
      </c>
      <c r="H550" s="630" t="s">
        <v>547</v>
      </c>
      <c r="I550" s="630"/>
      <c r="J550" s="630" t="s">
        <v>577</v>
      </c>
      <c r="K550" s="630" t="s">
        <v>551</v>
      </c>
      <c r="L550" s="630" t="s">
        <v>615</v>
      </c>
      <c r="M550" s="630"/>
      <c r="N550" s="630"/>
      <c r="O550" s="630"/>
      <c r="P550" s="630"/>
      <c r="Q550" s="630"/>
      <c r="R550" s="630"/>
      <c r="S550" s="630" t="s">
        <v>581</v>
      </c>
      <c r="T550" s="630"/>
      <c r="U550" s="630" t="s">
        <v>538</v>
      </c>
      <c r="V550" s="630">
        <v>2</v>
      </c>
      <c r="W550" s="630" t="s">
        <v>582</v>
      </c>
      <c r="X550" s="630" t="s">
        <v>540</v>
      </c>
      <c r="Y550" s="630" t="s">
        <v>540</v>
      </c>
      <c r="Z550" s="630">
        <v>0.85563199999999995</v>
      </c>
      <c r="AA550" s="630">
        <v>1.377008</v>
      </c>
      <c r="AB550" s="631">
        <v>89629</v>
      </c>
      <c r="AC550" s="631">
        <v>8779272</v>
      </c>
      <c r="AD550" s="631">
        <f t="shared" si="8"/>
        <v>7511826.0599039998</v>
      </c>
    </row>
    <row r="551" spans="2:30" x14ac:dyDescent="0.15">
      <c r="B551" s="630">
        <v>17043006540</v>
      </c>
      <c r="C551" s="630">
        <v>17999022163</v>
      </c>
      <c r="D551" s="630">
        <v>17043004881</v>
      </c>
      <c r="E551" s="630" t="s">
        <v>533</v>
      </c>
      <c r="F551" s="630" t="s">
        <v>534</v>
      </c>
      <c r="G551" s="630" t="s">
        <v>367</v>
      </c>
      <c r="H551" s="630" t="s">
        <v>381</v>
      </c>
      <c r="I551" s="630"/>
      <c r="J551" s="630"/>
      <c r="K551" s="630"/>
      <c r="L551" s="630"/>
      <c r="M551" s="630"/>
      <c r="N551" s="630"/>
      <c r="O551" s="630"/>
      <c r="P551" s="630"/>
      <c r="Q551" s="630"/>
      <c r="R551" s="630"/>
      <c r="S551" s="630"/>
      <c r="T551" s="630"/>
      <c r="U551" s="630" t="s">
        <v>559</v>
      </c>
      <c r="V551" s="630">
        <v>1</v>
      </c>
      <c r="W551" s="630" t="s">
        <v>560</v>
      </c>
      <c r="X551" s="630" t="s">
        <v>541</v>
      </c>
      <c r="Y551" s="630" t="s">
        <v>541</v>
      </c>
      <c r="Z551" s="630">
        <v>0.64754900000000004</v>
      </c>
      <c r="AA551" s="630">
        <v>1.0421309999999999</v>
      </c>
      <c r="AB551" s="631">
        <v>0</v>
      </c>
      <c r="AC551" s="631">
        <v>0</v>
      </c>
      <c r="AD551" s="631">
        <f t="shared" si="8"/>
        <v>0</v>
      </c>
    </row>
    <row r="552" spans="2:30" x14ac:dyDescent="0.15">
      <c r="B552" s="630">
        <v>17197006553</v>
      </c>
      <c r="C552" s="630">
        <v>17197004812</v>
      </c>
      <c r="D552" s="630">
        <v>17197004813</v>
      </c>
      <c r="E552" s="630" t="s">
        <v>533</v>
      </c>
      <c r="F552" s="630" t="s">
        <v>534</v>
      </c>
      <c r="G552" s="630" t="s">
        <v>377</v>
      </c>
      <c r="H552" s="630" t="s">
        <v>381</v>
      </c>
      <c r="I552" s="630"/>
      <c r="J552" s="630" t="s">
        <v>382</v>
      </c>
      <c r="K552" s="630"/>
      <c r="L552" s="630"/>
      <c r="M552" s="630"/>
      <c r="N552" s="630"/>
      <c r="O552" s="630"/>
      <c r="P552" s="630"/>
      <c r="Q552" s="630"/>
      <c r="R552" s="630"/>
      <c r="S552" s="630" t="s">
        <v>651</v>
      </c>
      <c r="T552" s="630"/>
      <c r="U552" s="630" t="s">
        <v>559</v>
      </c>
      <c r="V552" s="630">
        <v>1</v>
      </c>
      <c r="W552" s="630" t="s">
        <v>539</v>
      </c>
      <c r="X552" s="630" t="s">
        <v>541</v>
      </c>
      <c r="Y552" s="630" t="s">
        <v>541</v>
      </c>
      <c r="Z552" s="630">
        <v>0.97258699999999998</v>
      </c>
      <c r="AA552" s="630">
        <v>1.5652299999999999</v>
      </c>
      <c r="AB552" s="631">
        <v>0</v>
      </c>
      <c r="AC552" s="631">
        <v>0</v>
      </c>
      <c r="AD552" s="631">
        <f t="shared" si="8"/>
        <v>0</v>
      </c>
    </row>
    <row r="553" spans="2:30" x14ac:dyDescent="0.15">
      <c r="B553" s="630">
        <v>17043002407</v>
      </c>
      <c r="C553" s="630">
        <v>17043000635</v>
      </c>
      <c r="D553" s="630">
        <v>17043004777</v>
      </c>
      <c r="E553" s="630" t="s">
        <v>533</v>
      </c>
      <c r="F553" s="630" t="s">
        <v>534</v>
      </c>
      <c r="G553" s="630" t="s">
        <v>367</v>
      </c>
      <c r="H553" s="630" t="s">
        <v>382</v>
      </c>
      <c r="I553" s="630"/>
      <c r="J553" s="630" t="s">
        <v>547</v>
      </c>
      <c r="K553" s="630"/>
      <c r="L553" s="630"/>
      <c r="M553" s="630"/>
      <c r="N553" s="630"/>
      <c r="O553" s="630"/>
      <c r="P553" s="630"/>
      <c r="Q553" s="630"/>
      <c r="R553" s="630"/>
      <c r="S553" s="630" t="s">
        <v>583</v>
      </c>
      <c r="T553" s="630"/>
      <c r="U553" s="630" t="s">
        <v>538</v>
      </c>
      <c r="V553" s="630">
        <v>3</v>
      </c>
      <c r="W553" s="630" t="s">
        <v>588</v>
      </c>
      <c r="X553" s="630" t="s">
        <v>575</v>
      </c>
      <c r="Y553" s="630" t="s">
        <v>549</v>
      </c>
      <c r="Z553" s="630">
        <v>1.1608540000000001</v>
      </c>
      <c r="AA553" s="630">
        <v>1.868217</v>
      </c>
      <c r="AB553" s="631">
        <v>1830855</v>
      </c>
      <c r="AC553" s="631">
        <v>57776893</v>
      </c>
      <c r="AD553" s="631">
        <f t="shared" si="8"/>
        <v>67070537.346622005</v>
      </c>
    </row>
    <row r="554" spans="2:30" x14ac:dyDescent="0.15">
      <c r="B554" s="630">
        <v>17031005371</v>
      </c>
      <c r="C554" s="630">
        <v>17031001223</v>
      </c>
      <c r="D554" s="630">
        <v>17031001234</v>
      </c>
      <c r="E554" s="630" t="s">
        <v>533</v>
      </c>
      <c r="F554" s="630" t="s">
        <v>534</v>
      </c>
      <c r="G554" s="630" t="s">
        <v>365</v>
      </c>
      <c r="H554" s="630" t="s">
        <v>543</v>
      </c>
      <c r="I554" s="630"/>
      <c r="J554" s="630"/>
      <c r="K554" s="630"/>
      <c r="L554" s="630"/>
      <c r="M554" s="630"/>
      <c r="N554" s="630"/>
      <c r="O554" s="630"/>
      <c r="P554" s="630"/>
      <c r="Q554" s="630"/>
      <c r="R554" s="630"/>
      <c r="S554" s="630"/>
      <c r="T554" s="630"/>
      <c r="U554" s="630" t="s">
        <v>559</v>
      </c>
      <c r="V554" s="630">
        <v>1</v>
      </c>
      <c r="W554" s="630" t="s">
        <v>560</v>
      </c>
      <c r="X554" s="630" t="s">
        <v>541</v>
      </c>
      <c r="Y554" s="630" t="s">
        <v>541</v>
      </c>
      <c r="Z554" s="630">
        <v>0.30845499999999998</v>
      </c>
      <c r="AA554" s="630">
        <v>0.49641099999999999</v>
      </c>
      <c r="AB554" s="631">
        <v>0</v>
      </c>
      <c r="AC554" s="631">
        <v>0</v>
      </c>
      <c r="AD554" s="631">
        <f t="shared" si="8"/>
        <v>0</v>
      </c>
    </row>
    <row r="555" spans="2:30" x14ac:dyDescent="0.15">
      <c r="B555" s="630">
        <v>17031008720</v>
      </c>
      <c r="C555" s="630">
        <v>17031001029</v>
      </c>
      <c r="D555" s="630">
        <v>17031006777</v>
      </c>
      <c r="E555" s="630" t="s">
        <v>533</v>
      </c>
      <c r="F555" s="630" t="s">
        <v>534</v>
      </c>
      <c r="G555" s="630" t="s">
        <v>365</v>
      </c>
      <c r="H555" s="630" t="s">
        <v>571</v>
      </c>
      <c r="I555" s="630"/>
      <c r="J555" s="630" t="s">
        <v>552</v>
      </c>
      <c r="K555" s="630" t="s">
        <v>572</v>
      </c>
      <c r="L555" s="630" t="s">
        <v>551</v>
      </c>
      <c r="M555" s="630" t="s">
        <v>555</v>
      </c>
      <c r="N555" s="630" t="s">
        <v>543</v>
      </c>
      <c r="O555" s="630" t="s">
        <v>382</v>
      </c>
      <c r="P555" s="630" t="s">
        <v>535</v>
      </c>
      <c r="Q555" s="630" t="s">
        <v>381</v>
      </c>
      <c r="R555" s="630"/>
      <c r="S555" s="630" t="s">
        <v>573</v>
      </c>
      <c r="T555" s="630" t="s">
        <v>677</v>
      </c>
      <c r="U555" s="630" t="s">
        <v>538</v>
      </c>
      <c r="V555" s="630">
        <v>2</v>
      </c>
      <c r="W555" s="630" t="s">
        <v>545</v>
      </c>
      <c r="X555" s="630" t="s">
        <v>580</v>
      </c>
      <c r="Y555" s="630" t="s">
        <v>554</v>
      </c>
      <c r="Z555" s="630">
        <v>0.36872700000000003</v>
      </c>
      <c r="AA555" s="630">
        <v>0.59340999999999999</v>
      </c>
      <c r="AB555" s="631">
        <v>371285</v>
      </c>
      <c r="AC555" s="631">
        <v>16601511</v>
      </c>
      <c r="AD555" s="631">
        <f t="shared" si="8"/>
        <v>6121425.3464970002</v>
      </c>
    </row>
    <row r="556" spans="2:30" x14ac:dyDescent="0.15">
      <c r="B556" s="630">
        <v>17031002252</v>
      </c>
      <c r="C556" s="630">
        <v>17031000643</v>
      </c>
      <c r="D556" s="630">
        <v>17031000602</v>
      </c>
      <c r="E556" s="630" t="s">
        <v>533</v>
      </c>
      <c r="F556" s="630" t="s">
        <v>534</v>
      </c>
      <c r="G556" s="630" t="s">
        <v>365</v>
      </c>
      <c r="H556" s="630" t="s">
        <v>557</v>
      </c>
      <c r="I556" s="630"/>
      <c r="J556" s="630" t="s">
        <v>535</v>
      </c>
      <c r="K556" s="630" t="s">
        <v>552</v>
      </c>
      <c r="L556" s="630" t="s">
        <v>543</v>
      </c>
      <c r="M556" s="630" t="s">
        <v>382</v>
      </c>
      <c r="N556" s="630"/>
      <c r="O556" s="630"/>
      <c r="P556" s="630"/>
      <c r="Q556" s="630"/>
      <c r="R556" s="630"/>
      <c r="S556" s="630" t="s">
        <v>570</v>
      </c>
      <c r="T556" s="630"/>
      <c r="U556" s="630" t="s">
        <v>538</v>
      </c>
      <c r="V556" s="630">
        <v>2</v>
      </c>
      <c r="W556" s="630" t="s">
        <v>545</v>
      </c>
      <c r="X556" s="630" t="s">
        <v>580</v>
      </c>
      <c r="Y556" s="630" t="s">
        <v>540</v>
      </c>
      <c r="Z556" s="630">
        <v>1.069769</v>
      </c>
      <c r="AA556" s="630">
        <v>1.72163</v>
      </c>
      <c r="AB556" s="631">
        <v>1636375</v>
      </c>
      <c r="AC556" s="631">
        <v>64210666</v>
      </c>
      <c r="AD556" s="631">
        <f t="shared" si="8"/>
        <v>68690579.956154004</v>
      </c>
    </row>
    <row r="557" spans="2:30" x14ac:dyDescent="0.15">
      <c r="B557" s="630">
        <v>17031003665</v>
      </c>
      <c r="C557" s="630">
        <v>17031004701</v>
      </c>
      <c r="D557" s="630">
        <v>17031004700</v>
      </c>
      <c r="E557" s="630" t="s">
        <v>533</v>
      </c>
      <c r="F557" s="630" t="s">
        <v>534</v>
      </c>
      <c r="G557" s="630" t="s">
        <v>365</v>
      </c>
      <c r="H557" s="630" t="s">
        <v>547</v>
      </c>
      <c r="I557" s="630"/>
      <c r="J557" s="630"/>
      <c r="K557" s="630"/>
      <c r="L557" s="630"/>
      <c r="M557" s="630"/>
      <c r="N557" s="630"/>
      <c r="O557" s="630"/>
      <c r="P557" s="630"/>
      <c r="Q557" s="630"/>
      <c r="R557" s="630"/>
      <c r="S557" s="630" t="s">
        <v>611</v>
      </c>
      <c r="T557" s="630"/>
      <c r="U557" s="630" t="s">
        <v>538</v>
      </c>
      <c r="V557" s="630">
        <v>2</v>
      </c>
      <c r="W557" s="630" t="s">
        <v>582</v>
      </c>
      <c r="X557" s="630" t="s">
        <v>541</v>
      </c>
      <c r="Y557" s="630" t="s">
        <v>540</v>
      </c>
      <c r="Z557" s="630">
        <v>0.58144799999999996</v>
      </c>
      <c r="AA557" s="630">
        <v>0.93575200000000003</v>
      </c>
      <c r="AB557" s="631">
        <v>0</v>
      </c>
      <c r="AC557" s="631">
        <v>0</v>
      </c>
      <c r="AD557" s="631">
        <f t="shared" si="8"/>
        <v>0</v>
      </c>
    </row>
    <row r="558" spans="2:30" x14ac:dyDescent="0.15">
      <c r="B558" s="630">
        <v>17031009572</v>
      </c>
      <c r="C558" s="630">
        <v>17999023612</v>
      </c>
      <c r="D558" s="630">
        <v>17031007665</v>
      </c>
      <c r="E558" s="630" t="s">
        <v>533</v>
      </c>
      <c r="F558" s="630" t="s">
        <v>534</v>
      </c>
      <c r="G558" s="630" t="s">
        <v>365</v>
      </c>
      <c r="H558" s="630" t="s">
        <v>547</v>
      </c>
      <c r="I558" s="630"/>
      <c r="J558" s="630" t="s">
        <v>543</v>
      </c>
      <c r="K558" s="630"/>
      <c r="L558" s="630"/>
      <c r="M558" s="630"/>
      <c r="N558" s="630"/>
      <c r="O558" s="630"/>
      <c r="P558" s="630"/>
      <c r="Q558" s="630"/>
      <c r="R558" s="630"/>
      <c r="S558" s="630" t="s">
        <v>602</v>
      </c>
      <c r="T558" s="630"/>
      <c r="U558" s="630" t="s">
        <v>538</v>
      </c>
      <c r="V558" s="630">
        <v>1</v>
      </c>
      <c r="W558" s="630" t="s">
        <v>582</v>
      </c>
      <c r="X558" s="630" t="s">
        <v>541</v>
      </c>
      <c r="Y558" s="630" t="s">
        <v>540</v>
      </c>
      <c r="Z558" s="630">
        <v>3.1237999999999998E-2</v>
      </c>
      <c r="AA558" s="630">
        <v>5.0272999999999998E-2</v>
      </c>
      <c r="AB558" s="631">
        <v>320</v>
      </c>
      <c r="AC558" s="631">
        <v>23200</v>
      </c>
      <c r="AD558" s="631">
        <f t="shared" si="8"/>
        <v>724.72159999999997</v>
      </c>
    </row>
    <row r="559" spans="2:30" x14ac:dyDescent="0.15">
      <c r="B559" s="630">
        <v>17111001950</v>
      </c>
      <c r="C559" s="630">
        <v>17999017375</v>
      </c>
      <c r="D559" s="630">
        <v>17111004829</v>
      </c>
      <c r="E559" s="630" t="s">
        <v>533</v>
      </c>
      <c r="F559" s="630" t="s">
        <v>534</v>
      </c>
      <c r="G559" s="630" t="s">
        <v>375</v>
      </c>
      <c r="H559" s="630" t="s">
        <v>563</v>
      </c>
      <c r="I559" s="630"/>
      <c r="J559" s="630"/>
      <c r="K559" s="630"/>
      <c r="L559" s="630"/>
      <c r="M559" s="630"/>
      <c r="N559" s="630"/>
      <c r="O559" s="630"/>
      <c r="P559" s="630"/>
      <c r="Q559" s="630"/>
      <c r="R559" s="630"/>
      <c r="S559" s="630" t="s">
        <v>629</v>
      </c>
      <c r="T559" s="630"/>
      <c r="U559" s="630" t="s">
        <v>538</v>
      </c>
      <c r="V559" s="630">
        <v>1</v>
      </c>
      <c r="W559" s="630" t="s">
        <v>562</v>
      </c>
      <c r="X559" s="630" t="s">
        <v>554</v>
      </c>
      <c r="Y559" s="630" t="s">
        <v>554</v>
      </c>
      <c r="Z559" s="630">
        <v>2.7005379999999999</v>
      </c>
      <c r="AA559" s="630">
        <v>4.3461040000000004</v>
      </c>
      <c r="AB559" s="631">
        <v>27538</v>
      </c>
      <c r="AC559" s="631">
        <v>2609253</v>
      </c>
      <c r="AD559" s="631">
        <f t="shared" si="8"/>
        <v>7046386.878114</v>
      </c>
    </row>
    <row r="560" spans="2:30" x14ac:dyDescent="0.15">
      <c r="B560" s="630">
        <v>17043002129</v>
      </c>
      <c r="C560" s="630">
        <v>17999021910</v>
      </c>
      <c r="D560" s="630">
        <v>17043004894</v>
      </c>
      <c r="E560" s="630" t="s">
        <v>533</v>
      </c>
      <c r="F560" s="630" t="s">
        <v>534</v>
      </c>
      <c r="G560" s="630" t="s">
        <v>367</v>
      </c>
      <c r="H560" s="630" t="s">
        <v>535</v>
      </c>
      <c r="I560" s="630"/>
      <c r="J560" s="630" t="s">
        <v>382</v>
      </c>
      <c r="K560" s="630" t="s">
        <v>536</v>
      </c>
      <c r="L560" s="630"/>
      <c r="M560" s="630"/>
      <c r="N560" s="630"/>
      <c r="O560" s="630"/>
      <c r="P560" s="630"/>
      <c r="Q560" s="630"/>
      <c r="R560" s="630"/>
      <c r="S560" s="630" t="s">
        <v>550</v>
      </c>
      <c r="T560" s="630"/>
      <c r="U560" s="630" t="s">
        <v>538</v>
      </c>
      <c r="V560" s="630">
        <v>1</v>
      </c>
      <c r="W560" s="630" t="s">
        <v>545</v>
      </c>
      <c r="X560" s="630" t="s">
        <v>540</v>
      </c>
      <c r="Y560" s="630" t="s">
        <v>549</v>
      </c>
      <c r="Z560" s="630">
        <v>0.96832600000000002</v>
      </c>
      <c r="AA560" s="630">
        <v>1.5583720000000001</v>
      </c>
      <c r="AB560" s="631">
        <v>23785</v>
      </c>
      <c r="AC560" s="631">
        <v>2276384</v>
      </c>
      <c r="AD560" s="631">
        <f t="shared" si="8"/>
        <v>2204281.8131840001</v>
      </c>
    </row>
    <row r="561" spans="2:30" x14ac:dyDescent="0.15">
      <c r="B561" s="630">
        <v>17031002242</v>
      </c>
      <c r="C561" s="630">
        <v>17031000493</v>
      </c>
      <c r="D561" s="630">
        <v>17031000465</v>
      </c>
      <c r="E561" s="630" t="s">
        <v>533</v>
      </c>
      <c r="F561" s="630" t="s">
        <v>534</v>
      </c>
      <c r="G561" s="630" t="s">
        <v>365</v>
      </c>
      <c r="H561" s="630" t="s">
        <v>557</v>
      </c>
      <c r="I561" s="630"/>
      <c r="J561" s="630" t="s">
        <v>535</v>
      </c>
      <c r="K561" s="630" t="s">
        <v>552</v>
      </c>
      <c r="L561" s="630" t="s">
        <v>543</v>
      </c>
      <c r="M561" s="630" t="s">
        <v>382</v>
      </c>
      <c r="N561" s="630"/>
      <c r="O561" s="630"/>
      <c r="P561" s="630"/>
      <c r="Q561" s="630"/>
      <c r="R561" s="630"/>
      <c r="S561" s="630" t="s">
        <v>570</v>
      </c>
      <c r="T561" s="630" t="s">
        <v>676</v>
      </c>
      <c r="U561" s="630" t="s">
        <v>538</v>
      </c>
      <c r="V561" s="630">
        <v>2</v>
      </c>
      <c r="W561" s="630" t="s">
        <v>545</v>
      </c>
      <c r="X561" s="630" t="s">
        <v>546</v>
      </c>
      <c r="Y561" s="630" t="s">
        <v>554</v>
      </c>
      <c r="Z561" s="630">
        <v>0.74494199999999999</v>
      </c>
      <c r="AA561" s="630">
        <v>1.1988700000000001</v>
      </c>
      <c r="AB561" s="631">
        <v>943691</v>
      </c>
      <c r="AC561" s="631">
        <v>50467379</v>
      </c>
      <c r="AD561" s="631">
        <f t="shared" si="8"/>
        <v>37595270.247018002</v>
      </c>
    </row>
    <row r="562" spans="2:30" x14ac:dyDescent="0.15">
      <c r="B562" s="630">
        <v>17031006517</v>
      </c>
      <c r="C562" s="630">
        <v>17031001092</v>
      </c>
      <c r="D562" s="630">
        <v>17031001091</v>
      </c>
      <c r="E562" s="630" t="s">
        <v>533</v>
      </c>
      <c r="F562" s="630" t="s">
        <v>534</v>
      </c>
      <c r="G562" s="630" t="s">
        <v>365</v>
      </c>
      <c r="H562" s="630" t="s">
        <v>577</v>
      </c>
      <c r="I562" s="630"/>
      <c r="J562" s="630"/>
      <c r="K562" s="630"/>
      <c r="L562" s="630"/>
      <c r="M562" s="630"/>
      <c r="N562" s="630"/>
      <c r="O562" s="630"/>
      <c r="P562" s="630"/>
      <c r="Q562" s="630"/>
      <c r="R562" s="630"/>
      <c r="S562" s="630"/>
      <c r="T562" s="630"/>
      <c r="U562" s="630" t="s">
        <v>538</v>
      </c>
      <c r="V562" s="630">
        <v>1</v>
      </c>
      <c r="W562" s="630" t="s">
        <v>560</v>
      </c>
      <c r="X562" s="630" t="s">
        <v>541</v>
      </c>
      <c r="Y562" s="630" t="s">
        <v>541</v>
      </c>
      <c r="Z562" s="630">
        <v>0.22804099999999999</v>
      </c>
      <c r="AA562" s="630">
        <v>0.36699599999999999</v>
      </c>
      <c r="AB562" s="631">
        <v>0</v>
      </c>
      <c r="AC562" s="631">
        <v>0</v>
      </c>
      <c r="AD562" s="631">
        <f t="shared" si="8"/>
        <v>0</v>
      </c>
    </row>
    <row r="563" spans="2:30" x14ac:dyDescent="0.15">
      <c r="B563" s="630">
        <v>17031002374</v>
      </c>
      <c r="C563" s="630">
        <v>17031001428</v>
      </c>
      <c r="D563" s="630">
        <v>17031001432</v>
      </c>
      <c r="E563" s="630" t="s">
        <v>533</v>
      </c>
      <c r="F563" s="630" t="s">
        <v>534</v>
      </c>
      <c r="G563" s="630" t="s">
        <v>365</v>
      </c>
      <c r="H563" s="630" t="s">
        <v>551</v>
      </c>
      <c r="I563" s="630" t="s">
        <v>535</v>
      </c>
      <c r="J563" s="630"/>
      <c r="K563" s="630"/>
      <c r="L563" s="630"/>
      <c r="M563" s="630"/>
      <c r="N563" s="630"/>
      <c r="O563" s="630"/>
      <c r="P563" s="630"/>
      <c r="Q563" s="630"/>
      <c r="R563" s="630"/>
      <c r="S563" s="630" t="s">
        <v>553</v>
      </c>
      <c r="T563" s="630"/>
      <c r="U563" s="630" t="s">
        <v>538</v>
      </c>
      <c r="V563" s="630">
        <v>2</v>
      </c>
      <c r="W563" s="630" t="s">
        <v>545</v>
      </c>
      <c r="X563" s="630" t="s">
        <v>546</v>
      </c>
      <c r="Y563" s="630" t="s">
        <v>540</v>
      </c>
      <c r="Z563" s="630">
        <v>0.28462799999999999</v>
      </c>
      <c r="AA563" s="630">
        <v>0.458065</v>
      </c>
      <c r="AB563" s="631">
        <v>466079</v>
      </c>
      <c r="AC563" s="631">
        <v>18724709</v>
      </c>
      <c r="AD563" s="631">
        <f t="shared" si="8"/>
        <v>5329576.4732520003</v>
      </c>
    </row>
    <row r="564" spans="2:30" x14ac:dyDescent="0.15">
      <c r="B564" s="630">
        <v>17031001960</v>
      </c>
      <c r="C564" s="630">
        <v>17031004723</v>
      </c>
      <c r="D564" s="630">
        <v>17031001250</v>
      </c>
      <c r="E564" s="630" t="s">
        <v>533</v>
      </c>
      <c r="F564" s="630" t="s">
        <v>534</v>
      </c>
      <c r="G564" s="630" t="s">
        <v>365</v>
      </c>
      <c r="H564" s="630" t="s">
        <v>547</v>
      </c>
      <c r="I564" s="630"/>
      <c r="J564" s="630"/>
      <c r="K564" s="630"/>
      <c r="L564" s="630"/>
      <c r="M564" s="630"/>
      <c r="N564" s="630"/>
      <c r="O564" s="630"/>
      <c r="P564" s="630"/>
      <c r="Q564" s="630"/>
      <c r="R564" s="630"/>
      <c r="S564" s="630"/>
      <c r="T564" s="630"/>
      <c r="U564" s="630" t="s">
        <v>538</v>
      </c>
      <c r="V564" s="630">
        <v>1</v>
      </c>
      <c r="W564" s="630" t="s">
        <v>582</v>
      </c>
      <c r="X564" s="630" t="s">
        <v>541</v>
      </c>
      <c r="Y564" s="630" t="s">
        <v>541</v>
      </c>
      <c r="Z564" s="630">
        <v>8.9464000000000002E-2</v>
      </c>
      <c r="AA564" s="630">
        <v>0.14397799999999999</v>
      </c>
      <c r="AB564" s="631">
        <v>0</v>
      </c>
      <c r="AC564" s="631">
        <v>0</v>
      </c>
      <c r="AD564" s="631">
        <f t="shared" si="8"/>
        <v>0</v>
      </c>
    </row>
    <row r="565" spans="2:30" x14ac:dyDescent="0.15">
      <c r="B565" s="630">
        <v>17031005657</v>
      </c>
      <c r="C565" s="630">
        <v>17031000535</v>
      </c>
      <c r="D565" s="630">
        <v>17031000542</v>
      </c>
      <c r="E565" s="630" t="s">
        <v>533</v>
      </c>
      <c r="F565" s="630" t="s">
        <v>534</v>
      </c>
      <c r="G565" s="630" t="s">
        <v>365</v>
      </c>
      <c r="H565" s="630" t="s">
        <v>382</v>
      </c>
      <c r="I565" s="630"/>
      <c r="J565" s="630"/>
      <c r="K565" s="630"/>
      <c r="L565" s="630"/>
      <c r="M565" s="630"/>
      <c r="N565" s="630"/>
      <c r="O565" s="630"/>
      <c r="P565" s="630"/>
      <c r="Q565" s="630"/>
      <c r="R565" s="630"/>
      <c r="S565" s="630" t="s">
        <v>646</v>
      </c>
      <c r="T565" s="630"/>
      <c r="U565" s="630" t="s">
        <v>559</v>
      </c>
      <c r="V565" s="630">
        <v>1</v>
      </c>
      <c r="W565" s="630" t="s">
        <v>560</v>
      </c>
      <c r="X565" s="630" t="s">
        <v>541</v>
      </c>
      <c r="Y565" s="630" t="s">
        <v>541</v>
      </c>
      <c r="Z565" s="630">
        <v>0.17304900000000001</v>
      </c>
      <c r="AA565" s="630">
        <v>0.27849499999999999</v>
      </c>
      <c r="AB565" s="631">
        <v>0</v>
      </c>
      <c r="AC565" s="631">
        <v>0</v>
      </c>
      <c r="AD565" s="631">
        <f t="shared" si="8"/>
        <v>0</v>
      </c>
    </row>
    <row r="566" spans="2:30" x14ac:dyDescent="0.15">
      <c r="B566" s="630">
        <v>17031006340</v>
      </c>
      <c r="C566" s="630">
        <v>17031004613</v>
      </c>
      <c r="D566" s="630">
        <v>17999019042</v>
      </c>
      <c r="E566" s="630" t="s">
        <v>533</v>
      </c>
      <c r="F566" s="630" t="s">
        <v>534</v>
      </c>
      <c r="G566" s="630" t="s">
        <v>365</v>
      </c>
      <c r="H566" s="630" t="s">
        <v>552</v>
      </c>
      <c r="I566" s="630"/>
      <c r="J566" s="630" t="s">
        <v>542</v>
      </c>
      <c r="K566" s="630" t="s">
        <v>547</v>
      </c>
      <c r="L566" s="630" t="s">
        <v>563</v>
      </c>
      <c r="M566" s="630"/>
      <c r="N566" s="630"/>
      <c r="O566" s="630"/>
      <c r="P566" s="630"/>
      <c r="Q566" s="630"/>
      <c r="R566" s="630"/>
      <c r="S566" s="630" t="s">
        <v>564</v>
      </c>
      <c r="T566" s="630"/>
      <c r="U566" s="630" t="s">
        <v>538</v>
      </c>
      <c r="V566" s="630">
        <v>2</v>
      </c>
      <c r="W566" s="630" t="s">
        <v>545</v>
      </c>
      <c r="X566" s="630" t="s">
        <v>549</v>
      </c>
      <c r="Y566" s="630" t="s">
        <v>549</v>
      </c>
      <c r="Z566" s="630">
        <v>7.2335999999999998E-2</v>
      </c>
      <c r="AA566" s="630">
        <v>0.116414</v>
      </c>
      <c r="AB566" s="631">
        <v>529599</v>
      </c>
      <c r="AC566" s="631">
        <v>32992685</v>
      </c>
      <c r="AD566" s="631">
        <f t="shared" si="8"/>
        <v>2386558.86216</v>
      </c>
    </row>
    <row r="567" spans="2:30" x14ac:dyDescent="0.15">
      <c r="B567" s="630">
        <v>17197003220</v>
      </c>
      <c r="C567" s="630">
        <v>17197001580</v>
      </c>
      <c r="D567" s="630">
        <v>17999023612</v>
      </c>
      <c r="E567" s="630" t="s">
        <v>533</v>
      </c>
      <c r="F567" s="630" t="s">
        <v>534</v>
      </c>
      <c r="G567" s="630" t="s">
        <v>377</v>
      </c>
      <c r="H567" s="630" t="s">
        <v>547</v>
      </c>
      <c r="I567" s="630"/>
      <c r="J567" s="630" t="s">
        <v>543</v>
      </c>
      <c r="K567" s="630"/>
      <c r="L567" s="630"/>
      <c r="M567" s="630"/>
      <c r="N567" s="630"/>
      <c r="O567" s="630"/>
      <c r="P567" s="630"/>
      <c r="Q567" s="630"/>
      <c r="R567" s="630"/>
      <c r="S567" s="630" t="s">
        <v>602</v>
      </c>
      <c r="T567" s="630"/>
      <c r="U567" s="630" t="s">
        <v>538</v>
      </c>
      <c r="V567" s="630">
        <v>1</v>
      </c>
      <c r="W567" s="630" t="s">
        <v>582</v>
      </c>
      <c r="X567" s="630" t="s">
        <v>541</v>
      </c>
      <c r="Y567" s="630" t="s">
        <v>540</v>
      </c>
      <c r="Z567" s="630">
        <v>5.8452019999999996</v>
      </c>
      <c r="AA567" s="630">
        <v>9.4069590000000005</v>
      </c>
      <c r="AB567" s="631">
        <v>320</v>
      </c>
      <c r="AC567" s="631">
        <v>23200</v>
      </c>
      <c r="AD567" s="631">
        <f t="shared" si="8"/>
        <v>135608.68639999998</v>
      </c>
    </row>
    <row r="568" spans="2:30" x14ac:dyDescent="0.15">
      <c r="B568" s="630">
        <v>17031004858</v>
      </c>
      <c r="C568" s="630">
        <v>17031001396</v>
      </c>
      <c r="D568" s="630">
        <v>17031001386</v>
      </c>
      <c r="E568" s="630" t="s">
        <v>533</v>
      </c>
      <c r="F568" s="630" t="s">
        <v>534</v>
      </c>
      <c r="G568" s="630" t="s">
        <v>365</v>
      </c>
      <c r="H568" s="630" t="s">
        <v>551</v>
      </c>
      <c r="I568" s="630"/>
      <c r="J568" s="630"/>
      <c r="K568" s="630"/>
      <c r="L568" s="630"/>
      <c r="M568" s="630"/>
      <c r="N568" s="630"/>
      <c r="O568" s="630"/>
      <c r="P568" s="630"/>
      <c r="Q568" s="630"/>
      <c r="R568" s="630"/>
      <c r="S568" s="630" t="s">
        <v>603</v>
      </c>
      <c r="T568" s="630"/>
      <c r="U568" s="630" t="s">
        <v>538</v>
      </c>
      <c r="V568" s="630">
        <v>1</v>
      </c>
      <c r="W568" s="630" t="s">
        <v>545</v>
      </c>
      <c r="X568" s="630" t="s">
        <v>575</v>
      </c>
      <c r="Y568" s="630" t="s">
        <v>554</v>
      </c>
      <c r="Z568" s="630">
        <v>8.2820000000000005E-2</v>
      </c>
      <c r="AA568" s="630">
        <v>0.13328599999999999</v>
      </c>
      <c r="AB568" s="631">
        <v>0</v>
      </c>
      <c r="AC568" s="631">
        <v>0</v>
      </c>
      <c r="AD568" s="631">
        <f t="shared" si="8"/>
        <v>0</v>
      </c>
    </row>
    <row r="569" spans="2:30" x14ac:dyDescent="0.15">
      <c r="B569" s="630">
        <v>17031009547</v>
      </c>
      <c r="C569" s="630">
        <v>17031007643</v>
      </c>
      <c r="D569" s="630">
        <v>17031007641</v>
      </c>
      <c r="E569" s="630" t="s">
        <v>533</v>
      </c>
      <c r="F569" s="630" t="s">
        <v>534</v>
      </c>
      <c r="G569" s="630" t="s">
        <v>365</v>
      </c>
      <c r="H569" s="630" t="s">
        <v>535</v>
      </c>
      <c r="I569" s="630"/>
      <c r="J569" s="630" t="s">
        <v>382</v>
      </c>
      <c r="K569" s="630" t="s">
        <v>536</v>
      </c>
      <c r="L569" s="630"/>
      <c r="M569" s="630"/>
      <c r="N569" s="630"/>
      <c r="O569" s="630"/>
      <c r="P569" s="630"/>
      <c r="Q569" s="630"/>
      <c r="R569" s="630"/>
      <c r="S569" s="630" t="s">
        <v>537</v>
      </c>
      <c r="T569" s="630"/>
      <c r="U569" s="630" t="s">
        <v>538</v>
      </c>
      <c r="V569" s="630">
        <v>2</v>
      </c>
      <c r="W569" s="630" t="s">
        <v>582</v>
      </c>
      <c r="X569" s="630" t="s">
        <v>540</v>
      </c>
      <c r="Y569" s="630" t="s">
        <v>549</v>
      </c>
      <c r="Z569" s="630">
        <v>0.18862499999999999</v>
      </c>
      <c r="AA569" s="630">
        <v>0.30356300000000003</v>
      </c>
      <c r="AB569" s="631">
        <v>10720</v>
      </c>
      <c r="AC569" s="631">
        <v>853160</v>
      </c>
      <c r="AD569" s="631">
        <f t="shared" si="8"/>
        <v>160927.30499999999</v>
      </c>
    </row>
    <row r="570" spans="2:30" x14ac:dyDescent="0.15">
      <c r="B570" s="630">
        <v>17097002615</v>
      </c>
      <c r="C570" s="630">
        <v>17097000097</v>
      </c>
      <c r="D570" s="630">
        <v>17097004542</v>
      </c>
      <c r="E570" s="630" t="s">
        <v>533</v>
      </c>
      <c r="F570" s="630" t="s">
        <v>534</v>
      </c>
      <c r="G570" s="630" t="s">
        <v>373</v>
      </c>
      <c r="H570" s="630" t="s">
        <v>382</v>
      </c>
      <c r="I570" s="630"/>
      <c r="J570" s="630"/>
      <c r="K570" s="630"/>
      <c r="L570" s="630"/>
      <c r="M570" s="630"/>
      <c r="N570" s="630"/>
      <c r="O570" s="630"/>
      <c r="P570" s="630"/>
      <c r="Q570" s="630"/>
      <c r="R570" s="630"/>
      <c r="S570" s="630" t="s">
        <v>586</v>
      </c>
      <c r="T570" s="630"/>
      <c r="U570" s="630" t="s">
        <v>538</v>
      </c>
      <c r="V570" s="630">
        <v>1</v>
      </c>
      <c r="W570" s="630" t="s">
        <v>582</v>
      </c>
      <c r="X570" s="630" t="s">
        <v>549</v>
      </c>
      <c r="Y570" s="630" t="s">
        <v>549</v>
      </c>
      <c r="Z570" s="630">
        <v>1.6675120000000001</v>
      </c>
      <c r="AA570" s="630">
        <v>2.6836060000000002</v>
      </c>
      <c r="AB570" s="631">
        <v>87849</v>
      </c>
      <c r="AC570" s="631">
        <v>9730215</v>
      </c>
      <c r="AD570" s="631">
        <f t="shared" si="8"/>
        <v>16225250.275080001</v>
      </c>
    </row>
    <row r="571" spans="2:30" x14ac:dyDescent="0.15">
      <c r="B571" s="630">
        <v>17031003505</v>
      </c>
      <c r="C571" s="630">
        <v>17031004654</v>
      </c>
      <c r="D571" s="630">
        <v>17031000675</v>
      </c>
      <c r="E571" s="630" t="s">
        <v>533</v>
      </c>
      <c r="F571" s="630" t="s">
        <v>534</v>
      </c>
      <c r="G571" s="630" t="s">
        <v>365</v>
      </c>
      <c r="H571" s="630" t="s">
        <v>535</v>
      </c>
      <c r="I571" s="630"/>
      <c r="J571" s="630"/>
      <c r="K571" s="630"/>
      <c r="L571" s="630"/>
      <c r="M571" s="630"/>
      <c r="N571" s="630"/>
      <c r="O571" s="630"/>
      <c r="P571" s="630"/>
      <c r="Q571" s="630"/>
      <c r="R571" s="630"/>
      <c r="S571" s="630" t="s">
        <v>624</v>
      </c>
      <c r="T571" s="630"/>
      <c r="U571" s="630" t="s">
        <v>538</v>
      </c>
      <c r="V571" s="630">
        <v>1</v>
      </c>
      <c r="W571" s="630" t="s">
        <v>582</v>
      </c>
      <c r="X571" s="630" t="s">
        <v>554</v>
      </c>
      <c r="Y571" s="630" t="s">
        <v>540</v>
      </c>
      <c r="Z571" s="630">
        <v>1.958852</v>
      </c>
      <c r="AA571" s="630">
        <v>3.1524730000000001</v>
      </c>
      <c r="AB571" s="631">
        <v>840</v>
      </c>
      <c r="AC571" s="631">
        <v>70920</v>
      </c>
      <c r="AD571" s="631">
        <f t="shared" si="8"/>
        <v>138921.78383999999</v>
      </c>
    </row>
    <row r="572" spans="2:30" x14ac:dyDescent="0.15">
      <c r="B572" s="630">
        <v>17031003667</v>
      </c>
      <c r="C572" s="630">
        <v>17031001243</v>
      </c>
      <c r="D572" s="630">
        <v>17031001158</v>
      </c>
      <c r="E572" s="630" t="s">
        <v>533</v>
      </c>
      <c r="F572" s="630" t="s">
        <v>534</v>
      </c>
      <c r="G572" s="630" t="s">
        <v>365</v>
      </c>
      <c r="H572" s="630" t="s">
        <v>547</v>
      </c>
      <c r="I572" s="630"/>
      <c r="J572" s="630" t="s">
        <v>577</v>
      </c>
      <c r="K572" s="630"/>
      <c r="L572" s="630"/>
      <c r="M572" s="630"/>
      <c r="N572" s="630"/>
      <c r="O572" s="630"/>
      <c r="P572" s="630"/>
      <c r="Q572" s="630"/>
      <c r="R572" s="630"/>
      <c r="S572" s="630" t="s">
        <v>581</v>
      </c>
      <c r="T572" s="630"/>
      <c r="U572" s="630" t="s">
        <v>538</v>
      </c>
      <c r="V572" s="630">
        <v>2</v>
      </c>
      <c r="W572" s="630" t="s">
        <v>582</v>
      </c>
      <c r="X572" s="630" t="s">
        <v>541</v>
      </c>
      <c r="Y572" s="630" t="s">
        <v>540</v>
      </c>
      <c r="Z572" s="630">
        <v>2.3173319999999999</v>
      </c>
      <c r="AA572" s="630">
        <v>3.7293910000000001</v>
      </c>
      <c r="AB572" s="631">
        <v>0</v>
      </c>
      <c r="AC572" s="631">
        <v>0</v>
      </c>
      <c r="AD572" s="631">
        <f t="shared" si="8"/>
        <v>0</v>
      </c>
    </row>
    <row r="573" spans="2:30" x14ac:dyDescent="0.15">
      <c r="B573" s="630">
        <v>17031004216</v>
      </c>
      <c r="C573" s="630">
        <v>17031000319</v>
      </c>
      <c r="D573" s="630">
        <v>17031000316</v>
      </c>
      <c r="E573" s="630" t="s">
        <v>533</v>
      </c>
      <c r="F573" s="630" t="s">
        <v>534</v>
      </c>
      <c r="G573" s="630" t="s">
        <v>365</v>
      </c>
      <c r="H573" s="630" t="s">
        <v>590</v>
      </c>
      <c r="I573" s="630"/>
      <c r="J573" s="630"/>
      <c r="K573" s="630"/>
      <c r="L573" s="630"/>
      <c r="M573" s="630"/>
      <c r="N573" s="630"/>
      <c r="O573" s="630"/>
      <c r="P573" s="630"/>
      <c r="Q573" s="630"/>
      <c r="R573" s="630"/>
      <c r="S573" s="630"/>
      <c r="T573" s="630"/>
      <c r="U573" s="630" t="s">
        <v>559</v>
      </c>
      <c r="V573" s="630">
        <v>1</v>
      </c>
      <c r="W573" s="630" t="s">
        <v>560</v>
      </c>
      <c r="X573" s="630" t="s">
        <v>541</v>
      </c>
      <c r="Y573" s="630" t="s">
        <v>541</v>
      </c>
      <c r="Z573" s="630">
        <v>0.74157399999999996</v>
      </c>
      <c r="AA573" s="630">
        <v>1.1934499999999999</v>
      </c>
      <c r="AB573" s="631">
        <v>0</v>
      </c>
      <c r="AC573" s="631">
        <v>0</v>
      </c>
      <c r="AD573" s="631">
        <f t="shared" si="8"/>
        <v>0</v>
      </c>
    </row>
    <row r="574" spans="2:30" x14ac:dyDescent="0.15">
      <c r="B574" s="630">
        <v>17031003664</v>
      </c>
      <c r="C574" s="630">
        <v>17031007053</v>
      </c>
      <c r="D574" s="630">
        <v>17031001270</v>
      </c>
      <c r="E574" s="630" t="s">
        <v>533</v>
      </c>
      <c r="F574" s="630" t="s">
        <v>534</v>
      </c>
      <c r="G574" s="630" t="s">
        <v>365</v>
      </c>
      <c r="H574" s="630" t="s">
        <v>547</v>
      </c>
      <c r="I574" s="630"/>
      <c r="J574" s="630"/>
      <c r="K574" s="630"/>
      <c r="L574" s="630"/>
      <c r="M574" s="630"/>
      <c r="N574" s="630"/>
      <c r="O574" s="630"/>
      <c r="P574" s="630"/>
      <c r="Q574" s="630"/>
      <c r="R574" s="630"/>
      <c r="S574" s="630" t="s">
        <v>611</v>
      </c>
      <c r="T574" s="630"/>
      <c r="U574" s="630" t="s">
        <v>538</v>
      </c>
      <c r="V574" s="630">
        <v>2</v>
      </c>
      <c r="W574" s="630" t="s">
        <v>582</v>
      </c>
      <c r="X574" s="630" t="s">
        <v>541</v>
      </c>
      <c r="Y574" s="630" t="s">
        <v>540</v>
      </c>
      <c r="Z574" s="630">
        <v>0.50539800000000001</v>
      </c>
      <c r="AA574" s="630">
        <v>0.81336200000000003</v>
      </c>
      <c r="AB574" s="631">
        <v>0</v>
      </c>
      <c r="AC574" s="631">
        <v>0</v>
      </c>
      <c r="AD574" s="631">
        <f t="shared" si="8"/>
        <v>0</v>
      </c>
    </row>
    <row r="575" spans="2:30" x14ac:dyDescent="0.15">
      <c r="B575" s="630">
        <v>17031008785</v>
      </c>
      <c r="C575" s="630">
        <v>17031006832</v>
      </c>
      <c r="D575" s="630">
        <v>17031000787</v>
      </c>
      <c r="E575" s="630" t="s">
        <v>533</v>
      </c>
      <c r="F575" s="630" t="s">
        <v>534</v>
      </c>
      <c r="G575" s="630" t="s">
        <v>365</v>
      </c>
      <c r="H575" s="630" t="s">
        <v>382</v>
      </c>
      <c r="I575" s="630"/>
      <c r="J575" s="630"/>
      <c r="K575" s="630"/>
      <c r="L575" s="630"/>
      <c r="M575" s="630"/>
      <c r="N575" s="630"/>
      <c r="O575" s="630"/>
      <c r="P575" s="630"/>
      <c r="Q575" s="630"/>
      <c r="R575" s="630"/>
      <c r="S575" s="630"/>
      <c r="T575" s="630"/>
      <c r="U575" s="630" t="s">
        <v>559</v>
      </c>
      <c r="V575" s="630">
        <v>1</v>
      </c>
      <c r="W575" s="630" t="s">
        <v>560</v>
      </c>
      <c r="X575" s="630" t="s">
        <v>541</v>
      </c>
      <c r="Y575" s="630" t="s">
        <v>541</v>
      </c>
      <c r="Z575" s="630">
        <v>4.1928E-2</v>
      </c>
      <c r="AA575" s="630">
        <v>6.7475999999999994E-2</v>
      </c>
      <c r="AB575" s="631">
        <v>200</v>
      </c>
      <c r="AC575" s="631">
        <v>13360</v>
      </c>
      <c r="AD575" s="631">
        <f t="shared" si="8"/>
        <v>560.15808000000004</v>
      </c>
    </row>
    <row r="576" spans="2:30" x14ac:dyDescent="0.15">
      <c r="B576" s="630">
        <v>17089002028</v>
      </c>
      <c r="C576" s="630">
        <v>17089000305</v>
      </c>
      <c r="D576" s="630">
        <v>17089000262</v>
      </c>
      <c r="E576" s="630" t="s">
        <v>533</v>
      </c>
      <c r="F576" s="630" t="s">
        <v>534</v>
      </c>
      <c r="G576" s="630" t="s">
        <v>369</v>
      </c>
      <c r="H576" s="630" t="s">
        <v>382</v>
      </c>
      <c r="I576" s="630"/>
      <c r="J576" s="630"/>
      <c r="K576" s="630"/>
      <c r="L576" s="630"/>
      <c r="M576" s="630"/>
      <c r="N576" s="630"/>
      <c r="O576" s="630"/>
      <c r="P576" s="630"/>
      <c r="Q576" s="630"/>
      <c r="R576" s="630"/>
      <c r="S576" s="630" t="s">
        <v>561</v>
      </c>
      <c r="T576" s="630"/>
      <c r="U576" s="630" t="s">
        <v>538</v>
      </c>
      <c r="V576" s="630">
        <v>1</v>
      </c>
      <c r="W576" s="630" t="s">
        <v>562</v>
      </c>
      <c r="X576" s="630" t="s">
        <v>541</v>
      </c>
      <c r="Y576" s="630" t="s">
        <v>540</v>
      </c>
      <c r="Z576" s="630">
        <v>8.6920459999999995</v>
      </c>
      <c r="AA576" s="630">
        <v>13.988519999999999</v>
      </c>
      <c r="AB576" s="631">
        <v>16124</v>
      </c>
      <c r="AC576" s="631">
        <v>373440</v>
      </c>
      <c r="AD576" s="631">
        <f t="shared" si="8"/>
        <v>3245957.6582399998</v>
      </c>
    </row>
    <row r="577" spans="2:30" x14ac:dyDescent="0.15">
      <c r="B577" s="630">
        <v>17031004074</v>
      </c>
      <c r="C577" s="630">
        <v>17031001129</v>
      </c>
      <c r="D577" s="630">
        <v>17031001114</v>
      </c>
      <c r="E577" s="630" t="s">
        <v>533</v>
      </c>
      <c r="F577" s="630" t="s">
        <v>534</v>
      </c>
      <c r="G577" s="630" t="s">
        <v>365</v>
      </c>
      <c r="H577" s="630" t="s">
        <v>543</v>
      </c>
      <c r="I577" s="630"/>
      <c r="J577" s="630" t="s">
        <v>542</v>
      </c>
      <c r="K577" s="630"/>
      <c r="L577" s="630"/>
      <c r="M577" s="630"/>
      <c r="N577" s="630"/>
      <c r="O577" s="630"/>
      <c r="P577" s="630"/>
      <c r="Q577" s="630"/>
      <c r="R577" s="630"/>
      <c r="S577" s="630" t="s">
        <v>630</v>
      </c>
      <c r="T577" s="630"/>
      <c r="U577" s="630" t="s">
        <v>538</v>
      </c>
      <c r="V577" s="630">
        <v>4</v>
      </c>
      <c r="W577" s="630" t="s">
        <v>545</v>
      </c>
      <c r="X577" s="630" t="s">
        <v>575</v>
      </c>
      <c r="Y577" s="630" t="s">
        <v>540</v>
      </c>
      <c r="Z577" s="630">
        <v>0.140095</v>
      </c>
      <c r="AA577" s="630">
        <v>0.22546099999999999</v>
      </c>
      <c r="AB577" s="631">
        <v>2617438</v>
      </c>
      <c r="AC577" s="631">
        <v>69406708</v>
      </c>
      <c r="AD577" s="631">
        <f t="shared" si="8"/>
        <v>9723532.7572600003</v>
      </c>
    </row>
    <row r="578" spans="2:30" x14ac:dyDescent="0.15">
      <c r="B578" s="630">
        <v>17031005481</v>
      </c>
      <c r="C578" s="630">
        <v>17031007122</v>
      </c>
      <c r="D578" s="630">
        <v>17031007120</v>
      </c>
      <c r="E578" s="630" t="s">
        <v>533</v>
      </c>
      <c r="F578" s="630" t="s">
        <v>534</v>
      </c>
      <c r="G578" s="630" t="s">
        <v>365</v>
      </c>
      <c r="H578" s="630" t="s">
        <v>571</v>
      </c>
      <c r="I578" s="630"/>
      <c r="J578" s="630" t="s">
        <v>381</v>
      </c>
      <c r="K578" s="630" t="s">
        <v>535</v>
      </c>
      <c r="L578" s="630" t="s">
        <v>552</v>
      </c>
      <c r="M578" s="630" t="s">
        <v>551</v>
      </c>
      <c r="N578" s="630" t="s">
        <v>382</v>
      </c>
      <c r="O578" s="630"/>
      <c r="P578" s="630"/>
      <c r="Q578" s="630"/>
      <c r="R578" s="630"/>
      <c r="S578" s="630"/>
      <c r="T578" s="630" t="s">
        <v>574</v>
      </c>
      <c r="U578" s="630" t="s">
        <v>559</v>
      </c>
      <c r="V578" s="630">
        <v>1</v>
      </c>
      <c r="W578" s="630" t="s">
        <v>560</v>
      </c>
      <c r="X578" s="630" t="s">
        <v>541</v>
      </c>
      <c r="Y578" s="630" t="s">
        <v>541</v>
      </c>
      <c r="Z578" s="630">
        <v>0.72002299999999997</v>
      </c>
      <c r="AA578" s="630">
        <v>1.1587670000000001</v>
      </c>
      <c r="AB578" s="631">
        <v>0</v>
      </c>
      <c r="AC578" s="631">
        <v>0</v>
      </c>
      <c r="AD578" s="631">
        <f t="shared" si="8"/>
        <v>0</v>
      </c>
    </row>
    <row r="579" spans="2:30" x14ac:dyDescent="0.15">
      <c r="B579" s="630">
        <v>17031006144</v>
      </c>
      <c r="C579" s="630">
        <v>17031000692</v>
      </c>
      <c r="D579" s="630">
        <v>17031000774</v>
      </c>
      <c r="E579" s="630" t="s">
        <v>533</v>
      </c>
      <c r="F579" s="630" t="s">
        <v>534</v>
      </c>
      <c r="G579" s="630" t="s">
        <v>365</v>
      </c>
      <c r="H579" s="630" t="s">
        <v>543</v>
      </c>
      <c r="I579" s="630"/>
      <c r="J579" s="630"/>
      <c r="K579" s="630"/>
      <c r="L579" s="630"/>
      <c r="M579" s="630"/>
      <c r="N579" s="630"/>
      <c r="O579" s="630"/>
      <c r="P579" s="630"/>
      <c r="Q579" s="630"/>
      <c r="R579" s="630"/>
      <c r="S579" s="630" t="s">
        <v>639</v>
      </c>
      <c r="T579" s="630"/>
      <c r="U579" s="630" t="s">
        <v>538</v>
      </c>
      <c r="V579" s="630">
        <v>2</v>
      </c>
      <c r="W579" s="630" t="s">
        <v>560</v>
      </c>
      <c r="X579" s="630" t="s">
        <v>541</v>
      </c>
      <c r="Y579" s="630" t="s">
        <v>541</v>
      </c>
      <c r="Z579" s="630">
        <v>1.8291550000000001</v>
      </c>
      <c r="AA579" s="630">
        <v>2.943746</v>
      </c>
      <c r="AB579" s="631">
        <v>2336211</v>
      </c>
      <c r="AC579" s="631">
        <v>58811519</v>
      </c>
      <c r="AD579" s="631">
        <f t="shared" si="8"/>
        <v>107575384.03644501</v>
      </c>
    </row>
    <row r="580" spans="2:30" x14ac:dyDescent="0.15">
      <c r="B580" s="630">
        <v>17031006184</v>
      </c>
      <c r="C580" s="630">
        <v>17031000755</v>
      </c>
      <c r="D580" s="630">
        <v>17031007086</v>
      </c>
      <c r="E580" s="630" t="s">
        <v>533</v>
      </c>
      <c r="F580" s="630" t="s">
        <v>534</v>
      </c>
      <c r="G580" s="630" t="s">
        <v>365</v>
      </c>
      <c r="H580" s="630" t="s">
        <v>535</v>
      </c>
      <c r="I580" s="630"/>
      <c r="J580" s="630" t="s">
        <v>571</v>
      </c>
      <c r="K580" s="630"/>
      <c r="L580" s="630"/>
      <c r="M580" s="630"/>
      <c r="N580" s="630"/>
      <c r="O580" s="630"/>
      <c r="P580" s="630"/>
      <c r="Q580" s="630"/>
      <c r="R580" s="630"/>
      <c r="S580" s="630"/>
      <c r="T580" s="630"/>
      <c r="U580" s="630" t="s">
        <v>559</v>
      </c>
      <c r="V580" s="630">
        <v>1</v>
      </c>
      <c r="W580" s="630" t="s">
        <v>560</v>
      </c>
      <c r="X580" s="630" t="s">
        <v>541</v>
      </c>
      <c r="Y580" s="630" t="s">
        <v>541</v>
      </c>
      <c r="Z580" s="630">
        <v>8.1667000000000003E-2</v>
      </c>
      <c r="AA580" s="630">
        <v>0.13143099999999999</v>
      </c>
      <c r="AB580" s="631">
        <v>0</v>
      </c>
      <c r="AC580" s="631">
        <v>0</v>
      </c>
      <c r="AD580" s="631">
        <f t="shared" si="8"/>
        <v>0</v>
      </c>
    </row>
    <row r="581" spans="2:30" x14ac:dyDescent="0.15">
      <c r="B581" s="630">
        <v>17197006205</v>
      </c>
      <c r="C581" s="630">
        <v>17197001623</v>
      </c>
      <c r="D581" s="630">
        <v>17197001624</v>
      </c>
      <c r="E581" s="630" t="s">
        <v>533</v>
      </c>
      <c r="F581" s="630" t="s">
        <v>534</v>
      </c>
      <c r="G581" s="630" t="s">
        <v>377</v>
      </c>
      <c r="H581" s="630" t="s">
        <v>543</v>
      </c>
      <c r="I581" s="630"/>
      <c r="J581" s="630"/>
      <c r="K581" s="630"/>
      <c r="L581" s="630"/>
      <c r="M581" s="630"/>
      <c r="N581" s="630"/>
      <c r="O581" s="630"/>
      <c r="P581" s="630"/>
      <c r="Q581" s="630"/>
      <c r="R581" s="630"/>
      <c r="S581" s="630"/>
      <c r="T581" s="630"/>
      <c r="U581" s="630" t="s">
        <v>559</v>
      </c>
      <c r="V581" s="630">
        <v>1</v>
      </c>
      <c r="W581" s="630" t="s">
        <v>560</v>
      </c>
      <c r="X581" s="630" t="s">
        <v>541</v>
      </c>
      <c r="Y581" s="630" t="s">
        <v>541</v>
      </c>
      <c r="Z581" s="630">
        <v>0.41064299999999998</v>
      </c>
      <c r="AA581" s="630">
        <v>0.66086800000000001</v>
      </c>
      <c r="AB581" s="631">
        <v>0</v>
      </c>
      <c r="AC581" s="631">
        <v>0</v>
      </c>
      <c r="AD581" s="631">
        <f t="shared" si="8"/>
        <v>0</v>
      </c>
    </row>
    <row r="582" spans="2:30" x14ac:dyDescent="0.15">
      <c r="B582" s="630">
        <v>17043009173</v>
      </c>
      <c r="C582" s="630">
        <v>17043007379</v>
      </c>
      <c r="D582" s="630">
        <v>17043007376</v>
      </c>
      <c r="E582" s="630" t="s">
        <v>533</v>
      </c>
      <c r="F582" s="630" t="s">
        <v>534</v>
      </c>
      <c r="G582" s="630" t="s">
        <v>367</v>
      </c>
      <c r="H582" s="630" t="s">
        <v>535</v>
      </c>
      <c r="I582" s="630"/>
      <c r="J582" s="630"/>
      <c r="K582" s="630"/>
      <c r="L582" s="630"/>
      <c r="M582" s="630"/>
      <c r="N582" s="630"/>
      <c r="O582" s="630"/>
      <c r="P582" s="630"/>
      <c r="Q582" s="630"/>
      <c r="R582" s="630"/>
      <c r="S582" s="630" t="s">
        <v>624</v>
      </c>
      <c r="T582" s="630"/>
      <c r="U582" s="630" t="s">
        <v>538</v>
      </c>
      <c r="V582" s="630">
        <v>1</v>
      </c>
      <c r="W582" s="630" t="s">
        <v>582</v>
      </c>
      <c r="X582" s="630" t="s">
        <v>554</v>
      </c>
      <c r="Y582" s="630" t="s">
        <v>540</v>
      </c>
      <c r="Z582" s="630">
        <v>0.33169399999999999</v>
      </c>
      <c r="AA582" s="630">
        <v>0.53381100000000004</v>
      </c>
      <c r="AB582" s="631">
        <v>440</v>
      </c>
      <c r="AC582" s="631">
        <v>36560</v>
      </c>
      <c r="AD582" s="631">
        <f t="shared" ref="AD582:AD645" si="9">AC582*Z582</f>
        <v>12126.73264</v>
      </c>
    </row>
    <row r="583" spans="2:30" x14ac:dyDescent="0.15">
      <c r="B583" s="630">
        <v>17089002001</v>
      </c>
      <c r="C583" s="630">
        <v>17089004859</v>
      </c>
      <c r="D583" s="630">
        <v>17089004858</v>
      </c>
      <c r="E583" s="630" t="s">
        <v>533</v>
      </c>
      <c r="F583" s="630" t="s">
        <v>534</v>
      </c>
      <c r="G583" s="630" t="s">
        <v>369</v>
      </c>
      <c r="H583" s="630" t="s">
        <v>381</v>
      </c>
      <c r="I583" s="630"/>
      <c r="J583" s="630"/>
      <c r="K583" s="630"/>
      <c r="L583" s="630"/>
      <c r="M583" s="630"/>
      <c r="N583" s="630"/>
      <c r="O583" s="630"/>
      <c r="P583" s="630"/>
      <c r="Q583" s="630"/>
      <c r="R583" s="630"/>
      <c r="S583" s="630" t="s">
        <v>585</v>
      </c>
      <c r="T583" s="630"/>
      <c r="U583" s="630" t="s">
        <v>559</v>
      </c>
      <c r="V583" s="630">
        <v>1</v>
      </c>
      <c r="W583" s="630" t="s">
        <v>560</v>
      </c>
      <c r="X583" s="630" t="s">
        <v>541</v>
      </c>
      <c r="Y583" s="630" t="s">
        <v>541</v>
      </c>
      <c r="Z583" s="630">
        <v>0.62467399999999995</v>
      </c>
      <c r="AA583" s="630">
        <v>1.005317</v>
      </c>
      <c r="AB583" s="631">
        <v>0</v>
      </c>
      <c r="AC583" s="631">
        <v>0</v>
      </c>
      <c r="AD583" s="631">
        <f t="shared" si="9"/>
        <v>0</v>
      </c>
    </row>
    <row r="584" spans="2:30" x14ac:dyDescent="0.15">
      <c r="B584" s="630">
        <v>17031003694</v>
      </c>
      <c r="C584" s="630">
        <v>17031004612</v>
      </c>
      <c r="D584" s="630">
        <v>17031000463</v>
      </c>
      <c r="E584" s="630" t="s">
        <v>533</v>
      </c>
      <c r="F584" s="630" t="s">
        <v>534</v>
      </c>
      <c r="G584" s="630" t="s">
        <v>365</v>
      </c>
      <c r="H584" s="630" t="s">
        <v>382</v>
      </c>
      <c r="I584" s="630"/>
      <c r="J584" s="630" t="s">
        <v>547</v>
      </c>
      <c r="K584" s="630"/>
      <c r="L584" s="630"/>
      <c r="M584" s="630"/>
      <c r="N584" s="630"/>
      <c r="O584" s="630"/>
      <c r="P584" s="630"/>
      <c r="Q584" s="630"/>
      <c r="R584" s="630"/>
      <c r="S584" s="630" t="s">
        <v>565</v>
      </c>
      <c r="T584" s="630"/>
      <c r="U584" s="630" t="s">
        <v>538</v>
      </c>
      <c r="V584" s="630">
        <v>2</v>
      </c>
      <c r="W584" s="630" t="s">
        <v>566</v>
      </c>
      <c r="X584" s="630" t="s">
        <v>541</v>
      </c>
      <c r="Y584" s="630" t="s">
        <v>540</v>
      </c>
      <c r="Z584" s="630">
        <v>0.37778899999999999</v>
      </c>
      <c r="AA584" s="630">
        <v>0.60799400000000003</v>
      </c>
      <c r="AB584" s="631">
        <v>0</v>
      </c>
      <c r="AC584" s="631">
        <v>0</v>
      </c>
      <c r="AD584" s="631">
        <f t="shared" si="9"/>
        <v>0</v>
      </c>
    </row>
    <row r="585" spans="2:30" x14ac:dyDescent="0.15">
      <c r="B585" s="630">
        <v>17031004218</v>
      </c>
      <c r="C585" s="630">
        <v>17031000308</v>
      </c>
      <c r="D585" s="630">
        <v>17031000313</v>
      </c>
      <c r="E585" s="630" t="s">
        <v>533</v>
      </c>
      <c r="F585" s="630" t="s">
        <v>534</v>
      </c>
      <c r="G585" s="630" t="s">
        <v>365</v>
      </c>
      <c r="H585" s="630" t="s">
        <v>590</v>
      </c>
      <c r="I585" s="630"/>
      <c r="J585" s="630"/>
      <c r="K585" s="630"/>
      <c r="L585" s="630"/>
      <c r="M585" s="630"/>
      <c r="N585" s="630"/>
      <c r="O585" s="630"/>
      <c r="P585" s="630"/>
      <c r="Q585" s="630"/>
      <c r="R585" s="630"/>
      <c r="S585" s="630"/>
      <c r="T585" s="630"/>
      <c r="U585" s="630" t="s">
        <v>559</v>
      </c>
      <c r="V585" s="630">
        <v>1</v>
      </c>
      <c r="W585" s="630" t="s">
        <v>560</v>
      </c>
      <c r="X585" s="630" t="s">
        <v>541</v>
      </c>
      <c r="Y585" s="630" t="s">
        <v>541</v>
      </c>
      <c r="Z585" s="630">
        <v>9.6308000000000005E-2</v>
      </c>
      <c r="AA585" s="630">
        <v>0.15499299999999999</v>
      </c>
      <c r="AB585" s="631">
        <v>0</v>
      </c>
      <c r="AC585" s="631">
        <v>0</v>
      </c>
      <c r="AD585" s="631">
        <f t="shared" si="9"/>
        <v>0</v>
      </c>
    </row>
    <row r="586" spans="2:30" x14ac:dyDescent="0.15">
      <c r="B586" s="630">
        <v>17031005686</v>
      </c>
      <c r="C586" s="630">
        <v>17031001526</v>
      </c>
      <c r="D586" s="630">
        <v>17031001547</v>
      </c>
      <c r="E586" s="630" t="s">
        <v>533</v>
      </c>
      <c r="F586" s="630" t="s">
        <v>534</v>
      </c>
      <c r="G586" s="630" t="s">
        <v>365</v>
      </c>
      <c r="H586" s="630" t="s">
        <v>382</v>
      </c>
      <c r="I586" s="630"/>
      <c r="J586" s="630"/>
      <c r="K586" s="630"/>
      <c r="L586" s="630"/>
      <c r="M586" s="630"/>
      <c r="N586" s="630"/>
      <c r="O586" s="630"/>
      <c r="P586" s="630"/>
      <c r="Q586" s="630"/>
      <c r="R586" s="630"/>
      <c r="S586" s="630" t="s">
        <v>576</v>
      </c>
      <c r="T586" s="630"/>
      <c r="U586" s="630" t="s">
        <v>559</v>
      </c>
      <c r="V586" s="630">
        <v>1</v>
      </c>
      <c r="W586" s="630" t="s">
        <v>560</v>
      </c>
      <c r="X586" s="630" t="s">
        <v>541</v>
      </c>
      <c r="Y586" s="630" t="s">
        <v>541</v>
      </c>
      <c r="Z586" s="630">
        <v>0.96380100000000002</v>
      </c>
      <c r="AA586" s="630">
        <v>1.551091</v>
      </c>
      <c r="AB586" s="631">
        <v>0</v>
      </c>
      <c r="AC586" s="631">
        <v>0</v>
      </c>
      <c r="AD586" s="631">
        <f t="shared" si="9"/>
        <v>0</v>
      </c>
    </row>
    <row r="587" spans="2:30" x14ac:dyDescent="0.15">
      <c r="B587" s="630">
        <v>17031002256</v>
      </c>
      <c r="C587" s="630">
        <v>17031004660</v>
      </c>
      <c r="D587" s="630">
        <v>17031004661</v>
      </c>
      <c r="E587" s="630" t="s">
        <v>533</v>
      </c>
      <c r="F587" s="630" t="s">
        <v>534</v>
      </c>
      <c r="G587" s="630" t="s">
        <v>365</v>
      </c>
      <c r="H587" s="630" t="s">
        <v>381</v>
      </c>
      <c r="I587" s="630"/>
      <c r="J587" s="630" t="s">
        <v>542</v>
      </c>
      <c r="K587" s="630" t="s">
        <v>547</v>
      </c>
      <c r="L587" s="630" t="s">
        <v>382</v>
      </c>
      <c r="M587" s="630"/>
      <c r="N587" s="630"/>
      <c r="O587" s="630"/>
      <c r="P587" s="630"/>
      <c r="Q587" s="630"/>
      <c r="R587" s="630"/>
      <c r="S587" s="630" t="s">
        <v>579</v>
      </c>
      <c r="T587" s="630"/>
      <c r="U587" s="630" t="s">
        <v>538</v>
      </c>
      <c r="V587" s="630">
        <v>3</v>
      </c>
      <c r="W587" s="630" t="s">
        <v>545</v>
      </c>
      <c r="X587" s="630" t="s">
        <v>580</v>
      </c>
      <c r="Y587" s="630" t="s">
        <v>549</v>
      </c>
      <c r="Z587" s="630">
        <v>0.97989599999999999</v>
      </c>
      <c r="AA587" s="630">
        <v>1.5769930000000001</v>
      </c>
      <c r="AB587" s="631">
        <v>945771</v>
      </c>
      <c r="AC587" s="631">
        <v>40638017</v>
      </c>
      <c r="AD587" s="631">
        <f t="shared" si="9"/>
        <v>39821030.306231998</v>
      </c>
    </row>
    <row r="588" spans="2:30" x14ac:dyDescent="0.15">
      <c r="B588" s="630">
        <v>17031002375</v>
      </c>
      <c r="C588" s="630">
        <v>17031001077</v>
      </c>
      <c r="D588" s="630">
        <v>17031001078</v>
      </c>
      <c r="E588" s="630" t="s">
        <v>533</v>
      </c>
      <c r="F588" s="630" t="s">
        <v>534</v>
      </c>
      <c r="G588" s="630" t="s">
        <v>365</v>
      </c>
      <c r="H588" s="630" t="s">
        <v>577</v>
      </c>
      <c r="I588" s="630"/>
      <c r="J588" s="630"/>
      <c r="K588" s="630"/>
      <c r="L588" s="630"/>
      <c r="M588" s="630"/>
      <c r="N588" s="630"/>
      <c r="O588" s="630"/>
      <c r="P588" s="630"/>
      <c r="Q588" s="630"/>
      <c r="R588" s="630"/>
      <c r="S588" s="630"/>
      <c r="T588" s="630"/>
      <c r="U588" s="630" t="s">
        <v>538</v>
      </c>
      <c r="V588" s="630">
        <v>1</v>
      </c>
      <c r="W588" s="630" t="s">
        <v>560</v>
      </c>
      <c r="X588" s="630" t="s">
        <v>541</v>
      </c>
      <c r="Y588" s="630" t="s">
        <v>541</v>
      </c>
      <c r="Z588" s="630">
        <v>0.29178100000000001</v>
      </c>
      <c r="AA588" s="630">
        <v>0.46957700000000002</v>
      </c>
      <c r="AB588" s="631">
        <v>0</v>
      </c>
      <c r="AC588" s="631">
        <v>0</v>
      </c>
      <c r="AD588" s="631">
        <f t="shared" si="9"/>
        <v>0</v>
      </c>
    </row>
    <row r="589" spans="2:30" x14ac:dyDescent="0.15">
      <c r="B589" s="630">
        <v>17031002183</v>
      </c>
      <c r="C589" s="630">
        <v>17031001200</v>
      </c>
      <c r="D589" s="630">
        <v>17031001154</v>
      </c>
      <c r="E589" s="630" t="s">
        <v>533</v>
      </c>
      <c r="F589" s="630" t="s">
        <v>534</v>
      </c>
      <c r="G589" s="630" t="s">
        <v>365</v>
      </c>
      <c r="H589" s="630" t="s">
        <v>557</v>
      </c>
      <c r="I589" s="630"/>
      <c r="J589" s="630" t="s">
        <v>381</v>
      </c>
      <c r="K589" s="630" t="s">
        <v>535</v>
      </c>
      <c r="L589" s="630" t="s">
        <v>552</v>
      </c>
      <c r="M589" s="630" t="s">
        <v>551</v>
      </c>
      <c r="N589" s="630" t="s">
        <v>543</v>
      </c>
      <c r="O589" s="630" t="s">
        <v>382</v>
      </c>
      <c r="P589" s="630"/>
      <c r="Q589" s="630"/>
      <c r="R589" s="630"/>
      <c r="S589" s="630" t="s">
        <v>570</v>
      </c>
      <c r="T589" s="630"/>
      <c r="U589" s="630" t="s">
        <v>538</v>
      </c>
      <c r="V589" s="630">
        <v>2</v>
      </c>
      <c r="W589" s="630" t="s">
        <v>545</v>
      </c>
      <c r="X589" s="630" t="s">
        <v>575</v>
      </c>
      <c r="Y589" s="630" t="s">
        <v>540</v>
      </c>
      <c r="Z589" s="630">
        <v>1.9883</v>
      </c>
      <c r="AA589" s="630">
        <v>3.1998660000000001</v>
      </c>
      <c r="AB589" s="631">
        <v>1870850</v>
      </c>
      <c r="AC589" s="631">
        <v>61689171</v>
      </c>
      <c r="AD589" s="631">
        <f t="shared" si="9"/>
        <v>122656578.69929999</v>
      </c>
    </row>
    <row r="590" spans="2:30" x14ac:dyDescent="0.15">
      <c r="B590" s="630">
        <v>17197009033</v>
      </c>
      <c r="C590" s="630">
        <v>17197007240</v>
      </c>
      <c r="D590" s="630">
        <v>17197007217</v>
      </c>
      <c r="E590" s="630" t="s">
        <v>533</v>
      </c>
      <c r="F590" s="630" t="s">
        <v>534</v>
      </c>
      <c r="G590" s="630" t="s">
        <v>377</v>
      </c>
      <c r="H590" s="630" t="s">
        <v>381</v>
      </c>
      <c r="I590" s="630"/>
      <c r="J590" s="630"/>
      <c r="K590" s="630"/>
      <c r="L590" s="630"/>
      <c r="M590" s="630"/>
      <c r="N590" s="630"/>
      <c r="O590" s="630"/>
      <c r="P590" s="630"/>
      <c r="Q590" s="630"/>
      <c r="R590" s="630"/>
      <c r="S590" s="630" t="s">
        <v>591</v>
      </c>
      <c r="T590" s="630"/>
      <c r="U590" s="630" t="s">
        <v>559</v>
      </c>
      <c r="V590" s="630">
        <v>1</v>
      </c>
      <c r="W590" s="630" t="s">
        <v>560</v>
      </c>
      <c r="X590" s="630" t="s">
        <v>541</v>
      </c>
      <c r="Y590" s="630" t="s">
        <v>541</v>
      </c>
      <c r="Z590" s="630">
        <v>0.27129999999999999</v>
      </c>
      <c r="AA590" s="630">
        <v>0.436616</v>
      </c>
      <c r="AB590" s="631">
        <v>0</v>
      </c>
      <c r="AC590" s="631">
        <v>0</v>
      </c>
      <c r="AD590" s="631">
        <f t="shared" si="9"/>
        <v>0</v>
      </c>
    </row>
    <row r="591" spans="2:30" x14ac:dyDescent="0.15">
      <c r="B591" s="630">
        <v>17031005375</v>
      </c>
      <c r="C591" s="630">
        <v>17031001258</v>
      </c>
      <c r="D591" s="630">
        <v>17031001249</v>
      </c>
      <c r="E591" s="630" t="s">
        <v>533</v>
      </c>
      <c r="F591" s="630" t="s">
        <v>534</v>
      </c>
      <c r="G591" s="630" t="s">
        <v>365</v>
      </c>
      <c r="H591" s="630" t="s">
        <v>543</v>
      </c>
      <c r="I591" s="630"/>
      <c r="J591" s="630"/>
      <c r="K591" s="630"/>
      <c r="L591" s="630"/>
      <c r="M591" s="630"/>
      <c r="N591" s="630"/>
      <c r="O591" s="630"/>
      <c r="P591" s="630"/>
      <c r="Q591" s="630"/>
      <c r="R591" s="630"/>
      <c r="S591" s="630"/>
      <c r="T591" s="630"/>
      <c r="U591" s="630" t="s">
        <v>559</v>
      </c>
      <c r="V591" s="630">
        <v>1</v>
      </c>
      <c r="W591" s="630" t="s">
        <v>560</v>
      </c>
      <c r="X591" s="630" t="s">
        <v>541</v>
      </c>
      <c r="Y591" s="630" t="s">
        <v>541</v>
      </c>
      <c r="Z591" s="630">
        <v>0.172371</v>
      </c>
      <c r="AA591" s="630">
        <v>0.27740399999999998</v>
      </c>
      <c r="AB591" s="631">
        <v>0</v>
      </c>
      <c r="AC591" s="631">
        <v>0</v>
      </c>
      <c r="AD591" s="631">
        <f t="shared" si="9"/>
        <v>0</v>
      </c>
    </row>
    <row r="592" spans="2:30" x14ac:dyDescent="0.15">
      <c r="B592" s="630">
        <v>17031002213</v>
      </c>
      <c r="C592" s="630">
        <v>17031004600</v>
      </c>
      <c r="D592" s="630">
        <v>17031004599</v>
      </c>
      <c r="E592" s="630" t="s">
        <v>533</v>
      </c>
      <c r="F592" s="630" t="s">
        <v>534</v>
      </c>
      <c r="G592" s="630" t="s">
        <v>365</v>
      </c>
      <c r="H592" s="630" t="s">
        <v>382</v>
      </c>
      <c r="I592" s="630"/>
      <c r="J592" s="630" t="s">
        <v>535</v>
      </c>
      <c r="K592" s="630" t="s">
        <v>547</v>
      </c>
      <c r="L592" s="630"/>
      <c r="M592" s="630"/>
      <c r="N592" s="630"/>
      <c r="O592" s="630"/>
      <c r="P592" s="630"/>
      <c r="Q592" s="630"/>
      <c r="R592" s="630"/>
      <c r="S592" s="630" t="s">
        <v>608</v>
      </c>
      <c r="T592" s="630"/>
      <c r="U592" s="630" t="s">
        <v>538</v>
      </c>
      <c r="V592" s="630">
        <v>3</v>
      </c>
      <c r="W592" s="630" t="s">
        <v>566</v>
      </c>
      <c r="X592" s="630" t="s">
        <v>549</v>
      </c>
      <c r="Y592" s="630" t="s">
        <v>549</v>
      </c>
      <c r="Z592" s="630">
        <v>1.248596</v>
      </c>
      <c r="AA592" s="630">
        <v>2.0094249999999998</v>
      </c>
      <c r="AB592" s="631">
        <v>8866</v>
      </c>
      <c r="AC592" s="631">
        <v>836957</v>
      </c>
      <c r="AD592" s="631">
        <f t="shared" si="9"/>
        <v>1045021.162372</v>
      </c>
    </row>
    <row r="593" spans="2:30" x14ac:dyDescent="0.15">
      <c r="B593" s="630">
        <v>17031002238</v>
      </c>
      <c r="C593" s="630">
        <v>17031004637</v>
      </c>
      <c r="D593" s="630">
        <v>17031000436</v>
      </c>
      <c r="E593" s="630" t="s">
        <v>533</v>
      </c>
      <c r="F593" s="630" t="s">
        <v>534</v>
      </c>
      <c r="G593" s="630" t="s">
        <v>365</v>
      </c>
      <c r="H593" s="630" t="s">
        <v>552</v>
      </c>
      <c r="I593" s="630"/>
      <c r="J593" s="630" t="s">
        <v>551</v>
      </c>
      <c r="K593" s="630" t="s">
        <v>547</v>
      </c>
      <c r="L593" s="630" t="s">
        <v>382</v>
      </c>
      <c r="M593" s="630" t="s">
        <v>563</v>
      </c>
      <c r="N593" s="630"/>
      <c r="O593" s="630"/>
      <c r="P593" s="630"/>
      <c r="Q593" s="630"/>
      <c r="R593" s="630"/>
      <c r="S593" s="630" t="s">
        <v>589</v>
      </c>
      <c r="T593" s="630"/>
      <c r="U593" s="630" t="s">
        <v>538</v>
      </c>
      <c r="V593" s="630">
        <v>3</v>
      </c>
      <c r="W593" s="630" t="s">
        <v>545</v>
      </c>
      <c r="X593" s="630" t="s">
        <v>549</v>
      </c>
      <c r="Y593" s="630" t="s">
        <v>549</v>
      </c>
      <c r="Z593" s="630">
        <v>1.0225379999999999</v>
      </c>
      <c r="AA593" s="630">
        <v>1.6456189999999999</v>
      </c>
      <c r="AB593" s="631">
        <v>313574</v>
      </c>
      <c r="AC593" s="631">
        <v>20645328</v>
      </c>
      <c r="AD593" s="631">
        <f t="shared" si="9"/>
        <v>21110632.402463999</v>
      </c>
    </row>
    <row r="594" spans="2:30" x14ac:dyDescent="0.15">
      <c r="B594" s="630">
        <v>17031003961</v>
      </c>
      <c r="C594" s="630">
        <v>17031000788</v>
      </c>
      <c r="D594" s="630">
        <v>17031004659</v>
      </c>
      <c r="E594" s="630" t="s">
        <v>533</v>
      </c>
      <c r="F594" s="630" t="s">
        <v>534</v>
      </c>
      <c r="G594" s="630" t="s">
        <v>365</v>
      </c>
      <c r="H594" s="630" t="s">
        <v>381</v>
      </c>
      <c r="I594" s="630"/>
      <c r="J594" s="630" t="s">
        <v>542</v>
      </c>
      <c r="K594" s="630" t="s">
        <v>547</v>
      </c>
      <c r="L594" s="630" t="s">
        <v>382</v>
      </c>
      <c r="M594" s="630"/>
      <c r="N594" s="630"/>
      <c r="O594" s="630"/>
      <c r="P594" s="630"/>
      <c r="Q594" s="630"/>
      <c r="R594" s="630"/>
      <c r="S594" s="630" t="s">
        <v>579</v>
      </c>
      <c r="T594" s="630"/>
      <c r="U594" s="630" t="s">
        <v>538</v>
      </c>
      <c r="V594" s="630">
        <v>3</v>
      </c>
      <c r="W594" s="630" t="s">
        <v>545</v>
      </c>
      <c r="X594" s="630" t="s">
        <v>580</v>
      </c>
      <c r="Y594" s="630" t="s">
        <v>549</v>
      </c>
      <c r="Z594" s="630">
        <v>0.54175700000000004</v>
      </c>
      <c r="AA594" s="630">
        <v>0.87187499999999996</v>
      </c>
      <c r="AB594" s="631">
        <v>945771</v>
      </c>
      <c r="AC594" s="631">
        <v>40638017</v>
      </c>
      <c r="AD594" s="631">
        <f t="shared" si="9"/>
        <v>22015930.175869003</v>
      </c>
    </row>
    <row r="595" spans="2:30" x14ac:dyDescent="0.15">
      <c r="B595" s="630">
        <v>17043004194</v>
      </c>
      <c r="C595" s="630">
        <v>17043004891</v>
      </c>
      <c r="D595" s="630">
        <v>17043000980</v>
      </c>
      <c r="E595" s="630" t="s">
        <v>533</v>
      </c>
      <c r="F595" s="630" t="s">
        <v>534</v>
      </c>
      <c r="G595" s="630" t="s">
        <v>367</v>
      </c>
      <c r="H595" s="630" t="s">
        <v>535</v>
      </c>
      <c r="I595" s="630"/>
      <c r="J595" s="630" t="s">
        <v>536</v>
      </c>
      <c r="K595" s="630" t="s">
        <v>382</v>
      </c>
      <c r="L595" s="630"/>
      <c r="M595" s="630"/>
      <c r="N595" s="630"/>
      <c r="O595" s="630"/>
      <c r="P595" s="630"/>
      <c r="Q595" s="630"/>
      <c r="R595" s="630"/>
      <c r="S595" s="630"/>
      <c r="T595" s="630"/>
      <c r="U595" s="630" t="s">
        <v>538</v>
      </c>
      <c r="V595" s="630">
        <v>1</v>
      </c>
      <c r="W595" s="630" t="s">
        <v>560</v>
      </c>
      <c r="X595" s="630" t="s">
        <v>541</v>
      </c>
      <c r="Y595" s="630" t="s">
        <v>541</v>
      </c>
      <c r="Z595" s="630">
        <v>0.74536500000000006</v>
      </c>
      <c r="AA595" s="630">
        <v>1.1995499999999999</v>
      </c>
      <c r="AB595" s="631">
        <v>0</v>
      </c>
      <c r="AC595" s="631">
        <v>0</v>
      </c>
      <c r="AD595" s="631">
        <f t="shared" si="9"/>
        <v>0</v>
      </c>
    </row>
    <row r="596" spans="2:30" x14ac:dyDescent="0.15">
      <c r="B596" s="630">
        <v>17031004884</v>
      </c>
      <c r="C596" s="630">
        <v>17031001221</v>
      </c>
      <c r="D596" s="630">
        <v>17031001257</v>
      </c>
      <c r="E596" s="630" t="s">
        <v>533</v>
      </c>
      <c r="F596" s="630" t="s">
        <v>534</v>
      </c>
      <c r="G596" s="630" t="s">
        <v>365</v>
      </c>
      <c r="H596" s="630" t="s">
        <v>543</v>
      </c>
      <c r="I596" s="630"/>
      <c r="J596" s="630" t="s">
        <v>577</v>
      </c>
      <c r="K596" s="630"/>
      <c r="L596" s="630"/>
      <c r="M596" s="630"/>
      <c r="N596" s="630"/>
      <c r="O596" s="630"/>
      <c r="P596" s="630"/>
      <c r="Q596" s="630"/>
      <c r="R596" s="630"/>
      <c r="S596" s="630" t="s">
        <v>656</v>
      </c>
      <c r="T596" s="630"/>
      <c r="U596" s="630" t="s">
        <v>559</v>
      </c>
      <c r="V596" s="630">
        <v>1</v>
      </c>
      <c r="W596" s="630" t="s">
        <v>560</v>
      </c>
      <c r="X596" s="630" t="s">
        <v>541</v>
      </c>
      <c r="Y596" s="630" t="s">
        <v>541</v>
      </c>
      <c r="Z596" s="630">
        <v>0.81973700000000005</v>
      </c>
      <c r="AA596" s="630">
        <v>1.319242</v>
      </c>
      <c r="AB596" s="631">
        <v>0</v>
      </c>
      <c r="AC596" s="631">
        <v>0</v>
      </c>
      <c r="AD596" s="631">
        <f t="shared" si="9"/>
        <v>0</v>
      </c>
    </row>
    <row r="597" spans="2:30" x14ac:dyDescent="0.15">
      <c r="B597" s="630">
        <v>17031008620</v>
      </c>
      <c r="C597" s="630">
        <v>17031006705</v>
      </c>
      <c r="D597" s="630">
        <v>17031001061</v>
      </c>
      <c r="E597" s="630" t="s">
        <v>533</v>
      </c>
      <c r="F597" s="630" t="s">
        <v>534</v>
      </c>
      <c r="G597" s="630" t="s">
        <v>365</v>
      </c>
      <c r="H597" s="630" t="s">
        <v>535</v>
      </c>
      <c r="I597" s="630"/>
      <c r="J597" s="630"/>
      <c r="K597" s="630"/>
      <c r="L597" s="630"/>
      <c r="M597" s="630"/>
      <c r="N597" s="630"/>
      <c r="O597" s="630"/>
      <c r="P597" s="630"/>
      <c r="Q597" s="630"/>
      <c r="R597" s="630"/>
      <c r="S597" s="630" t="s">
        <v>597</v>
      </c>
      <c r="T597" s="630" t="s">
        <v>598</v>
      </c>
      <c r="U597" s="630" t="s">
        <v>538</v>
      </c>
      <c r="V597" s="630">
        <v>1</v>
      </c>
      <c r="W597" s="630" t="s">
        <v>539</v>
      </c>
      <c r="X597" s="630" t="s">
        <v>541</v>
      </c>
      <c r="Y597" s="630" t="s">
        <v>541</v>
      </c>
      <c r="Z597" s="630">
        <v>5.8968E-2</v>
      </c>
      <c r="AA597" s="630">
        <v>9.4899999999999998E-2</v>
      </c>
      <c r="AB597" s="631">
        <v>0</v>
      </c>
      <c r="AC597" s="631">
        <v>0</v>
      </c>
      <c r="AD597" s="631">
        <f t="shared" si="9"/>
        <v>0</v>
      </c>
    </row>
    <row r="598" spans="2:30" x14ac:dyDescent="0.15">
      <c r="B598" s="630">
        <v>17031002211</v>
      </c>
      <c r="C598" s="630">
        <v>17031000296</v>
      </c>
      <c r="D598" s="630">
        <v>17031004589</v>
      </c>
      <c r="E598" s="630" t="s">
        <v>533</v>
      </c>
      <c r="F598" s="630" t="s">
        <v>534</v>
      </c>
      <c r="G598" s="630" t="s">
        <v>365</v>
      </c>
      <c r="H598" s="630" t="s">
        <v>382</v>
      </c>
      <c r="I598" s="630"/>
      <c r="J598" s="630" t="s">
        <v>535</v>
      </c>
      <c r="K598" s="630" t="s">
        <v>552</v>
      </c>
      <c r="L598" s="630"/>
      <c r="M598" s="630"/>
      <c r="N598" s="630"/>
      <c r="O598" s="630"/>
      <c r="P598" s="630"/>
      <c r="Q598" s="630"/>
      <c r="R598" s="630"/>
      <c r="S598" s="630" t="s">
        <v>586</v>
      </c>
      <c r="T598" s="630"/>
      <c r="U598" s="630" t="s">
        <v>538</v>
      </c>
      <c r="V598" s="630">
        <v>2</v>
      </c>
      <c r="W598" s="630" t="s">
        <v>582</v>
      </c>
      <c r="X598" s="630" t="s">
        <v>580</v>
      </c>
      <c r="Y598" s="630" t="s">
        <v>549</v>
      </c>
      <c r="Z598" s="630">
        <v>3.2552789999999998</v>
      </c>
      <c r="AA598" s="630">
        <v>5.2388729999999999</v>
      </c>
      <c r="AB598" s="631">
        <v>594404</v>
      </c>
      <c r="AC598" s="631">
        <v>40673041</v>
      </c>
      <c r="AD598" s="631">
        <f t="shared" si="9"/>
        <v>132402096.233439</v>
      </c>
    </row>
    <row r="599" spans="2:30" x14ac:dyDescent="0.15">
      <c r="B599" s="630">
        <v>17031004041</v>
      </c>
      <c r="C599" s="630">
        <v>17031000403</v>
      </c>
      <c r="D599" s="630">
        <v>17031000402</v>
      </c>
      <c r="E599" s="630" t="s">
        <v>533</v>
      </c>
      <c r="F599" s="630" t="s">
        <v>534</v>
      </c>
      <c r="G599" s="630" t="s">
        <v>365</v>
      </c>
      <c r="H599" s="630" t="s">
        <v>382</v>
      </c>
      <c r="I599" s="630"/>
      <c r="J599" s="630" t="s">
        <v>547</v>
      </c>
      <c r="K599" s="630"/>
      <c r="L599" s="630"/>
      <c r="M599" s="630"/>
      <c r="N599" s="630"/>
      <c r="O599" s="630"/>
      <c r="P599" s="630"/>
      <c r="Q599" s="630"/>
      <c r="R599" s="630"/>
      <c r="S599" s="630" t="s">
        <v>608</v>
      </c>
      <c r="T599" s="630"/>
      <c r="U599" s="630" t="s">
        <v>538</v>
      </c>
      <c r="V599" s="630">
        <v>3</v>
      </c>
      <c r="W599" s="630" t="s">
        <v>566</v>
      </c>
      <c r="X599" s="630" t="s">
        <v>541</v>
      </c>
      <c r="Y599" s="630" t="s">
        <v>540</v>
      </c>
      <c r="Z599" s="630">
        <v>0.39059199999999999</v>
      </c>
      <c r="AA599" s="630">
        <v>0.62859799999999999</v>
      </c>
      <c r="AB599" s="631">
        <v>0</v>
      </c>
      <c r="AC599" s="631">
        <v>0</v>
      </c>
      <c r="AD599" s="631">
        <f t="shared" si="9"/>
        <v>0</v>
      </c>
    </row>
    <row r="600" spans="2:30" x14ac:dyDescent="0.15">
      <c r="B600" s="630">
        <v>17043005751</v>
      </c>
      <c r="C600" s="630">
        <v>17043007333</v>
      </c>
      <c r="D600" s="630">
        <v>17043000508</v>
      </c>
      <c r="E600" s="630" t="s">
        <v>533</v>
      </c>
      <c r="F600" s="630" t="s">
        <v>534</v>
      </c>
      <c r="G600" s="630" t="s">
        <v>367</v>
      </c>
      <c r="H600" s="630" t="s">
        <v>535</v>
      </c>
      <c r="I600" s="630"/>
      <c r="J600" s="630"/>
      <c r="K600" s="630"/>
      <c r="L600" s="630"/>
      <c r="M600" s="630"/>
      <c r="N600" s="630"/>
      <c r="O600" s="630"/>
      <c r="P600" s="630"/>
      <c r="Q600" s="630"/>
      <c r="R600" s="630"/>
      <c r="S600" s="630"/>
      <c r="T600" s="630"/>
      <c r="U600" s="630" t="s">
        <v>559</v>
      </c>
      <c r="V600" s="630">
        <v>1</v>
      </c>
      <c r="W600" s="630" t="s">
        <v>560</v>
      </c>
      <c r="X600" s="630" t="s">
        <v>541</v>
      </c>
      <c r="Y600" s="630" t="s">
        <v>541</v>
      </c>
      <c r="Z600" s="630">
        <v>0.49382399999999999</v>
      </c>
      <c r="AA600" s="630">
        <v>0.79473400000000005</v>
      </c>
      <c r="AB600" s="631">
        <v>0</v>
      </c>
      <c r="AC600" s="631">
        <v>0</v>
      </c>
      <c r="AD600" s="631">
        <f t="shared" si="9"/>
        <v>0</v>
      </c>
    </row>
    <row r="601" spans="2:30" x14ac:dyDescent="0.15">
      <c r="B601" s="630">
        <v>17031006360</v>
      </c>
      <c r="C601" s="630">
        <v>17031000546</v>
      </c>
      <c r="D601" s="630">
        <v>17031004646</v>
      </c>
      <c r="E601" s="630" t="s">
        <v>533</v>
      </c>
      <c r="F601" s="630" t="s">
        <v>534</v>
      </c>
      <c r="G601" s="630" t="s">
        <v>365</v>
      </c>
      <c r="H601" s="630" t="s">
        <v>382</v>
      </c>
      <c r="I601" s="630"/>
      <c r="J601" s="630" t="s">
        <v>547</v>
      </c>
      <c r="K601" s="630"/>
      <c r="L601" s="630"/>
      <c r="M601" s="630"/>
      <c r="N601" s="630"/>
      <c r="O601" s="630"/>
      <c r="P601" s="630"/>
      <c r="Q601" s="630"/>
      <c r="R601" s="630"/>
      <c r="S601" s="630" t="s">
        <v>583</v>
      </c>
      <c r="T601" s="630" t="s">
        <v>626</v>
      </c>
      <c r="U601" s="630" t="s">
        <v>538</v>
      </c>
      <c r="V601" s="630">
        <v>3</v>
      </c>
      <c r="W601" s="630" t="s">
        <v>545</v>
      </c>
      <c r="X601" s="630" t="s">
        <v>580</v>
      </c>
      <c r="Y601" s="630" t="s">
        <v>549</v>
      </c>
      <c r="Z601" s="630">
        <v>0.58564799999999995</v>
      </c>
      <c r="AA601" s="630">
        <v>0.94251099999999999</v>
      </c>
      <c r="AB601" s="631">
        <v>1566993</v>
      </c>
      <c r="AC601" s="631">
        <v>47958017</v>
      </c>
      <c r="AD601" s="631">
        <f t="shared" si="9"/>
        <v>28086516.740015998</v>
      </c>
    </row>
    <row r="602" spans="2:30" x14ac:dyDescent="0.15">
      <c r="B602" s="630">
        <v>17031009229</v>
      </c>
      <c r="C602" s="630">
        <v>17031007116</v>
      </c>
      <c r="D602" s="630">
        <v>17031000974</v>
      </c>
      <c r="E602" s="630" t="s">
        <v>533</v>
      </c>
      <c r="F602" s="630" t="s">
        <v>534</v>
      </c>
      <c r="G602" s="630" t="s">
        <v>365</v>
      </c>
      <c r="H602" s="630" t="s">
        <v>571</v>
      </c>
      <c r="I602" s="630"/>
      <c r="J602" s="630" t="s">
        <v>381</v>
      </c>
      <c r="K602" s="630" t="s">
        <v>535</v>
      </c>
      <c r="L602" s="630" t="s">
        <v>552</v>
      </c>
      <c r="M602" s="630" t="s">
        <v>572</v>
      </c>
      <c r="N602" s="630" t="s">
        <v>551</v>
      </c>
      <c r="O602" s="630" t="s">
        <v>555</v>
      </c>
      <c r="P602" s="630" t="s">
        <v>543</v>
      </c>
      <c r="Q602" s="630" t="s">
        <v>382</v>
      </c>
      <c r="R602" s="630" t="s">
        <v>563</v>
      </c>
      <c r="S602" s="630" t="s">
        <v>605</v>
      </c>
      <c r="T602" s="630" t="s">
        <v>574</v>
      </c>
      <c r="U602" s="630" t="s">
        <v>538</v>
      </c>
      <c r="V602" s="630">
        <v>2</v>
      </c>
      <c r="W602" s="630" t="s">
        <v>545</v>
      </c>
      <c r="X602" s="630" t="s">
        <v>575</v>
      </c>
      <c r="Y602" s="630" t="s">
        <v>554</v>
      </c>
      <c r="Z602" s="630">
        <v>5.7042000000000002E-2</v>
      </c>
      <c r="AA602" s="630">
        <v>9.1800000000000007E-2</v>
      </c>
      <c r="AB602" s="631">
        <v>272599</v>
      </c>
      <c r="AC602" s="631">
        <v>14304613</v>
      </c>
      <c r="AD602" s="631">
        <f t="shared" si="9"/>
        <v>815963.73474600003</v>
      </c>
    </row>
    <row r="603" spans="2:30" x14ac:dyDescent="0.15">
      <c r="B603" s="630">
        <v>17197002067</v>
      </c>
      <c r="C603" s="630">
        <v>17197004788</v>
      </c>
      <c r="D603" s="630">
        <v>17999099921</v>
      </c>
      <c r="E603" s="630" t="s">
        <v>533</v>
      </c>
      <c r="F603" s="630" t="s">
        <v>534</v>
      </c>
      <c r="G603" s="630" t="s">
        <v>377</v>
      </c>
      <c r="H603" s="630" t="s">
        <v>547</v>
      </c>
      <c r="I603" s="630"/>
      <c r="J603" s="630"/>
      <c r="K603" s="630"/>
      <c r="L603" s="630"/>
      <c r="M603" s="630"/>
      <c r="N603" s="630"/>
      <c r="O603" s="630"/>
      <c r="P603" s="630"/>
      <c r="Q603" s="630"/>
      <c r="R603" s="630"/>
      <c r="S603" s="630"/>
      <c r="T603" s="630"/>
      <c r="U603" s="630" t="s">
        <v>538</v>
      </c>
      <c r="V603" s="630">
        <v>2</v>
      </c>
      <c r="W603" s="630" t="s">
        <v>582</v>
      </c>
      <c r="X603" s="630" t="s">
        <v>541</v>
      </c>
      <c r="Y603" s="630" t="s">
        <v>540</v>
      </c>
      <c r="Z603" s="630">
        <v>0.78199200000000002</v>
      </c>
      <c r="AA603" s="630">
        <v>1.258497</v>
      </c>
      <c r="AB603" s="631">
        <v>0</v>
      </c>
      <c r="AC603" s="631">
        <v>0</v>
      </c>
      <c r="AD603" s="631">
        <f t="shared" si="9"/>
        <v>0</v>
      </c>
    </row>
    <row r="604" spans="2:30" x14ac:dyDescent="0.15">
      <c r="B604" s="630">
        <v>17111002164</v>
      </c>
      <c r="C604" s="630">
        <v>17111000119</v>
      </c>
      <c r="D604" s="630">
        <v>17111000112</v>
      </c>
      <c r="E604" s="630" t="s">
        <v>533</v>
      </c>
      <c r="F604" s="630" t="s">
        <v>534</v>
      </c>
      <c r="G604" s="630" t="s">
        <v>375</v>
      </c>
      <c r="H604" s="630" t="s">
        <v>382</v>
      </c>
      <c r="I604" s="630"/>
      <c r="J604" s="630"/>
      <c r="K604" s="630"/>
      <c r="L604" s="630"/>
      <c r="M604" s="630"/>
      <c r="N604" s="630"/>
      <c r="O604" s="630"/>
      <c r="P604" s="630"/>
      <c r="Q604" s="630"/>
      <c r="R604" s="630"/>
      <c r="S604" s="630"/>
      <c r="T604" s="630"/>
      <c r="U604" s="630" t="s">
        <v>559</v>
      </c>
      <c r="V604" s="630">
        <v>1</v>
      </c>
      <c r="W604" s="630" t="s">
        <v>560</v>
      </c>
      <c r="X604" s="630" t="s">
        <v>541</v>
      </c>
      <c r="Y604" s="630" t="s">
        <v>541</v>
      </c>
      <c r="Z604" s="630">
        <v>0.414821</v>
      </c>
      <c r="AA604" s="630">
        <v>0.66759000000000002</v>
      </c>
      <c r="AB604" s="631">
        <v>0</v>
      </c>
      <c r="AC604" s="631">
        <v>0</v>
      </c>
      <c r="AD604" s="631">
        <f t="shared" si="9"/>
        <v>0</v>
      </c>
    </row>
    <row r="605" spans="2:30" x14ac:dyDescent="0.15">
      <c r="B605" s="630">
        <v>17031009175</v>
      </c>
      <c r="C605" s="630">
        <v>17031000755</v>
      </c>
      <c r="D605" s="630">
        <v>17031007080</v>
      </c>
      <c r="E605" s="630" t="s">
        <v>533</v>
      </c>
      <c r="F605" s="630" t="s">
        <v>534</v>
      </c>
      <c r="G605" s="630" t="s">
        <v>365</v>
      </c>
      <c r="H605" s="630" t="s">
        <v>535</v>
      </c>
      <c r="I605" s="630"/>
      <c r="J605" s="630" t="s">
        <v>571</v>
      </c>
      <c r="K605" s="630"/>
      <c r="L605" s="630"/>
      <c r="M605" s="630"/>
      <c r="N605" s="630"/>
      <c r="O605" s="630"/>
      <c r="P605" s="630"/>
      <c r="Q605" s="630"/>
      <c r="R605" s="630"/>
      <c r="S605" s="630"/>
      <c r="T605" s="630"/>
      <c r="U605" s="630" t="s">
        <v>559</v>
      </c>
      <c r="V605" s="630">
        <v>1</v>
      </c>
      <c r="W605" s="630" t="s">
        <v>560</v>
      </c>
      <c r="X605" s="630" t="s">
        <v>541</v>
      </c>
      <c r="Y605" s="630" t="s">
        <v>541</v>
      </c>
      <c r="Z605" s="630">
        <v>1.7198000000000001E-2</v>
      </c>
      <c r="AA605" s="630">
        <v>2.7678000000000001E-2</v>
      </c>
      <c r="AB605" s="631">
        <v>0</v>
      </c>
      <c r="AC605" s="631">
        <v>0</v>
      </c>
      <c r="AD605" s="631">
        <f t="shared" si="9"/>
        <v>0</v>
      </c>
    </row>
    <row r="606" spans="2:30" x14ac:dyDescent="0.15">
      <c r="B606" s="630">
        <v>17031002332</v>
      </c>
      <c r="C606" s="630">
        <v>17031001476</v>
      </c>
      <c r="D606" s="630">
        <v>17031001443</v>
      </c>
      <c r="E606" s="630" t="s">
        <v>533</v>
      </c>
      <c r="F606" s="630" t="s">
        <v>534</v>
      </c>
      <c r="G606" s="630" t="s">
        <v>365</v>
      </c>
      <c r="H606" s="630" t="s">
        <v>382</v>
      </c>
      <c r="I606" s="630"/>
      <c r="J606" s="630" t="s">
        <v>551</v>
      </c>
      <c r="K606" s="630" t="s">
        <v>555</v>
      </c>
      <c r="L606" s="630" t="s">
        <v>552</v>
      </c>
      <c r="M606" s="630"/>
      <c r="N606" s="630"/>
      <c r="O606" s="630"/>
      <c r="P606" s="630"/>
      <c r="Q606" s="630"/>
      <c r="R606" s="630"/>
      <c r="S606" s="630" t="s">
        <v>556</v>
      </c>
      <c r="T606" s="630"/>
      <c r="U606" s="630" t="s">
        <v>538</v>
      </c>
      <c r="V606" s="630">
        <v>2</v>
      </c>
      <c r="W606" s="630" t="s">
        <v>545</v>
      </c>
      <c r="X606" s="630" t="s">
        <v>580</v>
      </c>
      <c r="Y606" s="630" t="s">
        <v>540</v>
      </c>
      <c r="Z606" s="630">
        <v>2.5910709999999999</v>
      </c>
      <c r="AA606" s="630">
        <v>4.1699330000000003</v>
      </c>
      <c r="AB606" s="631">
        <v>863416</v>
      </c>
      <c r="AC606" s="631">
        <v>33596941</v>
      </c>
      <c r="AD606" s="631">
        <f t="shared" si="9"/>
        <v>87052059.513810992</v>
      </c>
    </row>
    <row r="607" spans="2:30" x14ac:dyDescent="0.15">
      <c r="B607" s="630">
        <v>17111002544</v>
      </c>
      <c r="C607" s="630">
        <v>17111000041</v>
      </c>
      <c r="D607" s="630">
        <v>17999017040</v>
      </c>
      <c r="E607" s="630" t="s">
        <v>533</v>
      </c>
      <c r="F607" s="630" t="s">
        <v>534</v>
      </c>
      <c r="G607" s="630" t="s">
        <v>375</v>
      </c>
      <c r="H607" s="630" t="s">
        <v>382</v>
      </c>
      <c r="I607" s="630"/>
      <c r="J607" s="630"/>
      <c r="K607" s="630"/>
      <c r="L607" s="630"/>
      <c r="M607" s="630"/>
      <c r="N607" s="630"/>
      <c r="O607" s="630"/>
      <c r="P607" s="630"/>
      <c r="Q607" s="630"/>
      <c r="R607" s="630"/>
      <c r="S607" s="630" t="s">
        <v>608</v>
      </c>
      <c r="T607" s="630"/>
      <c r="U607" s="630" t="s">
        <v>538</v>
      </c>
      <c r="V607" s="630">
        <v>1</v>
      </c>
      <c r="W607" s="630" t="s">
        <v>582</v>
      </c>
      <c r="X607" s="630" t="s">
        <v>554</v>
      </c>
      <c r="Y607" s="630" t="s">
        <v>549</v>
      </c>
      <c r="Z607" s="630">
        <v>6.54779</v>
      </c>
      <c r="AA607" s="630">
        <v>10.537667000000001</v>
      </c>
      <c r="AB607" s="631">
        <v>6996</v>
      </c>
      <c r="AC607" s="631">
        <v>617941</v>
      </c>
      <c r="AD607" s="631">
        <f t="shared" si="9"/>
        <v>4046147.9003900001</v>
      </c>
    </row>
    <row r="608" spans="2:30" x14ac:dyDescent="0.15">
      <c r="B608" s="630">
        <v>17197002595</v>
      </c>
      <c r="C608" s="630">
        <v>17197006601</v>
      </c>
      <c r="D608" s="630">
        <v>17197004801</v>
      </c>
      <c r="E608" s="630" t="s">
        <v>533</v>
      </c>
      <c r="F608" s="630" t="s">
        <v>534</v>
      </c>
      <c r="G608" s="630" t="s">
        <v>377</v>
      </c>
      <c r="H608" s="630" t="s">
        <v>535</v>
      </c>
      <c r="I608" s="630"/>
      <c r="J608" s="630" t="s">
        <v>382</v>
      </c>
      <c r="K608" s="630" t="s">
        <v>536</v>
      </c>
      <c r="L608" s="630"/>
      <c r="M608" s="630"/>
      <c r="N608" s="630"/>
      <c r="O608" s="630"/>
      <c r="P608" s="630"/>
      <c r="Q608" s="630"/>
      <c r="R608" s="630"/>
      <c r="S608" s="630" t="s">
        <v>537</v>
      </c>
      <c r="T608" s="630" t="s">
        <v>596</v>
      </c>
      <c r="U608" s="630" t="s">
        <v>538</v>
      </c>
      <c r="V608" s="630">
        <v>2</v>
      </c>
      <c r="W608" s="630" t="s">
        <v>539</v>
      </c>
      <c r="X608" s="630" t="s">
        <v>540</v>
      </c>
      <c r="Y608" s="630" t="s">
        <v>541</v>
      </c>
      <c r="Z608" s="630">
        <v>9.6442E-2</v>
      </c>
      <c r="AA608" s="630">
        <v>0.15520800000000001</v>
      </c>
      <c r="AB608" s="631">
        <v>26971</v>
      </c>
      <c r="AC608" s="631">
        <v>2482114</v>
      </c>
      <c r="AD608" s="631">
        <f t="shared" si="9"/>
        <v>239380.03838799999</v>
      </c>
    </row>
    <row r="609" spans="2:30" x14ac:dyDescent="0.15">
      <c r="B609" s="630">
        <v>17031002606</v>
      </c>
      <c r="C609" s="630">
        <v>17031007670</v>
      </c>
      <c r="D609" s="630">
        <v>17031004685</v>
      </c>
      <c r="E609" s="630" t="s">
        <v>533</v>
      </c>
      <c r="F609" s="630" t="s">
        <v>534</v>
      </c>
      <c r="G609" s="630" t="s">
        <v>365</v>
      </c>
      <c r="H609" s="630" t="s">
        <v>547</v>
      </c>
      <c r="I609" s="630"/>
      <c r="J609" s="630" t="s">
        <v>543</v>
      </c>
      <c r="K609" s="630"/>
      <c r="L609" s="630"/>
      <c r="M609" s="630"/>
      <c r="N609" s="630"/>
      <c r="O609" s="630"/>
      <c r="P609" s="630"/>
      <c r="Q609" s="630"/>
      <c r="R609" s="630"/>
      <c r="S609" s="630" t="s">
        <v>602</v>
      </c>
      <c r="T609" s="630"/>
      <c r="U609" s="630" t="s">
        <v>538</v>
      </c>
      <c r="V609" s="630">
        <v>2</v>
      </c>
      <c r="W609" s="630" t="s">
        <v>582</v>
      </c>
      <c r="X609" s="630" t="s">
        <v>541</v>
      </c>
      <c r="Y609" s="630" t="s">
        <v>540</v>
      </c>
      <c r="Z609" s="630">
        <v>2.8615599999999999</v>
      </c>
      <c r="AA609" s="630">
        <v>4.6052439999999999</v>
      </c>
      <c r="AB609" s="631">
        <v>320</v>
      </c>
      <c r="AC609" s="631">
        <v>23200</v>
      </c>
      <c r="AD609" s="631">
        <f t="shared" si="9"/>
        <v>66388.191999999995</v>
      </c>
    </row>
    <row r="610" spans="2:30" x14ac:dyDescent="0.15">
      <c r="B610" s="630">
        <v>17097002110</v>
      </c>
      <c r="C610" s="630">
        <v>17097007511</v>
      </c>
      <c r="D610" s="630">
        <v>17097000066</v>
      </c>
      <c r="E610" s="630" t="s">
        <v>533</v>
      </c>
      <c r="F610" s="630" t="s">
        <v>534</v>
      </c>
      <c r="G610" s="630" t="s">
        <v>373</v>
      </c>
      <c r="H610" s="630" t="s">
        <v>535</v>
      </c>
      <c r="I610" s="630"/>
      <c r="J610" s="630" t="s">
        <v>547</v>
      </c>
      <c r="K610" s="630"/>
      <c r="L610" s="630"/>
      <c r="M610" s="630"/>
      <c r="N610" s="630"/>
      <c r="O610" s="630"/>
      <c r="P610" s="630"/>
      <c r="Q610" s="630"/>
      <c r="R610" s="630"/>
      <c r="S610" s="630" t="s">
        <v>548</v>
      </c>
      <c r="T610" s="630"/>
      <c r="U610" s="630" t="s">
        <v>538</v>
      </c>
      <c r="V610" s="630">
        <v>1</v>
      </c>
      <c r="W610" s="630" t="s">
        <v>545</v>
      </c>
      <c r="X610" s="630" t="s">
        <v>546</v>
      </c>
      <c r="Y610" s="630" t="s">
        <v>549</v>
      </c>
      <c r="Z610" s="630">
        <v>1.4840629999999999</v>
      </c>
      <c r="AA610" s="630">
        <v>2.3883730000000001</v>
      </c>
      <c r="AB610" s="631">
        <v>777350</v>
      </c>
      <c r="AC610" s="631">
        <v>36648785</v>
      </c>
      <c r="AD610" s="631">
        <f t="shared" si="9"/>
        <v>54389105.813454993</v>
      </c>
    </row>
    <row r="611" spans="2:30" x14ac:dyDescent="0.15">
      <c r="B611" s="630">
        <v>17031002157</v>
      </c>
      <c r="C611" s="630">
        <v>17031000249</v>
      </c>
      <c r="D611" s="630">
        <v>17999019043</v>
      </c>
      <c r="E611" s="630" t="s">
        <v>533</v>
      </c>
      <c r="F611" s="630" t="s">
        <v>534</v>
      </c>
      <c r="G611" s="630" t="s">
        <v>365</v>
      </c>
      <c r="H611" s="630" t="s">
        <v>382</v>
      </c>
      <c r="I611" s="630"/>
      <c r="J611" s="630" t="s">
        <v>535</v>
      </c>
      <c r="K611" s="630"/>
      <c r="L611" s="630"/>
      <c r="M611" s="630"/>
      <c r="N611" s="630"/>
      <c r="O611" s="630"/>
      <c r="P611" s="630"/>
      <c r="Q611" s="630"/>
      <c r="R611" s="630"/>
      <c r="S611" s="630" t="s">
        <v>586</v>
      </c>
      <c r="T611" s="630"/>
      <c r="U611" s="630" t="s">
        <v>538</v>
      </c>
      <c r="V611" s="630">
        <v>2</v>
      </c>
      <c r="W611" s="630" t="s">
        <v>582</v>
      </c>
      <c r="X611" s="630" t="s">
        <v>549</v>
      </c>
      <c r="Y611" s="630" t="s">
        <v>549</v>
      </c>
      <c r="Z611" s="630">
        <v>0.51006799999999997</v>
      </c>
      <c r="AA611" s="630">
        <v>0.82087600000000005</v>
      </c>
      <c r="AB611" s="631">
        <v>92223</v>
      </c>
      <c r="AC611" s="631">
        <v>10277729</v>
      </c>
      <c r="AD611" s="631">
        <f t="shared" si="9"/>
        <v>5242340.6755719995</v>
      </c>
    </row>
    <row r="612" spans="2:30" x14ac:dyDescent="0.15">
      <c r="B612" s="630">
        <v>17197003262</v>
      </c>
      <c r="C612" s="630">
        <v>17197001545</v>
      </c>
      <c r="D612" s="630">
        <v>17197001492</v>
      </c>
      <c r="E612" s="630" t="s">
        <v>533</v>
      </c>
      <c r="F612" s="630" t="s">
        <v>534</v>
      </c>
      <c r="G612" s="630" t="s">
        <v>377</v>
      </c>
      <c r="H612" s="630" t="s">
        <v>535</v>
      </c>
      <c r="I612" s="630"/>
      <c r="J612" s="630" t="s">
        <v>382</v>
      </c>
      <c r="K612" s="630" t="s">
        <v>536</v>
      </c>
      <c r="L612" s="630"/>
      <c r="M612" s="630"/>
      <c r="N612" s="630"/>
      <c r="O612" s="630"/>
      <c r="P612" s="630"/>
      <c r="Q612" s="630"/>
      <c r="R612" s="630"/>
      <c r="S612" s="630" t="s">
        <v>537</v>
      </c>
      <c r="T612" s="630"/>
      <c r="U612" s="630" t="s">
        <v>538</v>
      </c>
      <c r="V612" s="630">
        <v>2</v>
      </c>
      <c r="W612" s="630" t="s">
        <v>545</v>
      </c>
      <c r="X612" s="630" t="s">
        <v>540</v>
      </c>
      <c r="Y612" s="630" t="s">
        <v>541</v>
      </c>
      <c r="Z612" s="630">
        <v>0.749085</v>
      </c>
      <c r="AA612" s="630">
        <v>1.2055370000000001</v>
      </c>
      <c r="AB612" s="631">
        <v>29251</v>
      </c>
      <c r="AC612" s="631">
        <v>2680474</v>
      </c>
      <c r="AD612" s="631">
        <f t="shared" si="9"/>
        <v>2007902.86629</v>
      </c>
    </row>
    <row r="613" spans="2:30" x14ac:dyDescent="0.15">
      <c r="B613" s="630">
        <v>17031004028</v>
      </c>
      <c r="C613" s="630">
        <v>17031000504</v>
      </c>
      <c r="D613" s="630">
        <v>17031000513</v>
      </c>
      <c r="E613" s="630" t="s">
        <v>533</v>
      </c>
      <c r="F613" s="630" t="s">
        <v>534</v>
      </c>
      <c r="G613" s="630" t="s">
        <v>365</v>
      </c>
      <c r="H613" s="630" t="s">
        <v>590</v>
      </c>
      <c r="I613" s="630"/>
      <c r="J613" s="630"/>
      <c r="K613" s="630"/>
      <c r="L613" s="630"/>
      <c r="M613" s="630"/>
      <c r="N613" s="630"/>
      <c r="O613" s="630"/>
      <c r="P613" s="630"/>
      <c r="Q613" s="630"/>
      <c r="R613" s="630"/>
      <c r="S613" s="630"/>
      <c r="T613" s="630"/>
      <c r="U613" s="630" t="s">
        <v>559</v>
      </c>
      <c r="V613" s="630">
        <v>1</v>
      </c>
      <c r="W613" s="630" t="s">
        <v>560</v>
      </c>
      <c r="X613" s="630" t="s">
        <v>541</v>
      </c>
      <c r="Y613" s="630" t="s">
        <v>541</v>
      </c>
      <c r="Z613" s="630">
        <v>0.79222499999999996</v>
      </c>
      <c r="AA613" s="630">
        <v>1.274966</v>
      </c>
      <c r="AB613" s="631">
        <v>0</v>
      </c>
      <c r="AC613" s="631">
        <v>0</v>
      </c>
      <c r="AD613" s="631">
        <f t="shared" si="9"/>
        <v>0</v>
      </c>
    </row>
    <row r="614" spans="2:30" x14ac:dyDescent="0.15">
      <c r="B614" s="630">
        <v>17197009253</v>
      </c>
      <c r="C614" s="630">
        <v>17197007380</v>
      </c>
      <c r="D614" s="630">
        <v>17197001706</v>
      </c>
      <c r="E614" s="630" t="s">
        <v>533</v>
      </c>
      <c r="F614" s="630" t="s">
        <v>534</v>
      </c>
      <c r="G614" s="630" t="s">
        <v>377</v>
      </c>
      <c r="H614" s="630" t="s">
        <v>382</v>
      </c>
      <c r="I614" s="630"/>
      <c r="J614" s="630" t="s">
        <v>551</v>
      </c>
      <c r="K614" s="630" t="s">
        <v>555</v>
      </c>
      <c r="L614" s="630"/>
      <c r="M614" s="630"/>
      <c r="N614" s="630"/>
      <c r="O614" s="630"/>
      <c r="P614" s="630"/>
      <c r="Q614" s="630"/>
      <c r="R614" s="630"/>
      <c r="S614" s="630" t="s">
        <v>556</v>
      </c>
      <c r="T614" s="630"/>
      <c r="U614" s="630" t="s">
        <v>538</v>
      </c>
      <c r="V614" s="630">
        <v>2</v>
      </c>
      <c r="W614" s="630" t="s">
        <v>582</v>
      </c>
      <c r="X614" s="630" t="s">
        <v>580</v>
      </c>
      <c r="Y614" s="630" t="s">
        <v>549</v>
      </c>
      <c r="Z614" s="630">
        <v>1.2709269999999999</v>
      </c>
      <c r="AA614" s="630">
        <v>2.045363</v>
      </c>
      <c r="AB614" s="631">
        <v>865530</v>
      </c>
      <c r="AC614" s="631">
        <v>33874541</v>
      </c>
      <c r="AD614" s="631">
        <f t="shared" si="9"/>
        <v>43052068.769506998</v>
      </c>
    </row>
    <row r="615" spans="2:30" x14ac:dyDescent="0.15">
      <c r="B615" s="630">
        <v>17031002292</v>
      </c>
      <c r="C615" s="630">
        <v>17031007685</v>
      </c>
      <c r="D615" s="630">
        <v>17031001220</v>
      </c>
      <c r="E615" s="630" t="s">
        <v>533</v>
      </c>
      <c r="F615" s="630" t="s">
        <v>534</v>
      </c>
      <c r="G615" s="630" t="s">
        <v>365</v>
      </c>
      <c r="H615" s="630" t="s">
        <v>557</v>
      </c>
      <c r="I615" s="630"/>
      <c r="J615" s="630"/>
      <c r="K615" s="630"/>
      <c r="L615" s="630"/>
      <c r="M615" s="630"/>
      <c r="N615" s="630"/>
      <c r="O615" s="630"/>
      <c r="P615" s="630"/>
      <c r="Q615" s="630"/>
      <c r="R615" s="630"/>
      <c r="S615" s="630" t="s">
        <v>618</v>
      </c>
      <c r="T615" s="630"/>
      <c r="U615" s="630" t="s">
        <v>559</v>
      </c>
      <c r="V615" s="630">
        <v>1</v>
      </c>
      <c r="W615" s="630" t="s">
        <v>560</v>
      </c>
      <c r="X615" s="630" t="s">
        <v>541</v>
      </c>
      <c r="Y615" s="630" t="s">
        <v>541</v>
      </c>
      <c r="Z615" s="630">
        <v>4.2442739999999999</v>
      </c>
      <c r="AA615" s="630">
        <v>6.8305110000000004</v>
      </c>
      <c r="AB615" s="631">
        <v>0</v>
      </c>
      <c r="AC615" s="631">
        <v>0</v>
      </c>
      <c r="AD615" s="631">
        <f t="shared" si="9"/>
        <v>0</v>
      </c>
    </row>
    <row r="616" spans="2:30" x14ac:dyDescent="0.15">
      <c r="B616" s="630">
        <v>17097006323</v>
      </c>
      <c r="C616" s="630">
        <v>17097007475</v>
      </c>
      <c r="D616" s="630">
        <v>17097004551</v>
      </c>
      <c r="E616" s="630" t="s">
        <v>533</v>
      </c>
      <c r="F616" s="630" t="s">
        <v>534</v>
      </c>
      <c r="G616" s="630" t="s">
        <v>373</v>
      </c>
      <c r="H616" s="630" t="s">
        <v>382</v>
      </c>
      <c r="I616" s="630"/>
      <c r="J616" s="630" t="s">
        <v>535</v>
      </c>
      <c r="K616" s="630"/>
      <c r="L616" s="630"/>
      <c r="M616" s="630"/>
      <c r="N616" s="630"/>
      <c r="O616" s="630"/>
      <c r="P616" s="630"/>
      <c r="Q616" s="630"/>
      <c r="R616" s="630"/>
      <c r="S616" s="630"/>
      <c r="T616" s="630"/>
      <c r="U616" s="630" t="s">
        <v>559</v>
      </c>
      <c r="V616" s="630">
        <v>1</v>
      </c>
      <c r="W616" s="630" t="s">
        <v>560</v>
      </c>
      <c r="X616" s="630" t="s">
        <v>541</v>
      </c>
      <c r="Y616" s="630" t="s">
        <v>541</v>
      </c>
      <c r="Z616" s="630">
        <v>0.41542699999999999</v>
      </c>
      <c r="AA616" s="630">
        <v>0.66856599999999999</v>
      </c>
      <c r="AB616" s="631">
        <v>0</v>
      </c>
      <c r="AC616" s="631">
        <v>0</v>
      </c>
      <c r="AD616" s="631">
        <f t="shared" si="9"/>
        <v>0</v>
      </c>
    </row>
    <row r="617" spans="2:30" x14ac:dyDescent="0.15">
      <c r="B617" s="630">
        <v>17031009721</v>
      </c>
      <c r="C617" s="630">
        <v>17031001231</v>
      </c>
      <c r="D617" s="630">
        <v>17031007805</v>
      </c>
      <c r="E617" s="630" t="s">
        <v>533</v>
      </c>
      <c r="F617" s="630" t="s">
        <v>534</v>
      </c>
      <c r="G617" s="630" t="s">
        <v>365</v>
      </c>
      <c r="H617" s="630" t="s">
        <v>613</v>
      </c>
      <c r="I617" s="630"/>
      <c r="J617" s="630" t="s">
        <v>577</v>
      </c>
      <c r="K617" s="630" t="s">
        <v>572</v>
      </c>
      <c r="L617" s="630"/>
      <c r="M617" s="630"/>
      <c r="N617" s="630"/>
      <c r="O617" s="630"/>
      <c r="P617" s="630"/>
      <c r="Q617" s="630"/>
      <c r="R617" s="630"/>
      <c r="S617" s="630"/>
      <c r="T617" s="630"/>
      <c r="U617" s="630" t="s">
        <v>559</v>
      </c>
      <c r="V617" s="630">
        <v>1</v>
      </c>
      <c r="W617" s="630" t="s">
        <v>560</v>
      </c>
      <c r="X617" s="630" t="s">
        <v>541</v>
      </c>
      <c r="Y617" s="630" t="s">
        <v>541</v>
      </c>
      <c r="Z617" s="630">
        <v>0.204232</v>
      </c>
      <c r="AA617" s="630">
        <v>0.328679</v>
      </c>
      <c r="AB617" s="631">
        <v>0</v>
      </c>
      <c r="AC617" s="631">
        <v>0</v>
      </c>
      <c r="AD617" s="631">
        <f t="shared" si="9"/>
        <v>0</v>
      </c>
    </row>
    <row r="618" spans="2:30" x14ac:dyDescent="0.15">
      <c r="B618" s="630">
        <v>17031003106</v>
      </c>
      <c r="C618" s="630">
        <v>17031001563</v>
      </c>
      <c r="D618" s="630">
        <v>17031001560</v>
      </c>
      <c r="E618" s="630" t="s">
        <v>533</v>
      </c>
      <c r="F618" s="630" t="s">
        <v>534</v>
      </c>
      <c r="G618" s="630" t="s">
        <v>365</v>
      </c>
      <c r="H618" s="630" t="s">
        <v>535</v>
      </c>
      <c r="I618" s="630"/>
      <c r="J618" s="630" t="s">
        <v>382</v>
      </c>
      <c r="K618" s="630" t="s">
        <v>536</v>
      </c>
      <c r="L618" s="630"/>
      <c r="M618" s="630"/>
      <c r="N618" s="630"/>
      <c r="O618" s="630"/>
      <c r="P618" s="630"/>
      <c r="Q618" s="630"/>
      <c r="R618" s="630"/>
      <c r="S618" s="630" t="s">
        <v>537</v>
      </c>
      <c r="T618" s="630"/>
      <c r="U618" s="630" t="s">
        <v>538</v>
      </c>
      <c r="V618" s="630">
        <v>2</v>
      </c>
      <c r="W618" s="630" t="s">
        <v>582</v>
      </c>
      <c r="X618" s="630" t="s">
        <v>540</v>
      </c>
      <c r="Y618" s="630" t="s">
        <v>549</v>
      </c>
      <c r="Z618" s="630">
        <v>0.59954499999999999</v>
      </c>
      <c r="AA618" s="630">
        <v>0.96487599999999996</v>
      </c>
      <c r="AB618" s="631">
        <v>10720</v>
      </c>
      <c r="AC618" s="631">
        <v>853160</v>
      </c>
      <c r="AD618" s="631">
        <f t="shared" si="9"/>
        <v>511507.81219999999</v>
      </c>
    </row>
    <row r="619" spans="2:30" x14ac:dyDescent="0.15">
      <c r="B619" s="630">
        <v>17031003247</v>
      </c>
      <c r="C619" s="630">
        <v>17031006979</v>
      </c>
      <c r="D619" s="630">
        <v>17031000512</v>
      </c>
      <c r="E619" s="630" t="s">
        <v>533</v>
      </c>
      <c r="F619" s="630" t="s">
        <v>534</v>
      </c>
      <c r="G619" s="630" t="s">
        <v>365</v>
      </c>
      <c r="H619" s="630" t="s">
        <v>382</v>
      </c>
      <c r="I619" s="630"/>
      <c r="J619" s="630" t="s">
        <v>547</v>
      </c>
      <c r="K619" s="630"/>
      <c r="L619" s="630"/>
      <c r="M619" s="630"/>
      <c r="N619" s="630"/>
      <c r="O619" s="630"/>
      <c r="P619" s="630"/>
      <c r="Q619" s="630"/>
      <c r="R619" s="630"/>
      <c r="S619" s="630" t="s">
        <v>608</v>
      </c>
      <c r="T619" s="630"/>
      <c r="U619" s="630" t="s">
        <v>538</v>
      </c>
      <c r="V619" s="630">
        <v>4</v>
      </c>
      <c r="W619" s="630" t="s">
        <v>545</v>
      </c>
      <c r="X619" s="630" t="s">
        <v>541</v>
      </c>
      <c r="Y619" s="630" t="s">
        <v>540</v>
      </c>
      <c r="Z619" s="630">
        <v>0.682064</v>
      </c>
      <c r="AA619" s="630">
        <v>1.097677</v>
      </c>
      <c r="AB619" s="631">
        <v>0</v>
      </c>
      <c r="AC619" s="631">
        <v>0</v>
      </c>
      <c r="AD619" s="631">
        <f t="shared" si="9"/>
        <v>0</v>
      </c>
    </row>
    <row r="620" spans="2:30" x14ac:dyDescent="0.15">
      <c r="B620" s="630">
        <v>17031004043</v>
      </c>
      <c r="C620" s="630">
        <v>17031000415</v>
      </c>
      <c r="D620" s="630">
        <v>17031004610</v>
      </c>
      <c r="E620" s="630" t="s">
        <v>533</v>
      </c>
      <c r="F620" s="630" t="s">
        <v>534</v>
      </c>
      <c r="G620" s="630" t="s">
        <v>365</v>
      </c>
      <c r="H620" s="630" t="s">
        <v>382</v>
      </c>
      <c r="I620" s="630"/>
      <c r="J620" s="630" t="s">
        <v>547</v>
      </c>
      <c r="K620" s="630"/>
      <c r="L620" s="630"/>
      <c r="M620" s="630"/>
      <c r="N620" s="630"/>
      <c r="O620" s="630"/>
      <c r="P620" s="630"/>
      <c r="Q620" s="630"/>
      <c r="R620" s="630"/>
      <c r="S620" s="630" t="s">
        <v>608</v>
      </c>
      <c r="T620" s="630"/>
      <c r="U620" s="630" t="s">
        <v>538</v>
      </c>
      <c r="V620" s="630">
        <v>3</v>
      </c>
      <c r="W620" s="630" t="s">
        <v>566</v>
      </c>
      <c r="X620" s="630" t="s">
        <v>541</v>
      </c>
      <c r="Y620" s="630" t="s">
        <v>540</v>
      </c>
      <c r="Z620" s="630">
        <v>0.99432399999999999</v>
      </c>
      <c r="AA620" s="630">
        <v>1.6002130000000001</v>
      </c>
      <c r="AB620" s="631">
        <v>0</v>
      </c>
      <c r="AC620" s="631">
        <v>0</v>
      </c>
      <c r="AD620" s="631">
        <f t="shared" si="9"/>
        <v>0</v>
      </c>
    </row>
    <row r="621" spans="2:30" x14ac:dyDescent="0.15">
      <c r="B621" s="630">
        <v>17031004680</v>
      </c>
      <c r="C621" s="630">
        <v>17031001172</v>
      </c>
      <c r="D621" s="630">
        <v>17031001167</v>
      </c>
      <c r="E621" s="630" t="s">
        <v>533</v>
      </c>
      <c r="F621" s="630" t="s">
        <v>534</v>
      </c>
      <c r="G621" s="630" t="s">
        <v>365</v>
      </c>
      <c r="H621" s="630" t="s">
        <v>547</v>
      </c>
      <c r="I621" s="630"/>
      <c r="J621" s="630"/>
      <c r="K621" s="630"/>
      <c r="L621" s="630"/>
      <c r="M621" s="630"/>
      <c r="N621" s="630"/>
      <c r="O621" s="630"/>
      <c r="P621" s="630"/>
      <c r="Q621" s="630"/>
      <c r="R621" s="630"/>
      <c r="S621" s="630"/>
      <c r="T621" s="630"/>
      <c r="U621" s="630" t="s">
        <v>538</v>
      </c>
      <c r="V621" s="630">
        <v>4</v>
      </c>
      <c r="W621" s="630" t="s">
        <v>545</v>
      </c>
      <c r="X621" s="630" t="s">
        <v>541</v>
      </c>
      <c r="Y621" s="630" t="s">
        <v>540</v>
      </c>
      <c r="Z621" s="630">
        <v>0.58590500000000001</v>
      </c>
      <c r="AA621" s="630">
        <v>0.94292399999999998</v>
      </c>
      <c r="AB621" s="631">
        <v>0</v>
      </c>
      <c r="AC621" s="631">
        <v>0</v>
      </c>
      <c r="AD621" s="631">
        <f t="shared" si="9"/>
        <v>0</v>
      </c>
    </row>
    <row r="622" spans="2:30" x14ac:dyDescent="0.15">
      <c r="B622" s="630">
        <v>17031006359</v>
      </c>
      <c r="C622" s="630">
        <v>17031000525</v>
      </c>
      <c r="D622" s="630">
        <v>17999099090</v>
      </c>
      <c r="E622" s="630" t="s">
        <v>533</v>
      </c>
      <c r="F622" s="630" t="s">
        <v>534</v>
      </c>
      <c r="G622" s="630" t="s">
        <v>365</v>
      </c>
      <c r="H622" s="630" t="s">
        <v>382</v>
      </c>
      <c r="I622" s="630"/>
      <c r="J622" s="630"/>
      <c r="K622" s="630"/>
      <c r="L622" s="630"/>
      <c r="M622" s="630"/>
      <c r="N622" s="630"/>
      <c r="O622" s="630"/>
      <c r="P622" s="630"/>
      <c r="Q622" s="630"/>
      <c r="R622" s="630"/>
      <c r="S622" s="630"/>
      <c r="T622" s="630" t="s">
        <v>626</v>
      </c>
      <c r="U622" s="630" t="s">
        <v>559</v>
      </c>
      <c r="V622" s="630">
        <v>1</v>
      </c>
      <c r="W622" s="630" t="s">
        <v>539</v>
      </c>
      <c r="X622" s="630" t="s">
        <v>541</v>
      </c>
      <c r="Y622" s="630" t="s">
        <v>541</v>
      </c>
      <c r="Z622" s="630">
        <v>0.174595</v>
      </c>
      <c r="AA622" s="630">
        <v>0.28098400000000001</v>
      </c>
      <c r="AB622" s="631">
        <v>206080</v>
      </c>
      <c r="AC622" s="631">
        <v>3031800</v>
      </c>
      <c r="AD622" s="631">
        <f t="shared" si="9"/>
        <v>529337.12100000004</v>
      </c>
    </row>
    <row r="623" spans="2:30" x14ac:dyDescent="0.15">
      <c r="B623" s="630">
        <v>17197006537</v>
      </c>
      <c r="C623" s="630">
        <v>17197004787</v>
      </c>
      <c r="D623" s="630">
        <v>17197004788</v>
      </c>
      <c r="E623" s="630" t="s">
        <v>533</v>
      </c>
      <c r="F623" s="630" t="s">
        <v>534</v>
      </c>
      <c r="G623" s="630" t="s">
        <v>377</v>
      </c>
      <c r="H623" s="630" t="s">
        <v>547</v>
      </c>
      <c r="I623" s="630"/>
      <c r="J623" s="630"/>
      <c r="K623" s="630"/>
      <c r="L623" s="630"/>
      <c r="M623" s="630"/>
      <c r="N623" s="630"/>
      <c r="O623" s="630"/>
      <c r="P623" s="630"/>
      <c r="Q623" s="630"/>
      <c r="R623" s="630"/>
      <c r="S623" s="630"/>
      <c r="T623" s="630"/>
      <c r="U623" s="630" t="s">
        <v>538</v>
      </c>
      <c r="V623" s="630">
        <v>2</v>
      </c>
      <c r="W623" s="630" t="s">
        <v>582</v>
      </c>
      <c r="X623" s="630" t="s">
        <v>541</v>
      </c>
      <c r="Y623" s="630" t="s">
        <v>540</v>
      </c>
      <c r="Z623" s="630">
        <v>0.205538</v>
      </c>
      <c r="AA623" s="630">
        <v>0.33078200000000002</v>
      </c>
      <c r="AB623" s="631">
        <v>0</v>
      </c>
      <c r="AC623" s="631">
        <v>0</v>
      </c>
      <c r="AD623" s="631">
        <f t="shared" si="9"/>
        <v>0</v>
      </c>
    </row>
    <row r="624" spans="2:30" x14ac:dyDescent="0.15">
      <c r="B624" s="630">
        <v>17197007028</v>
      </c>
      <c r="C624" s="630">
        <v>17197005583</v>
      </c>
      <c r="D624" s="630">
        <v>17197005584</v>
      </c>
      <c r="E624" s="630" t="s">
        <v>533</v>
      </c>
      <c r="F624" s="630" t="s">
        <v>534</v>
      </c>
      <c r="G624" s="630" t="s">
        <v>377</v>
      </c>
      <c r="H624" s="630" t="s">
        <v>382</v>
      </c>
      <c r="I624" s="630"/>
      <c r="J624" s="630"/>
      <c r="K624" s="630"/>
      <c r="L624" s="630"/>
      <c r="M624" s="630"/>
      <c r="N624" s="630"/>
      <c r="O624" s="630"/>
      <c r="P624" s="630"/>
      <c r="Q624" s="630"/>
      <c r="R624" s="630"/>
      <c r="S624" s="630" t="s">
        <v>592</v>
      </c>
      <c r="T624" s="630"/>
      <c r="U624" s="630" t="s">
        <v>559</v>
      </c>
      <c r="V624" s="630">
        <v>1</v>
      </c>
      <c r="W624" s="630" t="s">
        <v>539</v>
      </c>
      <c r="X624" s="630" t="s">
        <v>541</v>
      </c>
      <c r="Y624" s="630" t="s">
        <v>541</v>
      </c>
      <c r="Z624" s="630">
        <v>0.18296200000000001</v>
      </c>
      <c r="AA624" s="630">
        <v>0.29444900000000002</v>
      </c>
      <c r="AB624" s="631">
        <v>0</v>
      </c>
      <c r="AC624" s="631">
        <v>0</v>
      </c>
      <c r="AD624" s="631">
        <f t="shared" si="9"/>
        <v>0</v>
      </c>
    </row>
    <row r="625" spans="2:30" x14ac:dyDescent="0.15">
      <c r="B625" s="630">
        <v>17031008579</v>
      </c>
      <c r="C625" s="630">
        <v>17031004698</v>
      </c>
      <c r="D625" s="630">
        <v>17031007051</v>
      </c>
      <c r="E625" s="630" t="s">
        <v>533</v>
      </c>
      <c r="F625" s="630" t="s">
        <v>534</v>
      </c>
      <c r="G625" s="630" t="s">
        <v>365</v>
      </c>
      <c r="H625" s="630" t="s">
        <v>547</v>
      </c>
      <c r="I625" s="630"/>
      <c r="J625" s="630"/>
      <c r="K625" s="630"/>
      <c r="L625" s="630"/>
      <c r="M625" s="630"/>
      <c r="N625" s="630"/>
      <c r="O625" s="630"/>
      <c r="P625" s="630"/>
      <c r="Q625" s="630"/>
      <c r="R625" s="630"/>
      <c r="S625" s="630" t="s">
        <v>611</v>
      </c>
      <c r="T625" s="630"/>
      <c r="U625" s="630" t="s">
        <v>538</v>
      </c>
      <c r="V625" s="630">
        <v>2</v>
      </c>
      <c r="W625" s="630" t="s">
        <v>582</v>
      </c>
      <c r="X625" s="630" t="s">
        <v>541</v>
      </c>
      <c r="Y625" s="630" t="s">
        <v>540</v>
      </c>
      <c r="Z625" s="630">
        <v>0.143153</v>
      </c>
      <c r="AA625" s="630">
        <v>0.230383</v>
      </c>
      <c r="AB625" s="631">
        <v>0</v>
      </c>
      <c r="AC625" s="631">
        <v>0</v>
      </c>
      <c r="AD625" s="631">
        <f t="shared" si="9"/>
        <v>0</v>
      </c>
    </row>
    <row r="626" spans="2:30" x14ac:dyDescent="0.15">
      <c r="B626" s="630">
        <v>17089002030</v>
      </c>
      <c r="C626" s="630">
        <v>17089000287</v>
      </c>
      <c r="D626" s="630">
        <v>17089000284</v>
      </c>
      <c r="E626" s="630" t="s">
        <v>533</v>
      </c>
      <c r="F626" s="630" t="s">
        <v>534</v>
      </c>
      <c r="G626" s="630" t="s">
        <v>369</v>
      </c>
      <c r="H626" s="630" t="s">
        <v>552</v>
      </c>
      <c r="I626" s="630"/>
      <c r="J626" s="630"/>
      <c r="K626" s="630"/>
      <c r="L626" s="630"/>
      <c r="M626" s="630"/>
      <c r="N626" s="630"/>
      <c r="O626" s="630"/>
      <c r="P626" s="630"/>
      <c r="Q626" s="630"/>
      <c r="R626" s="630"/>
      <c r="S626" s="630" t="s">
        <v>607</v>
      </c>
      <c r="T626" s="630"/>
      <c r="U626" s="630" t="s">
        <v>538</v>
      </c>
      <c r="V626" s="630">
        <v>1</v>
      </c>
      <c r="W626" s="630" t="s">
        <v>582</v>
      </c>
      <c r="X626" s="630" t="s">
        <v>540</v>
      </c>
      <c r="Y626" s="630" t="s">
        <v>540</v>
      </c>
      <c r="Z626" s="630">
        <v>2.67205</v>
      </c>
      <c r="AA626" s="630">
        <v>4.3002560000000001</v>
      </c>
      <c r="AB626" s="631">
        <v>73903</v>
      </c>
      <c r="AC626" s="631">
        <v>7739424</v>
      </c>
      <c r="AD626" s="631">
        <f t="shared" si="9"/>
        <v>20680127.8992</v>
      </c>
    </row>
    <row r="627" spans="2:30" x14ac:dyDescent="0.15">
      <c r="B627" s="630">
        <v>17031002355</v>
      </c>
      <c r="C627" s="630">
        <v>17031001414</v>
      </c>
      <c r="D627" s="630">
        <v>17031001411</v>
      </c>
      <c r="E627" s="630" t="s">
        <v>533</v>
      </c>
      <c r="F627" s="630" t="s">
        <v>534</v>
      </c>
      <c r="G627" s="630" t="s">
        <v>365</v>
      </c>
      <c r="H627" s="630" t="s">
        <v>551</v>
      </c>
      <c r="I627" s="630" t="s">
        <v>535</v>
      </c>
      <c r="J627" s="630" t="s">
        <v>381</v>
      </c>
      <c r="K627" s="630" t="s">
        <v>552</v>
      </c>
      <c r="L627" s="630"/>
      <c r="M627" s="630"/>
      <c r="N627" s="630"/>
      <c r="O627" s="630"/>
      <c r="P627" s="630"/>
      <c r="Q627" s="630"/>
      <c r="R627" s="630"/>
      <c r="S627" s="630" t="s">
        <v>553</v>
      </c>
      <c r="T627" s="630"/>
      <c r="U627" s="630" t="s">
        <v>538</v>
      </c>
      <c r="V627" s="630">
        <v>2</v>
      </c>
      <c r="W627" s="630" t="s">
        <v>545</v>
      </c>
      <c r="X627" s="630" t="s">
        <v>540</v>
      </c>
      <c r="Y627" s="630" t="s">
        <v>549</v>
      </c>
      <c r="Z627" s="630">
        <v>0.51096699999999995</v>
      </c>
      <c r="AA627" s="630">
        <v>0.82232300000000003</v>
      </c>
      <c r="AB627" s="631">
        <v>682116</v>
      </c>
      <c r="AC627" s="631">
        <v>24457070</v>
      </c>
      <c r="AD627" s="631">
        <f t="shared" si="9"/>
        <v>12496755.686689999</v>
      </c>
    </row>
    <row r="628" spans="2:30" x14ac:dyDescent="0.15">
      <c r="B628" s="630">
        <v>17043004087</v>
      </c>
      <c r="C628" s="630">
        <v>17043004781</v>
      </c>
      <c r="D628" s="630">
        <v>17043000588</v>
      </c>
      <c r="E628" s="630" t="s">
        <v>533</v>
      </c>
      <c r="F628" s="630" t="s">
        <v>534</v>
      </c>
      <c r="G628" s="630" t="s">
        <v>367</v>
      </c>
      <c r="H628" s="630" t="s">
        <v>382</v>
      </c>
      <c r="I628" s="630"/>
      <c r="J628" s="630"/>
      <c r="K628" s="630"/>
      <c r="L628" s="630"/>
      <c r="M628" s="630"/>
      <c r="N628" s="630"/>
      <c r="O628" s="630"/>
      <c r="P628" s="630"/>
      <c r="Q628" s="630"/>
      <c r="R628" s="630"/>
      <c r="S628" s="630" t="s">
        <v>561</v>
      </c>
      <c r="T628" s="630"/>
      <c r="U628" s="630" t="s">
        <v>538</v>
      </c>
      <c r="V628" s="630">
        <v>1</v>
      </c>
      <c r="W628" s="630" t="s">
        <v>562</v>
      </c>
      <c r="X628" s="630" t="s">
        <v>541</v>
      </c>
      <c r="Y628" s="630" t="s">
        <v>540</v>
      </c>
      <c r="Z628" s="630">
        <v>0.32693899999999998</v>
      </c>
      <c r="AA628" s="630">
        <v>0.52615900000000004</v>
      </c>
      <c r="AB628" s="631">
        <v>17266</v>
      </c>
      <c r="AC628" s="631">
        <v>441968</v>
      </c>
      <c r="AD628" s="631">
        <f t="shared" si="9"/>
        <v>144496.57595199998</v>
      </c>
    </row>
    <row r="629" spans="2:30" x14ac:dyDescent="0.15">
      <c r="B629" s="630">
        <v>17031004273</v>
      </c>
      <c r="C629" s="630">
        <v>17031000843</v>
      </c>
      <c r="D629" s="630">
        <v>17031000825</v>
      </c>
      <c r="E629" s="630" t="s">
        <v>533</v>
      </c>
      <c r="F629" s="630" t="s">
        <v>534</v>
      </c>
      <c r="G629" s="630" t="s">
        <v>365</v>
      </c>
      <c r="H629" s="630" t="s">
        <v>547</v>
      </c>
      <c r="I629" s="630"/>
      <c r="J629" s="630" t="s">
        <v>542</v>
      </c>
      <c r="K629" s="630" t="s">
        <v>543</v>
      </c>
      <c r="L629" s="630" t="s">
        <v>382</v>
      </c>
      <c r="M629" s="630"/>
      <c r="N629" s="630"/>
      <c r="O629" s="630"/>
      <c r="P629" s="630"/>
      <c r="Q629" s="630"/>
      <c r="R629" s="630"/>
      <c r="S629" s="630" t="s">
        <v>602</v>
      </c>
      <c r="T629" s="630" t="s">
        <v>659</v>
      </c>
      <c r="U629" s="630" t="s">
        <v>538</v>
      </c>
      <c r="V629" s="630">
        <v>2</v>
      </c>
      <c r="W629" s="630" t="s">
        <v>545</v>
      </c>
      <c r="X629" s="630" t="s">
        <v>540</v>
      </c>
      <c r="Y629" s="630" t="s">
        <v>554</v>
      </c>
      <c r="Z629" s="630">
        <v>0.30379499999999998</v>
      </c>
      <c r="AA629" s="630">
        <v>0.48891099999999998</v>
      </c>
      <c r="AB629" s="631">
        <v>202799</v>
      </c>
      <c r="AC629" s="631">
        <v>7241376</v>
      </c>
      <c r="AD629" s="631">
        <f t="shared" si="9"/>
        <v>2199893.82192</v>
      </c>
    </row>
    <row r="630" spans="2:30" x14ac:dyDescent="0.15">
      <c r="B630" s="630">
        <v>17031005066</v>
      </c>
      <c r="C630" s="630">
        <v>17031001409</v>
      </c>
      <c r="D630" s="630">
        <v>17031001408</v>
      </c>
      <c r="E630" s="630" t="s">
        <v>533</v>
      </c>
      <c r="F630" s="630" t="s">
        <v>534</v>
      </c>
      <c r="G630" s="630" t="s">
        <v>365</v>
      </c>
      <c r="H630" s="630" t="s">
        <v>382</v>
      </c>
      <c r="I630" s="630"/>
      <c r="J630" s="630" t="s">
        <v>542</v>
      </c>
      <c r="K630" s="630" t="s">
        <v>551</v>
      </c>
      <c r="L630" s="630" t="s">
        <v>555</v>
      </c>
      <c r="M630" s="630" t="s">
        <v>552</v>
      </c>
      <c r="N630" s="630"/>
      <c r="O630" s="630"/>
      <c r="P630" s="630"/>
      <c r="Q630" s="630"/>
      <c r="R630" s="630"/>
      <c r="S630" s="630" t="s">
        <v>556</v>
      </c>
      <c r="T630" s="630" t="s">
        <v>631</v>
      </c>
      <c r="U630" s="630" t="s">
        <v>538</v>
      </c>
      <c r="V630" s="630">
        <v>2</v>
      </c>
      <c r="W630" s="630" t="s">
        <v>545</v>
      </c>
      <c r="X630" s="630" t="s">
        <v>580</v>
      </c>
      <c r="Y630" s="630" t="s">
        <v>554</v>
      </c>
      <c r="Z630" s="630">
        <v>0.44153500000000001</v>
      </c>
      <c r="AA630" s="630">
        <v>0.71058299999999996</v>
      </c>
      <c r="AB630" s="631">
        <v>759364</v>
      </c>
      <c r="AC630" s="631">
        <v>32851363</v>
      </c>
      <c r="AD630" s="631">
        <f t="shared" si="9"/>
        <v>14505026.562205</v>
      </c>
    </row>
    <row r="631" spans="2:30" x14ac:dyDescent="0.15">
      <c r="B631" s="630">
        <v>17031009447</v>
      </c>
      <c r="C631" s="630">
        <v>17031000306</v>
      </c>
      <c r="D631" s="630">
        <v>17031007551</v>
      </c>
      <c r="E631" s="630" t="s">
        <v>533</v>
      </c>
      <c r="F631" s="630" t="s">
        <v>534</v>
      </c>
      <c r="G631" s="630" t="s">
        <v>365</v>
      </c>
      <c r="H631" s="630" t="s">
        <v>382</v>
      </c>
      <c r="I631" s="630"/>
      <c r="J631" s="630" t="s">
        <v>552</v>
      </c>
      <c r="K631" s="630"/>
      <c r="L631" s="630"/>
      <c r="M631" s="630"/>
      <c r="N631" s="630"/>
      <c r="O631" s="630"/>
      <c r="P631" s="630"/>
      <c r="Q631" s="630"/>
      <c r="R631" s="630"/>
      <c r="S631" s="630" t="s">
        <v>586</v>
      </c>
      <c r="T631" s="630"/>
      <c r="U631" s="630" t="s">
        <v>538</v>
      </c>
      <c r="V631" s="630">
        <v>2</v>
      </c>
      <c r="W631" s="630" t="s">
        <v>582</v>
      </c>
      <c r="X631" s="630" t="s">
        <v>580</v>
      </c>
      <c r="Y631" s="630" t="s">
        <v>549</v>
      </c>
      <c r="Z631" s="630">
        <v>0.44416099999999997</v>
      </c>
      <c r="AA631" s="630">
        <v>0.71480999999999995</v>
      </c>
      <c r="AB631" s="631">
        <v>604542</v>
      </c>
      <c r="AC631" s="631">
        <v>41645174</v>
      </c>
      <c r="AD631" s="631">
        <f t="shared" si="9"/>
        <v>18497162.129014</v>
      </c>
    </row>
    <row r="632" spans="2:30" x14ac:dyDescent="0.15">
      <c r="B632" s="630">
        <v>17031002616</v>
      </c>
      <c r="C632" s="630">
        <v>17031004724</v>
      </c>
      <c r="D632" s="630">
        <v>17031001238</v>
      </c>
      <c r="E632" s="630" t="s">
        <v>533</v>
      </c>
      <c r="F632" s="630" t="s">
        <v>534</v>
      </c>
      <c r="G632" s="630" t="s">
        <v>365</v>
      </c>
      <c r="H632" s="630" t="s">
        <v>547</v>
      </c>
      <c r="I632" s="630"/>
      <c r="J632" s="630"/>
      <c r="K632" s="630"/>
      <c r="L632" s="630"/>
      <c r="M632" s="630"/>
      <c r="N632" s="630"/>
      <c r="O632" s="630"/>
      <c r="P632" s="630"/>
      <c r="Q632" s="630"/>
      <c r="R632" s="630"/>
      <c r="S632" s="630"/>
      <c r="T632" s="630"/>
      <c r="U632" s="630" t="s">
        <v>538</v>
      </c>
      <c r="V632" s="630">
        <v>1</v>
      </c>
      <c r="W632" s="630" t="s">
        <v>582</v>
      </c>
      <c r="X632" s="630" t="s">
        <v>541</v>
      </c>
      <c r="Y632" s="630" t="s">
        <v>541</v>
      </c>
      <c r="Z632" s="630">
        <v>0.50756599999999996</v>
      </c>
      <c r="AA632" s="630">
        <v>0.81684999999999997</v>
      </c>
      <c r="AB632" s="631">
        <v>0</v>
      </c>
      <c r="AC632" s="631">
        <v>0</v>
      </c>
      <c r="AD632" s="631">
        <f t="shared" si="9"/>
        <v>0</v>
      </c>
    </row>
    <row r="633" spans="2:30" x14ac:dyDescent="0.15">
      <c r="B633" s="630">
        <v>17043009118</v>
      </c>
      <c r="C633" s="630">
        <v>17043007323</v>
      </c>
      <c r="D633" s="630">
        <v>17043007326</v>
      </c>
      <c r="E633" s="630" t="s">
        <v>533</v>
      </c>
      <c r="F633" s="630" t="s">
        <v>534</v>
      </c>
      <c r="G633" s="630" t="s">
        <v>367</v>
      </c>
      <c r="H633" s="630" t="s">
        <v>535</v>
      </c>
      <c r="I633" s="630"/>
      <c r="J633" s="630"/>
      <c r="K633" s="630"/>
      <c r="L633" s="630"/>
      <c r="M633" s="630"/>
      <c r="N633" s="630"/>
      <c r="O633" s="630"/>
      <c r="P633" s="630"/>
      <c r="Q633" s="630"/>
      <c r="R633" s="630"/>
      <c r="S633" s="630"/>
      <c r="T633" s="630"/>
      <c r="U633" s="630" t="s">
        <v>559</v>
      </c>
      <c r="V633" s="630">
        <v>1</v>
      </c>
      <c r="W633" s="630" t="s">
        <v>560</v>
      </c>
      <c r="X633" s="630" t="s">
        <v>541</v>
      </c>
      <c r="Y633" s="630" t="s">
        <v>541</v>
      </c>
      <c r="Z633" s="630">
        <v>0.208153</v>
      </c>
      <c r="AA633" s="630">
        <v>0.33499000000000001</v>
      </c>
      <c r="AB633" s="631">
        <v>0</v>
      </c>
      <c r="AC633" s="631">
        <v>0</v>
      </c>
      <c r="AD633" s="631">
        <f t="shared" si="9"/>
        <v>0</v>
      </c>
    </row>
    <row r="634" spans="2:30" x14ac:dyDescent="0.15">
      <c r="B634" s="630">
        <v>17097002161</v>
      </c>
      <c r="C634" s="630">
        <v>17999019042</v>
      </c>
      <c r="D634" s="630">
        <v>17097004538</v>
      </c>
      <c r="E634" s="630" t="s">
        <v>533</v>
      </c>
      <c r="F634" s="630" t="s">
        <v>534</v>
      </c>
      <c r="G634" s="630" t="s">
        <v>373</v>
      </c>
      <c r="H634" s="630" t="s">
        <v>552</v>
      </c>
      <c r="I634" s="630"/>
      <c r="J634" s="630" t="s">
        <v>542</v>
      </c>
      <c r="K634" s="630" t="s">
        <v>547</v>
      </c>
      <c r="L634" s="630" t="s">
        <v>563</v>
      </c>
      <c r="M634" s="630"/>
      <c r="N634" s="630"/>
      <c r="O634" s="630"/>
      <c r="P634" s="630"/>
      <c r="Q634" s="630"/>
      <c r="R634" s="630"/>
      <c r="S634" s="630" t="s">
        <v>564</v>
      </c>
      <c r="T634" s="630"/>
      <c r="U634" s="630" t="s">
        <v>538</v>
      </c>
      <c r="V634" s="630">
        <v>2</v>
      </c>
      <c r="W634" s="630" t="s">
        <v>545</v>
      </c>
      <c r="X634" s="630" t="s">
        <v>549</v>
      </c>
      <c r="Y634" s="630" t="s">
        <v>540</v>
      </c>
      <c r="Z634" s="630">
        <v>1.133947</v>
      </c>
      <c r="AA634" s="630">
        <v>1.8249139999999999</v>
      </c>
      <c r="AB634" s="631">
        <v>529599</v>
      </c>
      <c r="AC634" s="631">
        <v>32992685</v>
      </c>
      <c r="AD634" s="631">
        <f t="shared" si="9"/>
        <v>37411956.177694999</v>
      </c>
    </row>
    <row r="635" spans="2:30" x14ac:dyDescent="0.15">
      <c r="B635" s="630">
        <v>17197004002</v>
      </c>
      <c r="C635" s="630">
        <v>17197001626</v>
      </c>
      <c r="D635" s="630">
        <v>17197001617</v>
      </c>
      <c r="E635" s="630" t="s">
        <v>533</v>
      </c>
      <c r="F635" s="630" t="s">
        <v>534</v>
      </c>
      <c r="G635" s="630" t="s">
        <v>377</v>
      </c>
      <c r="H635" s="630" t="s">
        <v>535</v>
      </c>
      <c r="I635" s="630"/>
      <c r="J635" s="630" t="s">
        <v>542</v>
      </c>
      <c r="K635" s="630" t="s">
        <v>543</v>
      </c>
      <c r="L635" s="630"/>
      <c r="M635" s="630"/>
      <c r="N635" s="630"/>
      <c r="O635" s="630"/>
      <c r="P635" s="630"/>
      <c r="Q635" s="630"/>
      <c r="R635" s="630"/>
      <c r="S635" s="630" t="s">
        <v>544</v>
      </c>
      <c r="T635" s="630"/>
      <c r="U635" s="630" t="s">
        <v>538</v>
      </c>
      <c r="V635" s="630">
        <v>1</v>
      </c>
      <c r="W635" s="630" t="s">
        <v>545</v>
      </c>
      <c r="X635" s="630" t="s">
        <v>546</v>
      </c>
      <c r="Y635" s="630" t="s">
        <v>549</v>
      </c>
      <c r="Z635" s="630">
        <v>0.20635200000000001</v>
      </c>
      <c r="AA635" s="630">
        <v>0.332092</v>
      </c>
      <c r="AB635" s="631">
        <v>436246</v>
      </c>
      <c r="AC635" s="631">
        <v>24014023</v>
      </c>
      <c r="AD635" s="631">
        <f t="shared" si="9"/>
        <v>4955341.6740960004</v>
      </c>
    </row>
    <row r="636" spans="2:30" x14ac:dyDescent="0.15">
      <c r="B636" s="630">
        <v>17031005332</v>
      </c>
      <c r="C636" s="630">
        <v>17031001553</v>
      </c>
      <c r="D636" s="630">
        <v>17031001552</v>
      </c>
      <c r="E636" s="630" t="s">
        <v>533</v>
      </c>
      <c r="F636" s="630" t="s">
        <v>534</v>
      </c>
      <c r="G636" s="630" t="s">
        <v>365</v>
      </c>
      <c r="H636" s="630" t="s">
        <v>382</v>
      </c>
      <c r="I636" s="630"/>
      <c r="J636" s="630"/>
      <c r="K636" s="630"/>
      <c r="L636" s="630"/>
      <c r="M636" s="630"/>
      <c r="N636" s="630"/>
      <c r="O636" s="630"/>
      <c r="P636" s="630"/>
      <c r="Q636" s="630"/>
      <c r="R636" s="630"/>
      <c r="S636" s="630" t="s">
        <v>576</v>
      </c>
      <c r="T636" s="630"/>
      <c r="U636" s="630" t="s">
        <v>559</v>
      </c>
      <c r="V636" s="630">
        <v>1</v>
      </c>
      <c r="W636" s="630" t="s">
        <v>560</v>
      </c>
      <c r="X636" s="630" t="s">
        <v>541</v>
      </c>
      <c r="Y636" s="630" t="s">
        <v>541</v>
      </c>
      <c r="Z636" s="630">
        <v>5.4078000000000001E-2</v>
      </c>
      <c r="AA636" s="630">
        <v>8.7030999999999997E-2</v>
      </c>
      <c r="AB636" s="631">
        <v>0</v>
      </c>
      <c r="AC636" s="631">
        <v>0</v>
      </c>
      <c r="AD636" s="631">
        <f t="shared" si="9"/>
        <v>0</v>
      </c>
    </row>
    <row r="637" spans="2:30" x14ac:dyDescent="0.15">
      <c r="B637" s="630">
        <v>17031006423</v>
      </c>
      <c r="C637" s="630">
        <v>17031004729</v>
      </c>
      <c r="D637" s="630">
        <v>17031004730</v>
      </c>
      <c r="E637" s="630" t="s">
        <v>533</v>
      </c>
      <c r="F637" s="630" t="s">
        <v>534</v>
      </c>
      <c r="G637" s="630" t="s">
        <v>365</v>
      </c>
      <c r="H637" s="630" t="s">
        <v>571</v>
      </c>
      <c r="I637" s="630"/>
      <c r="J637" s="630" t="s">
        <v>381</v>
      </c>
      <c r="K637" s="630" t="s">
        <v>535</v>
      </c>
      <c r="L637" s="630" t="s">
        <v>552</v>
      </c>
      <c r="M637" s="630" t="s">
        <v>572</v>
      </c>
      <c r="N637" s="630" t="s">
        <v>551</v>
      </c>
      <c r="O637" s="630" t="s">
        <v>555</v>
      </c>
      <c r="P637" s="630" t="s">
        <v>543</v>
      </c>
      <c r="Q637" s="630" t="s">
        <v>382</v>
      </c>
      <c r="R637" s="630" t="s">
        <v>563</v>
      </c>
      <c r="S637" s="630" t="s">
        <v>605</v>
      </c>
      <c r="T637" s="630" t="s">
        <v>574</v>
      </c>
      <c r="U637" s="630" t="s">
        <v>538</v>
      </c>
      <c r="V637" s="630">
        <v>2</v>
      </c>
      <c r="W637" s="630" t="s">
        <v>545</v>
      </c>
      <c r="X637" s="630" t="s">
        <v>575</v>
      </c>
      <c r="Y637" s="630" t="s">
        <v>554</v>
      </c>
      <c r="Z637" s="630">
        <v>0.356462</v>
      </c>
      <c r="AA637" s="630">
        <v>0.57367100000000004</v>
      </c>
      <c r="AB637" s="631">
        <v>269567</v>
      </c>
      <c r="AC637" s="631">
        <v>14123853</v>
      </c>
      <c r="AD637" s="631">
        <f t="shared" si="9"/>
        <v>5034616.8880860005</v>
      </c>
    </row>
    <row r="638" spans="2:30" x14ac:dyDescent="0.15">
      <c r="B638" s="630">
        <v>17197008974</v>
      </c>
      <c r="C638" s="630">
        <v>17197007193</v>
      </c>
      <c r="D638" s="630">
        <v>17197004808</v>
      </c>
      <c r="E638" s="630" t="s">
        <v>533</v>
      </c>
      <c r="F638" s="630" t="s">
        <v>534</v>
      </c>
      <c r="G638" s="630" t="s">
        <v>377</v>
      </c>
      <c r="H638" s="630" t="s">
        <v>382</v>
      </c>
      <c r="I638" s="630"/>
      <c r="J638" s="630" t="s">
        <v>542</v>
      </c>
      <c r="K638" s="630"/>
      <c r="L638" s="630"/>
      <c r="M638" s="630"/>
      <c r="N638" s="630"/>
      <c r="O638" s="630"/>
      <c r="P638" s="630"/>
      <c r="Q638" s="630"/>
      <c r="R638" s="630"/>
      <c r="S638" s="630" t="s">
        <v>606</v>
      </c>
      <c r="T638" s="630"/>
      <c r="U638" s="630" t="s">
        <v>538</v>
      </c>
      <c r="V638" s="630">
        <v>1</v>
      </c>
      <c r="W638" s="630" t="s">
        <v>545</v>
      </c>
      <c r="X638" s="630" t="s">
        <v>541</v>
      </c>
      <c r="Y638" s="630" t="s">
        <v>549</v>
      </c>
      <c r="Z638" s="630">
        <v>0.50942500000000002</v>
      </c>
      <c r="AA638" s="630">
        <v>0.81984299999999999</v>
      </c>
      <c r="AB638" s="631">
        <v>80</v>
      </c>
      <c r="AC638" s="631">
        <v>7840</v>
      </c>
      <c r="AD638" s="631">
        <f t="shared" si="9"/>
        <v>3993.8920000000003</v>
      </c>
    </row>
    <row r="639" spans="2:30" x14ac:dyDescent="0.15">
      <c r="B639" s="630">
        <v>17043009064</v>
      </c>
      <c r="C639" s="630">
        <v>17043000913</v>
      </c>
      <c r="D639" s="630">
        <v>17043007276</v>
      </c>
      <c r="E639" s="630" t="s">
        <v>533</v>
      </c>
      <c r="F639" s="630" t="s">
        <v>534</v>
      </c>
      <c r="G639" s="630" t="s">
        <v>367</v>
      </c>
      <c r="H639" s="630" t="s">
        <v>535</v>
      </c>
      <c r="I639" s="630"/>
      <c r="J639" s="630" t="s">
        <v>536</v>
      </c>
      <c r="K639" s="630" t="s">
        <v>382</v>
      </c>
      <c r="L639" s="630"/>
      <c r="M639" s="630"/>
      <c r="N639" s="630"/>
      <c r="O639" s="630"/>
      <c r="P639" s="630"/>
      <c r="Q639" s="630"/>
      <c r="R639" s="630"/>
      <c r="S639" s="630" t="s">
        <v>550</v>
      </c>
      <c r="T639" s="630"/>
      <c r="U639" s="630" t="s">
        <v>538</v>
      </c>
      <c r="V639" s="630">
        <v>1</v>
      </c>
      <c r="W639" s="630" t="s">
        <v>545</v>
      </c>
      <c r="X639" s="630" t="s">
        <v>540</v>
      </c>
      <c r="Y639" s="630" t="s">
        <v>549</v>
      </c>
      <c r="Z639" s="630">
        <v>1.2213130000000001</v>
      </c>
      <c r="AA639" s="630">
        <v>1.965517</v>
      </c>
      <c r="AB639" s="631">
        <v>21201</v>
      </c>
      <c r="AC639" s="631">
        <v>2116817</v>
      </c>
      <c r="AD639" s="631">
        <f t="shared" si="9"/>
        <v>2585296.1207210002</v>
      </c>
    </row>
    <row r="640" spans="2:30" x14ac:dyDescent="0.15">
      <c r="B640" s="630">
        <v>17197008263</v>
      </c>
      <c r="C640" s="630">
        <v>17197004801</v>
      </c>
      <c r="D640" s="630">
        <v>17197006613</v>
      </c>
      <c r="E640" s="630" t="s">
        <v>533</v>
      </c>
      <c r="F640" s="630" t="s">
        <v>534</v>
      </c>
      <c r="G640" s="630" t="s">
        <v>377</v>
      </c>
      <c r="H640" s="630" t="s">
        <v>535</v>
      </c>
      <c r="I640" s="630"/>
      <c r="J640" s="630" t="s">
        <v>382</v>
      </c>
      <c r="K640" s="630" t="s">
        <v>536</v>
      </c>
      <c r="L640" s="630"/>
      <c r="M640" s="630"/>
      <c r="N640" s="630"/>
      <c r="O640" s="630"/>
      <c r="P640" s="630"/>
      <c r="Q640" s="630"/>
      <c r="R640" s="630"/>
      <c r="S640" s="630" t="s">
        <v>537</v>
      </c>
      <c r="T640" s="630" t="s">
        <v>596</v>
      </c>
      <c r="U640" s="630" t="s">
        <v>538</v>
      </c>
      <c r="V640" s="630">
        <v>2</v>
      </c>
      <c r="W640" s="630" t="s">
        <v>539</v>
      </c>
      <c r="X640" s="630" t="s">
        <v>540</v>
      </c>
      <c r="Y640" s="630" t="s">
        <v>541</v>
      </c>
      <c r="Z640" s="630">
        <v>0.12364600000000001</v>
      </c>
      <c r="AA640" s="630">
        <v>0.19899</v>
      </c>
      <c r="AB640" s="631">
        <v>26971</v>
      </c>
      <c r="AC640" s="631">
        <v>2482114</v>
      </c>
      <c r="AD640" s="631">
        <f t="shared" si="9"/>
        <v>306903.46764400002</v>
      </c>
    </row>
    <row r="641" spans="2:30" x14ac:dyDescent="0.15">
      <c r="B641" s="630">
        <v>17031009563</v>
      </c>
      <c r="C641" s="630">
        <v>17031007658</v>
      </c>
      <c r="D641" s="630">
        <v>17031007656</v>
      </c>
      <c r="E641" s="630" t="s">
        <v>533</v>
      </c>
      <c r="F641" s="630" t="s">
        <v>534</v>
      </c>
      <c r="G641" s="630" t="s">
        <v>365</v>
      </c>
      <c r="H641" s="630" t="s">
        <v>382</v>
      </c>
      <c r="I641" s="630"/>
      <c r="J641" s="630"/>
      <c r="K641" s="630"/>
      <c r="L641" s="630"/>
      <c r="M641" s="630"/>
      <c r="N641" s="630"/>
      <c r="O641" s="630"/>
      <c r="P641" s="630"/>
      <c r="Q641" s="630"/>
      <c r="R641" s="630"/>
      <c r="S641" s="630" t="s">
        <v>576</v>
      </c>
      <c r="T641" s="630"/>
      <c r="U641" s="630" t="s">
        <v>559</v>
      </c>
      <c r="V641" s="630">
        <v>1</v>
      </c>
      <c r="W641" s="630" t="s">
        <v>560</v>
      </c>
      <c r="X641" s="630" t="s">
        <v>541</v>
      </c>
      <c r="Y641" s="630" t="s">
        <v>541</v>
      </c>
      <c r="Z641" s="630">
        <v>6.1899999999999997E-2</v>
      </c>
      <c r="AA641" s="630">
        <v>9.9618999999999999E-2</v>
      </c>
      <c r="AB641" s="631">
        <v>0</v>
      </c>
      <c r="AC641" s="631">
        <v>0</v>
      </c>
      <c r="AD641" s="631">
        <f t="shared" si="9"/>
        <v>0</v>
      </c>
    </row>
    <row r="642" spans="2:30" x14ac:dyDescent="0.15">
      <c r="B642" s="630">
        <v>17031002259</v>
      </c>
      <c r="C642" s="630">
        <v>17031004647</v>
      </c>
      <c r="D642" s="630">
        <v>17999020593</v>
      </c>
      <c r="E642" s="630" t="s">
        <v>533</v>
      </c>
      <c r="F642" s="630" t="s">
        <v>534</v>
      </c>
      <c r="G642" s="630" t="s">
        <v>365</v>
      </c>
      <c r="H642" s="630" t="s">
        <v>382</v>
      </c>
      <c r="I642" s="630"/>
      <c r="J642" s="630" t="s">
        <v>547</v>
      </c>
      <c r="K642" s="630"/>
      <c r="L642" s="630"/>
      <c r="M642" s="630"/>
      <c r="N642" s="630"/>
      <c r="O642" s="630"/>
      <c r="P642" s="630"/>
      <c r="Q642" s="630"/>
      <c r="R642" s="630"/>
      <c r="S642" s="630" t="s">
        <v>583</v>
      </c>
      <c r="T642" s="630" t="s">
        <v>626</v>
      </c>
      <c r="U642" s="630" t="s">
        <v>538</v>
      </c>
      <c r="V642" s="630">
        <v>3</v>
      </c>
      <c r="W642" s="630" t="s">
        <v>545</v>
      </c>
      <c r="X642" s="630" t="s">
        <v>580</v>
      </c>
      <c r="Y642" s="630" t="s">
        <v>549</v>
      </c>
      <c r="Z642" s="630">
        <v>0.239374</v>
      </c>
      <c r="AA642" s="630">
        <v>0.38523600000000002</v>
      </c>
      <c r="AB642" s="631">
        <v>1566993</v>
      </c>
      <c r="AC642" s="631">
        <v>47958017</v>
      </c>
      <c r="AD642" s="631">
        <f t="shared" si="9"/>
        <v>11479902.361358</v>
      </c>
    </row>
    <row r="643" spans="2:30" x14ac:dyDescent="0.15">
      <c r="B643" s="630">
        <v>17031002386</v>
      </c>
      <c r="C643" s="630">
        <v>17031000359</v>
      </c>
      <c r="D643" s="630">
        <v>17031004595</v>
      </c>
      <c r="E643" s="630" t="s">
        <v>533</v>
      </c>
      <c r="F643" s="630" t="s">
        <v>534</v>
      </c>
      <c r="G643" s="630" t="s">
        <v>365</v>
      </c>
      <c r="H643" s="630" t="s">
        <v>552</v>
      </c>
      <c r="I643" s="630"/>
      <c r="J643" s="630" t="s">
        <v>547</v>
      </c>
      <c r="K643" s="630"/>
      <c r="L643" s="630"/>
      <c r="M643" s="630"/>
      <c r="N643" s="630"/>
      <c r="O643" s="630"/>
      <c r="P643" s="630"/>
      <c r="Q643" s="630"/>
      <c r="R643" s="630"/>
      <c r="S643" s="630" t="s">
        <v>589</v>
      </c>
      <c r="T643" s="630"/>
      <c r="U643" s="630" t="s">
        <v>538</v>
      </c>
      <c r="V643" s="630">
        <v>2</v>
      </c>
      <c r="W643" s="630" t="s">
        <v>545</v>
      </c>
      <c r="X643" s="630" t="s">
        <v>540</v>
      </c>
      <c r="Y643" s="630" t="s">
        <v>549</v>
      </c>
      <c r="Z643" s="630">
        <v>0.47289199999999998</v>
      </c>
      <c r="AA643" s="630">
        <v>0.76104799999999995</v>
      </c>
      <c r="AB643" s="631">
        <v>73983</v>
      </c>
      <c r="AC643" s="631">
        <v>7748144</v>
      </c>
      <c r="AD643" s="631">
        <f t="shared" si="9"/>
        <v>3664035.3124480001</v>
      </c>
    </row>
    <row r="644" spans="2:30" x14ac:dyDescent="0.15">
      <c r="B644" s="630">
        <v>17043003100</v>
      </c>
      <c r="C644" s="630">
        <v>17043000391</v>
      </c>
      <c r="D644" s="630">
        <v>17043000394</v>
      </c>
      <c r="E644" s="630" t="s">
        <v>533</v>
      </c>
      <c r="F644" s="630" t="s">
        <v>534</v>
      </c>
      <c r="G644" s="630" t="s">
        <v>367</v>
      </c>
      <c r="H644" s="630" t="s">
        <v>535</v>
      </c>
      <c r="I644" s="630"/>
      <c r="J644" s="630"/>
      <c r="K644" s="630"/>
      <c r="L644" s="630"/>
      <c r="M644" s="630"/>
      <c r="N644" s="630"/>
      <c r="O644" s="630"/>
      <c r="P644" s="630"/>
      <c r="Q644" s="630"/>
      <c r="R644" s="630"/>
      <c r="S644" s="630" t="s">
        <v>624</v>
      </c>
      <c r="T644" s="630"/>
      <c r="U644" s="630" t="s">
        <v>538</v>
      </c>
      <c r="V644" s="630">
        <v>1</v>
      </c>
      <c r="W644" s="630" t="s">
        <v>560</v>
      </c>
      <c r="X644" s="630" t="s">
        <v>541</v>
      </c>
      <c r="Y644" s="630" t="s">
        <v>541</v>
      </c>
      <c r="Z644" s="630">
        <v>0.43375900000000001</v>
      </c>
      <c r="AA644" s="630">
        <v>0.69806900000000005</v>
      </c>
      <c r="AB644" s="631">
        <v>46221</v>
      </c>
      <c r="AC644" s="631">
        <v>4491159</v>
      </c>
      <c r="AD644" s="631">
        <f t="shared" si="9"/>
        <v>1948080.636681</v>
      </c>
    </row>
    <row r="645" spans="2:30" x14ac:dyDescent="0.15">
      <c r="B645" s="630">
        <v>17097009389</v>
      </c>
      <c r="C645" s="630">
        <v>17097000042</v>
      </c>
      <c r="D645" s="630">
        <v>17097007502</v>
      </c>
      <c r="E645" s="630" t="s">
        <v>533</v>
      </c>
      <c r="F645" s="630" t="s">
        <v>534</v>
      </c>
      <c r="G645" s="630" t="s">
        <v>373</v>
      </c>
      <c r="H645" s="630" t="s">
        <v>535</v>
      </c>
      <c r="I645" s="630"/>
      <c r="J645" s="630" t="s">
        <v>547</v>
      </c>
      <c r="K645" s="630"/>
      <c r="L645" s="630"/>
      <c r="M645" s="630"/>
      <c r="N645" s="630"/>
      <c r="O645" s="630"/>
      <c r="P645" s="630"/>
      <c r="Q645" s="630"/>
      <c r="R645" s="630"/>
      <c r="S645" s="630" t="s">
        <v>548</v>
      </c>
      <c r="T645" s="630"/>
      <c r="U645" s="630" t="s">
        <v>538</v>
      </c>
      <c r="V645" s="630">
        <v>2</v>
      </c>
      <c r="W645" s="630" t="s">
        <v>545</v>
      </c>
      <c r="X645" s="630" t="s">
        <v>546</v>
      </c>
      <c r="Y645" s="630" t="s">
        <v>549</v>
      </c>
      <c r="Z645" s="630">
        <v>1.420407</v>
      </c>
      <c r="AA645" s="630">
        <v>2.2859280000000002</v>
      </c>
      <c r="AB645" s="631">
        <v>777546</v>
      </c>
      <c r="AC645" s="631">
        <v>36667833</v>
      </c>
      <c r="AD645" s="631">
        <f t="shared" si="9"/>
        <v>52083246.668031</v>
      </c>
    </row>
    <row r="646" spans="2:30" x14ac:dyDescent="0.15">
      <c r="B646" s="630">
        <v>17043002205</v>
      </c>
      <c r="C646" s="630">
        <v>17043004773</v>
      </c>
      <c r="D646" s="630">
        <v>17999019947</v>
      </c>
      <c r="E646" s="630" t="s">
        <v>533</v>
      </c>
      <c r="F646" s="630" t="s">
        <v>534</v>
      </c>
      <c r="G646" s="630" t="s">
        <v>367</v>
      </c>
      <c r="H646" s="630" t="s">
        <v>382</v>
      </c>
      <c r="I646" s="630"/>
      <c r="J646" s="630" t="s">
        <v>552</v>
      </c>
      <c r="K646" s="630"/>
      <c r="L646" s="630"/>
      <c r="M646" s="630"/>
      <c r="N646" s="630"/>
      <c r="O646" s="630"/>
      <c r="P646" s="630"/>
      <c r="Q646" s="630"/>
      <c r="R646" s="630"/>
      <c r="S646" s="630" t="s">
        <v>586</v>
      </c>
      <c r="T646" s="630"/>
      <c r="U646" s="630" t="s">
        <v>538</v>
      </c>
      <c r="V646" s="630">
        <v>2</v>
      </c>
      <c r="W646" s="630" t="s">
        <v>582</v>
      </c>
      <c r="X646" s="630" t="s">
        <v>580</v>
      </c>
      <c r="Y646" s="630" t="s">
        <v>549</v>
      </c>
      <c r="Z646" s="630">
        <v>0.16269600000000001</v>
      </c>
      <c r="AA646" s="630">
        <v>0.26183499999999998</v>
      </c>
      <c r="AB646" s="631">
        <v>605882</v>
      </c>
      <c r="AC646" s="631">
        <v>41727974</v>
      </c>
      <c r="AD646" s="631">
        <f t="shared" ref="AD646:AD709" si="10">AC646*Z646</f>
        <v>6788974.4579040008</v>
      </c>
    </row>
    <row r="647" spans="2:30" x14ac:dyDescent="0.15">
      <c r="B647" s="630">
        <v>17031003248</v>
      </c>
      <c r="C647" s="630">
        <v>17031004597</v>
      </c>
      <c r="D647" s="630">
        <v>17031004596</v>
      </c>
      <c r="E647" s="630" t="s">
        <v>533</v>
      </c>
      <c r="F647" s="630" t="s">
        <v>534</v>
      </c>
      <c r="G647" s="630" t="s">
        <v>365</v>
      </c>
      <c r="H647" s="630" t="s">
        <v>382</v>
      </c>
      <c r="I647" s="630"/>
      <c r="J647" s="630" t="s">
        <v>535</v>
      </c>
      <c r="K647" s="630" t="s">
        <v>547</v>
      </c>
      <c r="L647" s="630"/>
      <c r="M647" s="630"/>
      <c r="N647" s="630"/>
      <c r="O647" s="630"/>
      <c r="P647" s="630"/>
      <c r="Q647" s="630"/>
      <c r="R647" s="630"/>
      <c r="S647" s="630" t="s">
        <v>608</v>
      </c>
      <c r="T647" s="630"/>
      <c r="U647" s="630" t="s">
        <v>538</v>
      </c>
      <c r="V647" s="630">
        <v>2</v>
      </c>
      <c r="W647" s="630" t="s">
        <v>566</v>
      </c>
      <c r="X647" s="630" t="s">
        <v>549</v>
      </c>
      <c r="Y647" s="630" t="s">
        <v>549</v>
      </c>
      <c r="Z647" s="630">
        <v>0.46620200000000001</v>
      </c>
      <c r="AA647" s="630">
        <v>0.75028099999999998</v>
      </c>
      <c r="AB647" s="631">
        <v>8866</v>
      </c>
      <c r="AC647" s="631">
        <v>836957</v>
      </c>
      <c r="AD647" s="631">
        <f t="shared" si="10"/>
        <v>390191.02731400001</v>
      </c>
    </row>
    <row r="648" spans="2:30" x14ac:dyDescent="0.15">
      <c r="B648" s="630">
        <v>17111003951</v>
      </c>
      <c r="C648" s="630">
        <v>17111000120</v>
      </c>
      <c r="D648" s="630">
        <v>17111000112</v>
      </c>
      <c r="E648" s="630" t="s">
        <v>533</v>
      </c>
      <c r="F648" s="630" t="s">
        <v>534</v>
      </c>
      <c r="G648" s="630" t="s">
        <v>375</v>
      </c>
      <c r="H648" s="630" t="s">
        <v>382</v>
      </c>
      <c r="I648" s="630"/>
      <c r="J648" s="630" t="s">
        <v>547</v>
      </c>
      <c r="K648" s="630"/>
      <c r="L648" s="630"/>
      <c r="M648" s="630"/>
      <c r="N648" s="630"/>
      <c r="O648" s="630"/>
      <c r="P648" s="630"/>
      <c r="Q648" s="630"/>
      <c r="R648" s="630"/>
      <c r="S648" s="630" t="s">
        <v>376</v>
      </c>
      <c r="T648" s="630"/>
      <c r="U648" s="630" t="s">
        <v>538</v>
      </c>
      <c r="V648" s="630">
        <v>1</v>
      </c>
      <c r="W648" s="630" t="s">
        <v>539</v>
      </c>
      <c r="X648" s="630" t="s">
        <v>541</v>
      </c>
      <c r="Y648" s="630" t="s">
        <v>541</v>
      </c>
      <c r="Z648" s="630">
        <v>0.399287</v>
      </c>
      <c r="AA648" s="630">
        <v>0.64259100000000002</v>
      </c>
      <c r="AB648" s="631">
        <v>40</v>
      </c>
      <c r="AC648" s="631">
        <v>3840</v>
      </c>
      <c r="AD648" s="631">
        <f t="shared" si="10"/>
        <v>1533.26208</v>
      </c>
    </row>
    <row r="649" spans="2:30" x14ac:dyDescent="0.15">
      <c r="B649" s="630">
        <v>17031006236</v>
      </c>
      <c r="C649" s="630">
        <v>17031000370</v>
      </c>
      <c r="D649" s="630">
        <v>17031000375</v>
      </c>
      <c r="E649" s="630" t="s">
        <v>533</v>
      </c>
      <c r="F649" s="630" t="s">
        <v>534</v>
      </c>
      <c r="G649" s="630" t="s">
        <v>365</v>
      </c>
      <c r="H649" s="630" t="s">
        <v>382</v>
      </c>
      <c r="I649" s="630"/>
      <c r="J649" s="630"/>
      <c r="K649" s="630"/>
      <c r="L649" s="630"/>
      <c r="M649" s="630"/>
      <c r="N649" s="630"/>
      <c r="O649" s="630"/>
      <c r="P649" s="630"/>
      <c r="Q649" s="630"/>
      <c r="R649" s="630"/>
      <c r="S649" s="630" t="s">
        <v>616</v>
      </c>
      <c r="T649" s="630"/>
      <c r="U649" s="630" t="s">
        <v>559</v>
      </c>
      <c r="V649" s="630">
        <v>1</v>
      </c>
      <c r="W649" s="630" t="s">
        <v>560</v>
      </c>
      <c r="X649" s="630" t="s">
        <v>541</v>
      </c>
      <c r="Y649" s="630" t="s">
        <v>541</v>
      </c>
      <c r="Z649" s="630">
        <v>0.38054100000000002</v>
      </c>
      <c r="AA649" s="630">
        <v>0.61242300000000005</v>
      </c>
      <c r="AB649" s="631">
        <v>0</v>
      </c>
      <c r="AC649" s="631">
        <v>0</v>
      </c>
      <c r="AD649" s="631">
        <f t="shared" si="10"/>
        <v>0</v>
      </c>
    </row>
    <row r="650" spans="2:30" x14ac:dyDescent="0.15">
      <c r="B650" s="630">
        <v>17031006536</v>
      </c>
      <c r="C650" s="630">
        <v>17999022465</v>
      </c>
      <c r="D650" s="630">
        <v>17031004785</v>
      </c>
      <c r="E650" s="630" t="s">
        <v>533</v>
      </c>
      <c r="F650" s="630" t="s">
        <v>534</v>
      </c>
      <c r="G650" s="630" t="s">
        <v>365</v>
      </c>
      <c r="H650" s="630" t="s">
        <v>535</v>
      </c>
      <c r="I650" s="630"/>
      <c r="J650" s="630" t="s">
        <v>542</v>
      </c>
      <c r="K650" s="630" t="s">
        <v>572</v>
      </c>
      <c r="L650" s="630" t="s">
        <v>547</v>
      </c>
      <c r="M650" s="630" t="s">
        <v>382</v>
      </c>
      <c r="N650" s="630"/>
      <c r="O650" s="630"/>
      <c r="P650" s="630"/>
      <c r="Q650" s="630"/>
      <c r="R650" s="630"/>
      <c r="S650" s="630" t="s">
        <v>601</v>
      </c>
      <c r="T650" s="630"/>
      <c r="U650" s="630" t="s">
        <v>538</v>
      </c>
      <c r="V650" s="630">
        <v>2</v>
      </c>
      <c r="W650" s="630" t="s">
        <v>545</v>
      </c>
      <c r="X650" s="630" t="s">
        <v>540</v>
      </c>
      <c r="Y650" s="630" t="s">
        <v>549</v>
      </c>
      <c r="Z650" s="630">
        <v>0.40533400000000003</v>
      </c>
      <c r="AA650" s="630">
        <v>0.65232299999999999</v>
      </c>
      <c r="AB650" s="631">
        <v>43880</v>
      </c>
      <c r="AC650" s="631">
        <v>1364920</v>
      </c>
      <c r="AD650" s="631">
        <f t="shared" si="10"/>
        <v>553248.48328000004</v>
      </c>
    </row>
    <row r="651" spans="2:30" x14ac:dyDescent="0.15">
      <c r="B651" s="630">
        <v>17043008200</v>
      </c>
      <c r="C651" s="630">
        <v>17043006566</v>
      </c>
      <c r="D651" s="630">
        <v>17043006568</v>
      </c>
      <c r="E651" s="630" t="s">
        <v>533</v>
      </c>
      <c r="F651" s="630" t="s">
        <v>534</v>
      </c>
      <c r="G651" s="630" t="s">
        <v>367</v>
      </c>
      <c r="H651" s="630" t="s">
        <v>382</v>
      </c>
      <c r="I651" s="630"/>
      <c r="J651" s="630"/>
      <c r="K651" s="630"/>
      <c r="L651" s="630"/>
      <c r="M651" s="630"/>
      <c r="N651" s="630"/>
      <c r="O651" s="630"/>
      <c r="P651" s="630"/>
      <c r="Q651" s="630"/>
      <c r="R651" s="630"/>
      <c r="S651" s="630" t="s">
        <v>635</v>
      </c>
      <c r="T651" s="630" t="s">
        <v>587</v>
      </c>
      <c r="U651" s="630" t="s">
        <v>559</v>
      </c>
      <c r="V651" s="630">
        <v>1</v>
      </c>
      <c r="W651" s="630" t="s">
        <v>560</v>
      </c>
      <c r="X651" s="630" t="s">
        <v>541</v>
      </c>
      <c r="Y651" s="630" t="s">
        <v>541</v>
      </c>
      <c r="Z651" s="630">
        <v>8.9109999999999995E-2</v>
      </c>
      <c r="AA651" s="630">
        <v>0.14340900000000001</v>
      </c>
      <c r="AB651" s="631">
        <v>0</v>
      </c>
      <c r="AC651" s="631">
        <v>0</v>
      </c>
      <c r="AD651" s="631">
        <f t="shared" si="10"/>
        <v>0</v>
      </c>
    </row>
    <row r="652" spans="2:30" x14ac:dyDescent="0.15">
      <c r="B652" s="630">
        <v>17031002219</v>
      </c>
      <c r="C652" s="630">
        <v>17031004578</v>
      </c>
      <c r="D652" s="630">
        <v>17031004577</v>
      </c>
      <c r="E652" s="630" t="s">
        <v>533</v>
      </c>
      <c r="F652" s="630" t="s">
        <v>534</v>
      </c>
      <c r="G652" s="630" t="s">
        <v>365</v>
      </c>
      <c r="H652" s="630" t="s">
        <v>382</v>
      </c>
      <c r="I652" s="630"/>
      <c r="J652" s="630" t="s">
        <v>547</v>
      </c>
      <c r="K652" s="630"/>
      <c r="L652" s="630"/>
      <c r="M652" s="630"/>
      <c r="N652" s="630"/>
      <c r="O652" s="630"/>
      <c r="P652" s="630"/>
      <c r="Q652" s="630"/>
      <c r="R652" s="630"/>
      <c r="S652" s="630" t="s">
        <v>565</v>
      </c>
      <c r="T652" s="630"/>
      <c r="U652" s="630" t="s">
        <v>538</v>
      </c>
      <c r="V652" s="630">
        <v>2</v>
      </c>
      <c r="W652" s="630" t="s">
        <v>566</v>
      </c>
      <c r="X652" s="630" t="s">
        <v>541</v>
      </c>
      <c r="Y652" s="630" t="s">
        <v>549</v>
      </c>
      <c r="Z652" s="630">
        <v>0.67267200000000005</v>
      </c>
      <c r="AA652" s="630">
        <v>1.0825640000000001</v>
      </c>
      <c r="AB652" s="631">
        <v>0</v>
      </c>
      <c r="AC652" s="631">
        <v>0</v>
      </c>
      <c r="AD652" s="631">
        <f t="shared" si="10"/>
        <v>0</v>
      </c>
    </row>
    <row r="653" spans="2:30" x14ac:dyDescent="0.15">
      <c r="B653" s="630">
        <v>17031003934</v>
      </c>
      <c r="C653" s="630">
        <v>17031000613</v>
      </c>
      <c r="D653" s="630">
        <v>17031004742</v>
      </c>
      <c r="E653" s="630" t="s">
        <v>533</v>
      </c>
      <c r="F653" s="630" t="s">
        <v>534</v>
      </c>
      <c r="G653" s="630" t="s">
        <v>365</v>
      </c>
      <c r="H653" s="630" t="s">
        <v>547</v>
      </c>
      <c r="I653" s="630"/>
      <c r="J653" s="630" t="s">
        <v>627</v>
      </c>
      <c r="K653" s="630"/>
      <c r="L653" s="630"/>
      <c r="M653" s="630"/>
      <c r="N653" s="630"/>
      <c r="O653" s="630"/>
      <c r="P653" s="630"/>
      <c r="Q653" s="630"/>
      <c r="R653" s="630"/>
      <c r="S653" s="630"/>
      <c r="T653" s="630"/>
      <c r="U653" s="630" t="s">
        <v>538</v>
      </c>
      <c r="V653" s="630">
        <v>4</v>
      </c>
      <c r="W653" s="630" t="s">
        <v>545</v>
      </c>
      <c r="X653" s="630" t="s">
        <v>541</v>
      </c>
      <c r="Y653" s="630" t="s">
        <v>554</v>
      </c>
      <c r="Z653" s="630">
        <v>0.190722</v>
      </c>
      <c r="AA653" s="630">
        <v>0.30693799999999999</v>
      </c>
      <c r="AB653" s="631">
        <v>0</v>
      </c>
      <c r="AC653" s="631">
        <v>0</v>
      </c>
      <c r="AD653" s="631">
        <f t="shared" si="10"/>
        <v>0</v>
      </c>
    </row>
    <row r="654" spans="2:30" x14ac:dyDescent="0.15">
      <c r="B654" s="630">
        <v>17031002216</v>
      </c>
      <c r="C654" s="630">
        <v>17031000601</v>
      </c>
      <c r="D654" s="630">
        <v>17031000558</v>
      </c>
      <c r="E654" s="630" t="s">
        <v>533</v>
      </c>
      <c r="F654" s="630" t="s">
        <v>534</v>
      </c>
      <c r="G654" s="630" t="s">
        <v>365</v>
      </c>
      <c r="H654" s="630" t="s">
        <v>557</v>
      </c>
      <c r="I654" s="630"/>
      <c r="J654" s="630" t="s">
        <v>535</v>
      </c>
      <c r="K654" s="630" t="s">
        <v>552</v>
      </c>
      <c r="L654" s="630" t="s">
        <v>543</v>
      </c>
      <c r="M654" s="630" t="s">
        <v>382</v>
      </c>
      <c r="N654" s="630"/>
      <c r="O654" s="630"/>
      <c r="P654" s="630"/>
      <c r="Q654" s="630"/>
      <c r="R654" s="630"/>
      <c r="S654" s="630" t="s">
        <v>570</v>
      </c>
      <c r="T654" s="630"/>
      <c r="U654" s="630" t="s">
        <v>538</v>
      </c>
      <c r="V654" s="630">
        <v>2</v>
      </c>
      <c r="W654" s="630" t="s">
        <v>545</v>
      </c>
      <c r="X654" s="630" t="s">
        <v>580</v>
      </c>
      <c r="Y654" s="630" t="s">
        <v>540</v>
      </c>
      <c r="Z654" s="630">
        <v>0.55990799999999996</v>
      </c>
      <c r="AA654" s="630">
        <v>0.90108600000000005</v>
      </c>
      <c r="AB654" s="631">
        <v>1636375</v>
      </c>
      <c r="AC654" s="631">
        <v>64210666</v>
      </c>
      <c r="AD654" s="631">
        <f t="shared" si="10"/>
        <v>35952065.578727998</v>
      </c>
    </row>
    <row r="655" spans="2:30" x14ac:dyDescent="0.15">
      <c r="B655" s="630">
        <v>17031004210</v>
      </c>
      <c r="C655" s="630">
        <v>17031000347</v>
      </c>
      <c r="D655" s="630">
        <v>17031000345</v>
      </c>
      <c r="E655" s="630" t="s">
        <v>533</v>
      </c>
      <c r="F655" s="630" t="s">
        <v>534</v>
      </c>
      <c r="G655" s="630" t="s">
        <v>365</v>
      </c>
      <c r="H655" s="630" t="s">
        <v>590</v>
      </c>
      <c r="I655" s="630"/>
      <c r="J655" s="630"/>
      <c r="K655" s="630"/>
      <c r="L655" s="630"/>
      <c r="M655" s="630"/>
      <c r="N655" s="630"/>
      <c r="O655" s="630"/>
      <c r="P655" s="630"/>
      <c r="Q655" s="630"/>
      <c r="R655" s="630"/>
      <c r="S655" s="630"/>
      <c r="T655" s="630"/>
      <c r="U655" s="630" t="s">
        <v>559</v>
      </c>
      <c r="V655" s="630">
        <v>1</v>
      </c>
      <c r="W655" s="630" t="s">
        <v>560</v>
      </c>
      <c r="X655" s="630" t="s">
        <v>541</v>
      </c>
      <c r="Y655" s="630" t="s">
        <v>541</v>
      </c>
      <c r="Z655" s="630">
        <v>0.67853200000000002</v>
      </c>
      <c r="AA655" s="630">
        <v>1.0919939999999999</v>
      </c>
      <c r="AB655" s="631">
        <v>0</v>
      </c>
      <c r="AC655" s="631">
        <v>0</v>
      </c>
      <c r="AD655" s="631">
        <f t="shared" si="10"/>
        <v>0</v>
      </c>
    </row>
    <row r="656" spans="2:30" x14ac:dyDescent="0.15">
      <c r="B656" s="630">
        <v>17031003024</v>
      </c>
      <c r="C656" s="630">
        <v>17031000556</v>
      </c>
      <c r="D656" s="630">
        <v>17031000554</v>
      </c>
      <c r="E656" s="630" t="s">
        <v>533</v>
      </c>
      <c r="F656" s="630" t="s">
        <v>534</v>
      </c>
      <c r="G656" s="630" t="s">
        <v>365</v>
      </c>
      <c r="H656" s="630" t="s">
        <v>382</v>
      </c>
      <c r="I656" s="630"/>
      <c r="J656" s="630" t="s">
        <v>547</v>
      </c>
      <c r="K656" s="630"/>
      <c r="L656" s="630"/>
      <c r="M656" s="630"/>
      <c r="N656" s="630"/>
      <c r="O656" s="630"/>
      <c r="P656" s="630"/>
      <c r="Q656" s="630"/>
      <c r="R656" s="630"/>
      <c r="S656" s="630" t="s">
        <v>583</v>
      </c>
      <c r="T656" s="630"/>
      <c r="U656" s="630" t="s">
        <v>538</v>
      </c>
      <c r="V656" s="630">
        <v>4</v>
      </c>
      <c r="W656" s="630" t="s">
        <v>545</v>
      </c>
      <c r="X656" s="630" t="s">
        <v>541</v>
      </c>
      <c r="Y656" s="630" t="s">
        <v>554</v>
      </c>
      <c r="Z656" s="630">
        <v>0.16600400000000001</v>
      </c>
      <c r="AA656" s="630">
        <v>0.26715800000000001</v>
      </c>
      <c r="AB656" s="631">
        <v>0</v>
      </c>
      <c r="AC656" s="631">
        <v>0</v>
      </c>
      <c r="AD656" s="631">
        <f t="shared" si="10"/>
        <v>0</v>
      </c>
    </row>
    <row r="657" spans="2:30" x14ac:dyDescent="0.15">
      <c r="B657" s="630">
        <v>17111006561</v>
      </c>
      <c r="C657" s="630">
        <v>17111004835</v>
      </c>
      <c r="D657" s="630">
        <v>17111000138</v>
      </c>
      <c r="E657" s="630" t="s">
        <v>533</v>
      </c>
      <c r="F657" s="630" t="s">
        <v>534</v>
      </c>
      <c r="G657" s="630" t="s">
        <v>375</v>
      </c>
      <c r="H657" s="630" t="s">
        <v>382</v>
      </c>
      <c r="I657" s="630"/>
      <c r="J657" s="630" t="s">
        <v>547</v>
      </c>
      <c r="K657" s="630"/>
      <c r="L657" s="630"/>
      <c r="M657" s="630"/>
      <c r="N657" s="630"/>
      <c r="O657" s="630"/>
      <c r="P657" s="630"/>
      <c r="Q657" s="630"/>
      <c r="R657" s="630"/>
      <c r="S657" s="630" t="s">
        <v>608</v>
      </c>
      <c r="T657" s="630"/>
      <c r="U657" s="630" t="s">
        <v>538</v>
      </c>
      <c r="V657" s="630">
        <v>2</v>
      </c>
      <c r="W657" s="630" t="s">
        <v>566</v>
      </c>
      <c r="X657" s="630" t="s">
        <v>549</v>
      </c>
      <c r="Y657" s="630" t="s">
        <v>549</v>
      </c>
      <c r="Z657" s="630">
        <v>0.223466</v>
      </c>
      <c r="AA657" s="630">
        <v>0.35963400000000001</v>
      </c>
      <c r="AB657" s="631">
        <v>9672</v>
      </c>
      <c r="AC657" s="631">
        <v>874093</v>
      </c>
      <c r="AD657" s="631">
        <f t="shared" si="10"/>
        <v>195330.066338</v>
      </c>
    </row>
    <row r="658" spans="2:30" x14ac:dyDescent="0.15">
      <c r="B658" s="630">
        <v>17031003820</v>
      </c>
      <c r="C658" s="630">
        <v>17031001116</v>
      </c>
      <c r="D658" s="630">
        <v>17031001108</v>
      </c>
      <c r="E658" s="630" t="s">
        <v>533</v>
      </c>
      <c r="F658" s="630" t="s">
        <v>534</v>
      </c>
      <c r="G658" s="630" t="s">
        <v>365</v>
      </c>
      <c r="H658" s="630" t="s">
        <v>577</v>
      </c>
      <c r="I658" s="630"/>
      <c r="J658" s="630" t="s">
        <v>543</v>
      </c>
      <c r="K658" s="630"/>
      <c r="L658" s="630"/>
      <c r="M658" s="630"/>
      <c r="N658" s="630"/>
      <c r="O658" s="630"/>
      <c r="P658" s="630"/>
      <c r="Q658" s="630"/>
      <c r="R658" s="630"/>
      <c r="S658" s="630"/>
      <c r="T658" s="630"/>
      <c r="U658" s="630" t="s">
        <v>538</v>
      </c>
      <c r="V658" s="630">
        <v>1</v>
      </c>
      <c r="W658" s="630" t="s">
        <v>560</v>
      </c>
      <c r="X658" s="630" t="s">
        <v>541</v>
      </c>
      <c r="Y658" s="630" t="s">
        <v>541</v>
      </c>
      <c r="Z658" s="630">
        <v>0.63456199999999996</v>
      </c>
      <c r="AA658" s="630">
        <v>1.0212300000000001</v>
      </c>
      <c r="AB658" s="631">
        <v>0</v>
      </c>
      <c r="AC658" s="631">
        <v>0</v>
      </c>
      <c r="AD658" s="631">
        <f t="shared" si="10"/>
        <v>0</v>
      </c>
    </row>
    <row r="659" spans="2:30" x14ac:dyDescent="0.15">
      <c r="B659" s="630">
        <v>17031003869</v>
      </c>
      <c r="C659" s="630">
        <v>17031001419</v>
      </c>
      <c r="D659" s="630">
        <v>17031001428</v>
      </c>
      <c r="E659" s="630" t="s">
        <v>533</v>
      </c>
      <c r="F659" s="630" t="s">
        <v>534</v>
      </c>
      <c r="G659" s="630" t="s">
        <v>365</v>
      </c>
      <c r="H659" s="630" t="s">
        <v>551</v>
      </c>
      <c r="I659" s="630" t="s">
        <v>535</v>
      </c>
      <c r="J659" s="630" t="s">
        <v>555</v>
      </c>
      <c r="K659" s="630"/>
      <c r="L659" s="630"/>
      <c r="M659" s="630"/>
      <c r="N659" s="630"/>
      <c r="O659" s="630"/>
      <c r="P659" s="630"/>
      <c r="Q659" s="630"/>
      <c r="R659" s="630"/>
      <c r="S659" s="630" t="s">
        <v>553</v>
      </c>
      <c r="T659" s="630"/>
      <c r="U659" s="630" t="s">
        <v>538</v>
      </c>
      <c r="V659" s="630">
        <v>2</v>
      </c>
      <c r="W659" s="630" t="s">
        <v>545</v>
      </c>
      <c r="X659" s="630" t="s">
        <v>546</v>
      </c>
      <c r="Y659" s="630" t="s">
        <v>549</v>
      </c>
      <c r="Z659" s="630">
        <v>1.2545139999999999</v>
      </c>
      <c r="AA659" s="630">
        <v>2.0189490000000001</v>
      </c>
      <c r="AB659" s="631">
        <v>464799</v>
      </c>
      <c r="AC659" s="631">
        <v>18630109</v>
      </c>
      <c r="AD659" s="631">
        <f t="shared" si="10"/>
        <v>23371732.562025998</v>
      </c>
    </row>
    <row r="660" spans="2:30" x14ac:dyDescent="0.15">
      <c r="B660" s="630">
        <v>17197002590</v>
      </c>
      <c r="C660" s="630">
        <v>17197001420</v>
      </c>
      <c r="D660" s="630">
        <v>17197001412</v>
      </c>
      <c r="E660" s="630" t="s">
        <v>533</v>
      </c>
      <c r="F660" s="630" t="s">
        <v>534</v>
      </c>
      <c r="G660" s="630" t="s">
        <v>377</v>
      </c>
      <c r="H660" s="630" t="s">
        <v>535</v>
      </c>
      <c r="I660" s="630"/>
      <c r="J660" s="630" t="s">
        <v>382</v>
      </c>
      <c r="K660" s="630" t="s">
        <v>536</v>
      </c>
      <c r="L660" s="630"/>
      <c r="M660" s="630"/>
      <c r="N660" s="630"/>
      <c r="O660" s="630"/>
      <c r="P660" s="630"/>
      <c r="Q660" s="630"/>
      <c r="R660" s="630"/>
      <c r="S660" s="630" t="s">
        <v>550</v>
      </c>
      <c r="T660" s="630"/>
      <c r="U660" s="630" t="s">
        <v>538</v>
      </c>
      <c r="V660" s="630">
        <v>1</v>
      </c>
      <c r="W660" s="630" t="s">
        <v>545</v>
      </c>
      <c r="X660" s="630" t="s">
        <v>540</v>
      </c>
      <c r="Y660" s="630" t="s">
        <v>549</v>
      </c>
      <c r="Z660" s="630">
        <v>0.31075799999999998</v>
      </c>
      <c r="AA660" s="630">
        <v>0.50011700000000003</v>
      </c>
      <c r="AB660" s="631">
        <v>32625</v>
      </c>
      <c r="AC660" s="631">
        <v>3073584</v>
      </c>
      <c r="AD660" s="631">
        <f t="shared" si="10"/>
        <v>955140.81667199999</v>
      </c>
    </row>
    <row r="661" spans="2:30" x14ac:dyDescent="0.15">
      <c r="B661" s="630">
        <v>17197003006</v>
      </c>
      <c r="C661" s="630">
        <v>17197001461</v>
      </c>
      <c r="D661" s="630">
        <v>17197001462</v>
      </c>
      <c r="E661" s="630" t="s">
        <v>533</v>
      </c>
      <c r="F661" s="630" t="s">
        <v>534</v>
      </c>
      <c r="G661" s="630" t="s">
        <v>377</v>
      </c>
      <c r="H661" s="630" t="s">
        <v>535</v>
      </c>
      <c r="I661" s="630"/>
      <c r="J661" s="630" t="s">
        <v>382</v>
      </c>
      <c r="K661" s="630" t="s">
        <v>536</v>
      </c>
      <c r="L661" s="630"/>
      <c r="M661" s="630"/>
      <c r="N661" s="630"/>
      <c r="O661" s="630"/>
      <c r="P661" s="630"/>
      <c r="Q661" s="630"/>
      <c r="R661" s="630"/>
      <c r="S661" s="630" t="s">
        <v>550</v>
      </c>
      <c r="T661" s="630"/>
      <c r="U661" s="630" t="s">
        <v>538</v>
      </c>
      <c r="V661" s="630">
        <v>1</v>
      </c>
      <c r="W661" s="630" t="s">
        <v>545</v>
      </c>
      <c r="X661" s="630" t="s">
        <v>540</v>
      </c>
      <c r="Y661" s="630" t="s">
        <v>541</v>
      </c>
      <c r="Z661" s="630">
        <v>0.105213</v>
      </c>
      <c r="AA661" s="630">
        <v>0.169324</v>
      </c>
      <c r="AB661" s="631">
        <v>29771</v>
      </c>
      <c r="AC661" s="631">
        <v>2724194</v>
      </c>
      <c r="AD661" s="631">
        <f t="shared" si="10"/>
        <v>286620.62332200003</v>
      </c>
    </row>
    <row r="662" spans="2:30" x14ac:dyDescent="0.15">
      <c r="B662" s="630">
        <v>17031003610</v>
      </c>
      <c r="C662" s="630">
        <v>17031001013</v>
      </c>
      <c r="D662" s="630">
        <v>17031006779</v>
      </c>
      <c r="E662" s="630" t="s">
        <v>533</v>
      </c>
      <c r="F662" s="630" t="s">
        <v>534</v>
      </c>
      <c r="G662" s="630" t="s">
        <v>365</v>
      </c>
      <c r="H662" s="630" t="s">
        <v>571</v>
      </c>
      <c r="I662" s="630"/>
      <c r="J662" s="630" t="s">
        <v>552</v>
      </c>
      <c r="K662" s="630" t="s">
        <v>572</v>
      </c>
      <c r="L662" s="630" t="s">
        <v>551</v>
      </c>
      <c r="M662" s="630" t="s">
        <v>555</v>
      </c>
      <c r="N662" s="630" t="s">
        <v>543</v>
      </c>
      <c r="O662" s="630" t="s">
        <v>382</v>
      </c>
      <c r="P662" s="630" t="s">
        <v>535</v>
      </c>
      <c r="Q662" s="630" t="s">
        <v>381</v>
      </c>
      <c r="R662" s="630"/>
      <c r="S662" s="630" t="s">
        <v>573</v>
      </c>
      <c r="T662" s="630"/>
      <c r="U662" s="630" t="s">
        <v>538</v>
      </c>
      <c r="V662" s="630">
        <v>4</v>
      </c>
      <c r="W662" s="630" t="s">
        <v>545</v>
      </c>
      <c r="X662" s="630" t="s">
        <v>575</v>
      </c>
      <c r="Y662" s="630" t="s">
        <v>554</v>
      </c>
      <c r="Z662" s="630">
        <v>0.18170500000000001</v>
      </c>
      <c r="AA662" s="630">
        <v>0.29242600000000002</v>
      </c>
      <c r="AB662" s="631">
        <v>371285</v>
      </c>
      <c r="AC662" s="631">
        <v>16601511</v>
      </c>
      <c r="AD662" s="631">
        <f t="shared" si="10"/>
        <v>3016577.5562550002</v>
      </c>
    </row>
    <row r="663" spans="2:30" x14ac:dyDescent="0.15">
      <c r="B663" s="630">
        <v>17031004534</v>
      </c>
      <c r="C663" s="630">
        <v>17031001008</v>
      </c>
      <c r="D663" s="630">
        <v>17031001007</v>
      </c>
      <c r="E663" s="630" t="s">
        <v>533</v>
      </c>
      <c r="F663" s="630" t="s">
        <v>534</v>
      </c>
      <c r="G663" s="630" t="s">
        <v>365</v>
      </c>
      <c r="H663" s="630" t="s">
        <v>535</v>
      </c>
      <c r="I663" s="630"/>
      <c r="J663" s="630"/>
      <c r="K663" s="630"/>
      <c r="L663" s="630"/>
      <c r="M663" s="630"/>
      <c r="N663" s="630"/>
      <c r="O663" s="630"/>
      <c r="P663" s="630"/>
      <c r="Q663" s="630"/>
      <c r="R663" s="630"/>
      <c r="S663" s="630" t="s">
        <v>553</v>
      </c>
      <c r="T663" s="630"/>
      <c r="U663" s="630" t="s">
        <v>538</v>
      </c>
      <c r="V663" s="630">
        <v>1</v>
      </c>
      <c r="W663" s="630" t="s">
        <v>582</v>
      </c>
      <c r="X663" s="630" t="s">
        <v>541</v>
      </c>
      <c r="Y663" s="630" t="s">
        <v>554</v>
      </c>
      <c r="Z663" s="630">
        <v>0.30285400000000001</v>
      </c>
      <c r="AA663" s="630">
        <v>0.487398</v>
      </c>
      <c r="AB663" s="631">
        <v>0</v>
      </c>
      <c r="AC663" s="631">
        <v>0</v>
      </c>
      <c r="AD663" s="631">
        <f t="shared" si="10"/>
        <v>0</v>
      </c>
    </row>
    <row r="664" spans="2:30" x14ac:dyDescent="0.15">
      <c r="B664" s="630">
        <v>17031004200</v>
      </c>
      <c r="C664" s="630">
        <v>17031000329</v>
      </c>
      <c r="D664" s="630">
        <v>17031000332</v>
      </c>
      <c r="E664" s="630" t="s">
        <v>533</v>
      </c>
      <c r="F664" s="630" t="s">
        <v>534</v>
      </c>
      <c r="G664" s="630" t="s">
        <v>365</v>
      </c>
      <c r="H664" s="630" t="s">
        <v>590</v>
      </c>
      <c r="I664" s="630"/>
      <c r="J664" s="630"/>
      <c r="K664" s="630"/>
      <c r="L664" s="630"/>
      <c r="M664" s="630"/>
      <c r="N664" s="630"/>
      <c r="O664" s="630"/>
      <c r="P664" s="630"/>
      <c r="Q664" s="630"/>
      <c r="R664" s="630"/>
      <c r="S664" s="630"/>
      <c r="T664" s="630"/>
      <c r="U664" s="630" t="s">
        <v>559</v>
      </c>
      <c r="V664" s="630">
        <v>1</v>
      </c>
      <c r="W664" s="630" t="s">
        <v>560</v>
      </c>
      <c r="X664" s="630" t="s">
        <v>541</v>
      </c>
      <c r="Y664" s="630" t="s">
        <v>541</v>
      </c>
      <c r="Z664" s="630">
        <v>0.78686800000000001</v>
      </c>
      <c r="AA664" s="630">
        <v>1.2663450000000001</v>
      </c>
      <c r="AB664" s="631">
        <v>0</v>
      </c>
      <c r="AC664" s="631">
        <v>0</v>
      </c>
      <c r="AD664" s="631">
        <f t="shared" si="10"/>
        <v>0</v>
      </c>
    </row>
    <row r="665" spans="2:30" x14ac:dyDescent="0.15">
      <c r="B665" s="630">
        <v>17031005083</v>
      </c>
      <c r="C665" s="630">
        <v>17031001324</v>
      </c>
      <c r="D665" s="630">
        <v>17031001349</v>
      </c>
      <c r="E665" s="630" t="s">
        <v>533</v>
      </c>
      <c r="F665" s="630" t="s">
        <v>534</v>
      </c>
      <c r="G665" s="630" t="s">
        <v>365</v>
      </c>
      <c r="H665" s="630" t="s">
        <v>543</v>
      </c>
      <c r="I665" s="630"/>
      <c r="J665" s="630"/>
      <c r="K665" s="630"/>
      <c r="L665" s="630"/>
      <c r="M665" s="630"/>
      <c r="N665" s="630"/>
      <c r="O665" s="630"/>
      <c r="P665" s="630"/>
      <c r="Q665" s="630"/>
      <c r="R665" s="630"/>
      <c r="S665" s="630"/>
      <c r="T665" s="630"/>
      <c r="U665" s="630" t="s">
        <v>559</v>
      </c>
      <c r="V665" s="630">
        <v>1</v>
      </c>
      <c r="W665" s="630" t="s">
        <v>560</v>
      </c>
      <c r="X665" s="630" t="s">
        <v>541</v>
      </c>
      <c r="Y665" s="630" t="s">
        <v>541</v>
      </c>
      <c r="Z665" s="630">
        <v>0.33901999999999999</v>
      </c>
      <c r="AA665" s="630">
        <v>0.54560200000000003</v>
      </c>
      <c r="AB665" s="631">
        <v>0</v>
      </c>
      <c r="AC665" s="631">
        <v>0</v>
      </c>
      <c r="AD665" s="631">
        <f t="shared" si="10"/>
        <v>0</v>
      </c>
    </row>
    <row r="666" spans="2:30" x14ac:dyDescent="0.15">
      <c r="B666" s="630">
        <v>17111005928</v>
      </c>
      <c r="C666" s="630">
        <v>17111000151</v>
      </c>
      <c r="D666" s="630">
        <v>17111000154</v>
      </c>
      <c r="E666" s="630" t="s">
        <v>533</v>
      </c>
      <c r="F666" s="630" t="s">
        <v>534</v>
      </c>
      <c r="G666" s="630" t="s">
        <v>375</v>
      </c>
      <c r="H666" s="630" t="s">
        <v>678</v>
      </c>
      <c r="I666" s="630"/>
      <c r="J666" s="630"/>
      <c r="K666" s="630"/>
      <c r="L666" s="630"/>
      <c r="M666" s="630"/>
      <c r="N666" s="630"/>
      <c r="O666" s="630"/>
      <c r="P666" s="630"/>
      <c r="Q666" s="630"/>
      <c r="R666" s="630"/>
      <c r="S666" s="630"/>
      <c r="T666" s="630"/>
      <c r="U666" s="630" t="s">
        <v>538</v>
      </c>
      <c r="V666" s="630">
        <v>1</v>
      </c>
      <c r="W666" s="630" t="s">
        <v>560</v>
      </c>
      <c r="X666" s="630" t="s">
        <v>541</v>
      </c>
      <c r="Y666" s="630" t="s">
        <v>541</v>
      </c>
      <c r="Z666" s="630">
        <v>0.16159299999999999</v>
      </c>
      <c r="AA666" s="630">
        <v>0.26005899999999998</v>
      </c>
      <c r="AB666" s="631">
        <v>0</v>
      </c>
      <c r="AC666" s="631">
        <v>0</v>
      </c>
      <c r="AD666" s="631">
        <f t="shared" si="10"/>
        <v>0</v>
      </c>
    </row>
    <row r="667" spans="2:30" x14ac:dyDescent="0.15">
      <c r="B667" s="630">
        <v>17031006278</v>
      </c>
      <c r="C667" s="630">
        <v>17031001104</v>
      </c>
      <c r="D667" s="630">
        <v>17031001094</v>
      </c>
      <c r="E667" s="630" t="s">
        <v>533</v>
      </c>
      <c r="F667" s="630" t="s">
        <v>534</v>
      </c>
      <c r="G667" s="630" t="s">
        <v>365</v>
      </c>
      <c r="H667" s="630" t="s">
        <v>571</v>
      </c>
      <c r="I667" s="630"/>
      <c r="J667" s="630" t="s">
        <v>552</v>
      </c>
      <c r="K667" s="630" t="s">
        <v>543</v>
      </c>
      <c r="L667" s="630"/>
      <c r="M667" s="630"/>
      <c r="N667" s="630"/>
      <c r="O667" s="630"/>
      <c r="P667" s="630"/>
      <c r="Q667" s="630"/>
      <c r="R667" s="630"/>
      <c r="S667" s="630" t="s">
        <v>573</v>
      </c>
      <c r="T667" s="630" t="s">
        <v>679</v>
      </c>
      <c r="U667" s="630" t="s">
        <v>538</v>
      </c>
      <c r="V667" s="630">
        <v>2</v>
      </c>
      <c r="W667" s="630" t="s">
        <v>545</v>
      </c>
      <c r="X667" s="630" t="s">
        <v>580</v>
      </c>
      <c r="Y667" s="630" t="s">
        <v>554</v>
      </c>
      <c r="Z667" s="630">
        <v>0.93725599999999998</v>
      </c>
      <c r="AA667" s="630">
        <v>1.5083709999999999</v>
      </c>
      <c r="AB667" s="631">
        <v>178717</v>
      </c>
      <c r="AC667" s="631">
        <v>9467630</v>
      </c>
      <c r="AD667" s="631">
        <f t="shared" si="10"/>
        <v>8873593.0232800003</v>
      </c>
    </row>
    <row r="668" spans="2:30" x14ac:dyDescent="0.15">
      <c r="B668" s="630">
        <v>17031006348</v>
      </c>
      <c r="C668" s="630">
        <v>17031004592</v>
      </c>
      <c r="D668" s="630">
        <v>17031004591</v>
      </c>
      <c r="E668" s="630" t="s">
        <v>533</v>
      </c>
      <c r="F668" s="630" t="s">
        <v>534</v>
      </c>
      <c r="G668" s="630" t="s">
        <v>365</v>
      </c>
      <c r="H668" s="630" t="s">
        <v>535</v>
      </c>
      <c r="I668" s="630"/>
      <c r="J668" s="630" t="s">
        <v>547</v>
      </c>
      <c r="K668" s="630" t="s">
        <v>551</v>
      </c>
      <c r="L668" s="630"/>
      <c r="M668" s="630"/>
      <c r="N668" s="630"/>
      <c r="O668" s="630"/>
      <c r="P668" s="630"/>
      <c r="Q668" s="630"/>
      <c r="R668" s="630"/>
      <c r="S668" s="630" t="s">
        <v>548</v>
      </c>
      <c r="T668" s="630"/>
      <c r="U668" s="630" t="s">
        <v>538</v>
      </c>
      <c r="V668" s="630">
        <v>2</v>
      </c>
      <c r="W668" s="630" t="s">
        <v>545</v>
      </c>
      <c r="X668" s="630" t="s">
        <v>546</v>
      </c>
      <c r="Y668" s="630" t="s">
        <v>549</v>
      </c>
      <c r="Z668" s="630">
        <v>0.63005800000000001</v>
      </c>
      <c r="AA668" s="630">
        <v>1.0139819999999999</v>
      </c>
      <c r="AB668" s="631">
        <v>805460</v>
      </c>
      <c r="AC668" s="631">
        <v>39336999</v>
      </c>
      <c r="AD668" s="631">
        <f t="shared" si="10"/>
        <v>24784590.915942002</v>
      </c>
    </row>
    <row r="669" spans="2:30" x14ac:dyDescent="0.15">
      <c r="B669" s="630">
        <v>17089002201</v>
      </c>
      <c r="C669" s="630">
        <v>17089004853</v>
      </c>
      <c r="D669" s="630">
        <v>17089000304</v>
      </c>
      <c r="E669" s="630" t="s">
        <v>533</v>
      </c>
      <c r="F669" s="630" t="s">
        <v>534</v>
      </c>
      <c r="G669" s="630" t="s">
        <v>369</v>
      </c>
      <c r="H669" s="630" t="s">
        <v>552</v>
      </c>
      <c r="I669" s="630"/>
      <c r="J669" s="630" t="s">
        <v>547</v>
      </c>
      <c r="K669" s="630"/>
      <c r="L669" s="630"/>
      <c r="M669" s="630"/>
      <c r="N669" s="630"/>
      <c r="O669" s="630"/>
      <c r="P669" s="630"/>
      <c r="Q669" s="630"/>
      <c r="R669" s="630"/>
      <c r="S669" s="630" t="s">
        <v>589</v>
      </c>
      <c r="T669" s="630"/>
      <c r="U669" s="630" t="s">
        <v>538</v>
      </c>
      <c r="V669" s="630">
        <v>2</v>
      </c>
      <c r="W669" s="630" t="s">
        <v>545</v>
      </c>
      <c r="X669" s="630" t="s">
        <v>540</v>
      </c>
      <c r="Y669" s="630" t="s">
        <v>549</v>
      </c>
      <c r="Z669" s="630">
        <v>0.77068899999999996</v>
      </c>
      <c r="AA669" s="630">
        <v>1.2403059999999999</v>
      </c>
      <c r="AB669" s="631">
        <v>73903</v>
      </c>
      <c r="AC669" s="631">
        <v>7739424</v>
      </c>
      <c r="AD669" s="631">
        <f t="shared" si="10"/>
        <v>5964688.9431360001</v>
      </c>
    </row>
    <row r="670" spans="2:30" x14ac:dyDescent="0.15">
      <c r="B670" s="630">
        <v>17031002307</v>
      </c>
      <c r="C670" s="630">
        <v>17031001385</v>
      </c>
      <c r="D670" s="630">
        <v>17031001387</v>
      </c>
      <c r="E670" s="630" t="s">
        <v>533</v>
      </c>
      <c r="F670" s="630" t="s">
        <v>534</v>
      </c>
      <c r="G670" s="630" t="s">
        <v>365</v>
      </c>
      <c r="H670" s="630" t="s">
        <v>557</v>
      </c>
      <c r="I670" s="630"/>
      <c r="J670" s="630"/>
      <c r="K670" s="630"/>
      <c r="L670" s="630"/>
      <c r="M670" s="630"/>
      <c r="N670" s="630"/>
      <c r="O670" s="630"/>
      <c r="P670" s="630"/>
      <c r="Q670" s="630"/>
      <c r="R670" s="630"/>
      <c r="S670" s="630"/>
      <c r="T670" s="630"/>
      <c r="U670" s="630" t="s">
        <v>559</v>
      </c>
      <c r="V670" s="630">
        <v>1</v>
      </c>
      <c r="W670" s="630" t="s">
        <v>560</v>
      </c>
      <c r="X670" s="630" t="s">
        <v>541</v>
      </c>
      <c r="Y670" s="630" t="s">
        <v>541</v>
      </c>
      <c r="Z670" s="630">
        <v>0.180342</v>
      </c>
      <c r="AA670" s="630">
        <v>0.29023199999999999</v>
      </c>
      <c r="AB670" s="631">
        <v>0</v>
      </c>
      <c r="AC670" s="631">
        <v>0</v>
      </c>
      <c r="AD670" s="631">
        <f t="shared" si="10"/>
        <v>0</v>
      </c>
    </row>
    <row r="671" spans="2:30" x14ac:dyDescent="0.15">
      <c r="B671" s="630">
        <v>17043002409</v>
      </c>
      <c r="C671" s="630">
        <v>17043004887</v>
      </c>
      <c r="D671" s="630">
        <v>17043004888</v>
      </c>
      <c r="E671" s="630" t="s">
        <v>533</v>
      </c>
      <c r="F671" s="630" t="s">
        <v>534</v>
      </c>
      <c r="G671" s="630" t="s">
        <v>367</v>
      </c>
      <c r="H671" s="630" t="s">
        <v>381</v>
      </c>
      <c r="I671" s="630"/>
      <c r="J671" s="630" t="s">
        <v>542</v>
      </c>
      <c r="K671" s="630" t="s">
        <v>547</v>
      </c>
      <c r="L671" s="630" t="s">
        <v>382</v>
      </c>
      <c r="M671" s="630"/>
      <c r="N671" s="630"/>
      <c r="O671" s="630"/>
      <c r="P671" s="630"/>
      <c r="Q671" s="630"/>
      <c r="R671" s="630"/>
      <c r="S671" s="630" t="s">
        <v>579</v>
      </c>
      <c r="T671" s="630"/>
      <c r="U671" s="630" t="s">
        <v>538</v>
      </c>
      <c r="V671" s="630">
        <v>3</v>
      </c>
      <c r="W671" s="630" t="s">
        <v>545</v>
      </c>
      <c r="X671" s="630" t="s">
        <v>580</v>
      </c>
      <c r="Y671" s="630" t="s">
        <v>549</v>
      </c>
      <c r="Z671" s="630">
        <v>1.7565949999999999</v>
      </c>
      <c r="AA671" s="630">
        <v>2.8269709999999999</v>
      </c>
      <c r="AB671" s="631">
        <v>1180642</v>
      </c>
      <c r="AC671" s="631">
        <v>46493460</v>
      </c>
      <c r="AD671" s="631">
        <f t="shared" si="10"/>
        <v>81670179.368699998</v>
      </c>
    </row>
    <row r="672" spans="2:30" x14ac:dyDescent="0.15">
      <c r="B672" s="630">
        <v>17031003559</v>
      </c>
      <c r="C672" s="630">
        <v>17031001557</v>
      </c>
      <c r="D672" s="630">
        <v>17031007625</v>
      </c>
      <c r="E672" s="630" t="s">
        <v>533</v>
      </c>
      <c r="F672" s="630" t="s">
        <v>534</v>
      </c>
      <c r="G672" s="630" t="s">
        <v>365</v>
      </c>
      <c r="H672" s="630" t="s">
        <v>543</v>
      </c>
      <c r="I672" s="630"/>
      <c r="J672" s="630"/>
      <c r="K672" s="630"/>
      <c r="L672" s="630"/>
      <c r="M672" s="630"/>
      <c r="N672" s="630"/>
      <c r="O672" s="630"/>
      <c r="P672" s="630"/>
      <c r="Q672" s="630"/>
      <c r="R672" s="630"/>
      <c r="S672" s="630" t="s">
        <v>670</v>
      </c>
      <c r="T672" s="630"/>
      <c r="U672" s="630" t="s">
        <v>559</v>
      </c>
      <c r="V672" s="630">
        <v>1</v>
      </c>
      <c r="W672" s="630" t="s">
        <v>560</v>
      </c>
      <c r="X672" s="630" t="s">
        <v>541</v>
      </c>
      <c r="Y672" s="630" t="s">
        <v>541</v>
      </c>
      <c r="Z672" s="630">
        <v>2.1988690000000002</v>
      </c>
      <c r="AA672" s="630">
        <v>3.5387430000000002</v>
      </c>
      <c r="AB672" s="631">
        <v>40</v>
      </c>
      <c r="AC672" s="631">
        <v>840</v>
      </c>
      <c r="AD672" s="631">
        <f t="shared" si="10"/>
        <v>1847.0499600000001</v>
      </c>
    </row>
    <row r="673" spans="2:30" x14ac:dyDescent="0.15">
      <c r="B673" s="630">
        <v>17031005488</v>
      </c>
      <c r="C673" s="630">
        <v>17031000622</v>
      </c>
      <c r="D673" s="630">
        <v>17031000619</v>
      </c>
      <c r="E673" s="630" t="s">
        <v>533</v>
      </c>
      <c r="F673" s="630" t="s">
        <v>534</v>
      </c>
      <c r="G673" s="630" t="s">
        <v>365</v>
      </c>
      <c r="H673" s="630" t="s">
        <v>551</v>
      </c>
      <c r="I673" s="630"/>
      <c r="J673" s="630" t="s">
        <v>535</v>
      </c>
      <c r="K673" s="630"/>
      <c r="L673" s="630"/>
      <c r="M673" s="630"/>
      <c r="N673" s="630"/>
      <c r="O673" s="630"/>
      <c r="P673" s="630"/>
      <c r="Q673" s="630"/>
      <c r="R673" s="630"/>
      <c r="S673" s="630" t="s">
        <v>667</v>
      </c>
      <c r="T673" s="630" t="s">
        <v>680</v>
      </c>
      <c r="U673" s="630" t="s">
        <v>538</v>
      </c>
      <c r="V673" s="630">
        <v>2</v>
      </c>
      <c r="W673" s="630" t="s">
        <v>582</v>
      </c>
      <c r="X673" s="630" t="s">
        <v>541</v>
      </c>
      <c r="Y673" s="630" t="s">
        <v>541</v>
      </c>
      <c r="Z673" s="630">
        <v>0.52766599999999997</v>
      </c>
      <c r="AA673" s="630">
        <v>0.84919800000000001</v>
      </c>
      <c r="AB673" s="631">
        <v>0</v>
      </c>
      <c r="AC673" s="631">
        <v>0</v>
      </c>
      <c r="AD673" s="631">
        <f t="shared" si="10"/>
        <v>0</v>
      </c>
    </row>
    <row r="674" spans="2:30" x14ac:dyDescent="0.15">
      <c r="B674" s="630">
        <v>17097006326</v>
      </c>
      <c r="C674" s="630">
        <v>17097004539</v>
      </c>
      <c r="D674" s="630">
        <v>17097004524</v>
      </c>
      <c r="E674" s="630" t="s">
        <v>533</v>
      </c>
      <c r="F674" s="630" t="s">
        <v>534</v>
      </c>
      <c r="G674" s="630" t="s">
        <v>373</v>
      </c>
      <c r="H674" s="630" t="s">
        <v>552</v>
      </c>
      <c r="I674" s="630"/>
      <c r="J674" s="630" t="s">
        <v>542</v>
      </c>
      <c r="K674" s="630"/>
      <c r="L674" s="630"/>
      <c r="M674" s="630"/>
      <c r="N674" s="630"/>
      <c r="O674" s="630"/>
      <c r="P674" s="630"/>
      <c r="Q674" s="630"/>
      <c r="R674" s="630"/>
      <c r="S674" s="630" t="s">
        <v>564</v>
      </c>
      <c r="T674" s="630"/>
      <c r="U674" s="630" t="s">
        <v>538</v>
      </c>
      <c r="V674" s="630">
        <v>3</v>
      </c>
      <c r="W674" s="630" t="s">
        <v>545</v>
      </c>
      <c r="X674" s="630" t="s">
        <v>549</v>
      </c>
      <c r="Y674" s="630" t="s">
        <v>549</v>
      </c>
      <c r="Z674" s="630">
        <v>0.536995</v>
      </c>
      <c r="AA674" s="630">
        <v>0.86421099999999995</v>
      </c>
      <c r="AB674" s="631">
        <v>502101</v>
      </c>
      <c r="AC674" s="631">
        <v>30386712</v>
      </c>
      <c r="AD674" s="631">
        <f t="shared" si="10"/>
        <v>16317512.41044</v>
      </c>
    </row>
    <row r="675" spans="2:30" x14ac:dyDescent="0.15">
      <c r="B675" s="630">
        <v>17043006532</v>
      </c>
      <c r="C675" s="630">
        <v>17043004634</v>
      </c>
      <c r="D675" s="630">
        <v>17043004774</v>
      </c>
      <c r="E675" s="630" t="s">
        <v>533</v>
      </c>
      <c r="F675" s="630" t="s">
        <v>534</v>
      </c>
      <c r="G675" s="630" t="s">
        <v>367</v>
      </c>
      <c r="H675" s="630" t="s">
        <v>552</v>
      </c>
      <c r="I675" s="630"/>
      <c r="J675" s="630" t="s">
        <v>551</v>
      </c>
      <c r="K675" s="630" t="s">
        <v>547</v>
      </c>
      <c r="L675" s="630" t="s">
        <v>382</v>
      </c>
      <c r="M675" s="630" t="s">
        <v>563</v>
      </c>
      <c r="N675" s="630"/>
      <c r="O675" s="630"/>
      <c r="P675" s="630"/>
      <c r="Q675" s="630"/>
      <c r="R675" s="630"/>
      <c r="S675" s="630" t="s">
        <v>589</v>
      </c>
      <c r="T675" s="630" t="s">
        <v>632</v>
      </c>
      <c r="U675" s="630" t="s">
        <v>538</v>
      </c>
      <c r="V675" s="630">
        <v>2</v>
      </c>
      <c r="W675" s="630" t="s">
        <v>545</v>
      </c>
      <c r="X675" s="630" t="s">
        <v>549</v>
      </c>
      <c r="Y675" s="630" t="s">
        <v>549</v>
      </c>
      <c r="Z675" s="630">
        <v>0.35178799999999999</v>
      </c>
      <c r="AA675" s="630">
        <v>0.56614900000000001</v>
      </c>
      <c r="AB675" s="631">
        <v>517777</v>
      </c>
      <c r="AC675" s="631">
        <v>30869708</v>
      </c>
      <c r="AD675" s="631">
        <f t="shared" si="10"/>
        <v>10859592.837903999</v>
      </c>
    </row>
    <row r="676" spans="2:30" x14ac:dyDescent="0.15">
      <c r="B676" s="630">
        <v>17111002126</v>
      </c>
      <c r="C676" s="630">
        <v>17111000032</v>
      </c>
      <c r="D676" s="630">
        <v>17111004830</v>
      </c>
      <c r="E676" s="630" t="s">
        <v>533</v>
      </c>
      <c r="F676" s="630" t="s">
        <v>534</v>
      </c>
      <c r="G676" s="630" t="s">
        <v>375</v>
      </c>
      <c r="H676" s="630" t="s">
        <v>563</v>
      </c>
      <c r="I676" s="630"/>
      <c r="J676" s="630"/>
      <c r="K676" s="630"/>
      <c r="L676" s="630"/>
      <c r="M676" s="630"/>
      <c r="N676" s="630"/>
      <c r="O676" s="630"/>
      <c r="P676" s="630"/>
      <c r="Q676" s="630"/>
      <c r="R676" s="630"/>
      <c r="S676" s="630" t="s">
        <v>629</v>
      </c>
      <c r="T676" s="630"/>
      <c r="U676" s="630" t="s">
        <v>538</v>
      </c>
      <c r="V676" s="630">
        <v>1</v>
      </c>
      <c r="W676" s="630" t="s">
        <v>562</v>
      </c>
      <c r="X676" s="630" t="s">
        <v>554</v>
      </c>
      <c r="Y676" s="630" t="s">
        <v>554</v>
      </c>
      <c r="Z676" s="630">
        <v>4.4978680000000004</v>
      </c>
      <c r="AA676" s="630">
        <v>7.238632</v>
      </c>
      <c r="AB676" s="631">
        <v>27178</v>
      </c>
      <c r="AC676" s="631">
        <v>2575893</v>
      </c>
      <c r="AD676" s="631">
        <f t="shared" si="10"/>
        <v>11586026.696124</v>
      </c>
    </row>
    <row r="677" spans="2:30" x14ac:dyDescent="0.15">
      <c r="B677" s="630">
        <v>17031002293</v>
      </c>
      <c r="C677" s="630">
        <v>17031001298</v>
      </c>
      <c r="D677" s="630">
        <v>17031001287</v>
      </c>
      <c r="E677" s="630" t="s">
        <v>533</v>
      </c>
      <c r="F677" s="630" t="s">
        <v>534</v>
      </c>
      <c r="G677" s="630" t="s">
        <v>365</v>
      </c>
      <c r="H677" s="630" t="s">
        <v>543</v>
      </c>
      <c r="I677" s="630"/>
      <c r="J677" s="630" t="s">
        <v>557</v>
      </c>
      <c r="K677" s="630"/>
      <c r="L677" s="630"/>
      <c r="M677" s="630"/>
      <c r="N677" s="630"/>
      <c r="O677" s="630"/>
      <c r="P677" s="630"/>
      <c r="Q677" s="630"/>
      <c r="R677" s="630"/>
      <c r="S677" s="630" t="s">
        <v>558</v>
      </c>
      <c r="T677" s="630"/>
      <c r="U677" s="630" t="s">
        <v>559</v>
      </c>
      <c r="V677" s="630">
        <v>1</v>
      </c>
      <c r="W677" s="630" t="s">
        <v>560</v>
      </c>
      <c r="X677" s="630" t="s">
        <v>541</v>
      </c>
      <c r="Y677" s="630" t="s">
        <v>541</v>
      </c>
      <c r="Z677" s="630">
        <v>0.35377199999999998</v>
      </c>
      <c r="AA677" s="630">
        <v>0.56934300000000004</v>
      </c>
      <c r="AB677" s="631">
        <v>0</v>
      </c>
      <c r="AC677" s="631">
        <v>0</v>
      </c>
      <c r="AD677" s="631">
        <f t="shared" si="10"/>
        <v>0</v>
      </c>
    </row>
    <row r="678" spans="2:30" x14ac:dyDescent="0.15">
      <c r="B678" s="630">
        <v>17031006269</v>
      </c>
      <c r="C678" s="630">
        <v>17031001089</v>
      </c>
      <c r="D678" s="630">
        <v>17031001088</v>
      </c>
      <c r="E678" s="630" t="s">
        <v>533</v>
      </c>
      <c r="F678" s="630" t="s">
        <v>534</v>
      </c>
      <c r="G678" s="630" t="s">
        <v>365</v>
      </c>
      <c r="H678" s="630" t="s">
        <v>661</v>
      </c>
      <c r="I678" s="630"/>
      <c r="J678" s="630"/>
      <c r="K678" s="630"/>
      <c r="L678" s="630"/>
      <c r="M678" s="630"/>
      <c r="N678" s="630"/>
      <c r="O678" s="630"/>
      <c r="P678" s="630"/>
      <c r="Q678" s="630"/>
      <c r="R678" s="630"/>
      <c r="S678" s="630"/>
      <c r="T678" s="630"/>
      <c r="U678" s="630" t="s">
        <v>538</v>
      </c>
      <c r="V678" s="630">
        <v>1</v>
      </c>
      <c r="W678" s="630" t="s">
        <v>560</v>
      </c>
      <c r="X678" s="630" t="s">
        <v>541</v>
      </c>
      <c r="Y678" s="630" t="s">
        <v>541</v>
      </c>
      <c r="Z678" s="630">
        <v>0.114994</v>
      </c>
      <c r="AA678" s="630">
        <v>0.18506600000000001</v>
      </c>
      <c r="AB678" s="631">
        <v>0</v>
      </c>
      <c r="AC678" s="631">
        <v>0</v>
      </c>
      <c r="AD678" s="631">
        <f t="shared" si="10"/>
        <v>0</v>
      </c>
    </row>
    <row r="679" spans="2:30" x14ac:dyDescent="0.15">
      <c r="B679" s="630">
        <v>17031006182</v>
      </c>
      <c r="C679" s="630">
        <v>17031000673</v>
      </c>
      <c r="D679" s="630">
        <v>17031004755</v>
      </c>
      <c r="E679" s="630" t="s">
        <v>533</v>
      </c>
      <c r="F679" s="630" t="s">
        <v>534</v>
      </c>
      <c r="G679" s="630" t="s">
        <v>365</v>
      </c>
      <c r="H679" s="630" t="s">
        <v>547</v>
      </c>
      <c r="I679" s="630"/>
      <c r="J679" s="630" t="s">
        <v>577</v>
      </c>
      <c r="K679" s="630"/>
      <c r="L679" s="630"/>
      <c r="M679" s="630"/>
      <c r="N679" s="630"/>
      <c r="O679" s="630"/>
      <c r="P679" s="630"/>
      <c r="Q679" s="630"/>
      <c r="R679" s="630"/>
      <c r="S679" s="630" t="s">
        <v>581</v>
      </c>
      <c r="T679" s="630"/>
      <c r="U679" s="630" t="s">
        <v>538</v>
      </c>
      <c r="V679" s="630">
        <v>2</v>
      </c>
      <c r="W679" s="630" t="s">
        <v>582</v>
      </c>
      <c r="X679" s="630" t="s">
        <v>541</v>
      </c>
      <c r="Y679" s="630" t="s">
        <v>540</v>
      </c>
      <c r="Z679" s="630">
        <v>1.1875500000000001</v>
      </c>
      <c r="AA679" s="630">
        <v>1.9111800000000001</v>
      </c>
      <c r="AB679" s="631">
        <v>0</v>
      </c>
      <c r="AC679" s="631">
        <v>0</v>
      </c>
      <c r="AD679" s="631">
        <f t="shared" si="10"/>
        <v>0</v>
      </c>
    </row>
    <row r="680" spans="2:30" x14ac:dyDescent="0.15">
      <c r="B680" s="630">
        <v>17197009014</v>
      </c>
      <c r="C680" s="630">
        <v>17197007228</v>
      </c>
      <c r="D680" s="630">
        <v>17197007226</v>
      </c>
      <c r="E680" s="630" t="s">
        <v>533</v>
      </c>
      <c r="F680" s="630" t="s">
        <v>534</v>
      </c>
      <c r="G680" s="630" t="s">
        <v>377</v>
      </c>
      <c r="H680" s="630" t="s">
        <v>381</v>
      </c>
      <c r="I680" s="630"/>
      <c r="J680" s="630"/>
      <c r="K680" s="630"/>
      <c r="L680" s="630"/>
      <c r="M680" s="630"/>
      <c r="N680" s="630"/>
      <c r="O680" s="630"/>
      <c r="P680" s="630"/>
      <c r="Q680" s="630"/>
      <c r="R680" s="630"/>
      <c r="S680" s="630" t="s">
        <v>591</v>
      </c>
      <c r="T680" s="630"/>
      <c r="U680" s="630" t="s">
        <v>559</v>
      </c>
      <c r="V680" s="630">
        <v>1</v>
      </c>
      <c r="W680" s="630" t="s">
        <v>560</v>
      </c>
      <c r="X680" s="630" t="s">
        <v>541</v>
      </c>
      <c r="Y680" s="630" t="s">
        <v>541</v>
      </c>
      <c r="Z680" s="630">
        <v>0.139595</v>
      </c>
      <c r="AA680" s="630">
        <v>0.22465599999999999</v>
      </c>
      <c r="AB680" s="631">
        <v>0</v>
      </c>
      <c r="AC680" s="631">
        <v>0</v>
      </c>
      <c r="AD680" s="631">
        <f t="shared" si="10"/>
        <v>0</v>
      </c>
    </row>
    <row r="681" spans="2:30" x14ac:dyDescent="0.15">
      <c r="B681" s="630">
        <v>17043009149</v>
      </c>
      <c r="C681" s="630">
        <v>17999020464</v>
      </c>
      <c r="D681" s="630">
        <v>17043007355</v>
      </c>
      <c r="E681" s="630" t="s">
        <v>533</v>
      </c>
      <c r="F681" s="630" t="s">
        <v>534</v>
      </c>
      <c r="G681" s="630" t="s">
        <v>367</v>
      </c>
      <c r="H681" s="630" t="s">
        <v>382</v>
      </c>
      <c r="I681" s="630"/>
      <c r="J681" s="630"/>
      <c r="K681" s="630"/>
      <c r="L681" s="630"/>
      <c r="M681" s="630"/>
      <c r="N681" s="630"/>
      <c r="O681" s="630"/>
      <c r="P681" s="630"/>
      <c r="Q681" s="630"/>
      <c r="R681" s="630"/>
      <c r="S681" s="630" t="s">
        <v>635</v>
      </c>
      <c r="T681" s="630"/>
      <c r="U681" s="630" t="s">
        <v>559</v>
      </c>
      <c r="V681" s="630">
        <v>1</v>
      </c>
      <c r="W681" s="630" t="s">
        <v>560</v>
      </c>
      <c r="X681" s="630" t="s">
        <v>541</v>
      </c>
      <c r="Y681" s="630" t="s">
        <v>541</v>
      </c>
      <c r="Z681" s="630">
        <v>1.159368</v>
      </c>
      <c r="AA681" s="630">
        <v>1.865826</v>
      </c>
      <c r="AB681" s="631">
        <v>1120</v>
      </c>
      <c r="AC681" s="631">
        <v>104720</v>
      </c>
      <c r="AD681" s="631">
        <f t="shared" si="10"/>
        <v>121409.01695999999</v>
      </c>
    </row>
    <row r="682" spans="2:30" x14ac:dyDescent="0.15">
      <c r="B682" s="630">
        <v>17043009071</v>
      </c>
      <c r="C682" s="630">
        <v>17043007283</v>
      </c>
      <c r="D682" s="630">
        <v>17043004895</v>
      </c>
      <c r="E682" s="630" t="s">
        <v>533</v>
      </c>
      <c r="F682" s="630" t="s">
        <v>534</v>
      </c>
      <c r="G682" s="630" t="s">
        <v>367</v>
      </c>
      <c r="H682" s="630" t="s">
        <v>535</v>
      </c>
      <c r="I682" s="630"/>
      <c r="J682" s="630" t="s">
        <v>536</v>
      </c>
      <c r="K682" s="630" t="s">
        <v>382</v>
      </c>
      <c r="L682" s="630"/>
      <c r="M682" s="630"/>
      <c r="N682" s="630"/>
      <c r="O682" s="630"/>
      <c r="P682" s="630"/>
      <c r="Q682" s="630"/>
      <c r="R682" s="630"/>
      <c r="S682" s="630" t="s">
        <v>550</v>
      </c>
      <c r="T682" s="630"/>
      <c r="U682" s="630" t="s">
        <v>538</v>
      </c>
      <c r="V682" s="630">
        <v>1</v>
      </c>
      <c r="W682" s="630" t="s">
        <v>545</v>
      </c>
      <c r="X682" s="630" t="s">
        <v>540</v>
      </c>
      <c r="Y682" s="630" t="s">
        <v>549</v>
      </c>
      <c r="Z682" s="630">
        <v>0.95983799999999997</v>
      </c>
      <c r="AA682" s="630">
        <v>1.544713</v>
      </c>
      <c r="AB682" s="631">
        <v>21201</v>
      </c>
      <c r="AC682" s="631">
        <v>2116817</v>
      </c>
      <c r="AD682" s="631">
        <f t="shared" si="10"/>
        <v>2031801.395646</v>
      </c>
    </row>
    <row r="683" spans="2:30" x14ac:dyDescent="0.15">
      <c r="B683" s="630">
        <v>17097009402</v>
      </c>
      <c r="C683" s="630">
        <v>17097000109</v>
      </c>
      <c r="D683" s="630">
        <v>17097007513</v>
      </c>
      <c r="E683" s="630" t="s">
        <v>533</v>
      </c>
      <c r="F683" s="630" t="s">
        <v>534</v>
      </c>
      <c r="G683" s="630" t="s">
        <v>373</v>
      </c>
      <c r="H683" s="630" t="s">
        <v>535</v>
      </c>
      <c r="I683" s="630"/>
      <c r="J683" s="630" t="s">
        <v>547</v>
      </c>
      <c r="K683" s="630"/>
      <c r="L683" s="630"/>
      <c r="M683" s="630"/>
      <c r="N683" s="630"/>
      <c r="O683" s="630"/>
      <c r="P683" s="630"/>
      <c r="Q683" s="630"/>
      <c r="R683" s="630"/>
      <c r="S683" s="630" t="s">
        <v>548</v>
      </c>
      <c r="T683" s="630"/>
      <c r="U683" s="630" t="s">
        <v>538</v>
      </c>
      <c r="V683" s="630">
        <v>2</v>
      </c>
      <c r="W683" s="630" t="s">
        <v>545</v>
      </c>
      <c r="X683" s="630" t="s">
        <v>546</v>
      </c>
      <c r="Y683" s="630" t="s">
        <v>549</v>
      </c>
      <c r="Z683" s="630">
        <v>0.51465300000000003</v>
      </c>
      <c r="AA683" s="630">
        <v>0.82825599999999999</v>
      </c>
      <c r="AB683" s="631">
        <v>775806</v>
      </c>
      <c r="AC683" s="631">
        <v>36495445</v>
      </c>
      <c r="AD683" s="631">
        <f t="shared" si="10"/>
        <v>18782490.255585</v>
      </c>
    </row>
    <row r="684" spans="2:30" x14ac:dyDescent="0.15">
      <c r="B684" s="630">
        <v>17031005160</v>
      </c>
      <c r="C684" s="630">
        <v>17031000615</v>
      </c>
      <c r="D684" s="630">
        <v>17031000616</v>
      </c>
      <c r="E684" s="630" t="s">
        <v>533</v>
      </c>
      <c r="F684" s="630" t="s">
        <v>534</v>
      </c>
      <c r="G684" s="630" t="s">
        <v>365</v>
      </c>
      <c r="H684" s="630" t="s">
        <v>547</v>
      </c>
      <c r="I684" s="630"/>
      <c r="J684" s="630" t="s">
        <v>627</v>
      </c>
      <c r="K684" s="630"/>
      <c r="L684" s="630"/>
      <c r="M684" s="630"/>
      <c r="N684" s="630"/>
      <c r="O684" s="630"/>
      <c r="P684" s="630"/>
      <c r="Q684" s="630"/>
      <c r="R684" s="630"/>
      <c r="S684" s="630"/>
      <c r="T684" s="630"/>
      <c r="U684" s="630" t="s">
        <v>538</v>
      </c>
      <c r="V684" s="630">
        <v>4</v>
      </c>
      <c r="W684" s="630" t="s">
        <v>545</v>
      </c>
      <c r="X684" s="630" t="s">
        <v>541</v>
      </c>
      <c r="Y684" s="630" t="s">
        <v>554</v>
      </c>
      <c r="Z684" s="630">
        <v>0.45025500000000002</v>
      </c>
      <c r="AA684" s="630">
        <v>0.72461699999999996</v>
      </c>
      <c r="AB684" s="631">
        <v>0</v>
      </c>
      <c r="AC684" s="631">
        <v>0</v>
      </c>
      <c r="AD684" s="631">
        <f t="shared" si="10"/>
        <v>0</v>
      </c>
    </row>
    <row r="685" spans="2:30" x14ac:dyDescent="0.15">
      <c r="B685" s="630">
        <v>17043005748</v>
      </c>
      <c r="C685" s="630">
        <v>17043007296</v>
      </c>
      <c r="D685" s="630">
        <v>17043007298</v>
      </c>
      <c r="E685" s="630" t="s">
        <v>533</v>
      </c>
      <c r="F685" s="630" t="s">
        <v>534</v>
      </c>
      <c r="G685" s="630" t="s">
        <v>367</v>
      </c>
      <c r="H685" s="630" t="s">
        <v>382</v>
      </c>
      <c r="I685" s="630"/>
      <c r="J685" s="630"/>
      <c r="K685" s="630"/>
      <c r="L685" s="630"/>
      <c r="M685" s="630"/>
      <c r="N685" s="630"/>
      <c r="O685" s="630"/>
      <c r="P685" s="630"/>
      <c r="Q685" s="630"/>
      <c r="R685" s="630"/>
      <c r="S685" s="630"/>
      <c r="T685" s="630"/>
      <c r="U685" s="630" t="s">
        <v>559</v>
      </c>
      <c r="V685" s="630">
        <v>1</v>
      </c>
      <c r="W685" s="630" t="s">
        <v>560</v>
      </c>
      <c r="X685" s="630" t="s">
        <v>541</v>
      </c>
      <c r="Y685" s="630" t="s">
        <v>541</v>
      </c>
      <c r="Z685" s="630">
        <v>0.232102</v>
      </c>
      <c r="AA685" s="630">
        <v>0.373533</v>
      </c>
      <c r="AB685" s="631">
        <v>0</v>
      </c>
      <c r="AC685" s="631">
        <v>0</v>
      </c>
      <c r="AD685" s="631">
        <f t="shared" si="10"/>
        <v>0</v>
      </c>
    </row>
    <row r="686" spans="2:30" x14ac:dyDescent="0.15">
      <c r="B686" s="630">
        <v>17089006564</v>
      </c>
      <c r="C686" s="630">
        <v>17089000476</v>
      </c>
      <c r="D686" s="630">
        <v>17089000473</v>
      </c>
      <c r="E686" s="630" t="s">
        <v>533</v>
      </c>
      <c r="F686" s="630" t="s">
        <v>534</v>
      </c>
      <c r="G686" s="630" t="s">
        <v>369</v>
      </c>
      <c r="H686" s="630" t="s">
        <v>382</v>
      </c>
      <c r="I686" s="630"/>
      <c r="J686" s="630"/>
      <c r="K686" s="630"/>
      <c r="L686" s="630"/>
      <c r="M686" s="630"/>
      <c r="N686" s="630"/>
      <c r="O686" s="630"/>
      <c r="P686" s="630"/>
      <c r="Q686" s="630"/>
      <c r="R686" s="630"/>
      <c r="S686" s="630" t="s">
        <v>635</v>
      </c>
      <c r="T686" s="630"/>
      <c r="U686" s="630" t="s">
        <v>559</v>
      </c>
      <c r="V686" s="630">
        <v>1</v>
      </c>
      <c r="W686" s="630" t="s">
        <v>560</v>
      </c>
      <c r="X686" s="630" t="s">
        <v>541</v>
      </c>
      <c r="Y686" s="630" t="s">
        <v>541</v>
      </c>
      <c r="Z686" s="630">
        <v>0.225996</v>
      </c>
      <c r="AA686" s="630">
        <v>0.363707</v>
      </c>
      <c r="AB686" s="631">
        <v>0</v>
      </c>
      <c r="AC686" s="631">
        <v>0</v>
      </c>
      <c r="AD686" s="631">
        <f t="shared" si="10"/>
        <v>0</v>
      </c>
    </row>
    <row r="687" spans="2:30" x14ac:dyDescent="0.15">
      <c r="B687" s="630">
        <v>17043009123</v>
      </c>
      <c r="C687" s="630">
        <v>17043007329</v>
      </c>
      <c r="D687" s="630">
        <v>17043007330</v>
      </c>
      <c r="E687" s="630" t="s">
        <v>533</v>
      </c>
      <c r="F687" s="630" t="s">
        <v>534</v>
      </c>
      <c r="G687" s="630" t="s">
        <v>367</v>
      </c>
      <c r="H687" s="630" t="s">
        <v>535</v>
      </c>
      <c r="I687" s="630"/>
      <c r="J687" s="630"/>
      <c r="K687" s="630"/>
      <c r="L687" s="630"/>
      <c r="M687" s="630"/>
      <c r="N687" s="630"/>
      <c r="O687" s="630"/>
      <c r="P687" s="630"/>
      <c r="Q687" s="630"/>
      <c r="R687" s="630"/>
      <c r="S687" s="630"/>
      <c r="T687" s="630"/>
      <c r="U687" s="630" t="s">
        <v>559</v>
      </c>
      <c r="V687" s="630">
        <v>1</v>
      </c>
      <c r="W687" s="630" t="s">
        <v>560</v>
      </c>
      <c r="X687" s="630" t="s">
        <v>541</v>
      </c>
      <c r="Y687" s="630" t="s">
        <v>541</v>
      </c>
      <c r="Z687" s="630">
        <v>3.9003000000000003E-2</v>
      </c>
      <c r="AA687" s="630">
        <v>6.2769000000000005E-2</v>
      </c>
      <c r="AB687" s="631">
        <v>0</v>
      </c>
      <c r="AC687" s="631">
        <v>0</v>
      </c>
      <c r="AD687" s="631">
        <f t="shared" si="10"/>
        <v>0</v>
      </c>
    </row>
    <row r="688" spans="2:30" x14ac:dyDescent="0.15">
      <c r="B688" s="630">
        <v>17093009941</v>
      </c>
      <c r="C688" s="630">
        <v>17093001271</v>
      </c>
      <c r="D688" s="630">
        <v>17093008039</v>
      </c>
      <c r="E688" s="630" t="s">
        <v>533</v>
      </c>
      <c r="F688" s="630" t="s">
        <v>534</v>
      </c>
      <c r="G688" s="630" t="s">
        <v>371</v>
      </c>
      <c r="H688" s="630" t="s">
        <v>381</v>
      </c>
      <c r="I688" s="630"/>
      <c r="J688" s="630" t="s">
        <v>542</v>
      </c>
      <c r="K688" s="630" t="s">
        <v>382</v>
      </c>
      <c r="L688" s="630"/>
      <c r="M688" s="630"/>
      <c r="N688" s="630"/>
      <c r="O688" s="630"/>
      <c r="P688" s="630"/>
      <c r="Q688" s="630"/>
      <c r="R688" s="630"/>
      <c r="S688" s="630" t="s">
        <v>619</v>
      </c>
      <c r="T688" s="630"/>
      <c r="U688" s="630" t="s">
        <v>538</v>
      </c>
      <c r="V688" s="630">
        <v>2</v>
      </c>
      <c r="W688" s="630" t="s">
        <v>545</v>
      </c>
      <c r="X688" s="630" t="s">
        <v>580</v>
      </c>
      <c r="Y688" s="630" t="s">
        <v>549</v>
      </c>
      <c r="Z688" s="630">
        <v>1.4553780000000001</v>
      </c>
      <c r="AA688" s="630">
        <v>2.3422079999999998</v>
      </c>
      <c r="AB688" s="631">
        <v>345346</v>
      </c>
      <c r="AC688" s="631">
        <v>23246524</v>
      </c>
      <c r="AD688" s="631">
        <f t="shared" si="10"/>
        <v>33832479.606072001</v>
      </c>
    </row>
    <row r="689" spans="2:30" x14ac:dyDescent="0.15">
      <c r="B689" s="630">
        <v>17031003627</v>
      </c>
      <c r="C689" s="630">
        <v>17031000808</v>
      </c>
      <c r="D689" s="630">
        <v>17031000803</v>
      </c>
      <c r="E689" s="630" t="s">
        <v>533</v>
      </c>
      <c r="F689" s="630" t="s">
        <v>534</v>
      </c>
      <c r="G689" s="630" t="s">
        <v>365</v>
      </c>
      <c r="H689" s="630" t="s">
        <v>543</v>
      </c>
      <c r="I689" s="630"/>
      <c r="J689" s="630" t="s">
        <v>535</v>
      </c>
      <c r="K689" s="630"/>
      <c r="L689" s="630"/>
      <c r="M689" s="630"/>
      <c r="N689" s="630"/>
      <c r="O689" s="630"/>
      <c r="P689" s="630"/>
      <c r="Q689" s="630"/>
      <c r="R689" s="630"/>
      <c r="S689" s="630" t="s">
        <v>639</v>
      </c>
      <c r="T689" s="630"/>
      <c r="U689" s="630" t="s">
        <v>538</v>
      </c>
      <c r="V689" s="630">
        <v>2</v>
      </c>
      <c r="W689" s="630" t="s">
        <v>560</v>
      </c>
      <c r="X689" s="630" t="s">
        <v>541</v>
      </c>
      <c r="Y689" s="630" t="s">
        <v>541</v>
      </c>
      <c r="Z689" s="630">
        <v>0.135773</v>
      </c>
      <c r="AA689" s="630">
        <v>0.21850600000000001</v>
      </c>
      <c r="AB689" s="631">
        <v>960</v>
      </c>
      <c r="AC689" s="631">
        <v>78800</v>
      </c>
      <c r="AD689" s="631">
        <f t="shared" si="10"/>
        <v>10698.912400000001</v>
      </c>
    </row>
    <row r="690" spans="2:30" x14ac:dyDescent="0.15">
      <c r="B690" s="630">
        <v>17043002401</v>
      </c>
      <c r="C690" s="630">
        <v>17043000383</v>
      </c>
      <c r="D690" s="630">
        <v>17043000382</v>
      </c>
      <c r="E690" s="630" t="s">
        <v>533</v>
      </c>
      <c r="F690" s="630" t="s">
        <v>534</v>
      </c>
      <c r="G690" s="630" t="s">
        <v>367</v>
      </c>
      <c r="H690" s="630" t="s">
        <v>638</v>
      </c>
      <c r="I690" s="630"/>
      <c r="J690" s="630"/>
      <c r="K690" s="630"/>
      <c r="L690" s="630"/>
      <c r="M690" s="630"/>
      <c r="N690" s="630"/>
      <c r="O690" s="630"/>
      <c r="P690" s="630"/>
      <c r="Q690" s="630"/>
      <c r="R690" s="630"/>
      <c r="S690" s="630"/>
      <c r="T690" s="630"/>
      <c r="U690" s="630" t="s">
        <v>559</v>
      </c>
      <c r="V690" s="630">
        <v>1</v>
      </c>
      <c r="W690" s="630" t="s">
        <v>560</v>
      </c>
      <c r="X690" s="630" t="s">
        <v>541</v>
      </c>
      <c r="Y690" s="630" t="s">
        <v>541</v>
      </c>
      <c r="Z690" s="630">
        <v>2.1684999999999999E-2</v>
      </c>
      <c r="AA690" s="630">
        <v>3.4898999999999999E-2</v>
      </c>
      <c r="AB690" s="631">
        <v>0</v>
      </c>
      <c r="AC690" s="631">
        <v>0</v>
      </c>
      <c r="AD690" s="631">
        <f t="shared" si="10"/>
        <v>0</v>
      </c>
    </row>
    <row r="691" spans="2:30" x14ac:dyDescent="0.15">
      <c r="B691" s="630">
        <v>17031003328</v>
      </c>
      <c r="C691" s="630">
        <v>17031000395</v>
      </c>
      <c r="D691" s="630">
        <v>17031004609</v>
      </c>
      <c r="E691" s="630" t="s">
        <v>533</v>
      </c>
      <c r="F691" s="630" t="s">
        <v>534</v>
      </c>
      <c r="G691" s="630" t="s">
        <v>365</v>
      </c>
      <c r="H691" s="630" t="s">
        <v>382</v>
      </c>
      <c r="I691" s="630"/>
      <c r="J691" s="630" t="s">
        <v>547</v>
      </c>
      <c r="K691" s="630"/>
      <c r="L691" s="630"/>
      <c r="M691" s="630"/>
      <c r="N691" s="630"/>
      <c r="O691" s="630"/>
      <c r="P691" s="630"/>
      <c r="Q691" s="630"/>
      <c r="R691" s="630"/>
      <c r="S691" s="630" t="s">
        <v>608</v>
      </c>
      <c r="T691" s="630"/>
      <c r="U691" s="630" t="s">
        <v>538</v>
      </c>
      <c r="V691" s="630">
        <v>3</v>
      </c>
      <c r="W691" s="630" t="s">
        <v>545</v>
      </c>
      <c r="X691" s="630" t="s">
        <v>554</v>
      </c>
      <c r="Y691" s="630" t="s">
        <v>549</v>
      </c>
      <c r="Z691" s="630">
        <v>1.0154000000000001</v>
      </c>
      <c r="AA691" s="630">
        <v>1.6341319999999999</v>
      </c>
      <c r="AB691" s="631">
        <v>0</v>
      </c>
      <c r="AC691" s="631">
        <v>0</v>
      </c>
      <c r="AD691" s="631">
        <f t="shared" si="10"/>
        <v>0</v>
      </c>
    </row>
    <row r="692" spans="2:30" x14ac:dyDescent="0.15">
      <c r="B692" s="630">
        <v>17031005342</v>
      </c>
      <c r="C692" s="630">
        <v>17031000325</v>
      </c>
      <c r="D692" s="630">
        <v>17031000318</v>
      </c>
      <c r="E692" s="630" t="s">
        <v>533</v>
      </c>
      <c r="F692" s="630" t="s">
        <v>534</v>
      </c>
      <c r="G692" s="630" t="s">
        <v>365</v>
      </c>
      <c r="H692" s="630" t="s">
        <v>590</v>
      </c>
      <c r="I692" s="630"/>
      <c r="J692" s="630"/>
      <c r="K692" s="630"/>
      <c r="L692" s="630"/>
      <c r="M692" s="630"/>
      <c r="N692" s="630"/>
      <c r="O692" s="630"/>
      <c r="P692" s="630"/>
      <c r="Q692" s="630"/>
      <c r="R692" s="630"/>
      <c r="S692" s="630"/>
      <c r="T692" s="630"/>
      <c r="U692" s="630" t="s">
        <v>559</v>
      </c>
      <c r="V692" s="630">
        <v>1</v>
      </c>
      <c r="W692" s="630" t="s">
        <v>560</v>
      </c>
      <c r="X692" s="630" t="s">
        <v>541</v>
      </c>
      <c r="Y692" s="630" t="s">
        <v>541</v>
      </c>
      <c r="Z692" s="630">
        <v>0.67107399999999995</v>
      </c>
      <c r="AA692" s="630">
        <v>1.0799920000000001</v>
      </c>
      <c r="AB692" s="631">
        <v>0</v>
      </c>
      <c r="AC692" s="631">
        <v>0</v>
      </c>
      <c r="AD692" s="631">
        <f t="shared" si="10"/>
        <v>0</v>
      </c>
    </row>
    <row r="693" spans="2:30" x14ac:dyDescent="0.15">
      <c r="B693" s="630">
        <v>17097002154</v>
      </c>
      <c r="C693" s="630">
        <v>17097000196</v>
      </c>
      <c r="D693" s="630">
        <v>17097004569</v>
      </c>
      <c r="E693" s="630" t="s">
        <v>533</v>
      </c>
      <c r="F693" s="630" t="s">
        <v>534</v>
      </c>
      <c r="G693" s="630" t="s">
        <v>373</v>
      </c>
      <c r="H693" s="630" t="s">
        <v>382</v>
      </c>
      <c r="I693" s="630"/>
      <c r="J693" s="630" t="s">
        <v>547</v>
      </c>
      <c r="K693" s="630"/>
      <c r="L693" s="630"/>
      <c r="M693" s="630"/>
      <c r="N693" s="630"/>
      <c r="O693" s="630"/>
      <c r="P693" s="630"/>
      <c r="Q693" s="630"/>
      <c r="R693" s="630"/>
      <c r="S693" s="630" t="s">
        <v>565</v>
      </c>
      <c r="T693" s="630"/>
      <c r="U693" s="630" t="s">
        <v>538</v>
      </c>
      <c r="V693" s="630">
        <v>2</v>
      </c>
      <c r="W693" s="630" t="s">
        <v>566</v>
      </c>
      <c r="X693" s="630" t="s">
        <v>541</v>
      </c>
      <c r="Y693" s="630" t="s">
        <v>549</v>
      </c>
      <c r="Z693" s="630">
        <v>1.1028800000000001</v>
      </c>
      <c r="AA693" s="630">
        <v>1.7749170000000001</v>
      </c>
      <c r="AB693" s="631">
        <v>0</v>
      </c>
      <c r="AC693" s="631">
        <v>0</v>
      </c>
      <c r="AD693" s="631">
        <f t="shared" si="10"/>
        <v>0</v>
      </c>
    </row>
    <row r="694" spans="2:30" x14ac:dyDescent="0.15">
      <c r="B694" s="630">
        <v>17031002302</v>
      </c>
      <c r="C694" s="630">
        <v>99999023008</v>
      </c>
      <c r="D694" s="630">
        <v>17031001404</v>
      </c>
      <c r="E694" s="630" t="s">
        <v>533</v>
      </c>
      <c r="F694" s="630" t="s">
        <v>534</v>
      </c>
      <c r="G694" s="630" t="s">
        <v>365</v>
      </c>
      <c r="H694" s="630" t="s">
        <v>557</v>
      </c>
      <c r="I694" s="630"/>
      <c r="J694" s="630" t="s">
        <v>569</v>
      </c>
      <c r="K694" s="630" t="s">
        <v>551</v>
      </c>
      <c r="L694" s="630" t="s">
        <v>543</v>
      </c>
      <c r="M694" s="630" t="s">
        <v>382</v>
      </c>
      <c r="N694" s="630"/>
      <c r="O694" s="630"/>
      <c r="P694" s="630"/>
      <c r="Q694" s="630"/>
      <c r="R694" s="630"/>
      <c r="S694" s="630" t="s">
        <v>570</v>
      </c>
      <c r="T694" s="630"/>
      <c r="U694" s="630" t="s">
        <v>538</v>
      </c>
      <c r="V694" s="630">
        <v>2</v>
      </c>
      <c r="W694" s="630" t="s">
        <v>545</v>
      </c>
      <c r="X694" s="630" t="s">
        <v>540</v>
      </c>
      <c r="Y694" s="630" t="s">
        <v>540</v>
      </c>
      <c r="Z694" s="630">
        <v>0.40150400000000003</v>
      </c>
      <c r="AA694" s="630">
        <v>0.64615999999999996</v>
      </c>
      <c r="AB694" s="631">
        <v>16964</v>
      </c>
      <c r="AC694" s="631">
        <v>1396564</v>
      </c>
      <c r="AD694" s="631">
        <f t="shared" si="10"/>
        <v>560726.03225600009</v>
      </c>
    </row>
    <row r="695" spans="2:30" x14ac:dyDescent="0.15">
      <c r="B695" s="630">
        <v>17043002316</v>
      </c>
      <c r="C695" s="630">
        <v>17043000924</v>
      </c>
      <c r="D695" s="630">
        <v>17043000921</v>
      </c>
      <c r="E695" s="630" t="s">
        <v>533</v>
      </c>
      <c r="F695" s="630" t="s">
        <v>534</v>
      </c>
      <c r="G695" s="630" t="s">
        <v>367</v>
      </c>
      <c r="H695" s="630" t="s">
        <v>381</v>
      </c>
      <c r="I695" s="630"/>
      <c r="J695" s="630" t="s">
        <v>542</v>
      </c>
      <c r="K695" s="630" t="s">
        <v>547</v>
      </c>
      <c r="L695" s="630" t="s">
        <v>382</v>
      </c>
      <c r="M695" s="630"/>
      <c r="N695" s="630"/>
      <c r="O695" s="630"/>
      <c r="P695" s="630"/>
      <c r="Q695" s="630"/>
      <c r="R695" s="630"/>
      <c r="S695" s="630" t="s">
        <v>579</v>
      </c>
      <c r="T695" s="630"/>
      <c r="U695" s="630" t="s">
        <v>538</v>
      </c>
      <c r="V695" s="630">
        <v>3</v>
      </c>
      <c r="W695" s="630" t="s">
        <v>545</v>
      </c>
      <c r="X695" s="630" t="s">
        <v>580</v>
      </c>
      <c r="Y695" s="630" t="s">
        <v>549</v>
      </c>
      <c r="Z695" s="630">
        <v>2.093537</v>
      </c>
      <c r="AA695" s="630">
        <v>3.369227</v>
      </c>
      <c r="AB695" s="631">
        <v>1181202</v>
      </c>
      <c r="AC695" s="631">
        <v>46544860</v>
      </c>
      <c r="AD695" s="631">
        <f t="shared" si="10"/>
        <v>97443386.569820002</v>
      </c>
    </row>
    <row r="696" spans="2:30" x14ac:dyDescent="0.15">
      <c r="B696" s="630">
        <v>17031003004</v>
      </c>
      <c r="C696" s="630">
        <v>17031000909</v>
      </c>
      <c r="D696" s="630">
        <v>17031000932</v>
      </c>
      <c r="E696" s="630" t="s">
        <v>533</v>
      </c>
      <c r="F696" s="630" t="s">
        <v>534</v>
      </c>
      <c r="G696" s="630" t="s">
        <v>365</v>
      </c>
      <c r="H696" s="630" t="s">
        <v>557</v>
      </c>
      <c r="I696" s="630"/>
      <c r="J696" s="630"/>
      <c r="K696" s="630"/>
      <c r="L696" s="630"/>
      <c r="M696" s="630"/>
      <c r="N696" s="630"/>
      <c r="O696" s="630"/>
      <c r="P696" s="630"/>
      <c r="Q696" s="630"/>
      <c r="R696" s="630"/>
      <c r="S696" s="630" t="s">
        <v>666</v>
      </c>
      <c r="T696" s="630"/>
      <c r="U696" s="630" t="s">
        <v>559</v>
      </c>
      <c r="V696" s="630">
        <v>1</v>
      </c>
      <c r="W696" s="630" t="s">
        <v>560</v>
      </c>
      <c r="X696" s="630" t="s">
        <v>541</v>
      </c>
      <c r="Y696" s="630" t="s">
        <v>541</v>
      </c>
      <c r="Z696" s="630">
        <v>0.59883299999999995</v>
      </c>
      <c r="AA696" s="630">
        <v>0.963731</v>
      </c>
      <c r="AB696" s="631">
        <v>0</v>
      </c>
      <c r="AC696" s="631">
        <v>0</v>
      </c>
      <c r="AD696" s="631">
        <f t="shared" si="10"/>
        <v>0</v>
      </c>
    </row>
    <row r="697" spans="2:30" x14ac:dyDescent="0.15">
      <c r="B697" s="630">
        <v>17031003630</v>
      </c>
      <c r="C697" s="630">
        <v>17031001028</v>
      </c>
      <c r="D697" s="630">
        <v>17031001016</v>
      </c>
      <c r="E697" s="630" t="s">
        <v>533</v>
      </c>
      <c r="F697" s="630" t="s">
        <v>534</v>
      </c>
      <c r="G697" s="630" t="s">
        <v>365</v>
      </c>
      <c r="H697" s="630" t="s">
        <v>547</v>
      </c>
      <c r="I697" s="630"/>
      <c r="J697" s="630" t="s">
        <v>543</v>
      </c>
      <c r="K697" s="630"/>
      <c r="L697" s="630"/>
      <c r="M697" s="630"/>
      <c r="N697" s="630"/>
      <c r="O697" s="630"/>
      <c r="P697" s="630"/>
      <c r="Q697" s="630"/>
      <c r="R697" s="630"/>
      <c r="S697" s="630" t="s">
        <v>602</v>
      </c>
      <c r="T697" s="630"/>
      <c r="U697" s="630" t="s">
        <v>538</v>
      </c>
      <c r="V697" s="630">
        <v>2</v>
      </c>
      <c r="W697" s="630" t="s">
        <v>582</v>
      </c>
      <c r="X697" s="630" t="s">
        <v>540</v>
      </c>
      <c r="Y697" s="630" t="s">
        <v>540</v>
      </c>
      <c r="Z697" s="630">
        <v>1.0078849999999999</v>
      </c>
      <c r="AA697" s="630">
        <v>1.622036</v>
      </c>
      <c r="AB697" s="631">
        <v>760</v>
      </c>
      <c r="AC697" s="631">
        <v>7120</v>
      </c>
      <c r="AD697" s="631">
        <f t="shared" si="10"/>
        <v>7176.1411999999991</v>
      </c>
    </row>
    <row r="698" spans="2:30" x14ac:dyDescent="0.15">
      <c r="B698" s="630">
        <v>17197004700</v>
      </c>
      <c r="C698" s="630">
        <v>17197007161</v>
      </c>
      <c r="D698" s="630">
        <v>17197007163</v>
      </c>
      <c r="E698" s="630" t="s">
        <v>533</v>
      </c>
      <c r="F698" s="630" t="s">
        <v>534</v>
      </c>
      <c r="G698" s="630" t="s">
        <v>377</v>
      </c>
      <c r="H698" s="630" t="s">
        <v>535</v>
      </c>
      <c r="I698" s="630"/>
      <c r="J698" s="630"/>
      <c r="K698" s="630"/>
      <c r="L698" s="630"/>
      <c r="M698" s="630"/>
      <c r="N698" s="630"/>
      <c r="O698" s="630"/>
      <c r="P698" s="630"/>
      <c r="Q698" s="630"/>
      <c r="R698" s="630"/>
      <c r="S698" s="630" t="s">
        <v>681</v>
      </c>
      <c r="T698" s="630"/>
      <c r="U698" s="630" t="s">
        <v>559</v>
      </c>
      <c r="V698" s="630">
        <v>1</v>
      </c>
      <c r="W698" s="630" t="s">
        <v>560</v>
      </c>
      <c r="X698" s="630" t="s">
        <v>541</v>
      </c>
      <c r="Y698" s="630" t="s">
        <v>541</v>
      </c>
      <c r="Z698" s="630">
        <v>2.515199</v>
      </c>
      <c r="AA698" s="630">
        <v>4.0478290000000001</v>
      </c>
      <c r="AB698" s="631">
        <v>4442</v>
      </c>
      <c r="AC698" s="631">
        <v>536066</v>
      </c>
      <c r="AD698" s="631">
        <f t="shared" si="10"/>
        <v>1348312.667134</v>
      </c>
    </row>
    <row r="699" spans="2:30" x14ac:dyDescent="0.15">
      <c r="B699" s="630">
        <v>17031005458</v>
      </c>
      <c r="C699" s="630">
        <v>17031001284</v>
      </c>
      <c r="D699" s="630">
        <v>17031001286</v>
      </c>
      <c r="E699" s="630" t="s">
        <v>533</v>
      </c>
      <c r="F699" s="630" t="s">
        <v>534</v>
      </c>
      <c r="G699" s="630" t="s">
        <v>365</v>
      </c>
      <c r="H699" s="630" t="s">
        <v>547</v>
      </c>
      <c r="I699" s="630"/>
      <c r="J699" s="630"/>
      <c r="K699" s="630"/>
      <c r="L699" s="630"/>
      <c r="M699" s="630"/>
      <c r="N699" s="630"/>
      <c r="O699" s="630"/>
      <c r="P699" s="630"/>
      <c r="Q699" s="630"/>
      <c r="R699" s="630"/>
      <c r="S699" s="630"/>
      <c r="T699" s="630"/>
      <c r="U699" s="630" t="s">
        <v>538</v>
      </c>
      <c r="V699" s="630">
        <v>1</v>
      </c>
      <c r="W699" s="630" t="s">
        <v>582</v>
      </c>
      <c r="X699" s="630" t="s">
        <v>541</v>
      </c>
      <c r="Y699" s="630" t="s">
        <v>541</v>
      </c>
      <c r="Z699" s="630">
        <v>0.101754</v>
      </c>
      <c r="AA699" s="630">
        <v>0.16375799999999999</v>
      </c>
      <c r="AB699" s="631">
        <v>0</v>
      </c>
      <c r="AC699" s="631">
        <v>0</v>
      </c>
      <c r="AD699" s="631">
        <f t="shared" si="10"/>
        <v>0</v>
      </c>
    </row>
    <row r="700" spans="2:30" x14ac:dyDescent="0.15">
      <c r="B700" s="630">
        <v>17043005746</v>
      </c>
      <c r="C700" s="630">
        <v>17043000593</v>
      </c>
      <c r="D700" s="630">
        <v>17043000589</v>
      </c>
      <c r="E700" s="630" t="s">
        <v>533</v>
      </c>
      <c r="F700" s="630" t="s">
        <v>534</v>
      </c>
      <c r="G700" s="630" t="s">
        <v>367</v>
      </c>
      <c r="H700" s="630" t="s">
        <v>382</v>
      </c>
      <c r="I700" s="630"/>
      <c r="J700" s="630"/>
      <c r="K700" s="630"/>
      <c r="L700" s="630"/>
      <c r="M700" s="630"/>
      <c r="N700" s="630"/>
      <c r="O700" s="630"/>
      <c r="P700" s="630"/>
      <c r="Q700" s="630"/>
      <c r="R700" s="630"/>
      <c r="S700" s="630" t="s">
        <v>635</v>
      </c>
      <c r="T700" s="630" t="s">
        <v>587</v>
      </c>
      <c r="U700" s="630" t="s">
        <v>559</v>
      </c>
      <c r="V700" s="630">
        <v>1</v>
      </c>
      <c r="W700" s="630" t="s">
        <v>560</v>
      </c>
      <c r="X700" s="630" t="s">
        <v>541</v>
      </c>
      <c r="Y700" s="630" t="s">
        <v>541</v>
      </c>
      <c r="Z700" s="630">
        <v>0.55985200000000002</v>
      </c>
      <c r="AA700" s="630">
        <v>0.90099600000000002</v>
      </c>
      <c r="AB700" s="631">
        <v>0</v>
      </c>
      <c r="AC700" s="631">
        <v>0</v>
      </c>
      <c r="AD700" s="631">
        <f t="shared" si="10"/>
        <v>0</v>
      </c>
    </row>
    <row r="701" spans="2:30" x14ac:dyDescent="0.15">
      <c r="B701" s="630">
        <v>17111001976</v>
      </c>
      <c r="C701" s="630">
        <v>17111000108</v>
      </c>
      <c r="D701" s="630">
        <v>17111004834</v>
      </c>
      <c r="E701" s="630" t="s">
        <v>533</v>
      </c>
      <c r="F701" s="630" t="s">
        <v>534</v>
      </c>
      <c r="G701" s="630" t="s">
        <v>375</v>
      </c>
      <c r="H701" s="630" t="s">
        <v>382</v>
      </c>
      <c r="I701" s="630"/>
      <c r="J701" s="630" t="s">
        <v>547</v>
      </c>
      <c r="K701" s="630"/>
      <c r="L701" s="630"/>
      <c r="M701" s="630"/>
      <c r="N701" s="630"/>
      <c r="O701" s="630"/>
      <c r="P701" s="630"/>
      <c r="Q701" s="630"/>
      <c r="R701" s="630"/>
      <c r="S701" s="630" t="s">
        <v>608</v>
      </c>
      <c r="T701" s="630"/>
      <c r="U701" s="630" t="s">
        <v>538</v>
      </c>
      <c r="V701" s="630">
        <v>2</v>
      </c>
      <c r="W701" s="630" t="s">
        <v>566</v>
      </c>
      <c r="X701" s="630" t="s">
        <v>549</v>
      </c>
      <c r="Y701" s="630" t="s">
        <v>549</v>
      </c>
      <c r="Z701" s="630">
        <v>2.1744750000000002</v>
      </c>
      <c r="AA701" s="630">
        <v>3.4994860000000001</v>
      </c>
      <c r="AB701" s="631">
        <v>9512</v>
      </c>
      <c r="AC701" s="631">
        <v>859173</v>
      </c>
      <c r="AD701" s="631">
        <f t="shared" si="10"/>
        <v>1868250.2091750002</v>
      </c>
    </row>
    <row r="702" spans="2:30" x14ac:dyDescent="0.15">
      <c r="B702" s="630">
        <v>17031005853</v>
      </c>
      <c r="C702" s="630">
        <v>17031000618</v>
      </c>
      <c r="D702" s="630">
        <v>17031000614</v>
      </c>
      <c r="E702" s="630" t="s">
        <v>533</v>
      </c>
      <c r="F702" s="630" t="s">
        <v>534</v>
      </c>
      <c r="G702" s="630" t="s">
        <v>365</v>
      </c>
      <c r="H702" s="630" t="s">
        <v>543</v>
      </c>
      <c r="I702" s="630"/>
      <c r="J702" s="630" t="s">
        <v>542</v>
      </c>
      <c r="K702" s="630" t="s">
        <v>547</v>
      </c>
      <c r="L702" s="630"/>
      <c r="M702" s="630"/>
      <c r="N702" s="630"/>
      <c r="O702" s="630"/>
      <c r="P702" s="630"/>
      <c r="Q702" s="630"/>
      <c r="R702" s="630"/>
      <c r="S702" s="630" t="s">
        <v>630</v>
      </c>
      <c r="T702" s="630"/>
      <c r="U702" s="630" t="s">
        <v>538</v>
      </c>
      <c r="V702" s="630">
        <v>2</v>
      </c>
      <c r="W702" s="630" t="s">
        <v>545</v>
      </c>
      <c r="X702" s="630" t="s">
        <v>541</v>
      </c>
      <c r="Y702" s="630" t="s">
        <v>541</v>
      </c>
      <c r="Z702" s="630">
        <v>0.12146899999999999</v>
      </c>
      <c r="AA702" s="630">
        <v>0.19548699999999999</v>
      </c>
      <c r="AB702" s="631">
        <v>93356</v>
      </c>
      <c r="AC702" s="631">
        <v>3932501</v>
      </c>
      <c r="AD702" s="631">
        <f t="shared" si="10"/>
        <v>477676.96396899997</v>
      </c>
    </row>
    <row r="703" spans="2:30" x14ac:dyDescent="0.15">
      <c r="B703" s="630">
        <v>17031009442</v>
      </c>
      <c r="C703" s="630">
        <v>17031007546</v>
      </c>
      <c r="D703" s="630">
        <v>17031000331</v>
      </c>
      <c r="E703" s="630" t="s">
        <v>533</v>
      </c>
      <c r="F703" s="630" t="s">
        <v>534</v>
      </c>
      <c r="G703" s="630" t="s">
        <v>365</v>
      </c>
      <c r="H703" s="630" t="s">
        <v>552</v>
      </c>
      <c r="I703" s="630"/>
      <c r="J703" s="630"/>
      <c r="K703" s="630"/>
      <c r="L703" s="630"/>
      <c r="M703" s="630"/>
      <c r="N703" s="630"/>
      <c r="O703" s="630"/>
      <c r="P703" s="630"/>
      <c r="Q703" s="630"/>
      <c r="R703" s="630"/>
      <c r="S703" s="630" t="s">
        <v>589</v>
      </c>
      <c r="T703" s="630"/>
      <c r="U703" s="630" t="s">
        <v>538</v>
      </c>
      <c r="V703" s="630">
        <v>1</v>
      </c>
      <c r="W703" s="630" t="s">
        <v>560</v>
      </c>
      <c r="X703" s="630" t="s">
        <v>541</v>
      </c>
      <c r="Y703" s="630" t="s">
        <v>541</v>
      </c>
      <c r="Z703" s="630">
        <v>6.5155000000000005E-2</v>
      </c>
      <c r="AA703" s="630">
        <v>0.10485800000000001</v>
      </c>
      <c r="AB703" s="631">
        <v>80</v>
      </c>
      <c r="AC703" s="631">
        <v>8720</v>
      </c>
      <c r="AD703" s="631">
        <f t="shared" si="10"/>
        <v>568.15160000000003</v>
      </c>
    </row>
    <row r="704" spans="2:30" x14ac:dyDescent="0.15">
      <c r="B704" s="630">
        <v>17031009438</v>
      </c>
      <c r="C704" s="630">
        <v>17031000323</v>
      </c>
      <c r="D704" s="630">
        <v>17031007544</v>
      </c>
      <c r="E704" s="630" t="s">
        <v>533</v>
      </c>
      <c r="F704" s="630" t="s">
        <v>534</v>
      </c>
      <c r="G704" s="630" t="s">
        <v>365</v>
      </c>
      <c r="H704" s="630" t="s">
        <v>552</v>
      </c>
      <c r="I704" s="630"/>
      <c r="J704" s="630"/>
      <c r="K704" s="630"/>
      <c r="L704" s="630"/>
      <c r="M704" s="630"/>
      <c r="N704" s="630"/>
      <c r="O704" s="630"/>
      <c r="P704" s="630"/>
      <c r="Q704" s="630"/>
      <c r="R704" s="630"/>
      <c r="S704" s="630"/>
      <c r="T704" s="630"/>
      <c r="U704" s="630" t="s">
        <v>538</v>
      </c>
      <c r="V704" s="630">
        <v>1</v>
      </c>
      <c r="W704" s="630" t="s">
        <v>560</v>
      </c>
      <c r="X704" s="630" t="s">
        <v>541</v>
      </c>
      <c r="Y704" s="630" t="s">
        <v>541</v>
      </c>
      <c r="Z704" s="630">
        <v>7.0014000000000007E-2</v>
      </c>
      <c r="AA704" s="630">
        <v>0.112677</v>
      </c>
      <c r="AB704" s="631">
        <v>0</v>
      </c>
      <c r="AC704" s="631">
        <v>0</v>
      </c>
      <c r="AD704" s="631">
        <f t="shared" si="10"/>
        <v>0</v>
      </c>
    </row>
    <row r="705" spans="2:30" x14ac:dyDescent="0.15">
      <c r="B705" s="630">
        <v>17031002091</v>
      </c>
      <c r="C705" s="630">
        <v>17031004625</v>
      </c>
      <c r="D705" s="630">
        <v>17031007596</v>
      </c>
      <c r="E705" s="630" t="s">
        <v>533</v>
      </c>
      <c r="F705" s="630" t="s">
        <v>534</v>
      </c>
      <c r="G705" s="630" t="s">
        <v>365</v>
      </c>
      <c r="H705" s="630" t="s">
        <v>535</v>
      </c>
      <c r="I705" s="630"/>
      <c r="J705" s="630" t="s">
        <v>547</v>
      </c>
      <c r="K705" s="630"/>
      <c r="L705" s="630"/>
      <c r="M705" s="630"/>
      <c r="N705" s="630"/>
      <c r="O705" s="630"/>
      <c r="P705" s="630"/>
      <c r="Q705" s="630"/>
      <c r="R705" s="630"/>
      <c r="S705" s="630" t="s">
        <v>548</v>
      </c>
      <c r="T705" s="630"/>
      <c r="U705" s="630" t="s">
        <v>538</v>
      </c>
      <c r="V705" s="630">
        <v>2</v>
      </c>
      <c r="W705" s="630" t="s">
        <v>545</v>
      </c>
      <c r="X705" s="630" t="s">
        <v>546</v>
      </c>
      <c r="Y705" s="630" t="s">
        <v>549</v>
      </c>
      <c r="Z705" s="630">
        <v>0.926867</v>
      </c>
      <c r="AA705" s="630">
        <v>1.4916499999999999</v>
      </c>
      <c r="AB705" s="631">
        <v>805460</v>
      </c>
      <c r="AC705" s="631">
        <v>39336999</v>
      </c>
      <c r="AD705" s="631">
        <f t="shared" si="10"/>
        <v>36460166.252132997</v>
      </c>
    </row>
    <row r="706" spans="2:30" x14ac:dyDescent="0.15">
      <c r="B706" s="630">
        <v>17031002341</v>
      </c>
      <c r="C706" s="630">
        <v>17031001552</v>
      </c>
      <c r="D706" s="630">
        <v>17031001556</v>
      </c>
      <c r="E706" s="630" t="s">
        <v>533</v>
      </c>
      <c r="F706" s="630" t="s">
        <v>534</v>
      </c>
      <c r="G706" s="630" t="s">
        <v>365</v>
      </c>
      <c r="H706" s="630" t="s">
        <v>382</v>
      </c>
      <c r="I706" s="630"/>
      <c r="J706" s="630"/>
      <c r="K706" s="630"/>
      <c r="L706" s="630"/>
      <c r="M706" s="630"/>
      <c r="N706" s="630"/>
      <c r="O706" s="630"/>
      <c r="P706" s="630"/>
      <c r="Q706" s="630"/>
      <c r="R706" s="630"/>
      <c r="S706" s="630" t="s">
        <v>576</v>
      </c>
      <c r="T706" s="630"/>
      <c r="U706" s="630" t="s">
        <v>559</v>
      </c>
      <c r="V706" s="630">
        <v>1</v>
      </c>
      <c r="W706" s="630" t="s">
        <v>560</v>
      </c>
      <c r="X706" s="630" t="s">
        <v>541</v>
      </c>
      <c r="Y706" s="630" t="s">
        <v>541</v>
      </c>
      <c r="Z706" s="630">
        <v>0.17685400000000001</v>
      </c>
      <c r="AA706" s="630">
        <v>0.28461900000000001</v>
      </c>
      <c r="AB706" s="631">
        <v>0</v>
      </c>
      <c r="AC706" s="631">
        <v>0</v>
      </c>
      <c r="AD706" s="631">
        <f t="shared" si="10"/>
        <v>0</v>
      </c>
    </row>
    <row r="707" spans="2:30" x14ac:dyDescent="0.15">
      <c r="B707" s="630">
        <v>17031002176</v>
      </c>
      <c r="C707" s="630">
        <v>17031001357</v>
      </c>
      <c r="D707" s="630">
        <v>17031001373</v>
      </c>
      <c r="E707" s="630" t="s">
        <v>533</v>
      </c>
      <c r="F707" s="630" t="s">
        <v>534</v>
      </c>
      <c r="G707" s="630" t="s">
        <v>365</v>
      </c>
      <c r="H707" s="630" t="s">
        <v>551</v>
      </c>
      <c r="I707" s="630"/>
      <c r="J707" s="630" t="s">
        <v>381</v>
      </c>
      <c r="K707" s="630" t="s">
        <v>535</v>
      </c>
      <c r="L707" s="630" t="s">
        <v>552</v>
      </c>
      <c r="M707" s="630"/>
      <c r="N707" s="630"/>
      <c r="O707" s="630"/>
      <c r="P707" s="630"/>
      <c r="Q707" s="630"/>
      <c r="R707" s="630"/>
      <c r="S707" s="630" t="s">
        <v>628</v>
      </c>
      <c r="T707" s="630"/>
      <c r="U707" s="630" t="s">
        <v>538</v>
      </c>
      <c r="V707" s="630">
        <v>1</v>
      </c>
      <c r="W707" s="630" t="s">
        <v>545</v>
      </c>
      <c r="X707" s="630" t="s">
        <v>541</v>
      </c>
      <c r="Y707" s="630" t="s">
        <v>541</v>
      </c>
      <c r="Z707" s="630">
        <v>0.14591899999999999</v>
      </c>
      <c r="AA707" s="630">
        <v>0.23483399999999999</v>
      </c>
      <c r="AB707" s="631">
        <v>6556</v>
      </c>
      <c r="AC707" s="631">
        <v>565928</v>
      </c>
      <c r="AD707" s="631">
        <f t="shared" si="10"/>
        <v>82579.647832000002</v>
      </c>
    </row>
    <row r="708" spans="2:30" x14ac:dyDescent="0.15">
      <c r="B708" s="630">
        <v>17031002342</v>
      </c>
      <c r="C708" s="630">
        <v>17031007636</v>
      </c>
      <c r="D708" s="630">
        <v>17031001554</v>
      </c>
      <c r="E708" s="630" t="s">
        <v>533</v>
      </c>
      <c r="F708" s="630" t="s">
        <v>534</v>
      </c>
      <c r="G708" s="630" t="s">
        <v>365</v>
      </c>
      <c r="H708" s="630" t="s">
        <v>382</v>
      </c>
      <c r="I708" s="630"/>
      <c r="J708" s="630"/>
      <c r="K708" s="630"/>
      <c r="L708" s="630"/>
      <c r="M708" s="630"/>
      <c r="N708" s="630"/>
      <c r="O708" s="630"/>
      <c r="P708" s="630"/>
      <c r="Q708" s="630"/>
      <c r="R708" s="630"/>
      <c r="S708" s="630" t="s">
        <v>576</v>
      </c>
      <c r="T708" s="630"/>
      <c r="U708" s="630" t="s">
        <v>559</v>
      </c>
      <c r="V708" s="630">
        <v>1</v>
      </c>
      <c r="W708" s="630" t="s">
        <v>560</v>
      </c>
      <c r="X708" s="630" t="s">
        <v>541</v>
      </c>
      <c r="Y708" s="630" t="s">
        <v>541</v>
      </c>
      <c r="Z708" s="630">
        <v>8.4518999999999997E-2</v>
      </c>
      <c r="AA708" s="630">
        <v>0.13602</v>
      </c>
      <c r="AB708" s="631">
        <v>0</v>
      </c>
      <c r="AC708" s="631">
        <v>0</v>
      </c>
      <c r="AD708" s="631">
        <f t="shared" si="10"/>
        <v>0</v>
      </c>
    </row>
    <row r="709" spans="2:30" x14ac:dyDescent="0.15">
      <c r="B709" s="630">
        <v>17097002408</v>
      </c>
      <c r="C709" s="630">
        <v>17097004564</v>
      </c>
      <c r="D709" s="630">
        <v>17097000031</v>
      </c>
      <c r="E709" s="630" t="s">
        <v>533</v>
      </c>
      <c r="F709" s="630" t="s">
        <v>534</v>
      </c>
      <c r="G709" s="630" t="s">
        <v>373</v>
      </c>
      <c r="H709" s="630" t="s">
        <v>382</v>
      </c>
      <c r="I709" s="630"/>
      <c r="J709" s="630" t="s">
        <v>535</v>
      </c>
      <c r="K709" s="630"/>
      <c r="L709" s="630"/>
      <c r="M709" s="630"/>
      <c r="N709" s="630"/>
      <c r="O709" s="630"/>
      <c r="P709" s="630"/>
      <c r="Q709" s="630"/>
      <c r="R709" s="630"/>
      <c r="S709" s="630"/>
      <c r="T709" s="630"/>
      <c r="U709" s="630" t="s">
        <v>559</v>
      </c>
      <c r="V709" s="630">
        <v>1</v>
      </c>
      <c r="W709" s="630" t="s">
        <v>560</v>
      </c>
      <c r="X709" s="630" t="s">
        <v>541</v>
      </c>
      <c r="Y709" s="630" t="s">
        <v>541</v>
      </c>
      <c r="Z709" s="630">
        <v>1.1960820000000001</v>
      </c>
      <c r="AA709" s="630">
        <v>1.924911</v>
      </c>
      <c r="AB709" s="631">
        <v>0</v>
      </c>
      <c r="AC709" s="631">
        <v>0</v>
      </c>
      <c r="AD709" s="631">
        <f t="shared" si="10"/>
        <v>0</v>
      </c>
    </row>
    <row r="710" spans="2:30" x14ac:dyDescent="0.15">
      <c r="B710" s="630">
        <v>17197003231</v>
      </c>
      <c r="C710" s="630">
        <v>17197001604</v>
      </c>
      <c r="D710" s="630">
        <v>17999024399</v>
      </c>
      <c r="E710" s="630" t="s">
        <v>533</v>
      </c>
      <c r="F710" s="630" t="s">
        <v>534</v>
      </c>
      <c r="G710" s="630" t="s">
        <v>377</v>
      </c>
      <c r="H710" s="630" t="s">
        <v>535</v>
      </c>
      <c r="I710" s="630"/>
      <c r="J710" s="630" t="s">
        <v>542</v>
      </c>
      <c r="K710" s="630" t="s">
        <v>543</v>
      </c>
      <c r="L710" s="630" t="s">
        <v>382</v>
      </c>
      <c r="M710" s="630"/>
      <c r="N710" s="630"/>
      <c r="O710" s="630"/>
      <c r="P710" s="630"/>
      <c r="Q710" s="630"/>
      <c r="R710" s="630"/>
      <c r="S710" s="630" t="s">
        <v>544</v>
      </c>
      <c r="T710" s="630"/>
      <c r="U710" s="630" t="s">
        <v>538</v>
      </c>
      <c r="V710" s="630">
        <v>2</v>
      </c>
      <c r="W710" s="630" t="s">
        <v>545</v>
      </c>
      <c r="X710" s="630" t="s">
        <v>546</v>
      </c>
      <c r="Y710" s="630" t="s">
        <v>540</v>
      </c>
      <c r="Z710" s="630">
        <v>0.788605</v>
      </c>
      <c r="AA710" s="630">
        <v>1.269139</v>
      </c>
      <c r="AB710" s="631">
        <v>436646</v>
      </c>
      <c r="AC710" s="631">
        <v>24052343</v>
      </c>
      <c r="AD710" s="631">
        <f t="shared" ref="AD710:AD773" si="11">AC710*Z710</f>
        <v>18967797.951515</v>
      </c>
    </row>
    <row r="711" spans="2:30" x14ac:dyDescent="0.15">
      <c r="B711" s="630">
        <v>17031003486</v>
      </c>
      <c r="C711" s="630">
        <v>17031007549</v>
      </c>
      <c r="D711" s="630">
        <v>17031000343</v>
      </c>
      <c r="E711" s="630" t="s">
        <v>533</v>
      </c>
      <c r="F711" s="630" t="s">
        <v>534</v>
      </c>
      <c r="G711" s="630" t="s">
        <v>365</v>
      </c>
      <c r="H711" s="630" t="s">
        <v>535</v>
      </c>
      <c r="I711" s="630"/>
      <c r="J711" s="630" t="s">
        <v>536</v>
      </c>
      <c r="K711" s="630" t="s">
        <v>382</v>
      </c>
      <c r="L711" s="630"/>
      <c r="M711" s="630"/>
      <c r="N711" s="630"/>
      <c r="O711" s="630"/>
      <c r="P711" s="630"/>
      <c r="Q711" s="630"/>
      <c r="R711" s="630"/>
      <c r="S711" s="630" t="s">
        <v>550</v>
      </c>
      <c r="T711" s="630"/>
      <c r="U711" s="630" t="s">
        <v>538</v>
      </c>
      <c r="V711" s="630">
        <v>1</v>
      </c>
      <c r="W711" s="630" t="s">
        <v>545</v>
      </c>
      <c r="X711" s="630" t="s">
        <v>540</v>
      </c>
      <c r="Y711" s="630" t="s">
        <v>549</v>
      </c>
      <c r="Z711" s="630">
        <v>0.52369399999999999</v>
      </c>
      <c r="AA711" s="630">
        <v>0.84280500000000003</v>
      </c>
      <c r="AB711" s="631">
        <v>36212</v>
      </c>
      <c r="AC711" s="631">
        <v>3416314</v>
      </c>
      <c r="AD711" s="631">
        <f t="shared" si="11"/>
        <v>1789103.1439159999</v>
      </c>
    </row>
    <row r="712" spans="2:30" x14ac:dyDescent="0.15">
      <c r="B712" s="630">
        <v>17031004587</v>
      </c>
      <c r="C712" s="630">
        <v>17031001205</v>
      </c>
      <c r="D712" s="630">
        <v>17031001239</v>
      </c>
      <c r="E712" s="630" t="s">
        <v>533</v>
      </c>
      <c r="F712" s="630" t="s">
        <v>534</v>
      </c>
      <c r="G712" s="630" t="s">
        <v>365</v>
      </c>
      <c r="H712" s="630" t="s">
        <v>577</v>
      </c>
      <c r="I712" s="630"/>
      <c r="J712" s="630"/>
      <c r="K712" s="630"/>
      <c r="L712" s="630"/>
      <c r="M712" s="630"/>
      <c r="N712" s="630"/>
      <c r="O712" s="630"/>
      <c r="P712" s="630"/>
      <c r="Q712" s="630"/>
      <c r="R712" s="630"/>
      <c r="S712" s="630"/>
      <c r="T712" s="630"/>
      <c r="U712" s="630" t="s">
        <v>559</v>
      </c>
      <c r="V712" s="630">
        <v>1</v>
      </c>
      <c r="W712" s="630" t="s">
        <v>560</v>
      </c>
      <c r="X712" s="630" t="s">
        <v>541</v>
      </c>
      <c r="Y712" s="630" t="s">
        <v>541</v>
      </c>
      <c r="Z712" s="630">
        <v>0.787852</v>
      </c>
      <c r="AA712" s="630">
        <v>1.267927</v>
      </c>
      <c r="AB712" s="631">
        <v>0</v>
      </c>
      <c r="AC712" s="631">
        <v>0</v>
      </c>
      <c r="AD712" s="631">
        <f t="shared" si="11"/>
        <v>0</v>
      </c>
    </row>
    <row r="713" spans="2:30" x14ac:dyDescent="0.15">
      <c r="B713" s="630">
        <v>17031006366</v>
      </c>
      <c r="C713" s="630">
        <v>17031000749</v>
      </c>
      <c r="D713" s="630">
        <v>17031000751</v>
      </c>
      <c r="E713" s="630" t="s">
        <v>533</v>
      </c>
      <c r="F713" s="630" t="s">
        <v>534</v>
      </c>
      <c r="G713" s="630" t="s">
        <v>365</v>
      </c>
      <c r="H713" s="630" t="s">
        <v>535</v>
      </c>
      <c r="I713" s="630"/>
      <c r="J713" s="630"/>
      <c r="K713" s="630"/>
      <c r="L713" s="630"/>
      <c r="M713" s="630"/>
      <c r="N713" s="630"/>
      <c r="O713" s="630"/>
      <c r="P713" s="630"/>
      <c r="Q713" s="630"/>
      <c r="R713" s="630"/>
      <c r="S713" s="630" t="s">
        <v>624</v>
      </c>
      <c r="T713" s="630" t="s">
        <v>682</v>
      </c>
      <c r="U713" s="630" t="s">
        <v>538</v>
      </c>
      <c r="V713" s="630">
        <v>2</v>
      </c>
      <c r="W713" s="630" t="s">
        <v>582</v>
      </c>
      <c r="X713" s="630" t="s">
        <v>554</v>
      </c>
      <c r="Y713" s="630" t="s">
        <v>554</v>
      </c>
      <c r="Z713" s="630">
        <v>0.32964700000000002</v>
      </c>
      <c r="AA713" s="630">
        <v>0.53051700000000002</v>
      </c>
      <c r="AB713" s="631">
        <v>0</v>
      </c>
      <c r="AC713" s="631">
        <v>0</v>
      </c>
      <c r="AD713" s="631">
        <f t="shared" si="11"/>
        <v>0</v>
      </c>
    </row>
    <row r="714" spans="2:30" x14ac:dyDescent="0.15">
      <c r="B714" s="630">
        <v>17097006320</v>
      </c>
      <c r="C714" s="630">
        <v>17097004545</v>
      </c>
      <c r="D714" s="630">
        <v>17097007533</v>
      </c>
      <c r="E714" s="630" t="s">
        <v>533</v>
      </c>
      <c r="F714" s="630" t="s">
        <v>534</v>
      </c>
      <c r="G714" s="630" t="s">
        <v>373</v>
      </c>
      <c r="H714" s="630" t="s">
        <v>382</v>
      </c>
      <c r="I714" s="630"/>
      <c r="J714" s="630"/>
      <c r="K714" s="630"/>
      <c r="L714" s="630"/>
      <c r="M714" s="630"/>
      <c r="N714" s="630"/>
      <c r="O714" s="630"/>
      <c r="P714" s="630"/>
      <c r="Q714" s="630"/>
      <c r="R714" s="630"/>
      <c r="S714" s="630" t="s">
        <v>586</v>
      </c>
      <c r="T714" s="630"/>
      <c r="U714" s="630" t="s">
        <v>538</v>
      </c>
      <c r="V714" s="630">
        <v>2</v>
      </c>
      <c r="W714" s="630" t="s">
        <v>582</v>
      </c>
      <c r="X714" s="630" t="s">
        <v>549</v>
      </c>
      <c r="Y714" s="630" t="s">
        <v>549</v>
      </c>
      <c r="Z714" s="630">
        <v>0.45281199999999999</v>
      </c>
      <c r="AA714" s="630">
        <v>0.72873200000000005</v>
      </c>
      <c r="AB714" s="631">
        <v>83089</v>
      </c>
      <c r="AC714" s="631">
        <v>9284627</v>
      </c>
      <c r="AD714" s="631">
        <f t="shared" si="11"/>
        <v>4204190.5211239997</v>
      </c>
    </row>
    <row r="715" spans="2:30" x14ac:dyDescent="0.15">
      <c r="B715" s="630">
        <v>17031001938</v>
      </c>
      <c r="C715" s="630">
        <v>17031004657</v>
      </c>
      <c r="D715" s="630">
        <v>17031004521</v>
      </c>
      <c r="E715" s="630" t="s">
        <v>533</v>
      </c>
      <c r="F715" s="630" t="s">
        <v>534</v>
      </c>
      <c r="G715" s="630" t="s">
        <v>365</v>
      </c>
      <c r="H715" s="630" t="s">
        <v>381</v>
      </c>
      <c r="I715" s="630"/>
      <c r="J715" s="630" t="s">
        <v>542</v>
      </c>
      <c r="K715" s="630" t="s">
        <v>547</v>
      </c>
      <c r="L715" s="630" t="s">
        <v>382</v>
      </c>
      <c r="M715" s="630"/>
      <c r="N715" s="630"/>
      <c r="O715" s="630"/>
      <c r="P715" s="630"/>
      <c r="Q715" s="630"/>
      <c r="R715" s="630"/>
      <c r="S715" s="630" t="s">
        <v>579</v>
      </c>
      <c r="T715" s="630"/>
      <c r="U715" s="630" t="s">
        <v>538</v>
      </c>
      <c r="V715" s="630">
        <v>3</v>
      </c>
      <c r="W715" s="630" t="s">
        <v>545</v>
      </c>
      <c r="X715" s="630" t="s">
        <v>580</v>
      </c>
      <c r="Y715" s="630" t="s">
        <v>549</v>
      </c>
      <c r="Z715" s="630">
        <v>0.42139300000000002</v>
      </c>
      <c r="AA715" s="630">
        <v>0.67816799999999999</v>
      </c>
      <c r="AB715" s="631">
        <v>1180642</v>
      </c>
      <c r="AC715" s="631">
        <v>46493460</v>
      </c>
      <c r="AD715" s="631">
        <f t="shared" si="11"/>
        <v>19592018.589779999</v>
      </c>
    </row>
    <row r="716" spans="2:30" x14ac:dyDescent="0.15">
      <c r="B716" s="630">
        <v>17031002604</v>
      </c>
      <c r="C716" s="630">
        <v>17031004683</v>
      </c>
      <c r="D716" s="630">
        <v>17031004684</v>
      </c>
      <c r="E716" s="630" t="s">
        <v>533</v>
      </c>
      <c r="F716" s="630" t="s">
        <v>534</v>
      </c>
      <c r="G716" s="630" t="s">
        <v>365</v>
      </c>
      <c r="H716" s="630" t="s">
        <v>547</v>
      </c>
      <c r="I716" s="630"/>
      <c r="J716" s="630" t="s">
        <v>543</v>
      </c>
      <c r="K716" s="630"/>
      <c r="L716" s="630"/>
      <c r="M716" s="630"/>
      <c r="N716" s="630"/>
      <c r="O716" s="630"/>
      <c r="P716" s="630"/>
      <c r="Q716" s="630"/>
      <c r="R716" s="630"/>
      <c r="S716" s="630" t="s">
        <v>602</v>
      </c>
      <c r="T716" s="630"/>
      <c r="U716" s="630" t="s">
        <v>538</v>
      </c>
      <c r="V716" s="630">
        <v>1</v>
      </c>
      <c r="W716" s="630" t="s">
        <v>582</v>
      </c>
      <c r="X716" s="630" t="s">
        <v>541</v>
      </c>
      <c r="Y716" s="630" t="s">
        <v>540</v>
      </c>
      <c r="Z716" s="630">
        <v>1.8296539999999999</v>
      </c>
      <c r="AA716" s="630">
        <v>2.9445489999999999</v>
      </c>
      <c r="AB716" s="631">
        <v>320</v>
      </c>
      <c r="AC716" s="631">
        <v>23200</v>
      </c>
      <c r="AD716" s="631">
        <f t="shared" si="11"/>
        <v>42447.972799999996</v>
      </c>
    </row>
    <row r="717" spans="2:30" x14ac:dyDescent="0.15">
      <c r="B717" s="630">
        <v>17043002378</v>
      </c>
      <c r="C717" s="630">
        <v>17043000858</v>
      </c>
      <c r="D717" s="630">
        <v>17043004884</v>
      </c>
      <c r="E717" s="630" t="s">
        <v>533</v>
      </c>
      <c r="F717" s="630" t="s">
        <v>534</v>
      </c>
      <c r="G717" s="630" t="s">
        <v>367</v>
      </c>
      <c r="H717" s="630" t="s">
        <v>381</v>
      </c>
      <c r="I717" s="630"/>
      <c r="J717" s="630" t="s">
        <v>542</v>
      </c>
      <c r="K717" s="630" t="s">
        <v>547</v>
      </c>
      <c r="L717" s="630" t="s">
        <v>382</v>
      </c>
      <c r="M717" s="630"/>
      <c r="N717" s="630"/>
      <c r="O717" s="630"/>
      <c r="P717" s="630"/>
      <c r="Q717" s="630"/>
      <c r="R717" s="630"/>
      <c r="S717" s="630" t="s">
        <v>579</v>
      </c>
      <c r="T717" s="630"/>
      <c r="U717" s="630" t="s">
        <v>538</v>
      </c>
      <c r="V717" s="630">
        <v>3</v>
      </c>
      <c r="W717" s="630" t="s">
        <v>545</v>
      </c>
      <c r="X717" s="630" t="s">
        <v>580</v>
      </c>
      <c r="Y717" s="630" t="s">
        <v>549</v>
      </c>
      <c r="Z717" s="630">
        <v>0.91690799999999995</v>
      </c>
      <c r="AA717" s="630">
        <v>1.475624</v>
      </c>
      <c r="AB717" s="631">
        <v>1180642</v>
      </c>
      <c r="AC717" s="631">
        <v>46493460</v>
      </c>
      <c r="AD717" s="631">
        <f t="shared" si="11"/>
        <v>42630225.421679996</v>
      </c>
    </row>
    <row r="718" spans="2:30" x14ac:dyDescent="0.15">
      <c r="B718" s="630">
        <v>17031003283</v>
      </c>
      <c r="C718" s="630">
        <v>17031000433</v>
      </c>
      <c r="D718" s="630">
        <v>17031000413</v>
      </c>
      <c r="E718" s="630" t="s">
        <v>533</v>
      </c>
      <c r="F718" s="630" t="s">
        <v>534</v>
      </c>
      <c r="G718" s="630" t="s">
        <v>365</v>
      </c>
      <c r="H718" s="630" t="s">
        <v>382</v>
      </c>
      <c r="I718" s="630"/>
      <c r="J718" s="630"/>
      <c r="K718" s="630"/>
      <c r="L718" s="630"/>
      <c r="M718" s="630"/>
      <c r="N718" s="630"/>
      <c r="O718" s="630"/>
      <c r="P718" s="630"/>
      <c r="Q718" s="630"/>
      <c r="R718" s="630"/>
      <c r="S718" s="630" t="s">
        <v>586</v>
      </c>
      <c r="T718" s="630"/>
      <c r="U718" s="630" t="s">
        <v>538</v>
      </c>
      <c r="V718" s="630">
        <v>2</v>
      </c>
      <c r="W718" s="630" t="s">
        <v>582</v>
      </c>
      <c r="X718" s="630" t="s">
        <v>549</v>
      </c>
      <c r="Y718" s="630" t="s">
        <v>549</v>
      </c>
      <c r="Z718" s="630">
        <v>0.75330399999999997</v>
      </c>
      <c r="AA718" s="630">
        <v>1.2123280000000001</v>
      </c>
      <c r="AB718" s="631">
        <v>88508</v>
      </c>
      <c r="AC718" s="631">
        <v>9870362</v>
      </c>
      <c r="AD718" s="631">
        <f t="shared" si="11"/>
        <v>7435383.1760479994</v>
      </c>
    </row>
    <row r="719" spans="2:30" x14ac:dyDescent="0.15">
      <c r="B719" s="630">
        <v>17031003643</v>
      </c>
      <c r="C719" s="630">
        <v>99999022107</v>
      </c>
      <c r="D719" s="630">
        <v>17031004739</v>
      </c>
      <c r="E719" s="630" t="s">
        <v>533</v>
      </c>
      <c r="F719" s="630" t="s">
        <v>534</v>
      </c>
      <c r="G719" s="630" t="s">
        <v>365</v>
      </c>
      <c r="H719" s="630" t="s">
        <v>543</v>
      </c>
      <c r="I719" s="630"/>
      <c r="J719" s="630" t="s">
        <v>542</v>
      </c>
      <c r="K719" s="630" t="s">
        <v>552</v>
      </c>
      <c r="L719" s="630" t="s">
        <v>661</v>
      </c>
      <c r="M719" s="630"/>
      <c r="N719" s="630"/>
      <c r="O719" s="630"/>
      <c r="P719" s="630"/>
      <c r="Q719" s="630"/>
      <c r="R719" s="630"/>
      <c r="S719" s="630" t="s">
        <v>630</v>
      </c>
      <c r="T719" s="630" t="s">
        <v>683</v>
      </c>
      <c r="U719" s="630" t="s">
        <v>538</v>
      </c>
      <c r="V719" s="630">
        <v>3</v>
      </c>
      <c r="W719" s="630" t="s">
        <v>545</v>
      </c>
      <c r="X719" s="630" t="s">
        <v>575</v>
      </c>
      <c r="Y719" s="630" t="s">
        <v>540</v>
      </c>
      <c r="Z719" s="630">
        <v>2.3972E-2</v>
      </c>
      <c r="AA719" s="630">
        <v>3.8580000000000003E-2</v>
      </c>
      <c r="AB719" s="631">
        <v>135475</v>
      </c>
      <c r="AC719" s="631">
        <v>5491236</v>
      </c>
      <c r="AD719" s="631">
        <f t="shared" si="11"/>
        <v>131635.909392</v>
      </c>
    </row>
    <row r="720" spans="2:30" x14ac:dyDescent="0.15">
      <c r="B720" s="630">
        <v>17031003689</v>
      </c>
      <c r="C720" s="630">
        <v>17031000300</v>
      </c>
      <c r="D720" s="630">
        <v>17031000289</v>
      </c>
      <c r="E720" s="630" t="s">
        <v>533</v>
      </c>
      <c r="F720" s="630" t="s">
        <v>534</v>
      </c>
      <c r="G720" s="630" t="s">
        <v>365</v>
      </c>
      <c r="H720" s="630" t="s">
        <v>382</v>
      </c>
      <c r="I720" s="630"/>
      <c r="J720" s="630" t="s">
        <v>547</v>
      </c>
      <c r="K720" s="630"/>
      <c r="L720" s="630"/>
      <c r="M720" s="630"/>
      <c r="N720" s="630"/>
      <c r="O720" s="630"/>
      <c r="P720" s="630"/>
      <c r="Q720" s="630"/>
      <c r="R720" s="630"/>
      <c r="S720" s="630" t="s">
        <v>565</v>
      </c>
      <c r="T720" s="630"/>
      <c r="U720" s="630" t="s">
        <v>538</v>
      </c>
      <c r="V720" s="630">
        <v>2</v>
      </c>
      <c r="W720" s="630" t="s">
        <v>566</v>
      </c>
      <c r="X720" s="630" t="s">
        <v>541</v>
      </c>
      <c r="Y720" s="630" t="s">
        <v>549</v>
      </c>
      <c r="Z720" s="630">
        <v>0.62988999999999995</v>
      </c>
      <c r="AA720" s="630">
        <v>1.013711</v>
      </c>
      <c r="AB720" s="631">
        <v>0</v>
      </c>
      <c r="AC720" s="631">
        <v>0</v>
      </c>
      <c r="AD720" s="631">
        <f t="shared" si="11"/>
        <v>0</v>
      </c>
    </row>
    <row r="721" spans="2:30" x14ac:dyDescent="0.15">
      <c r="B721" s="630">
        <v>17197009272</v>
      </c>
      <c r="C721" s="630">
        <v>17197001486</v>
      </c>
      <c r="D721" s="630">
        <v>17197007398</v>
      </c>
      <c r="E721" s="630" t="s">
        <v>533</v>
      </c>
      <c r="F721" s="630" t="s">
        <v>534</v>
      </c>
      <c r="G721" s="630" t="s">
        <v>377</v>
      </c>
      <c r="H721" s="630" t="s">
        <v>547</v>
      </c>
      <c r="I721" s="630"/>
      <c r="J721" s="630" t="s">
        <v>551</v>
      </c>
      <c r="K721" s="630" t="s">
        <v>615</v>
      </c>
      <c r="L721" s="630" t="s">
        <v>535</v>
      </c>
      <c r="M721" s="630"/>
      <c r="N721" s="630"/>
      <c r="O721" s="630"/>
      <c r="P721" s="630"/>
      <c r="Q721" s="630"/>
      <c r="R721" s="630"/>
      <c r="S721" s="630" t="s">
        <v>581</v>
      </c>
      <c r="T721" s="630"/>
      <c r="U721" s="630" t="s">
        <v>538</v>
      </c>
      <c r="V721" s="630">
        <v>2</v>
      </c>
      <c r="W721" s="630" t="s">
        <v>582</v>
      </c>
      <c r="X721" s="630" t="s">
        <v>540</v>
      </c>
      <c r="Y721" s="630" t="s">
        <v>540</v>
      </c>
      <c r="Z721" s="630">
        <v>4.9383000000000003E-2</v>
      </c>
      <c r="AA721" s="630">
        <v>7.9475000000000004E-2</v>
      </c>
      <c r="AB721" s="631">
        <v>91201</v>
      </c>
      <c r="AC721" s="631">
        <v>8934644</v>
      </c>
      <c r="AD721" s="631">
        <f t="shared" si="11"/>
        <v>441219.52465200005</v>
      </c>
    </row>
    <row r="722" spans="2:30" x14ac:dyDescent="0.15">
      <c r="B722" s="630">
        <v>17031002249</v>
      </c>
      <c r="C722" s="630">
        <v>17031004652</v>
      </c>
      <c r="D722" s="630">
        <v>17031004651</v>
      </c>
      <c r="E722" s="630" t="s">
        <v>533</v>
      </c>
      <c r="F722" s="630" t="s">
        <v>534</v>
      </c>
      <c r="G722" s="630" t="s">
        <v>365</v>
      </c>
      <c r="H722" s="630" t="s">
        <v>382</v>
      </c>
      <c r="I722" s="630"/>
      <c r="J722" s="630" t="s">
        <v>572</v>
      </c>
      <c r="K722" s="630" t="s">
        <v>547</v>
      </c>
      <c r="L722" s="630"/>
      <c r="M722" s="630"/>
      <c r="N722" s="630"/>
      <c r="O722" s="630"/>
      <c r="P722" s="630"/>
      <c r="Q722" s="630"/>
      <c r="R722" s="630"/>
      <c r="S722" s="630" t="s">
        <v>583</v>
      </c>
      <c r="T722" s="630"/>
      <c r="U722" s="630" t="s">
        <v>538</v>
      </c>
      <c r="V722" s="630">
        <v>3</v>
      </c>
      <c r="W722" s="630" t="s">
        <v>545</v>
      </c>
      <c r="X722" s="630" t="s">
        <v>580</v>
      </c>
      <c r="Y722" s="630" t="s">
        <v>549</v>
      </c>
      <c r="Z722" s="630">
        <v>0.68447400000000003</v>
      </c>
      <c r="AA722" s="630">
        <v>1.101556</v>
      </c>
      <c r="AB722" s="631">
        <v>858441</v>
      </c>
      <c r="AC722" s="631">
        <v>28505526</v>
      </c>
      <c r="AD722" s="631">
        <f t="shared" si="11"/>
        <v>19511291.403324001</v>
      </c>
    </row>
    <row r="723" spans="2:30" x14ac:dyDescent="0.15">
      <c r="B723" s="630">
        <v>17043002995</v>
      </c>
      <c r="C723" s="630">
        <v>17043000939</v>
      </c>
      <c r="D723" s="630">
        <v>17043004889</v>
      </c>
      <c r="E723" s="630" t="s">
        <v>533</v>
      </c>
      <c r="F723" s="630" t="s">
        <v>534</v>
      </c>
      <c r="G723" s="630" t="s">
        <v>367</v>
      </c>
      <c r="H723" s="630" t="s">
        <v>381</v>
      </c>
      <c r="I723" s="630"/>
      <c r="J723" s="630" t="s">
        <v>542</v>
      </c>
      <c r="K723" s="630" t="s">
        <v>547</v>
      </c>
      <c r="L723" s="630" t="s">
        <v>382</v>
      </c>
      <c r="M723" s="630"/>
      <c r="N723" s="630"/>
      <c r="O723" s="630"/>
      <c r="P723" s="630"/>
      <c r="Q723" s="630"/>
      <c r="R723" s="630"/>
      <c r="S723" s="630" t="s">
        <v>579</v>
      </c>
      <c r="T723" s="630"/>
      <c r="U723" s="630" t="s">
        <v>538</v>
      </c>
      <c r="V723" s="630">
        <v>3</v>
      </c>
      <c r="W723" s="630" t="s">
        <v>545</v>
      </c>
      <c r="X723" s="630" t="s">
        <v>580</v>
      </c>
      <c r="Y723" s="630" t="s">
        <v>549</v>
      </c>
      <c r="Z723" s="630">
        <v>1.66859</v>
      </c>
      <c r="AA723" s="630">
        <v>2.6853400000000001</v>
      </c>
      <c r="AB723" s="631">
        <v>1181202</v>
      </c>
      <c r="AC723" s="631">
        <v>46544860</v>
      </c>
      <c r="AD723" s="631">
        <f t="shared" si="11"/>
        <v>77664287.947400004</v>
      </c>
    </row>
    <row r="724" spans="2:30" x14ac:dyDescent="0.15">
      <c r="B724" s="630">
        <v>17043003506</v>
      </c>
      <c r="C724" s="630">
        <v>17043000584</v>
      </c>
      <c r="D724" s="630">
        <v>17999020762</v>
      </c>
      <c r="E724" s="630" t="s">
        <v>533</v>
      </c>
      <c r="F724" s="630" t="s">
        <v>534</v>
      </c>
      <c r="G724" s="630" t="s">
        <v>367</v>
      </c>
      <c r="H724" s="630" t="s">
        <v>535</v>
      </c>
      <c r="I724" s="630"/>
      <c r="J724" s="630"/>
      <c r="K724" s="630"/>
      <c r="L724" s="630"/>
      <c r="M724" s="630"/>
      <c r="N724" s="630"/>
      <c r="O724" s="630"/>
      <c r="P724" s="630"/>
      <c r="Q724" s="630"/>
      <c r="R724" s="630"/>
      <c r="S724" s="630" t="s">
        <v>624</v>
      </c>
      <c r="T724" s="630"/>
      <c r="U724" s="630" t="s">
        <v>538</v>
      </c>
      <c r="V724" s="630">
        <v>1</v>
      </c>
      <c r="W724" s="630" t="s">
        <v>582</v>
      </c>
      <c r="X724" s="630" t="s">
        <v>554</v>
      </c>
      <c r="Y724" s="630" t="s">
        <v>540</v>
      </c>
      <c r="Z724" s="630">
        <v>1.086066</v>
      </c>
      <c r="AA724" s="630">
        <v>1.747857</v>
      </c>
      <c r="AB724" s="631">
        <v>840</v>
      </c>
      <c r="AC724" s="631">
        <v>70920</v>
      </c>
      <c r="AD724" s="631">
        <f t="shared" si="11"/>
        <v>77023.800719999999</v>
      </c>
    </row>
    <row r="725" spans="2:30" x14ac:dyDescent="0.15">
      <c r="B725" s="630">
        <v>17031003867</v>
      </c>
      <c r="C725" s="630">
        <v>17031000801</v>
      </c>
      <c r="D725" s="630">
        <v>17031000793</v>
      </c>
      <c r="E725" s="630" t="s">
        <v>533</v>
      </c>
      <c r="F725" s="630" t="s">
        <v>534</v>
      </c>
      <c r="G725" s="630" t="s">
        <v>365</v>
      </c>
      <c r="H725" s="630" t="s">
        <v>543</v>
      </c>
      <c r="I725" s="630"/>
      <c r="J725" s="630" t="s">
        <v>382</v>
      </c>
      <c r="K725" s="630"/>
      <c r="L725" s="630"/>
      <c r="M725" s="630"/>
      <c r="N725" s="630"/>
      <c r="O725" s="630"/>
      <c r="P725" s="630"/>
      <c r="Q725" s="630"/>
      <c r="R725" s="630"/>
      <c r="S725" s="630" t="s">
        <v>639</v>
      </c>
      <c r="T725" s="630"/>
      <c r="U725" s="630" t="s">
        <v>538</v>
      </c>
      <c r="V725" s="630">
        <v>2</v>
      </c>
      <c r="W725" s="630" t="s">
        <v>560</v>
      </c>
      <c r="X725" s="630" t="s">
        <v>549</v>
      </c>
      <c r="Y725" s="630" t="s">
        <v>541</v>
      </c>
      <c r="Z725" s="630">
        <v>0.318276</v>
      </c>
      <c r="AA725" s="630">
        <v>0.51221700000000003</v>
      </c>
      <c r="AB725" s="631">
        <v>2734673</v>
      </c>
      <c r="AC725" s="631">
        <v>73793319</v>
      </c>
      <c r="AD725" s="631">
        <f t="shared" si="11"/>
        <v>23486642.398044001</v>
      </c>
    </row>
    <row r="726" spans="2:30" x14ac:dyDescent="0.15">
      <c r="B726" s="630">
        <v>17031004253</v>
      </c>
      <c r="C726" s="630">
        <v>17031001528</v>
      </c>
      <c r="D726" s="630">
        <v>17031001550</v>
      </c>
      <c r="E726" s="630" t="s">
        <v>533</v>
      </c>
      <c r="F726" s="630" t="s">
        <v>534</v>
      </c>
      <c r="G726" s="630" t="s">
        <v>365</v>
      </c>
      <c r="H726" s="630" t="s">
        <v>382</v>
      </c>
      <c r="I726" s="630"/>
      <c r="J726" s="630"/>
      <c r="K726" s="630"/>
      <c r="L726" s="630"/>
      <c r="M726" s="630"/>
      <c r="N726" s="630"/>
      <c r="O726" s="630"/>
      <c r="P726" s="630"/>
      <c r="Q726" s="630"/>
      <c r="R726" s="630"/>
      <c r="S726" s="630" t="s">
        <v>576</v>
      </c>
      <c r="T726" s="630"/>
      <c r="U726" s="630" t="s">
        <v>559</v>
      </c>
      <c r="V726" s="630">
        <v>1</v>
      </c>
      <c r="W726" s="630" t="s">
        <v>560</v>
      </c>
      <c r="X726" s="630" t="s">
        <v>541</v>
      </c>
      <c r="Y726" s="630" t="s">
        <v>541</v>
      </c>
      <c r="Z726" s="630">
        <v>0.94484599999999996</v>
      </c>
      <c r="AA726" s="630">
        <v>1.520586</v>
      </c>
      <c r="AB726" s="631">
        <v>0</v>
      </c>
      <c r="AC726" s="631">
        <v>0</v>
      </c>
      <c r="AD726" s="631">
        <f t="shared" si="11"/>
        <v>0</v>
      </c>
    </row>
    <row r="727" spans="2:30" x14ac:dyDescent="0.15">
      <c r="B727" s="630">
        <v>17031004258</v>
      </c>
      <c r="C727" s="630">
        <v>17031004618</v>
      </c>
      <c r="D727" s="630">
        <v>17031004617</v>
      </c>
      <c r="E727" s="630" t="s">
        <v>533</v>
      </c>
      <c r="F727" s="630" t="s">
        <v>534</v>
      </c>
      <c r="G727" s="630" t="s">
        <v>365</v>
      </c>
      <c r="H727" s="630" t="s">
        <v>552</v>
      </c>
      <c r="I727" s="630"/>
      <c r="J727" s="630" t="s">
        <v>542</v>
      </c>
      <c r="K727" s="630" t="s">
        <v>547</v>
      </c>
      <c r="L727" s="630" t="s">
        <v>563</v>
      </c>
      <c r="M727" s="630"/>
      <c r="N727" s="630"/>
      <c r="O727" s="630"/>
      <c r="P727" s="630"/>
      <c r="Q727" s="630"/>
      <c r="R727" s="630"/>
      <c r="S727" s="630" t="s">
        <v>564</v>
      </c>
      <c r="T727" s="630"/>
      <c r="U727" s="630" t="s">
        <v>538</v>
      </c>
      <c r="V727" s="630">
        <v>2</v>
      </c>
      <c r="W727" s="630" t="s">
        <v>545</v>
      </c>
      <c r="X727" s="630" t="s">
        <v>541</v>
      </c>
      <c r="Y727" s="630" t="s">
        <v>549</v>
      </c>
      <c r="Z727" s="630">
        <v>1.5814600000000001</v>
      </c>
      <c r="AA727" s="630">
        <v>2.5451190000000001</v>
      </c>
      <c r="AB727" s="631">
        <v>27538</v>
      </c>
      <c r="AC727" s="631">
        <v>2609253</v>
      </c>
      <c r="AD727" s="631">
        <f t="shared" si="11"/>
        <v>4126429.2493800004</v>
      </c>
    </row>
    <row r="728" spans="2:30" x14ac:dyDescent="0.15">
      <c r="B728" s="630">
        <v>17031005124</v>
      </c>
      <c r="C728" s="630">
        <v>17031001402</v>
      </c>
      <c r="D728" s="630">
        <v>17031001403</v>
      </c>
      <c r="E728" s="630" t="s">
        <v>533</v>
      </c>
      <c r="F728" s="630" t="s">
        <v>534</v>
      </c>
      <c r="G728" s="630" t="s">
        <v>365</v>
      </c>
      <c r="H728" s="630" t="s">
        <v>557</v>
      </c>
      <c r="I728" s="630"/>
      <c r="J728" s="630" t="s">
        <v>552</v>
      </c>
      <c r="K728" s="630"/>
      <c r="L728" s="630"/>
      <c r="M728" s="630"/>
      <c r="N728" s="630"/>
      <c r="O728" s="630"/>
      <c r="P728" s="630"/>
      <c r="Q728" s="630"/>
      <c r="R728" s="630"/>
      <c r="S728" s="630" t="s">
        <v>567</v>
      </c>
      <c r="T728" s="630"/>
      <c r="U728" s="630" t="s">
        <v>559</v>
      </c>
      <c r="V728" s="630">
        <v>1</v>
      </c>
      <c r="W728" s="630" t="s">
        <v>560</v>
      </c>
      <c r="X728" s="630" t="s">
        <v>541</v>
      </c>
      <c r="Y728" s="630" t="s">
        <v>541</v>
      </c>
      <c r="Z728" s="630">
        <v>0.17608199999999999</v>
      </c>
      <c r="AA728" s="630">
        <v>0.28337800000000002</v>
      </c>
      <c r="AB728" s="631">
        <v>400</v>
      </c>
      <c r="AC728" s="631">
        <v>37280</v>
      </c>
      <c r="AD728" s="631">
        <f t="shared" si="11"/>
        <v>6564.3369599999996</v>
      </c>
    </row>
    <row r="729" spans="2:30" x14ac:dyDescent="0.15">
      <c r="B729" s="630">
        <v>17031006462</v>
      </c>
      <c r="C729" s="630">
        <v>17031004509</v>
      </c>
      <c r="D729" s="630">
        <v>17031001419</v>
      </c>
      <c r="E729" s="630" t="s">
        <v>533</v>
      </c>
      <c r="F729" s="630" t="s">
        <v>534</v>
      </c>
      <c r="G729" s="630" t="s">
        <v>365</v>
      </c>
      <c r="H729" s="630" t="s">
        <v>551</v>
      </c>
      <c r="I729" s="630" t="s">
        <v>535</v>
      </c>
      <c r="J729" s="630" t="s">
        <v>555</v>
      </c>
      <c r="K729" s="630"/>
      <c r="L729" s="630"/>
      <c r="M729" s="630"/>
      <c r="N729" s="630"/>
      <c r="O729" s="630"/>
      <c r="P729" s="630"/>
      <c r="Q729" s="630"/>
      <c r="R729" s="630"/>
      <c r="S729" s="630" t="s">
        <v>553</v>
      </c>
      <c r="T729" s="630"/>
      <c r="U729" s="630" t="s">
        <v>538</v>
      </c>
      <c r="V729" s="630">
        <v>2</v>
      </c>
      <c r="W729" s="630" t="s">
        <v>545</v>
      </c>
      <c r="X729" s="630" t="s">
        <v>546</v>
      </c>
      <c r="Y729" s="630" t="s">
        <v>549</v>
      </c>
      <c r="Z729" s="630">
        <v>5.1357E-2</v>
      </c>
      <c r="AA729" s="630">
        <v>8.2651000000000002E-2</v>
      </c>
      <c r="AB729" s="631">
        <v>464799</v>
      </c>
      <c r="AC729" s="631">
        <v>18630109</v>
      </c>
      <c r="AD729" s="631">
        <f t="shared" si="11"/>
        <v>956786.50791299995</v>
      </c>
    </row>
    <row r="730" spans="2:30" x14ac:dyDescent="0.15">
      <c r="B730" s="630">
        <v>17031008394</v>
      </c>
      <c r="C730" s="630">
        <v>17031006699</v>
      </c>
      <c r="D730" s="630">
        <v>17031001127</v>
      </c>
      <c r="E730" s="630" t="s">
        <v>533</v>
      </c>
      <c r="F730" s="630" t="s">
        <v>534</v>
      </c>
      <c r="G730" s="630" t="s">
        <v>365</v>
      </c>
      <c r="H730" s="630" t="s">
        <v>661</v>
      </c>
      <c r="I730" s="630"/>
      <c r="J730" s="630"/>
      <c r="K730" s="630"/>
      <c r="L730" s="630"/>
      <c r="M730" s="630"/>
      <c r="N730" s="630"/>
      <c r="O730" s="630"/>
      <c r="P730" s="630"/>
      <c r="Q730" s="630"/>
      <c r="R730" s="630"/>
      <c r="S730" s="630"/>
      <c r="T730" s="630" t="s">
        <v>662</v>
      </c>
      <c r="U730" s="630" t="s">
        <v>538</v>
      </c>
      <c r="V730" s="630">
        <v>1</v>
      </c>
      <c r="W730" s="630" t="s">
        <v>560</v>
      </c>
      <c r="X730" s="630" t="s">
        <v>541</v>
      </c>
      <c r="Y730" s="630" t="s">
        <v>541</v>
      </c>
      <c r="Z730" s="630">
        <v>2.0296000000000002E-2</v>
      </c>
      <c r="AA730" s="630">
        <v>3.2662999999999998E-2</v>
      </c>
      <c r="AB730" s="631">
        <v>0</v>
      </c>
      <c r="AC730" s="631">
        <v>0</v>
      </c>
      <c r="AD730" s="631">
        <f t="shared" si="11"/>
        <v>0</v>
      </c>
    </row>
    <row r="731" spans="2:30" x14ac:dyDescent="0.15">
      <c r="B731" s="630">
        <v>17197009323</v>
      </c>
      <c r="C731" s="630">
        <v>17197007445</v>
      </c>
      <c r="D731" s="630">
        <v>17197001292</v>
      </c>
      <c r="E731" s="630" t="s">
        <v>533</v>
      </c>
      <c r="F731" s="630" t="s">
        <v>534</v>
      </c>
      <c r="G731" s="630" t="s">
        <v>377</v>
      </c>
      <c r="H731" s="630" t="s">
        <v>535</v>
      </c>
      <c r="I731" s="630"/>
      <c r="J731" s="630" t="s">
        <v>382</v>
      </c>
      <c r="K731" s="630" t="s">
        <v>536</v>
      </c>
      <c r="L731" s="630"/>
      <c r="M731" s="630"/>
      <c r="N731" s="630"/>
      <c r="O731" s="630"/>
      <c r="P731" s="630"/>
      <c r="Q731" s="630"/>
      <c r="R731" s="630"/>
      <c r="S731" s="630" t="s">
        <v>550</v>
      </c>
      <c r="T731" s="630"/>
      <c r="U731" s="630" t="s">
        <v>538</v>
      </c>
      <c r="V731" s="630">
        <v>1</v>
      </c>
      <c r="W731" s="630" t="s">
        <v>545</v>
      </c>
      <c r="X731" s="630" t="s">
        <v>540</v>
      </c>
      <c r="Y731" s="630" t="s">
        <v>549</v>
      </c>
      <c r="Z731" s="630">
        <v>0.39119300000000001</v>
      </c>
      <c r="AA731" s="630">
        <v>0.62956500000000004</v>
      </c>
      <c r="AB731" s="631">
        <v>23785</v>
      </c>
      <c r="AC731" s="631">
        <v>2276384</v>
      </c>
      <c r="AD731" s="631">
        <f t="shared" si="11"/>
        <v>890505.48611200007</v>
      </c>
    </row>
    <row r="732" spans="2:30" x14ac:dyDescent="0.15">
      <c r="B732" s="630">
        <v>17031009515</v>
      </c>
      <c r="C732" s="630">
        <v>17031007613</v>
      </c>
      <c r="D732" s="630">
        <v>17031007615</v>
      </c>
      <c r="E732" s="630" t="s">
        <v>533</v>
      </c>
      <c r="F732" s="630" t="s">
        <v>534</v>
      </c>
      <c r="G732" s="630" t="s">
        <v>365</v>
      </c>
      <c r="H732" s="630" t="s">
        <v>535</v>
      </c>
      <c r="I732" s="630"/>
      <c r="J732" s="630" t="s">
        <v>382</v>
      </c>
      <c r="K732" s="630" t="s">
        <v>536</v>
      </c>
      <c r="L732" s="630"/>
      <c r="M732" s="630"/>
      <c r="N732" s="630"/>
      <c r="O732" s="630"/>
      <c r="P732" s="630"/>
      <c r="Q732" s="630"/>
      <c r="R732" s="630"/>
      <c r="S732" s="630" t="s">
        <v>537</v>
      </c>
      <c r="T732" s="630"/>
      <c r="U732" s="630" t="s">
        <v>538</v>
      </c>
      <c r="V732" s="630">
        <v>2</v>
      </c>
      <c r="W732" s="630" t="s">
        <v>582</v>
      </c>
      <c r="X732" s="630" t="s">
        <v>540</v>
      </c>
      <c r="Y732" s="630" t="s">
        <v>549</v>
      </c>
      <c r="Z732" s="630">
        <v>0.468302</v>
      </c>
      <c r="AA732" s="630">
        <v>0.75366</v>
      </c>
      <c r="AB732" s="631">
        <v>6964</v>
      </c>
      <c r="AC732" s="631">
        <v>605196</v>
      </c>
      <c r="AD732" s="631">
        <f t="shared" si="11"/>
        <v>283414.49719199998</v>
      </c>
    </row>
    <row r="733" spans="2:30" x14ac:dyDescent="0.15">
      <c r="B733" s="630">
        <v>17097009395</v>
      </c>
      <c r="C733" s="630">
        <v>17097000061</v>
      </c>
      <c r="D733" s="630">
        <v>17097007508</v>
      </c>
      <c r="E733" s="630" t="s">
        <v>533</v>
      </c>
      <c r="F733" s="630" t="s">
        <v>534</v>
      </c>
      <c r="G733" s="630" t="s">
        <v>373</v>
      </c>
      <c r="H733" s="630" t="s">
        <v>535</v>
      </c>
      <c r="I733" s="630"/>
      <c r="J733" s="630" t="s">
        <v>547</v>
      </c>
      <c r="K733" s="630"/>
      <c r="L733" s="630"/>
      <c r="M733" s="630"/>
      <c r="N733" s="630"/>
      <c r="O733" s="630"/>
      <c r="P733" s="630"/>
      <c r="Q733" s="630"/>
      <c r="R733" s="630"/>
      <c r="S733" s="630" t="s">
        <v>548</v>
      </c>
      <c r="T733" s="630"/>
      <c r="U733" s="630" t="s">
        <v>538</v>
      </c>
      <c r="V733" s="630">
        <v>2</v>
      </c>
      <c r="W733" s="630" t="s">
        <v>545</v>
      </c>
      <c r="X733" s="630" t="s">
        <v>546</v>
      </c>
      <c r="Y733" s="630" t="s">
        <v>549</v>
      </c>
      <c r="Z733" s="630">
        <v>0.44246000000000002</v>
      </c>
      <c r="AA733" s="630">
        <v>0.71207100000000001</v>
      </c>
      <c r="AB733" s="631">
        <v>777350</v>
      </c>
      <c r="AC733" s="631">
        <v>36648785</v>
      </c>
      <c r="AD733" s="631">
        <f t="shared" si="11"/>
        <v>16215621.4111</v>
      </c>
    </row>
    <row r="734" spans="2:30" x14ac:dyDescent="0.15">
      <c r="B734" s="630">
        <v>17089010215</v>
      </c>
      <c r="C734" s="630">
        <v>17089001087</v>
      </c>
      <c r="D734" s="630">
        <v>17089001083</v>
      </c>
      <c r="E734" s="630" t="s">
        <v>533</v>
      </c>
      <c r="F734" s="630" t="s">
        <v>534</v>
      </c>
      <c r="G734" s="630" t="s">
        <v>369</v>
      </c>
      <c r="H734" s="630" t="s">
        <v>381</v>
      </c>
      <c r="I734" s="630"/>
      <c r="J734" s="630" t="s">
        <v>542</v>
      </c>
      <c r="K734" s="630" t="s">
        <v>382</v>
      </c>
      <c r="L734" s="630"/>
      <c r="M734" s="630"/>
      <c r="N734" s="630"/>
      <c r="O734" s="630"/>
      <c r="P734" s="630"/>
      <c r="Q734" s="630"/>
      <c r="R734" s="630"/>
      <c r="S734" s="630" t="s">
        <v>619</v>
      </c>
      <c r="T734" s="630"/>
      <c r="U734" s="630" t="s">
        <v>538</v>
      </c>
      <c r="V734" s="630">
        <v>2</v>
      </c>
      <c r="W734" s="630" t="s">
        <v>545</v>
      </c>
      <c r="X734" s="630" t="s">
        <v>580</v>
      </c>
      <c r="Y734" s="630" t="s">
        <v>549</v>
      </c>
      <c r="Z734" s="630">
        <v>0.16081599999999999</v>
      </c>
      <c r="AA734" s="630">
        <v>0.25880999999999998</v>
      </c>
      <c r="AB734" s="631">
        <v>345346</v>
      </c>
      <c r="AC734" s="631">
        <v>23246524</v>
      </c>
      <c r="AD734" s="631">
        <f t="shared" si="11"/>
        <v>3738413.0035839998</v>
      </c>
    </row>
    <row r="735" spans="2:30" x14ac:dyDescent="0.15">
      <c r="B735" s="630">
        <v>17111001982</v>
      </c>
      <c r="C735" s="630">
        <v>17111004837</v>
      </c>
      <c r="D735" s="630">
        <v>17111000045</v>
      </c>
      <c r="E735" s="630" t="s">
        <v>533</v>
      </c>
      <c r="F735" s="630" t="s">
        <v>534</v>
      </c>
      <c r="G735" s="630" t="s">
        <v>375</v>
      </c>
      <c r="H735" s="630" t="s">
        <v>382</v>
      </c>
      <c r="I735" s="630"/>
      <c r="J735" s="630" t="s">
        <v>547</v>
      </c>
      <c r="K735" s="630"/>
      <c r="L735" s="630"/>
      <c r="M735" s="630"/>
      <c r="N735" s="630"/>
      <c r="O735" s="630"/>
      <c r="P735" s="630"/>
      <c r="Q735" s="630"/>
      <c r="R735" s="630"/>
      <c r="S735" s="630" t="s">
        <v>608</v>
      </c>
      <c r="T735" s="630"/>
      <c r="U735" s="630" t="s">
        <v>538</v>
      </c>
      <c r="V735" s="630">
        <v>2</v>
      </c>
      <c r="W735" s="630" t="s">
        <v>566</v>
      </c>
      <c r="X735" s="630" t="s">
        <v>549</v>
      </c>
      <c r="Y735" s="630" t="s">
        <v>549</v>
      </c>
      <c r="Z735" s="630">
        <v>6.6996419999999999</v>
      </c>
      <c r="AA735" s="630">
        <v>10.782050999999999</v>
      </c>
      <c r="AB735" s="631">
        <v>8924</v>
      </c>
      <c r="AC735" s="631">
        <v>814709</v>
      </c>
      <c r="AD735" s="631">
        <f t="shared" si="11"/>
        <v>5458258.6341779996</v>
      </c>
    </row>
    <row r="736" spans="2:30" x14ac:dyDescent="0.15">
      <c r="B736" s="630">
        <v>17093002024</v>
      </c>
      <c r="C736" s="630">
        <v>17093001425</v>
      </c>
      <c r="D736" s="630">
        <v>17093004862</v>
      </c>
      <c r="E736" s="630" t="s">
        <v>533</v>
      </c>
      <c r="F736" s="630" t="s">
        <v>534</v>
      </c>
      <c r="G736" s="630" t="s">
        <v>371</v>
      </c>
      <c r="H736" s="630" t="s">
        <v>578</v>
      </c>
      <c r="I736" s="630"/>
      <c r="J736" s="630"/>
      <c r="K736" s="630"/>
      <c r="L736" s="630"/>
      <c r="M736" s="630"/>
      <c r="N736" s="630"/>
      <c r="O736" s="630"/>
      <c r="P736" s="630"/>
      <c r="Q736" s="630"/>
      <c r="R736" s="630"/>
      <c r="S736" s="630"/>
      <c r="T736" s="630"/>
      <c r="U736" s="630" t="s">
        <v>538</v>
      </c>
      <c r="V736" s="630">
        <v>1</v>
      </c>
      <c r="W736" s="630" t="s">
        <v>560</v>
      </c>
      <c r="X736" s="630" t="s">
        <v>541</v>
      </c>
      <c r="Y736" s="630" t="s">
        <v>541</v>
      </c>
      <c r="Z736" s="630">
        <v>3.5062069999999999</v>
      </c>
      <c r="AA736" s="630">
        <v>5.6427050000000003</v>
      </c>
      <c r="AB736" s="631">
        <v>37788</v>
      </c>
      <c r="AC736" s="631">
        <v>4259781</v>
      </c>
      <c r="AD736" s="631">
        <f t="shared" si="11"/>
        <v>14935673.960666999</v>
      </c>
    </row>
    <row r="737" spans="2:30" x14ac:dyDescent="0.15">
      <c r="B737" s="630">
        <v>17031002385</v>
      </c>
      <c r="C737" s="630">
        <v>17031007688</v>
      </c>
      <c r="D737" s="630">
        <v>17031007694</v>
      </c>
      <c r="E737" s="630" t="s">
        <v>533</v>
      </c>
      <c r="F737" s="630" t="s">
        <v>534</v>
      </c>
      <c r="G737" s="630" t="s">
        <v>365</v>
      </c>
      <c r="H737" s="630" t="s">
        <v>535</v>
      </c>
      <c r="I737" s="630"/>
      <c r="J737" s="630" t="s">
        <v>542</v>
      </c>
      <c r="K737" s="630" t="s">
        <v>572</v>
      </c>
      <c r="L737" s="630" t="s">
        <v>547</v>
      </c>
      <c r="M737" s="630" t="s">
        <v>382</v>
      </c>
      <c r="N737" s="630"/>
      <c r="O737" s="630"/>
      <c r="P737" s="630"/>
      <c r="Q737" s="630"/>
      <c r="R737" s="630"/>
      <c r="S737" s="630" t="s">
        <v>601</v>
      </c>
      <c r="T737" s="630"/>
      <c r="U737" s="630" t="s">
        <v>538</v>
      </c>
      <c r="V737" s="630">
        <v>2</v>
      </c>
      <c r="W737" s="630" t="s">
        <v>545</v>
      </c>
      <c r="X737" s="630" t="s">
        <v>540</v>
      </c>
      <c r="Y737" s="630" t="s">
        <v>549</v>
      </c>
      <c r="Z737" s="630">
        <v>1.8986430000000001</v>
      </c>
      <c r="AA737" s="630">
        <v>3.0555759999999998</v>
      </c>
      <c r="AB737" s="631">
        <v>46240</v>
      </c>
      <c r="AC737" s="631">
        <v>1585480</v>
      </c>
      <c r="AD737" s="631">
        <f t="shared" si="11"/>
        <v>3010260.5036400002</v>
      </c>
    </row>
    <row r="738" spans="2:30" x14ac:dyDescent="0.15">
      <c r="B738" s="630">
        <v>17093002437</v>
      </c>
      <c r="C738" s="630">
        <v>17093001126</v>
      </c>
      <c r="D738" s="630">
        <v>17999021944</v>
      </c>
      <c r="E738" s="630" t="s">
        <v>533</v>
      </c>
      <c r="F738" s="630" t="s">
        <v>534</v>
      </c>
      <c r="G738" s="630" t="s">
        <v>371</v>
      </c>
      <c r="H738" s="630" t="s">
        <v>381</v>
      </c>
      <c r="I738" s="630"/>
      <c r="J738" s="630" t="s">
        <v>542</v>
      </c>
      <c r="K738" s="630" t="s">
        <v>382</v>
      </c>
      <c r="L738" s="630"/>
      <c r="M738" s="630"/>
      <c r="N738" s="630"/>
      <c r="O738" s="630"/>
      <c r="P738" s="630"/>
      <c r="Q738" s="630"/>
      <c r="R738" s="630"/>
      <c r="S738" s="630" t="s">
        <v>619</v>
      </c>
      <c r="T738" s="630"/>
      <c r="U738" s="630" t="s">
        <v>538</v>
      </c>
      <c r="V738" s="630">
        <v>2</v>
      </c>
      <c r="W738" s="630" t="s">
        <v>545</v>
      </c>
      <c r="X738" s="630" t="s">
        <v>580</v>
      </c>
      <c r="Y738" s="630" t="s">
        <v>549</v>
      </c>
      <c r="Z738" s="630">
        <v>1.3535189999999999</v>
      </c>
      <c r="AA738" s="630">
        <v>2.1782819999999998</v>
      </c>
      <c r="AB738" s="631">
        <v>345346</v>
      </c>
      <c r="AC738" s="631">
        <v>23246524</v>
      </c>
      <c r="AD738" s="631">
        <f t="shared" si="11"/>
        <v>31464611.917955998</v>
      </c>
    </row>
    <row r="739" spans="2:30" x14ac:dyDescent="0.15">
      <c r="B739" s="630">
        <v>17031003007</v>
      </c>
      <c r="C739" s="630">
        <v>17031000859</v>
      </c>
      <c r="D739" s="630">
        <v>17031000884</v>
      </c>
      <c r="E739" s="630" t="s">
        <v>533</v>
      </c>
      <c r="F739" s="630" t="s">
        <v>534</v>
      </c>
      <c r="G739" s="630" t="s">
        <v>365</v>
      </c>
      <c r="H739" s="630" t="s">
        <v>551</v>
      </c>
      <c r="I739" s="630" t="s">
        <v>535</v>
      </c>
      <c r="J739" s="630"/>
      <c r="K739" s="630"/>
      <c r="L739" s="630"/>
      <c r="M739" s="630"/>
      <c r="N739" s="630"/>
      <c r="O739" s="630"/>
      <c r="P739" s="630"/>
      <c r="Q739" s="630"/>
      <c r="R739" s="630"/>
      <c r="S739" s="630" t="s">
        <v>553</v>
      </c>
      <c r="T739" s="630" t="s">
        <v>553</v>
      </c>
      <c r="U739" s="630" t="s">
        <v>538</v>
      </c>
      <c r="V739" s="630">
        <v>1</v>
      </c>
      <c r="W739" s="630" t="s">
        <v>539</v>
      </c>
      <c r="X739" s="630" t="s">
        <v>541</v>
      </c>
      <c r="Y739" s="630" t="s">
        <v>554</v>
      </c>
      <c r="Z739" s="630">
        <v>0.50601099999999999</v>
      </c>
      <c r="AA739" s="630">
        <v>0.81434799999999996</v>
      </c>
      <c r="AB739" s="631">
        <v>0</v>
      </c>
      <c r="AC739" s="631">
        <v>0</v>
      </c>
      <c r="AD739" s="631">
        <f t="shared" si="11"/>
        <v>0</v>
      </c>
    </row>
    <row r="740" spans="2:30" x14ac:dyDescent="0.15">
      <c r="B740" s="630">
        <v>17031003662</v>
      </c>
      <c r="C740" s="630">
        <v>17031004720</v>
      </c>
      <c r="D740" s="630">
        <v>17031001176</v>
      </c>
      <c r="E740" s="630" t="s">
        <v>533</v>
      </c>
      <c r="F740" s="630" t="s">
        <v>534</v>
      </c>
      <c r="G740" s="630" t="s">
        <v>365</v>
      </c>
      <c r="H740" s="630" t="s">
        <v>551</v>
      </c>
      <c r="I740" s="630"/>
      <c r="J740" s="630"/>
      <c r="K740" s="630"/>
      <c r="L740" s="630"/>
      <c r="M740" s="630"/>
      <c r="N740" s="630"/>
      <c r="O740" s="630"/>
      <c r="P740" s="630"/>
      <c r="Q740" s="630"/>
      <c r="R740" s="630"/>
      <c r="S740" s="630" t="s">
        <v>600</v>
      </c>
      <c r="T740" s="630"/>
      <c r="U740" s="630" t="s">
        <v>538</v>
      </c>
      <c r="V740" s="630">
        <v>2</v>
      </c>
      <c r="W740" s="630" t="s">
        <v>582</v>
      </c>
      <c r="X740" s="630" t="s">
        <v>575</v>
      </c>
      <c r="Y740" s="630" t="s">
        <v>540</v>
      </c>
      <c r="Z740" s="630">
        <v>3.018688</v>
      </c>
      <c r="AA740" s="630">
        <v>4.858117</v>
      </c>
      <c r="AB740" s="631">
        <v>463665</v>
      </c>
      <c r="AC740" s="631">
        <v>9721522</v>
      </c>
      <c r="AD740" s="631">
        <f t="shared" si="11"/>
        <v>29346241.803135999</v>
      </c>
    </row>
    <row r="741" spans="2:30" x14ac:dyDescent="0.15">
      <c r="B741" s="630">
        <v>17043002233</v>
      </c>
      <c r="C741" s="630">
        <v>17043000404</v>
      </c>
      <c r="D741" s="630">
        <v>17043000386</v>
      </c>
      <c r="E741" s="630" t="s">
        <v>533</v>
      </c>
      <c r="F741" s="630" t="s">
        <v>534</v>
      </c>
      <c r="G741" s="630" t="s">
        <v>367</v>
      </c>
      <c r="H741" s="630" t="s">
        <v>552</v>
      </c>
      <c r="I741" s="630"/>
      <c r="J741" s="630" t="s">
        <v>638</v>
      </c>
      <c r="K741" s="630" t="s">
        <v>382</v>
      </c>
      <c r="L741" s="630"/>
      <c r="M741" s="630"/>
      <c r="N741" s="630"/>
      <c r="O741" s="630"/>
      <c r="P741" s="630"/>
      <c r="Q741" s="630"/>
      <c r="R741" s="630"/>
      <c r="S741" s="630" t="s">
        <v>684</v>
      </c>
      <c r="T741" s="630"/>
      <c r="U741" s="630" t="s">
        <v>538</v>
      </c>
      <c r="V741" s="630">
        <v>2</v>
      </c>
      <c r="W741" s="630" t="s">
        <v>545</v>
      </c>
      <c r="X741" s="630" t="s">
        <v>549</v>
      </c>
      <c r="Y741" s="630" t="s">
        <v>549</v>
      </c>
      <c r="Z741" s="630">
        <v>1.2619199999999999</v>
      </c>
      <c r="AA741" s="630">
        <v>2.0308679999999999</v>
      </c>
      <c r="AB741" s="631">
        <v>517314</v>
      </c>
      <c r="AC741" s="631">
        <v>31852128</v>
      </c>
      <c r="AD741" s="631">
        <f t="shared" si="11"/>
        <v>40194837.365759999</v>
      </c>
    </row>
    <row r="742" spans="2:30" x14ac:dyDescent="0.15">
      <c r="B742" s="630">
        <v>17031003236</v>
      </c>
      <c r="C742" s="630">
        <v>17031000578</v>
      </c>
      <c r="D742" s="630">
        <v>17031004653</v>
      </c>
      <c r="E742" s="630" t="s">
        <v>533</v>
      </c>
      <c r="F742" s="630" t="s">
        <v>534</v>
      </c>
      <c r="G742" s="630" t="s">
        <v>365</v>
      </c>
      <c r="H742" s="630" t="s">
        <v>382</v>
      </c>
      <c r="I742" s="630"/>
      <c r="J742" s="630" t="s">
        <v>572</v>
      </c>
      <c r="K742" s="630" t="s">
        <v>547</v>
      </c>
      <c r="L742" s="630"/>
      <c r="M742" s="630"/>
      <c r="N742" s="630"/>
      <c r="O742" s="630"/>
      <c r="P742" s="630"/>
      <c r="Q742" s="630"/>
      <c r="R742" s="630"/>
      <c r="S742" s="630" t="s">
        <v>583</v>
      </c>
      <c r="T742" s="630"/>
      <c r="U742" s="630" t="s">
        <v>538</v>
      </c>
      <c r="V742" s="630">
        <v>3</v>
      </c>
      <c r="W742" s="630" t="s">
        <v>545</v>
      </c>
      <c r="X742" s="630" t="s">
        <v>580</v>
      </c>
      <c r="Y742" s="630" t="s">
        <v>549</v>
      </c>
      <c r="Z742" s="630">
        <v>1.3149900000000001</v>
      </c>
      <c r="AA742" s="630">
        <v>2.1162749999999999</v>
      </c>
      <c r="AB742" s="631">
        <v>858401</v>
      </c>
      <c r="AC742" s="631">
        <v>28501686</v>
      </c>
      <c r="AD742" s="631">
        <f t="shared" si="11"/>
        <v>37479432.073140003</v>
      </c>
    </row>
    <row r="743" spans="2:30" x14ac:dyDescent="0.15">
      <c r="B743" s="630">
        <v>17031009233</v>
      </c>
      <c r="C743" s="630">
        <v>17031007120</v>
      </c>
      <c r="D743" s="630">
        <v>17031000996</v>
      </c>
      <c r="E743" s="630" t="s">
        <v>533</v>
      </c>
      <c r="F743" s="630" t="s">
        <v>534</v>
      </c>
      <c r="G743" s="630" t="s">
        <v>365</v>
      </c>
      <c r="H743" s="630" t="s">
        <v>571</v>
      </c>
      <c r="I743" s="630"/>
      <c r="J743" s="630" t="s">
        <v>381</v>
      </c>
      <c r="K743" s="630" t="s">
        <v>535</v>
      </c>
      <c r="L743" s="630" t="s">
        <v>552</v>
      </c>
      <c r="M743" s="630" t="s">
        <v>551</v>
      </c>
      <c r="N743" s="630" t="s">
        <v>382</v>
      </c>
      <c r="O743" s="630"/>
      <c r="P743" s="630"/>
      <c r="Q743" s="630"/>
      <c r="R743" s="630"/>
      <c r="S743" s="630"/>
      <c r="T743" s="630" t="s">
        <v>574</v>
      </c>
      <c r="U743" s="630" t="s">
        <v>559</v>
      </c>
      <c r="V743" s="630">
        <v>1</v>
      </c>
      <c r="W743" s="630" t="s">
        <v>560</v>
      </c>
      <c r="X743" s="630" t="s">
        <v>541</v>
      </c>
      <c r="Y743" s="630" t="s">
        <v>541</v>
      </c>
      <c r="Z743" s="630">
        <v>8.6909E-2</v>
      </c>
      <c r="AA743" s="630">
        <v>0.13986599999999999</v>
      </c>
      <c r="AB743" s="631">
        <v>0</v>
      </c>
      <c r="AC743" s="631">
        <v>0</v>
      </c>
      <c r="AD743" s="631">
        <f t="shared" si="11"/>
        <v>0</v>
      </c>
    </row>
    <row r="744" spans="2:30" x14ac:dyDescent="0.15">
      <c r="B744" s="630">
        <v>17043008190</v>
      </c>
      <c r="C744" s="630">
        <v>17043006569</v>
      </c>
      <c r="D744" s="630">
        <v>17043006563</v>
      </c>
      <c r="E744" s="630" t="s">
        <v>533</v>
      </c>
      <c r="F744" s="630" t="s">
        <v>534</v>
      </c>
      <c r="G744" s="630" t="s">
        <v>367</v>
      </c>
      <c r="H744" s="630" t="s">
        <v>382</v>
      </c>
      <c r="I744" s="630"/>
      <c r="J744" s="630"/>
      <c r="K744" s="630"/>
      <c r="L744" s="630"/>
      <c r="M744" s="630"/>
      <c r="N744" s="630"/>
      <c r="O744" s="630"/>
      <c r="P744" s="630"/>
      <c r="Q744" s="630"/>
      <c r="R744" s="630"/>
      <c r="S744" s="630" t="s">
        <v>635</v>
      </c>
      <c r="T744" s="630" t="s">
        <v>587</v>
      </c>
      <c r="U744" s="630" t="s">
        <v>559</v>
      </c>
      <c r="V744" s="630">
        <v>1</v>
      </c>
      <c r="W744" s="630" t="s">
        <v>560</v>
      </c>
      <c r="X744" s="630" t="s">
        <v>541</v>
      </c>
      <c r="Y744" s="630" t="s">
        <v>541</v>
      </c>
      <c r="Z744" s="630">
        <v>6.3062000000000007E-2</v>
      </c>
      <c r="AA744" s="630">
        <v>0.101489</v>
      </c>
      <c r="AB744" s="631">
        <v>0</v>
      </c>
      <c r="AC744" s="631">
        <v>0</v>
      </c>
      <c r="AD744" s="631">
        <f t="shared" si="11"/>
        <v>0</v>
      </c>
    </row>
    <row r="745" spans="2:30" x14ac:dyDescent="0.15">
      <c r="B745" s="630">
        <v>17031009489</v>
      </c>
      <c r="C745" s="630">
        <v>17031007586</v>
      </c>
      <c r="D745" s="630">
        <v>17031007589</v>
      </c>
      <c r="E745" s="630" t="s">
        <v>533</v>
      </c>
      <c r="F745" s="630" t="s">
        <v>534</v>
      </c>
      <c r="G745" s="630" t="s">
        <v>365</v>
      </c>
      <c r="H745" s="630" t="s">
        <v>535</v>
      </c>
      <c r="I745" s="630"/>
      <c r="J745" s="630" t="s">
        <v>547</v>
      </c>
      <c r="K745" s="630"/>
      <c r="L745" s="630"/>
      <c r="M745" s="630"/>
      <c r="N745" s="630"/>
      <c r="O745" s="630"/>
      <c r="P745" s="630"/>
      <c r="Q745" s="630"/>
      <c r="R745" s="630"/>
      <c r="S745" s="630" t="s">
        <v>548</v>
      </c>
      <c r="T745" s="630"/>
      <c r="U745" s="630" t="s">
        <v>538</v>
      </c>
      <c r="V745" s="630">
        <v>2</v>
      </c>
      <c r="W745" s="630" t="s">
        <v>545</v>
      </c>
      <c r="X745" s="630" t="s">
        <v>546</v>
      </c>
      <c r="Y745" s="630" t="s">
        <v>549</v>
      </c>
      <c r="Z745" s="630">
        <v>0.55068899999999998</v>
      </c>
      <c r="AA745" s="630">
        <v>0.88625100000000001</v>
      </c>
      <c r="AB745" s="631">
        <v>805460</v>
      </c>
      <c r="AC745" s="631">
        <v>39336999</v>
      </c>
      <c r="AD745" s="631">
        <f t="shared" si="11"/>
        <v>21662452.642310999</v>
      </c>
    </row>
    <row r="746" spans="2:30" x14ac:dyDescent="0.15">
      <c r="B746" s="630">
        <v>17043003509</v>
      </c>
      <c r="C746" s="630">
        <v>17043000595</v>
      </c>
      <c r="D746" s="630">
        <v>17043004782</v>
      </c>
      <c r="E746" s="630" t="s">
        <v>533</v>
      </c>
      <c r="F746" s="630" t="s">
        <v>534</v>
      </c>
      <c r="G746" s="630" t="s">
        <v>367</v>
      </c>
      <c r="H746" s="630" t="s">
        <v>382</v>
      </c>
      <c r="I746" s="630"/>
      <c r="J746" s="630"/>
      <c r="K746" s="630"/>
      <c r="L746" s="630"/>
      <c r="M746" s="630"/>
      <c r="N746" s="630"/>
      <c r="O746" s="630"/>
      <c r="P746" s="630"/>
      <c r="Q746" s="630"/>
      <c r="R746" s="630"/>
      <c r="S746" s="630"/>
      <c r="T746" s="630" t="s">
        <v>587</v>
      </c>
      <c r="U746" s="630" t="s">
        <v>559</v>
      </c>
      <c r="V746" s="630">
        <v>1</v>
      </c>
      <c r="W746" s="630" t="s">
        <v>560</v>
      </c>
      <c r="X746" s="630" t="s">
        <v>541</v>
      </c>
      <c r="Y746" s="630" t="s">
        <v>541</v>
      </c>
      <c r="Z746" s="630">
        <v>5.4356000000000002E-2</v>
      </c>
      <c r="AA746" s="630">
        <v>8.7478E-2</v>
      </c>
      <c r="AB746" s="631">
        <v>1120</v>
      </c>
      <c r="AC746" s="631">
        <v>104720</v>
      </c>
      <c r="AD746" s="631">
        <f t="shared" si="11"/>
        <v>5692.16032</v>
      </c>
    </row>
    <row r="747" spans="2:30" x14ac:dyDescent="0.15">
      <c r="B747" s="630">
        <v>17031003818</v>
      </c>
      <c r="C747" s="630">
        <v>17031001331</v>
      </c>
      <c r="D747" s="630">
        <v>17031001336</v>
      </c>
      <c r="E747" s="630" t="s">
        <v>533</v>
      </c>
      <c r="F747" s="630" t="s">
        <v>534</v>
      </c>
      <c r="G747" s="630" t="s">
        <v>365</v>
      </c>
      <c r="H747" s="630" t="s">
        <v>557</v>
      </c>
      <c r="I747" s="630"/>
      <c r="J747" s="630"/>
      <c r="K747" s="630"/>
      <c r="L747" s="630"/>
      <c r="M747" s="630"/>
      <c r="N747" s="630"/>
      <c r="O747" s="630"/>
      <c r="P747" s="630"/>
      <c r="Q747" s="630"/>
      <c r="R747" s="630"/>
      <c r="S747" s="630" t="s">
        <v>665</v>
      </c>
      <c r="T747" s="630"/>
      <c r="U747" s="630" t="s">
        <v>559</v>
      </c>
      <c r="V747" s="630">
        <v>1</v>
      </c>
      <c r="W747" s="630" t="s">
        <v>560</v>
      </c>
      <c r="X747" s="630" t="s">
        <v>541</v>
      </c>
      <c r="Y747" s="630" t="s">
        <v>541</v>
      </c>
      <c r="Z747" s="630">
        <v>1.4144E-2</v>
      </c>
      <c r="AA747" s="630">
        <v>2.2762999999999999E-2</v>
      </c>
      <c r="AB747" s="631">
        <v>284</v>
      </c>
      <c r="AC747" s="631">
        <v>28772</v>
      </c>
      <c r="AD747" s="631">
        <f t="shared" si="11"/>
        <v>406.951168</v>
      </c>
    </row>
    <row r="748" spans="2:30" x14ac:dyDescent="0.15">
      <c r="B748" s="630">
        <v>17031004580</v>
      </c>
      <c r="C748" s="630">
        <v>17031001190</v>
      </c>
      <c r="D748" s="630">
        <v>17031001187</v>
      </c>
      <c r="E748" s="630" t="s">
        <v>533</v>
      </c>
      <c r="F748" s="630" t="s">
        <v>534</v>
      </c>
      <c r="G748" s="630" t="s">
        <v>365</v>
      </c>
      <c r="H748" s="630" t="s">
        <v>543</v>
      </c>
      <c r="I748" s="630"/>
      <c r="J748" s="630"/>
      <c r="K748" s="630"/>
      <c r="L748" s="630"/>
      <c r="M748" s="630"/>
      <c r="N748" s="630"/>
      <c r="O748" s="630"/>
      <c r="P748" s="630"/>
      <c r="Q748" s="630"/>
      <c r="R748" s="630"/>
      <c r="S748" s="630" t="s">
        <v>604</v>
      </c>
      <c r="T748" s="630"/>
      <c r="U748" s="630" t="s">
        <v>538</v>
      </c>
      <c r="V748" s="630">
        <v>1</v>
      </c>
      <c r="W748" s="630" t="s">
        <v>545</v>
      </c>
      <c r="X748" s="630" t="s">
        <v>546</v>
      </c>
      <c r="Y748" s="630" t="s">
        <v>554</v>
      </c>
      <c r="Z748" s="630">
        <v>6.173E-2</v>
      </c>
      <c r="AA748" s="630">
        <v>9.9346000000000004E-2</v>
      </c>
      <c r="AB748" s="631">
        <v>10277</v>
      </c>
      <c r="AC748" s="631">
        <v>921789</v>
      </c>
      <c r="AD748" s="631">
        <f t="shared" si="11"/>
        <v>56902.034970000001</v>
      </c>
    </row>
    <row r="749" spans="2:30" x14ac:dyDescent="0.15">
      <c r="B749" s="630">
        <v>17031005310</v>
      </c>
      <c r="C749" s="630">
        <v>17031001449</v>
      </c>
      <c r="D749" s="630">
        <v>17031001448</v>
      </c>
      <c r="E749" s="630" t="s">
        <v>533</v>
      </c>
      <c r="F749" s="630" t="s">
        <v>534</v>
      </c>
      <c r="G749" s="630" t="s">
        <v>365</v>
      </c>
      <c r="H749" s="630" t="s">
        <v>551</v>
      </c>
      <c r="I749" s="630"/>
      <c r="J749" s="630"/>
      <c r="K749" s="630"/>
      <c r="L749" s="630"/>
      <c r="M749" s="630"/>
      <c r="N749" s="630"/>
      <c r="O749" s="630"/>
      <c r="P749" s="630"/>
      <c r="Q749" s="630"/>
      <c r="R749" s="630"/>
      <c r="S749" s="630"/>
      <c r="T749" s="630"/>
      <c r="U749" s="630" t="s">
        <v>559</v>
      </c>
      <c r="V749" s="630">
        <v>1</v>
      </c>
      <c r="W749" s="630" t="s">
        <v>560</v>
      </c>
      <c r="X749" s="630" t="s">
        <v>541</v>
      </c>
      <c r="Y749" s="630" t="s">
        <v>541</v>
      </c>
      <c r="Z749" s="630">
        <v>0.51478299999999999</v>
      </c>
      <c r="AA749" s="630">
        <v>0.82846500000000001</v>
      </c>
      <c r="AB749" s="631">
        <v>0</v>
      </c>
      <c r="AC749" s="631">
        <v>0</v>
      </c>
      <c r="AD749" s="631">
        <f t="shared" si="11"/>
        <v>0</v>
      </c>
    </row>
    <row r="750" spans="2:30" x14ac:dyDescent="0.15">
      <c r="B750" s="630">
        <v>17031004271</v>
      </c>
      <c r="C750" s="630">
        <v>17031000819</v>
      </c>
      <c r="D750" s="630">
        <v>17031000815</v>
      </c>
      <c r="E750" s="630" t="s">
        <v>533</v>
      </c>
      <c r="F750" s="630" t="s">
        <v>534</v>
      </c>
      <c r="G750" s="630" t="s">
        <v>365</v>
      </c>
      <c r="H750" s="630" t="s">
        <v>557</v>
      </c>
      <c r="I750" s="630"/>
      <c r="J750" s="630" t="s">
        <v>381</v>
      </c>
      <c r="K750" s="630"/>
      <c r="L750" s="630"/>
      <c r="M750" s="630"/>
      <c r="N750" s="630"/>
      <c r="O750" s="630"/>
      <c r="P750" s="630"/>
      <c r="Q750" s="630"/>
      <c r="R750" s="630"/>
      <c r="S750" s="630"/>
      <c r="T750" s="630"/>
      <c r="U750" s="630" t="s">
        <v>538</v>
      </c>
      <c r="V750" s="630">
        <v>1</v>
      </c>
      <c r="W750" s="630" t="s">
        <v>560</v>
      </c>
      <c r="X750" s="630" t="s">
        <v>541</v>
      </c>
      <c r="Y750" s="630" t="s">
        <v>541</v>
      </c>
      <c r="Z750" s="630">
        <v>0.72363500000000003</v>
      </c>
      <c r="AA750" s="630">
        <v>1.164579</v>
      </c>
      <c r="AB750" s="631">
        <v>233191</v>
      </c>
      <c r="AC750" s="631">
        <v>5691283</v>
      </c>
      <c r="AD750" s="631">
        <f t="shared" si="11"/>
        <v>4118411.5737050003</v>
      </c>
    </row>
    <row r="751" spans="2:30" x14ac:dyDescent="0.15">
      <c r="B751" s="630">
        <v>17031003296</v>
      </c>
      <c r="C751" s="630">
        <v>17031000757</v>
      </c>
      <c r="D751" s="630">
        <v>17031000756</v>
      </c>
      <c r="E751" s="630" t="s">
        <v>533</v>
      </c>
      <c r="F751" s="630" t="s">
        <v>534</v>
      </c>
      <c r="G751" s="630" t="s">
        <v>365</v>
      </c>
      <c r="H751" s="630" t="s">
        <v>535</v>
      </c>
      <c r="I751" s="630"/>
      <c r="J751" s="630"/>
      <c r="K751" s="630"/>
      <c r="L751" s="630"/>
      <c r="M751" s="630"/>
      <c r="N751" s="630"/>
      <c r="O751" s="630"/>
      <c r="P751" s="630"/>
      <c r="Q751" s="630"/>
      <c r="R751" s="630"/>
      <c r="S751" s="630" t="s">
        <v>624</v>
      </c>
      <c r="T751" s="630" t="s">
        <v>685</v>
      </c>
      <c r="U751" s="630" t="s">
        <v>538</v>
      </c>
      <c r="V751" s="630">
        <v>2</v>
      </c>
      <c r="W751" s="630" t="s">
        <v>582</v>
      </c>
      <c r="X751" s="630" t="s">
        <v>554</v>
      </c>
      <c r="Y751" s="630" t="s">
        <v>554</v>
      </c>
      <c r="Z751" s="630">
        <v>1.227757</v>
      </c>
      <c r="AA751" s="630">
        <v>1.9758869999999999</v>
      </c>
      <c r="AB751" s="631">
        <v>0</v>
      </c>
      <c r="AC751" s="631">
        <v>0</v>
      </c>
      <c r="AD751" s="631">
        <f t="shared" si="11"/>
        <v>0</v>
      </c>
    </row>
    <row r="752" spans="2:30" x14ac:dyDescent="0.15">
      <c r="B752" s="630">
        <v>17031006405</v>
      </c>
      <c r="C752" s="630">
        <v>17031001079</v>
      </c>
      <c r="D752" s="630">
        <v>17031004706</v>
      </c>
      <c r="E752" s="630" t="s">
        <v>533</v>
      </c>
      <c r="F752" s="630" t="s">
        <v>534</v>
      </c>
      <c r="G752" s="630" t="s">
        <v>365</v>
      </c>
      <c r="H752" s="630" t="s">
        <v>547</v>
      </c>
      <c r="I752" s="630"/>
      <c r="J752" s="630"/>
      <c r="K752" s="630"/>
      <c r="L752" s="630"/>
      <c r="M752" s="630"/>
      <c r="N752" s="630"/>
      <c r="O752" s="630"/>
      <c r="P752" s="630"/>
      <c r="Q752" s="630"/>
      <c r="R752" s="630"/>
      <c r="S752" s="630" t="s">
        <v>611</v>
      </c>
      <c r="T752" s="630"/>
      <c r="U752" s="630" t="s">
        <v>538</v>
      </c>
      <c r="V752" s="630">
        <v>2</v>
      </c>
      <c r="W752" s="630" t="s">
        <v>582</v>
      </c>
      <c r="X752" s="630" t="s">
        <v>541</v>
      </c>
      <c r="Y752" s="630" t="s">
        <v>540</v>
      </c>
      <c r="Z752" s="630">
        <v>0.44930999999999999</v>
      </c>
      <c r="AA752" s="630">
        <v>0.72309599999999996</v>
      </c>
      <c r="AB752" s="631">
        <v>0</v>
      </c>
      <c r="AC752" s="631">
        <v>0</v>
      </c>
      <c r="AD752" s="631">
        <f t="shared" si="11"/>
        <v>0</v>
      </c>
    </row>
    <row r="753" spans="2:30" x14ac:dyDescent="0.15">
      <c r="B753" s="630">
        <v>17031006409</v>
      </c>
      <c r="C753" s="630">
        <v>17031004703</v>
      </c>
      <c r="D753" s="630">
        <v>17031004702</v>
      </c>
      <c r="E753" s="630" t="s">
        <v>533</v>
      </c>
      <c r="F753" s="630" t="s">
        <v>534</v>
      </c>
      <c r="G753" s="630" t="s">
        <v>365</v>
      </c>
      <c r="H753" s="630" t="s">
        <v>547</v>
      </c>
      <c r="I753" s="630"/>
      <c r="J753" s="630"/>
      <c r="K753" s="630"/>
      <c r="L753" s="630"/>
      <c r="M753" s="630"/>
      <c r="N753" s="630"/>
      <c r="O753" s="630"/>
      <c r="P753" s="630"/>
      <c r="Q753" s="630"/>
      <c r="R753" s="630"/>
      <c r="S753" s="630" t="s">
        <v>611</v>
      </c>
      <c r="T753" s="630"/>
      <c r="U753" s="630" t="s">
        <v>538</v>
      </c>
      <c r="V753" s="630">
        <v>2</v>
      </c>
      <c r="W753" s="630" t="s">
        <v>582</v>
      </c>
      <c r="X753" s="630" t="s">
        <v>541</v>
      </c>
      <c r="Y753" s="630" t="s">
        <v>540</v>
      </c>
      <c r="Z753" s="630">
        <v>0.440326</v>
      </c>
      <c r="AA753" s="630">
        <v>0.70863799999999999</v>
      </c>
      <c r="AB753" s="631">
        <v>0</v>
      </c>
      <c r="AC753" s="631">
        <v>0</v>
      </c>
      <c r="AD753" s="631">
        <f t="shared" si="11"/>
        <v>0</v>
      </c>
    </row>
    <row r="754" spans="2:30" x14ac:dyDescent="0.15">
      <c r="B754" s="630">
        <v>17031006463</v>
      </c>
      <c r="C754" s="630">
        <v>17031004715</v>
      </c>
      <c r="D754" s="630">
        <v>99999023704</v>
      </c>
      <c r="E754" s="630" t="s">
        <v>533</v>
      </c>
      <c r="F754" s="630" t="s">
        <v>534</v>
      </c>
      <c r="G754" s="630" t="s">
        <v>365</v>
      </c>
      <c r="H754" s="630" t="s">
        <v>551</v>
      </c>
      <c r="I754" s="630" t="s">
        <v>535</v>
      </c>
      <c r="J754" s="630" t="s">
        <v>542</v>
      </c>
      <c r="K754" s="630"/>
      <c r="L754" s="630"/>
      <c r="M754" s="630"/>
      <c r="N754" s="630"/>
      <c r="O754" s="630"/>
      <c r="P754" s="630"/>
      <c r="Q754" s="630"/>
      <c r="R754" s="630"/>
      <c r="S754" s="630" t="s">
        <v>553</v>
      </c>
      <c r="T754" s="630"/>
      <c r="U754" s="630" t="s">
        <v>538</v>
      </c>
      <c r="V754" s="630">
        <v>2</v>
      </c>
      <c r="W754" s="630" t="s">
        <v>545</v>
      </c>
      <c r="X754" s="630" t="s">
        <v>546</v>
      </c>
      <c r="Y754" s="630" t="s">
        <v>549</v>
      </c>
      <c r="Z754" s="630">
        <v>1.9097390000000001</v>
      </c>
      <c r="AA754" s="630">
        <v>3.0734330000000001</v>
      </c>
      <c r="AB754" s="631">
        <v>474627</v>
      </c>
      <c r="AC754" s="631">
        <v>19205131</v>
      </c>
      <c r="AD754" s="631">
        <f t="shared" si="11"/>
        <v>36676787.670809001</v>
      </c>
    </row>
    <row r="755" spans="2:30" x14ac:dyDescent="0.15">
      <c r="B755" s="630">
        <v>17031006469</v>
      </c>
      <c r="C755" s="630">
        <v>17031004717</v>
      </c>
      <c r="D755" s="630">
        <v>17031004718</v>
      </c>
      <c r="E755" s="630" t="s">
        <v>533</v>
      </c>
      <c r="F755" s="630" t="s">
        <v>534</v>
      </c>
      <c r="G755" s="630" t="s">
        <v>365</v>
      </c>
      <c r="H755" s="630" t="s">
        <v>551</v>
      </c>
      <c r="I755" s="630"/>
      <c r="J755" s="630"/>
      <c r="K755" s="630"/>
      <c r="L755" s="630"/>
      <c r="M755" s="630"/>
      <c r="N755" s="630"/>
      <c r="O755" s="630"/>
      <c r="P755" s="630"/>
      <c r="Q755" s="630"/>
      <c r="R755" s="630"/>
      <c r="S755" s="630" t="s">
        <v>600</v>
      </c>
      <c r="T755" s="630"/>
      <c r="U755" s="630" t="s">
        <v>538</v>
      </c>
      <c r="V755" s="630">
        <v>3</v>
      </c>
      <c r="W755" s="630" t="s">
        <v>582</v>
      </c>
      <c r="X755" s="630" t="s">
        <v>549</v>
      </c>
      <c r="Y755" s="630" t="s">
        <v>540</v>
      </c>
      <c r="Z755" s="630">
        <v>0.34063500000000002</v>
      </c>
      <c r="AA755" s="630">
        <v>0.54820000000000002</v>
      </c>
      <c r="AB755" s="631">
        <v>168553</v>
      </c>
      <c r="AC755" s="631">
        <v>5157762</v>
      </c>
      <c r="AD755" s="631">
        <f t="shared" si="11"/>
        <v>1756914.25887</v>
      </c>
    </row>
    <row r="756" spans="2:30" x14ac:dyDescent="0.15">
      <c r="B756" s="630">
        <v>17031006488</v>
      </c>
      <c r="C756" s="630">
        <v>17031001383</v>
      </c>
      <c r="D756" s="630">
        <v>17031004749</v>
      </c>
      <c r="E756" s="630" t="s">
        <v>533</v>
      </c>
      <c r="F756" s="630" t="s">
        <v>534</v>
      </c>
      <c r="G756" s="630" t="s">
        <v>365</v>
      </c>
      <c r="H756" s="630" t="s">
        <v>551</v>
      </c>
      <c r="I756" s="630"/>
      <c r="J756" s="630"/>
      <c r="K756" s="630"/>
      <c r="L756" s="630"/>
      <c r="M756" s="630"/>
      <c r="N756" s="630"/>
      <c r="O756" s="630"/>
      <c r="P756" s="630"/>
      <c r="Q756" s="630"/>
      <c r="R756" s="630"/>
      <c r="S756" s="630" t="s">
        <v>686</v>
      </c>
      <c r="T756" s="630"/>
      <c r="U756" s="630" t="s">
        <v>559</v>
      </c>
      <c r="V756" s="630">
        <v>1</v>
      </c>
      <c r="W756" s="630" t="s">
        <v>560</v>
      </c>
      <c r="X756" s="630" t="s">
        <v>541</v>
      </c>
      <c r="Y756" s="630" t="s">
        <v>541</v>
      </c>
      <c r="Z756" s="630">
        <v>4.2763000000000002E-2</v>
      </c>
      <c r="AA756" s="630">
        <v>6.8820999999999993E-2</v>
      </c>
      <c r="AB756" s="631">
        <v>0</v>
      </c>
      <c r="AC756" s="631">
        <v>0</v>
      </c>
      <c r="AD756" s="631">
        <f t="shared" si="11"/>
        <v>0</v>
      </c>
    </row>
    <row r="757" spans="2:30" x14ac:dyDescent="0.15">
      <c r="B757" s="630">
        <v>17197007037</v>
      </c>
      <c r="C757" s="630">
        <v>17197005590</v>
      </c>
      <c r="D757" s="630">
        <v>17197005587</v>
      </c>
      <c r="E757" s="630" t="s">
        <v>533</v>
      </c>
      <c r="F757" s="630" t="s">
        <v>534</v>
      </c>
      <c r="G757" s="630" t="s">
        <v>377</v>
      </c>
      <c r="H757" s="630" t="s">
        <v>382</v>
      </c>
      <c r="I757" s="630"/>
      <c r="J757" s="630"/>
      <c r="K757" s="630"/>
      <c r="L757" s="630"/>
      <c r="M757" s="630"/>
      <c r="N757" s="630"/>
      <c r="O757" s="630"/>
      <c r="P757" s="630"/>
      <c r="Q757" s="630"/>
      <c r="R757" s="630"/>
      <c r="S757" s="630" t="s">
        <v>592</v>
      </c>
      <c r="T757" s="630" t="s">
        <v>593</v>
      </c>
      <c r="U757" s="630" t="s">
        <v>559</v>
      </c>
      <c r="V757" s="630">
        <v>1</v>
      </c>
      <c r="W757" s="630" t="s">
        <v>539</v>
      </c>
      <c r="X757" s="630" t="s">
        <v>541</v>
      </c>
      <c r="Y757" s="630" t="s">
        <v>541</v>
      </c>
      <c r="Z757" s="630">
        <v>0.118217</v>
      </c>
      <c r="AA757" s="630">
        <v>0.190252</v>
      </c>
      <c r="AB757" s="631">
        <v>0</v>
      </c>
      <c r="AC757" s="631">
        <v>0</v>
      </c>
      <c r="AD757" s="631">
        <f t="shared" si="11"/>
        <v>0</v>
      </c>
    </row>
    <row r="758" spans="2:30" x14ac:dyDescent="0.15">
      <c r="B758" s="630">
        <v>17197008221</v>
      </c>
      <c r="C758" s="630">
        <v>17197006574</v>
      </c>
      <c r="D758" s="630">
        <v>17197006581</v>
      </c>
      <c r="E758" s="630" t="s">
        <v>533</v>
      </c>
      <c r="F758" s="630" t="s">
        <v>534</v>
      </c>
      <c r="G758" s="630" t="s">
        <v>377</v>
      </c>
      <c r="H758" s="630" t="s">
        <v>381</v>
      </c>
      <c r="I758" s="630"/>
      <c r="J758" s="630" t="s">
        <v>382</v>
      </c>
      <c r="K758" s="630"/>
      <c r="L758" s="630"/>
      <c r="M758" s="630"/>
      <c r="N758" s="630"/>
      <c r="O758" s="630"/>
      <c r="P758" s="630"/>
      <c r="Q758" s="630"/>
      <c r="R758" s="630"/>
      <c r="S758" s="630" t="s">
        <v>651</v>
      </c>
      <c r="T758" s="630" t="s">
        <v>651</v>
      </c>
      <c r="U758" s="630" t="s">
        <v>559</v>
      </c>
      <c r="V758" s="630">
        <v>1</v>
      </c>
      <c r="W758" s="630" t="s">
        <v>539</v>
      </c>
      <c r="X758" s="630" t="s">
        <v>540</v>
      </c>
      <c r="Y758" s="630" t="s">
        <v>554</v>
      </c>
      <c r="Z758" s="630">
        <v>0.226136</v>
      </c>
      <c r="AA758" s="630">
        <v>0.363931</v>
      </c>
      <c r="AB758" s="631">
        <v>0</v>
      </c>
      <c r="AC758" s="631">
        <v>0</v>
      </c>
      <c r="AD758" s="631">
        <f t="shared" si="11"/>
        <v>0</v>
      </c>
    </row>
    <row r="759" spans="2:30" x14ac:dyDescent="0.15">
      <c r="B759" s="630">
        <v>17031008526</v>
      </c>
      <c r="C759" s="630">
        <v>17031001388</v>
      </c>
      <c r="D759" s="630">
        <v>17031007018</v>
      </c>
      <c r="E759" s="630" t="s">
        <v>533</v>
      </c>
      <c r="F759" s="630" t="s">
        <v>534</v>
      </c>
      <c r="G759" s="630" t="s">
        <v>365</v>
      </c>
      <c r="H759" s="630" t="s">
        <v>543</v>
      </c>
      <c r="I759" s="630"/>
      <c r="J759" s="630"/>
      <c r="K759" s="630"/>
      <c r="L759" s="630"/>
      <c r="M759" s="630"/>
      <c r="N759" s="630"/>
      <c r="O759" s="630"/>
      <c r="P759" s="630"/>
      <c r="Q759" s="630"/>
      <c r="R759" s="630"/>
      <c r="S759" s="630" t="s">
        <v>604</v>
      </c>
      <c r="T759" s="630"/>
      <c r="U759" s="630" t="s">
        <v>538</v>
      </c>
      <c r="V759" s="630">
        <v>2</v>
      </c>
      <c r="W759" s="630" t="s">
        <v>545</v>
      </c>
      <c r="X759" s="630" t="s">
        <v>546</v>
      </c>
      <c r="Y759" s="630" t="s">
        <v>554</v>
      </c>
      <c r="Z759" s="630">
        <v>5.0396999999999997E-2</v>
      </c>
      <c r="AA759" s="630">
        <v>8.1105999999999998E-2</v>
      </c>
      <c r="AB759" s="631">
        <v>10717</v>
      </c>
      <c r="AC759" s="631">
        <v>927989</v>
      </c>
      <c r="AD759" s="631">
        <f t="shared" si="11"/>
        <v>46767.861633</v>
      </c>
    </row>
    <row r="760" spans="2:30" x14ac:dyDescent="0.15">
      <c r="B760" s="630">
        <v>17043009073</v>
      </c>
      <c r="C760" s="630">
        <v>17043007285</v>
      </c>
      <c r="D760" s="630">
        <v>17043000569</v>
      </c>
      <c r="E760" s="630" t="s">
        <v>533</v>
      </c>
      <c r="F760" s="630" t="s">
        <v>534</v>
      </c>
      <c r="G760" s="630" t="s">
        <v>367</v>
      </c>
      <c r="H760" s="630" t="s">
        <v>535</v>
      </c>
      <c r="I760" s="630"/>
      <c r="J760" s="630" t="s">
        <v>536</v>
      </c>
      <c r="K760" s="630" t="s">
        <v>382</v>
      </c>
      <c r="L760" s="630"/>
      <c r="M760" s="630"/>
      <c r="N760" s="630"/>
      <c r="O760" s="630"/>
      <c r="P760" s="630"/>
      <c r="Q760" s="630"/>
      <c r="R760" s="630"/>
      <c r="S760" s="630" t="s">
        <v>550</v>
      </c>
      <c r="T760" s="630"/>
      <c r="U760" s="630" t="s">
        <v>538</v>
      </c>
      <c r="V760" s="630">
        <v>1</v>
      </c>
      <c r="W760" s="630" t="s">
        <v>545</v>
      </c>
      <c r="X760" s="630" t="s">
        <v>540</v>
      </c>
      <c r="Y760" s="630" t="s">
        <v>549</v>
      </c>
      <c r="Z760" s="630">
        <v>0.40092</v>
      </c>
      <c r="AA760" s="630">
        <v>0.64521899999999999</v>
      </c>
      <c r="AB760" s="631">
        <v>21201</v>
      </c>
      <c r="AC760" s="631">
        <v>2116817</v>
      </c>
      <c r="AD760" s="631">
        <f t="shared" si="11"/>
        <v>848674.27164000005</v>
      </c>
    </row>
    <row r="761" spans="2:30" x14ac:dyDescent="0.15">
      <c r="B761" s="630">
        <v>17097009421</v>
      </c>
      <c r="C761" s="630">
        <v>17097000053</v>
      </c>
      <c r="D761" s="630">
        <v>17097007529</v>
      </c>
      <c r="E761" s="630" t="s">
        <v>533</v>
      </c>
      <c r="F761" s="630" t="s">
        <v>534</v>
      </c>
      <c r="G761" s="630" t="s">
        <v>373</v>
      </c>
      <c r="H761" s="630" t="s">
        <v>382</v>
      </c>
      <c r="I761" s="630"/>
      <c r="J761" s="630"/>
      <c r="K761" s="630"/>
      <c r="L761" s="630"/>
      <c r="M761" s="630"/>
      <c r="N761" s="630"/>
      <c r="O761" s="630"/>
      <c r="P761" s="630"/>
      <c r="Q761" s="630"/>
      <c r="R761" s="630"/>
      <c r="S761" s="630" t="s">
        <v>586</v>
      </c>
      <c r="T761" s="630"/>
      <c r="U761" s="630" t="s">
        <v>538</v>
      </c>
      <c r="V761" s="630">
        <v>1</v>
      </c>
      <c r="W761" s="630" t="s">
        <v>582</v>
      </c>
      <c r="X761" s="630" t="s">
        <v>549</v>
      </c>
      <c r="Y761" s="630" t="s">
        <v>549</v>
      </c>
      <c r="Z761" s="630">
        <v>0.62365700000000002</v>
      </c>
      <c r="AA761" s="630">
        <v>1.0036799999999999</v>
      </c>
      <c r="AB761" s="631">
        <v>83089</v>
      </c>
      <c r="AC761" s="631">
        <v>9284627</v>
      </c>
      <c r="AD761" s="631">
        <f t="shared" si="11"/>
        <v>5790422.6209390005</v>
      </c>
    </row>
    <row r="762" spans="2:30" x14ac:dyDescent="0.15">
      <c r="B762" s="630">
        <v>17031009830</v>
      </c>
      <c r="C762" s="630">
        <v>17031001558</v>
      </c>
      <c r="D762" s="630">
        <v>17031007899</v>
      </c>
      <c r="E762" s="630" t="s">
        <v>533</v>
      </c>
      <c r="F762" s="630" t="s">
        <v>534</v>
      </c>
      <c r="G762" s="630" t="s">
        <v>365</v>
      </c>
      <c r="H762" s="630" t="s">
        <v>535</v>
      </c>
      <c r="I762" s="630"/>
      <c r="J762" s="630" t="s">
        <v>542</v>
      </c>
      <c r="K762" s="630" t="s">
        <v>543</v>
      </c>
      <c r="L762" s="630" t="s">
        <v>382</v>
      </c>
      <c r="M762" s="630"/>
      <c r="N762" s="630"/>
      <c r="O762" s="630"/>
      <c r="P762" s="630"/>
      <c r="Q762" s="630"/>
      <c r="R762" s="630"/>
      <c r="S762" s="630" t="s">
        <v>544</v>
      </c>
      <c r="T762" s="630"/>
      <c r="U762" s="630" t="s">
        <v>538</v>
      </c>
      <c r="V762" s="630">
        <v>2</v>
      </c>
      <c r="W762" s="630" t="s">
        <v>545</v>
      </c>
      <c r="X762" s="630" t="s">
        <v>546</v>
      </c>
      <c r="Y762" s="630" t="s">
        <v>540</v>
      </c>
      <c r="Z762" s="630">
        <v>0.16717799999999999</v>
      </c>
      <c r="AA762" s="630">
        <v>0.26904699999999998</v>
      </c>
      <c r="AB762" s="631">
        <v>410587</v>
      </c>
      <c r="AC762" s="631">
        <v>21549694</v>
      </c>
      <c r="AD762" s="631">
        <f t="shared" si="11"/>
        <v>3602634.7435319996</v>
      </c>
    </row>
    <row r="763" spans="2:30" x14ac:dyDescent="0.15">
      <c r="B763" s="630">
        <v>17097002109</v>
      </c>
      <c r="C763" s="630">
        <v>17097004558</v>
      </c>
      <c r="D763" s="630">
        <v>17097004557</v>
      </c>
      <c r="E763" s="630" t="s">
        <v>533</v>
      </c>
      <c r="F763" s="630" t="s">
        <v>534</v>
      </c>
      <c r="G763" s="630" t="s">
        <v>373</v>
      </c>
      <c r="H763" s="630" t="s">
        <v>535</v>
      </c>
      <c r="I763" s="630"/>
      <c r="J763" s="630" t="s">
        <v>547</v>
      </c>
      <c r="K763" s="630"/>
      <c r="L763" s="630"/>
      <c r="M763" s="630"/>
      <c r="N763" s="630"/>
      <c r="O763" s="630"/>
      <c r="P763" s="630"/>
      <c r="Q763" s="630"/>
      <c r="R763" s="630"/>
      <c r="S763" s="630" t="s">
        <v>548</v>
      </c>
      <c r="T763" s="630"/>
      <c r="U763" s="630" t="s">
        <v>538</v>
      </c>
      <c r="V763" s="630">
        <v>2</v>
      </c>
      <c r="W763" s="630" t="s">
        <v>545</v>
      </c>
      <c r="X763" s="630" t="s">
        <v>546</v>
      </c>
      <c r="Y763" s="630" t="s">
        <v>549</v>
      </c>
      <c r="Z763" s="630">
        <v>0.93016900000000002</v>
      </c>
      <c r="AA763" s="630">
        <v>1.496966</v>
      </c>
      <c r="AB763" s="631">
        <v>777350</v>
      </c>
      <c r="AC763" s="631">
        <v>36648785</v>
      </c>
      <c r="AD763" s="631">
        <f t="shared" si="11"/>
        <v>34089563.694665</v>
      </c>
    </row>
    <row r="764" spans="2:30" x14ac:dyDescent="0.15">
      <c r="B764" s="630">
        <v>17031002191</v>
      </c>
      <c r="C764" s="630">
        <v>17031000737</v>
      </c>
      <c r="D764" s="630">
        <v>17031000738</v>
      </c>
      <c r="E764" s="630" t="s">
        <v>533</v>
      </c>
      <c r="F764" s="630" t="s">
        <v>534</v>
      </c>
      <c r="G764" s="630" t="s">
        <v>365</v>
      </c>
      <c r="H764" s="630" t="s">
        <v>535</v>
      </c>
      <c r="I764" s="630"/>
      <c r="J764" s="630"/>
      <c r="K764" s="630"/>
      <c r="L764" s="630"/>
      <c r="M764" s="630"/>
      <c r="N764" s="630"/>
      <c r="O764" s="630"/>
      <c r="P764" s="630"/>
      <c r="Q764" s="630"/>
      <c r="R764" s="630"/>
      <c r="S764" s="630" t="s">
        <v>624</v>
      </c>
      <c r="T764" s="630" t="s">
        <v>625</v>
      </c>
      <c r="U764" s="630" t="s">
        <v>538</v>
      </c>
      <c r="V764" s="630">
        <v>2</v>
      </c>
      <c r="W764" s="630" t="s">
        <v>582</v>
      </c>
      <c r="X764" s="630" t="s">
        <v>554</v>
      </c>
      <c r="Y764" s="630" t="s">
        <v>554</v>
      </c>
      <c r="Z764" s="630">
        <v>0.123795</v>
      </c>
      <c r="AA764" s="630">
        <v>0.19922899999999999</v>
      </c>
      <c r="AB764" s="631">
        <v>0</v>
      </c>
      <c r="AC764" s="631">
        <v>0</v>
      </c>
      <c r="AD764" s="631">
        <f t="shared" si="11"/>
        <v>0</v>
      </c>
    </row>
    <row r="765" spans="2:30" x14ac:dyDescent="0.15">
      <c r="B765" s="630">
        <v>17031002304</v>
      </c>
      <c r="C765" s="630">
        <v>17031007015</v>
      </c>
      <c r="D765" s="630">
        <v>17031001347</v>
      </c>
      <c r="E765" s="630" t="s">
        <v>533</v>
      </c>
      <c r="F765" s="630" t="s">
        <v>534</v>
      </c>
      <c r="G765" s="630" t="s">
        <v>365</v>
      </c>
      <c r="H765" s="630" t="s">
        <v>543</v>
      </c>
      <c r="I765" s="630"/>
      <c r="J765" s="630"/>
      <c r="K765" s="630"/>
      <c r="L765" s="630"/>
      <c r="M765" s="630"/>
      <c r="N765" s="630"/>
      <c r="O765" s="630"/>
      <c r="P765" s="630"/>
      <c r="Q765" s="630"/>
      <c r="R765" s="630"/>
      <c r="S765" s="630" t="s">
        <v>604</v>
      </c>
      <c r="T765" s="630" t="s">
        <v>669</v>
      </c>
      <c r="U765" s="630" t="s">
        <v>538</v>
      </c>
      <c r="V765" s="630">
        <v>2</v>
      </c>
      <c r="W765" s="630" t="s">
        <v>545</v>
      </c>
      <c r="X765" s="630" t="s">
        <v>546</v>
      </c>
      <c r="Y765" s="630" t="s">
        <v>554</v>
      </c>
      <c r="Z765" s="630">
        <v>1.0120279999999999</v>
      </c>
      <c r="AA765" s="630">
        <v>1.6287039999999999</v>
      </c>
      <c r="AB765" s="631">
        <v>10277</v>
      </c>
      <c r="AC765" s="631">
        <v>921789</v>
      </c>
      <c r="AD765" s="631">
        <f t="shared" si="11"/>
        <v>932876.27809199993</v>
      </c>
    </row>
    <row r="766" spans="2:30" x14ac:dyDescent="0.15">
      <c r="B766" s="630">
        <v>17043002410</v>
      </c>
      <c r="C766" s="630">
        <v>17043007372</v>
      </c>
      <c r="D766" s="630">
        <v>17043007373</v>
      </c>
      <c r="E766" s="630" t="s">
        <v>533</v>
      </c>
      <c r="F766" s="630" t="s">
        <v>534</v>
      </c>
      <c r="G766" s="630" t="s">
        <v>367</v>
      </c>
      <c r="H766" s="630" t="s">
        <v>381</v>
      </c>
      <c r="I766" s="630"/>
      <c r="J766" s="630" t="s">
        <v>542</v>
      </c>
      <c r="K766" s="630" t="s">
        <v>547</v>
      </c>
      <c r="L766" s="630" t="s">
        <v>382</v>
      </c>
      <c r="M766" s="630"/>
      <c r="N766" s="630"/>
      <c r="O766" s="630"/>
      <c r="P766" s="630"/>
      <c r="Q766" s="630"/>
      <c r="R766" s="630"/>
      <c r="S766" s="630" t="s">
        <v>579</v>
      </c>
      <c r="T766" s="630"/>
      <c r="U766" s="630" t="s">
        <v>538</v>
      </c>
      <c r="V766" s="630">
        <v>3</v>
      </c>
      <c r="W766" s="630" t="s">
        <v>545</v>
      </c>
      <c r="X766" s="630" t="s">
        <v>580</v>
      </c>
      <c r="Y766" s="630" t="s">
        <v>549</v>
      </c>
      <c r="Z766" s="630">
        <v>0.78493100000000005</v>
      </c>
      <c r="AA766" s="630">
        <v>1.263226</v>
      </c>
      <c r="AB766" s="631">
        <v>1180642</v>
      </c>
      <c r="AC766" s="631">
        <v>46493460</v>
      </c>
      <c r="AD766" s="631">
        <f t="shared" si="11"/>
        <v>36494158.051260002</v>
      </c>
    </row>
    <row r="767" spans="2:30" x14ac:dyDescent="0.15">
      <c r="B767" s="630">
        <v>17097002546</v>
      </c>
      <c r="C767" s="630">
        <v>17097000110</v>
      </c>
      <c r="D767" s="630">
        <v>17097000111</v>
      </c>
      <c r="E767" s="630" t="s">
        <v>533</v>
      </c>
      <c r="F767" s="630" t="s">
        <v>534</v>
      </c>
      <c r="G767" s="630" t="s">
        <v>373</v>
      </c>
      <c r="H767" s="630" t="s">
        <v>535</v>
      </c>
      <c r="I767" s="630"/>
      <c r="J767" s="630" t="s">
        <v>382</v>
      </c>
      <c r="K767" s="630"/>
      <c r="L767" s="630"/>
      <c r="M767" s="630"/>
      <c r="N767" s="630"/>
      <c r="O767" s="630"/>
      <c r="P767" s="630"/>
      <c r="Q767" s="630"/>
      <c r="R767" s="630"/>
      <c r="S767" s="630" t="s">
        <v>550</v>
      </c>
      <c r="T767" s="630"/>
      <c r="U767" s="630" t="s">
        <v>538</v>
      </c>
      <c r="V767" s="630">
        <v>1</v>
      </c>
      <c r="W767" s="630" t="s">
        <v>545</v>
      </c>
      <c r="X767" s="630" t="s">
        <v>541</v>
      </c>
      <c r="Y767" s="630" t="s">
        <v>541</v>
      </c>
      <c r="Z767" s="630">
        <v>0.19822699999999999</v>
      </c>
      <c r="AA767" s="630">
        <v>0.31901600000000002</v>
      </c>
      <c r="AB767" s="631">
        <v>0</v>
      </c>
      <c r="AC767" s="631">
        <v>0</v>
      </c>
      <c r="AD767" s="631">
        <f t="shared" si="11"/>
        <v>0</v>
      </c>
    </row>
    <row r="768" spans="2:30" x14ac:dyDescent="0.15">
      <c r="B768" s="630">
        <v>17031002578</v>
      </c>
      <c r="C768" s="630">
        <v>17031000521</v>
      </c>
      <c r="D768" s="630">
        <v>17031007607</v>
      </c>
      <c r="E768" s="630" t="s">
        <v>533</v>
      </c>
      <c r="F768" s="630" t="s">
        <v>534</v>
      </c>
      <c r="G768" s="630" t="s">
        <v>365</v>
      </c>
      <c r="H768" s="630" t="s">
        <v>382</v>
      </c>
      <c r="I768" s="630"/>
      <c r="J768" s="630"/>
      <c r="K768" s="630"/>
      <c r="L768" s="630"/>
      <c r="M768" s="630"/>
      <c r="N768" s="630"/>
      <c r="O768" s="630"/>
      <c r="P768" s="630"/>
      <c r="Q768" s="630"/>
      <c r="R768" s="630"/>
      <c r="S768" s="630"/>
      <c r="T768" s="630"/>
      <c r="U768" s="630" t="s">
        <v>559</v>
      </c>
      <c r="V768" s="630">
        <v>1</v>
      </c>
      <c r="W768" s="630" t="s">
        <v>560</v>
      </c>
      <c r="X768" s="630" t="s">
        <v>541</v>
      </c>
      <c r="Y768" s="630" t="s">
        <v>541</v>
      </c>
      <c r="Z768" s="630">
        <v>0.37201800000000002</v>
      </c>
      <c r="AA768" s="630">
        <v>0.59870599999999996</v>
      </c>
      <c r="AB768" s="631">
        <v>0</v>
      </c>
      <c r="AC768" s="631">
        <v>0</v>
      </c>
      <c r="AD768" s="631">
        <f t="shared" si="11"/>
        <v>0</v>
      </c>
    </row>
    <row r="769" spans="2:30" x14ac:dyDescent="0.15">
      <c r="B769" s="630">
        <v>17031004199</v>
      </c>
      <c r="C769" s="630">
        <v>17031000322</v>
      </c>
      <c r="D769" s="630">
        <v>17031000326</v>
      </c>
      <c r="E769" s="630" t="s">
        <v>533</v>
      </c>
      <c r="F769" s="630" t="s">
        <v>534</v>
      </c>
      <c r="G769" s="630" t="s">
        <v>365</v>
      </c>
      <c r="H769" s="630" t="s">
        <v>590</v>
      </c>
      <c r="I769" s="630"/>
      <c r="J769" s="630"/>
      <c r="K769" s="630"/>
      <c r="L769" s="630"/>
      <c r="M769" s="630"/>
      <c r="N769" s="630"/>
      <c r="O769" s="630"/>
      <c r="P769" s="630"/>
      <c r="Q769" s="630"/>
      <c r="R769" s="630"/>
      <c r="S769" s="630"/>
      <c r="T769" s="630"/>
      <c r="U769" s="630" t="s">
        <v>559</v>
      </c>
      <c r="V769" s="630">
        <v>1</v>
      </c>
      <c r="W769" s="630" t="s">
        <v>560</v>
      </c>
      <c r="X769" s="630" t="s">
        <v>541</v>
      </c>
      <c r="Y769" s="630" t="s">
        <v>541</v>
      </c>
      <c r="Z769" s="630">
        <v>0.89599899999999999</v>
      </c>
      <c r="AA769" s="630">
        <v>1.4419729999999999</v>
      </c>
      <c r="AB769" s="631">
        <v>0</v>
      </c>
      <c r="AC769" s="631">
        <v>0</v>
      </c>
      <c r="AD769" s="631">
        <f t="shared" si="11"/>
        <v>0</v>
      </c>
    </row>
    <row r="770" spans="2:30" x14ac:dyDescent="0.15">
      <c r="B770" s="630">
        <v>17031004252</v>
      </c>
      <c r="C770" s="630">
        <v>17031007626</v>
      </c>
      <c r="D770" s="630">
        <v>17031001549</v>
      </c>
      <c r="E770" s="630" t="s">
        <v>533</v>
      </c>
      <c r="F770" s="630" t="s">
        <v>534</v>
      </c>
      <c r="G770" s="630" t="s">
        <v>365</v>
      </c>
      <c r="H770" s="630" t="s">
        <v>382</v>
      </c>
      <c r="I770" s="630"/>
      <c r="J770" s="630"/>
      <c r="K770" s="630"/>
      <c r="L770" s="630"/>
      <c r="M770" s="630"/>
      <c r="N770" s="630"/>
      <c r="O770" s="630"/>
      <c r="P770" s="630"/>
      <c r="Q770" s="630"/>
      <c r="R770" s="630"/>
      <c r="S770" s="630" t="s">
        <v>576</v>
      </c>
      <c r="T770" s="630"/>
      <c r="U770" s="630" t="s">
        <v>559</v>
      </c>
      <c r="V770" s="630">
        <v>1</v>
      </c>
      <c r="W770" s="630" t="s">
        <v>560</v>
      </c>
      <c r="X770" s="630" t="s">
        <v>541</v>
      </c>
      <c r="Y770" s="630" t="s">
        <v>541</v>
      </c>
      <c r="Z770" s="630">
        <v>0.34805199999999997</v>
      </c>
      <c r="AA770" s="630">
        <v>0.560137</v>
      </c>
      <c r="AB770" s="631">
        <v>0</v>
      </c>
      <c r="AC770" s="631">
        <v>0</v>
      </c>
      <c r="AD770" s="631">
        <f t="shared" si="11"/>
        <v>0</v>
      </c>
    </row>
    <row r="771" spans="2:30" x14ac:dyDescent="0.15">
      <c r="B771" s="630">
        <v>17031005483</v>
      </c>
      <c r="C771" s="630">
        <v>17031000995</v>
      </c>
      <c r="D771" s="630">
        <v>17031000994</v>
      </c>
      <c r="E771" s="630" t="s">
        <v>533</v>
      </c>
      <c r="F771" s="630" t="s">
        <v>534</v>
      </c>
      <c r="G771" s="630" t="s">
        <v>365</v>
      </c>
      <c r="H771" s="630" t="s">
        <v>571</v>
      </c>
      <c r="I771" s="630"/>
      <c r="J771" s="630"/>
      <c r="K771" s="630"/>
      <c r="L771" s="630"/>
      <c r="M771" s="630"/>
      <c r="N771" s="630"/>
      <c r="O771" s="630"/>
      <c r="P771" s="630"/>
      <c r="Q771" s="630"/>
      <c r="R771" s="630"/>
      <c r="S771" s="630"/>
      <c r="T771" s="630"/>
      <c r="U771" s="630" t="s">
        <v>559</v>
      </c>
      <c r="V771" s="630">
        <v>1</v>
      </c>
      <c r="W771" s="630" t="s">
        <v>560</v>
      </c>
      <c r="X771" s="630" t="s">
        <v>541</v>
      </c>
      <c r="Y771" s="630" t="s">
        <v>541</v>
      </c>
      <c r="Z771" s="630">
        <v>2.0811130000000002</v>
      </c>
      <c r="AA771" s="630">
        <v>3.3492329999999999</v>
      </c>
      <c r="AB771" s="631">
        <v>0</v>
      </c>
      <c r="AC771" s="631">
        <v>0</v>
      </c>
      <c r="AD771" s="631">
        <f t="shared" si="11"/>
        <v>0</v>
      </c>
    </row>
    <row r="772" spans="2:30" x14ac:dyDescent="0.15">
      <c r="B772" s="630">
        <v>17197006279</v>
      </c>
      <c r="C772" s="630">
        <v>17197001810</v>
      </c>
      <c r="D772" s="630">
        <v>17197007191</v>
      </c>
      <c r="E772" s="630" t="s">
        <v>533</v>
      </c>
      <c r="F772" s="630" t="s">
        <v>534</v>
      </c>
      <c r="G772" s="630" t="s">
        <v>377</v>
      </c>
      <c r="H772" s="630" t="s">
        <v>687</v>
      </c>
      <c r="I772" s="630"/>
      <c r="J772" s="630" t="s">
        <v>382</v>
      </c>
      <c r="K772" s="630"/>
      <c r="L772" s="630"/>
      <c r="M772" s="630"/>
      <c r="N772" s="630"/>
      <c r="O772" s="630"/>
      <c r="P772" s="630"/>
      <c r="Q772" s="630"/>
      <c r="R772" s="630"/>
      <c r="S772" s="630"/>
      <c r="T772" s="630"/>
      <c r="U772" s="630" t="s">
        <v>559</v>
      </c>
      <c r="V772" s="630">
        <v>1</v>
      </c>
      <c r="W772" s="630" t="s">
        <v>560</v>
      </c>
      <c r="X772" s="630" t="s">
        <v>541</v>
      </c>
      <c r="Y772" s="630" t="s">
        <v>541</v>
      </c>
      <c r="Z772" s="630">
        <v>0.43812699999999999</v>
      </c>
      <c r="AA772" s="630">
        <v>0.705098</v>
      </c>
      <c r="AB772" s="631">
        <v>0</v>
      </c>
      <c r="AC772" s="631">
        <v>0</v>
      </c>
      <c r="AD772" s="631">
        <f t="shared" si="11"/>
        <v>0</v>
      </c>
    </row>
    <row r="773" spans="2:30" x14ac:dyDescent="0.15">
      <c r="B773" s="630">
        <v>17097006321</v>
      </c>
      <c r="C773" s="630">
        <v>17097004548</v>
      </c>
      <c r="D773" s="630">
        <v>17097004549</v>
      </c>
      <c r="E773" s="630" t="s">
        <v>533</v>
      </c>
      <c r="F773" s="630" t="s">
        <v>534</v>
      </c>
      <c r="G773" s="630" t="s">
        <v>373</v>
      </c>
      <c r="H773" s="630" t="s">
        <v>382</v>
      </c>
      <c r="I773" s="630"/>
      <c r="J773" s="630" t="s">
        <v>535</v>
      </c>
      <c r="K773" s="630"/>
      <c r="L773" s="630"/>
      <c r="M773" s="630"/>
      <c r="N773" s="630"/>
      <c r="O773" s="630"/>
      <c r="P773" s="630"/>
      <c r="Q773" s="630"/>
      <c r="R773" s="630"/>
      <c r="S773" s="630"/>
      <c r="T773" s="630"/>
      <c r="U773" s="630" t="s">
        <v>559</v>
      </c>
      <c r="V773" s="630">
        <v>1</v>
      </c>
      <c r="W773" s="630" t="s">
        <v>560</v>
      </c>
      <c r="X773" s="630" t="s">
        <v>541</v>
      </c>
      <c r="Y773" s="630" t="s">
        <v>541</v>
      </c>
      <c r="Z773" s="630">
        <v>5.4426000000000002E-2</v>
      </c>
      <c r="AA773" s="630">
        <v>8.7590000000000001E-2</v>
      </c>
      <c r="AB773" s="631">
        <v>0</v>
      </c>
      <c r="AC773" s="631">
        <v>0</v>
      </c>
      <c r="AD773" s="631">
        <f t="shared" si="11"/>
        <v>0</v>
      </c>
    </row>
    <row r="774" spans="2:30" x14ac:dyDescent="0.15">
      <c r="B774" s="630">
        <v>17197009275</v>
      </c>
      <c r="C774" s="630">
        <v>17197007397</v>
      </c>
      <c r="D774" s="630">
        <v>17197007399</v>
      </c>
      <c r="E774" s="630" t="s">
        <v>533</v>
      </c>
      <c r="F774" s="630" t="s">
        <v>534</v>
      </c>
      <c r="G774" s="630" t="s">
        <v>377</v>
      </c>
      <c r="H774" s="630" t="s">
        <v>547</v>
      </c>
      <c r="I774" s="630"/>
      <c r="J774" s="630" t="s">
        <v>551</v>
      </c>
      <c r="K774" s="630" t="s">
        <v>615</v>
      </c>
      <c r="L774" s="630" t="s">
        <v>535</v>
      </c>
      <c r="M774" s="630"/>
      <c r="N774" s="630"/>
      <c r="O774" s="630"/>
      <c r="P774" s="630"/>
      <c r="Q774" s="630"/>
      <c r="R774" s="630"/>
      <c r="S774" s="630" t="s">
        <v>581</v>
      </c>
      <c r="T774" s="630"/>
      <c r="U774" s="630" t="s">
        <v>538</v>
      </c>
      <c r="V774" s="630">
        <v>2</v>
      </c>
      <c r="W774" s="630" t="s">
        <v>582</v>
      </c>
      <c r="X774" s="630" t="s">
        <v>540</v>
      </c>
      <c r="Y774" s="630" t="s">
        <v>540</v>
      </c>
      <c r="Z774" s="630">
        <v>0.194412</v>
      </c>
      <c r="AA774" s="630">
        <v>0.31287599999999999</v>
      </c>
      <c r="AB774" s="631">
        <v>91201</v>
      </c>
      <c r="AC774" s="631">
        <v>8934644</v>
      </c>
      <c r="AD774" s="631">
        <f t="shared" ref="AD774:AD837" si="12">AC774*Z774</f>
        <v>1737002.009328</v>
      </c>
    </row>
    <row r="775" spans="2:30" x14ac:dyDescent="0.15">
      <c r="B775" s="630">
        <v>17031002928</v>
      </c>
      <c r="C775" s="630">
        <v>17031000609</v>
      </c>
      <c r="D775" s="630">
        <v>17031000634</v>
      </c>
      <c r="E775" s="630" t="s">
        <v>533</v>
      </c>
      <c r="F775" s="630" t="s">
        <v>534</v>
      </c>
      <c r="G775" s="630" t="s">
        <v>365</v>
      </c>
      <c r="H775" s="630" t="s">
        <v>547</v>
      </c>
      <c r="I775" s="630"/>
      <c r="J775" s="630"/>
      <c r="K775" s="630"/>
      <c r="L775" s="630"/>
      <c r="M775" s="630"/>
      <c r="N775" s="630"/>
      <c r="O775" s="630"/>
      <c r="P775" s="630"/>
      <c r="Q775" s="630"/>
      <c r="R775" s="630"/>
      <c r="S775" s="630" t="s">
        <v>581</v>
      </c>
      <c r="T775" s="630"/>
      <c r="U775" s="630" t="s">
        <v>538</v>
      </c>
      <c r="V775" s="630">
        <v>4</v>
      </c>
      <c r="W775" s="630" t="s">
        <v>582</v>
      </c>
      <c r="X775" s="630" t="s">
        <v>541</v>
      </c>
      <c r="Y775" s="630" t="s">
        <v>541</v>
      </c>
      <c r="Z775" s="630">
        <v>0.250998</v>
      </c>
      <c r="AA775" s="630">
        <v>0.40394200000000002</v>
      </c>
      <c r="AB775" s="631">
        <v>0</v>
      </c>
      <c r="AC775" s="631">
        <v>0</v>
      </c>
      <c r="AD775" s="631">
        <f t="shared" si="12"/>
        <v>0</v>
      </c>
    </row>
    <row r="776" spans="2:30" x14ac:dyDescent="0.15">
      <c r="B776" s="630">
        <v>17031003259</v>
      </c>
      <c r="C776" s="630">
        <v>17031000999</v>
      </c>
      <c r="D776" s="630">
        <v>17031001019</v>
      </c>
      <c r="E776" s="630" t="s">
        <v>533</v>
      </c>
      <c r="F776" s="630" t="s">
        <v>534</v>
      </c>
      <c r="G776" s="630" t="s">
        <v>365</v>
      </c>
      <c r="H776" s="630" t="s">
        <v>551</v>
      </c>
      <c r="I776" s="630"/>
      <c r="J776" s="630" t="s">
        <v>381</v>
      </c>
      <c r="K776" s="630" t="s">
        <v>552</v>
      </c>
      <c r="L776" s="630" t="s">
        <v>382</v>
      </c>
      <c r="M776" s="630"/>
      <c r="N776" s="630"/>
      <c r="O776" s="630"/>
      <c r="P776" s="630"/>
      <c r="Q776" s="630"/>
      <c r="R776" s="630"/>
      <c r="S776" s="630" t="s">
        <v>600</v>
      </c>
      <c r="T776" s="630"/>
      <c r="U776" s="630" t="s">
        <v>538</v>
      </c>
      <c r="V776" s="630">
        <v>1</v>
      </c>
      <c r="W776" s="630" t="s">
        <v>560</v>
      </c>
      <c r="X776" s="630" t="s">
        <v>541</v>
      </c>
      <c r="Y776" s="630" t="s">
        <v>541</v>
      </c>
      <c r="Z776" s="630">
        <v>0.45756200000000002</v>
      </c>
      <c r="AA776" s="630">
        <v>0.73637699999999995</v>
      </c>
      <c r="AB776" s="631">
        <v>0</v>
      </c>
      <c r="AC776" s="631">
        <v>0</v>
      </c>
      <c r="AD776" s="631">
        <f t="shared" si="12"/>
        <v>0</v>
      </c>
    </row>
    <row r="777" spans="2:30" x14ac:dyDescent="0.15">
      <c r="B777" s="630">
        <v>17031004007</v>
      </c>
      <c r="C777" s="630">
        <v>17031000791</v>
      </c>
      <c r="D777" s="630">
        <v>17031004758</v>
      </c>
      <c r="E777" s="630" t="s">
        <v>533</v>
      </c>
      <c r="F777" s="630" t="s">
        <v>534</v>
      </c>
      <c r="G777" s="630" t="s">
        <v>365</v>
      </c>
      <c r="H777" s="630" t="s">
        <v>547</v>
      </c>
      <c r="I777" s="630"/>
      <c r="J777" s="630" t="s">
        <v>577</v>
      </c>
      <c r="K777" s="630"/>
      <c r="L777" s="630"/>
      <c r="M777" s="630"/>
      <c r="N777" s="630"/>
      <c r="O777" s="630"/>
      <c r="P777" s="630"/>
      <c r="Q777" s="630"/>
      <c r="R777" s="630"/>
      <c r="S777" s="630" t="s">
        <v>581</v>
      </c>
      <c r="T777" s="630"/>
      <c r="U777" s="630" t="s">
        <v>538</v>
      </c>
      <c r="V777" s="630">
        <v>2</v>
      </c>
      <c r="W777" s="630" t="s">
        <v>582</v>
      </c>
      <c r="X777" s="630" t="s">
        <v>541</v>
      </c>
      <c r="Y777" s="630" t="s">
        <v>540</v>
      </c>
      <c r="Z777" s="630">
        <v>0.16733799999999999</v>
      </c>
      <c r="AA777" s="630">
        <v>0.26930500000000002</v>
      </c>
      <c r="AB777" s="631">
        <v>0</v>
      </c>
      <c r="AC777" s="631">
        <v>0</v>
      </c>
      <c r="AD777" s="631">
        <f t="shared" si="12"/>
        <v>0</v>
      </c>
    </row>
    <row r="778" spans="2:30" x14ac:dyDescent="0.15">
      <c r="B778" s="630">
        <v>17031004264</v>
      </c>
      <c r="C778" s="630">
        <v>17031000832</v>
      </c>
      <c r="D778" s="630">
        <v>17031000850</v>
      </c>
      <c r="E778" s="630" t="s">
        <v>533</v>
      </c>
      <c r="F778" s="630" t="s">
        <v>534</v>
      </c>
      <c r="G778" s="630" t="s">
        <v>365</v>
      </c>
      <c r="H778" s="630" t="s">
        <v>571</v>
      </c>
      <c r="I778" s="630"/>
      <c r="J778" s="630" t="s">
        <v>381</v>
      </c>
      <c r="K778" s="630" t="s">
        <v>543</v>
      </c>
      <c r="L778" s="630" t="s">
        <v>382</v>
      </c>
      <c r="M778" s="630" t="s">
        <v>535</v>
      </c>
      <c r="N778" s="630" t="s">
        <v>551</v>
      </c>
      <c r="O778" s="630"/>
      <c r="P778" s="630"/>
      <c r="Q778" s="630"/>
      <c r="R778" s="630"/>
      <c r="S778" s="630" t="s">
        <v>654</v>
      </c>
      <c r="T778" s="630"/>
      <c r="U778" s="630" t="s">
        <v>559</v>
      </c>
      <c r="V778" s="630">
        <v>1</v>
      </c>
      <c r="W778" s="630" t="s">
        <v>560</v>
      </c>
      <c r="X778" s="630" t="s">
        <v>541</v>
      </c>
      <c r="Y778" s="630" t="s">
        <v>541</v>
      </c>
      <c r="Z778" s="630">
        <v>0.10717400000000001</v>
      </c>
      <c r="AA778" s="630">
        <v>0.17247999999999999</v>
      </c>
      <c r="AB778" s="631">
        <v>63280</v>
      </c>
      <c r="AC778" s="631">
        <v>3022040</v>
      </c>
      <c r="AD778" s="631">
        <f t="shared" si="12"/>
        <v>323884.11496000004</v>
      </c>
    </row>
    <row r="779" spans="2:30" x14ac:dyDescent="0.15">
      <c r="B779" s="630">
        <v>17031004672</v>
      </c>
      <c r="C779" s="630">
        <v>17031001134</v>
      </c>
      <c r="D779" s="630">
        <v>17031001132</v>
      </c>
      <c r="E779" s="630" t="s">
        <v>533</v>
      </c>
      <c r="F779" s="630" t="s">
        <v>534</v>
      </c>
      <c r="G779" s="630" t="s">
        <v>365</v>
      </c>
      <c r="H779" s="630" t="s">
        <v>543</v>
      </c>
      <c r="I779" s="630"/>
      <c r="J779" s="630" t="s">
        <v>577</v>
      </c>
      <c r="K779" s="630"/>
      <c r="L779" s="630"/>
      <c r="M779" s="630"/>
      <c r="N779" s="630"/>
      <c r="O779" s="630"/>
      <c r="P779" s="630"/>
      <c r="Q779" s="630"/>
      <c r="R779" s="630"/>
      <c r="S779" s="630" t="s">
        <v>656</v>
      </c>
      <c r="T779" s="630" t="s">
        <v>657</v>
      </c>
      <c r="U779" s="630" t="s">
        <v>559</v>
      </c>
      <c r="V779" s="630">
        <v>1</v>
      </c>
      <c r="W779" s="630" t="s">
        <v>560</v>
      </c>
      <c r="X779" s="630" t="s">
        <v>541</v>
      </c>
      <c r="Y779" s="630" t="s">
        <v>541</v>
      </c>
      <c r="Z779" s="630">
        <v>0.130106</v>
      </c>
      <c r="AA779" s="630">
        <v>0.20938599999999999</v>
      </c>
      <c r="AB779" s="631">
        <v>0</v>
      </c>
      <c r="AC779" s="631">
        <v>0</v>
      </c>
      <c r="AD779" s="631">
        <f t="shared" si="12"/>
        <v>0</v>
      </c>
    </row>
    <row r="780" spans="2:30" x14ac:dyDescent="0.15">
      <c r="B780" s="630">
        <v>17031005649</v>
      </c>
      <c r="C780" s="630">
        <v>17031000682</v>
      </c>
      <c r="D780" s="630">
        <v>17031000697</v>
      </c>
      <c r="E780" s="630" t="s">
        <v>533</v>
      </c>
      <c r="F780" s="630" t="s">
        <v>534</v>
      </c>
      <c r="G780" s="630" t="s">
        <v>365</v>
      </c>
      <c r="H780" s="630" t="s">
        <v>644</v>
      </c>
      <c r="I780" s="630"/>
      <c r="J780" s="630"/>
      <c r="K780" s="630"/>
      <c r="L780" s="630"/>
      <c r="M780" s="630"/>
      <c r="N780" s="630"/>
      <c r="O780" s="630"/>
      <c r="P780" s="630"/>
      <c r="Q780" s="630"/>
      <c r="R780" s="630"/>
      <c r="S780" s="630"/>
      <c r="T780" s="630"/>
      <c r="U780" s="630" t="s">
        <v>559</v>
      </c>
      <c r="V780" s="630">
        <v>1</v>
      </c>
      <c r="W780" s="630" t="s">
        <v>560</v>
      </c>
      <c r="X780" s="630" t="s">
        <v>541</v>
      </c>
      <c r="Y780" s="630" t="s">
        <v>541</v>
      </c>
      <c r="Z780" s="630">
        <v>0.16952100000000001</v>
      </c>
      <c r="AA780" s="630">
        <v>0.27281899999999998</v>
      </c>
      <c r="AB780" s="631">
        <v>0</v>
      </c>
      <c r="AC780" s="631">
        <v>0</v>
      </c>
      <c r="AD780" s="631">
        <f t="shared" si="12"/>
        <v>0</v>
      </c>
    </row>
    <row r="781" spans="2:30" x14ac:dyDescent="0.15">
      <c r="B781" s="630">
        <v>17097009436</v>
      </c>
      <c r="C781" s="630">
        <v>17097004528</v>
      </c>
      <c r="D781" s="630">
        <v>17097007543</v>
      </c>
      <c r="E781" s="630" t="s">
        <v>533</v>
      </c>
      <c r="F781" s="630" t="s">
        <v>534</v>
      </c>
      <c r="G781" s="630" t="s">
        <v>373</v>
      </c>
      <c r="H781" s="630" t="s">
        <v>382</v>
      </c>
      <c r="I781" s="630"/>
      <c r="J781" s="630"/>
      <c r="K781" s="630"/>
      <c r="L781" s="630"/>
      <c r="M781" s="630"/>
      <c r="N781" s="630"/>
      <c r="O781" s="630"/>
      <c r="P781" s="630"/>
      <c r="Q781" s="630"/>
      <c r="R781" s="630"/>
      <c r="S781" s="630" t="s">
        <v>586</v>
      </c>
      <c r="T781" s="630"/>
      <c r="U781" s="630" t="s">
        <v>538</v>
      </c>
      <c r="V781" s="630">
        <v>1</v>
      </c>
      <c r="W781" s="630" t="s">
        <v>582</v>
      </c>
      <c r="X781" s="630" t="s">
        <v>549</v>
      </c>
      <c r="Y781" s="630" t="s">
        <v>549</v>
      </c>
      <c r="Z781" s="630">
        <v>0.66388999999999998</v>
      </c>
      <c r="AA781" s="630">
        <v>1.0684290000000001</v>
      </c>
      <c r="AB781" s="631">
        <v>84965</v>
      </c>
      <c r="AC781" s="631">
        <v>9450467</v>
      </c>
      <c r="AD781" s="631">
        <f t="shared" si="12"/>
        <v>6274070.53663</v>
      </c>
    </row>
    <row r="782" spans="2:30" x14ac:dyDescent="0.15">
      <c r="B782" s="630">
        <v>17031009662</v>
      </c>
      <c r="C782" s="630">
        <v>17031007745</v>
      </c>
      <c r="D782" s="630">
        <v>17031007743</v>
      </c>
      <c r="E782" s="630" t="s">
        <v>533</v>
      </c>
      <c r="F782" s="630" t="s">
        <v>534</v>
      </c>
      <c r="G782" s="630" t="s">
        <v>365</v>
      </c>
      <c r="H782" s="630" t="s">
        <v>557</v>
      </c>
      <c r="I782" s="630"/>
      <c r="J782" s="630" t="s">
        <v>381</v>
      </c>
      <c r="K782" s="630" t="s">
        <v>535</v>
      </c>
      <c r="L782" s="630" t="s">
        <v>552</v>
      </c>
      <c r="M782" s="630" t="s">
        <v>551</v>
      </c>
      <c r="N782" s="630" t="s">
        <v>543</v>
      </c>
      <c r="O782" s="630" t="s">
        <v>382</v>
      </c>
      <c r="P782" s="630"/>
      <c r="Q782" s="630"/>
      <c r="R782" s="630"/>
      <c r="S782" s="630" t="s">
        <v>570</v>
      </c>
      <c r="T782" s="630"/>
      <c r="U782" s="630" t="s">
        <v>538</v>
      </c>
      <c r="V782" s="630">
        <v>2</v>
      </c>
      <c r="W782" s="630" t="s">
        <v>545</v>
      </c>
      <c r="X782" s="630" t="s">
        <v>575</v>
      </c>
      <c r="Y782" s="630" t="s">
        <v>540</v>
      </c>
      <c r="Z782" s="630">
        <v>0.48234300000000002</v>
      </c>
      <c r="AA782" s="630">
        <v>0.77625699999999997</v>
      </c>
      <c r="AB782" s="631">
        <v>1871730</v>
      </c>
      <c r="AC782" s="631">
        <v>61772651</v>
      </c>
      <c r="AD782" s="631">
        <f t="shared" si="12"/>
        <v>29795605.801293001</v>
      </c>
    </row>
    <row r="783" spans="2:30" x14ac:dyDescent="0.15">
      <c r="B783" s="630">
        <v>17031009716</v>
      </c>
      <c r="C783" s="630">
        <v>17031000986</v>
      </c>
      <c r="D783" s="630">
        <v>17031007797</v>
      </c>
      <c r="E783" s="630" t="s">
        <v>533</v>
      </c>
      <c r="F783" s="630" t="s">
        <v>534</v>
      </c>
      <c r="G783" s="630" t="s">
        <v>365</v>
      </c>
      <c r="H783" s="630" t="s">
        <v>557</v>
      </c>
      <c r="I783" s="630"/>
      <c r="J783" s="630" t="s">
        <v>381</v>
      </c>
      <c r="K783" s="630" t="s">
        <v>535</v>
      </c>
      <c r="L783" s="630" t="s">
        <v>552</v>
      </c>
      <c r="M783" s="630" t="s">
        <v>551</v>
      </c>
      <c r="N783" s="630" t="s">
        <v>543</v>
      </c>
      <c r="O783" s="630" t="s">
        <v>382</v>
      </c>
      <c r="P783" s="630"/>
      <c r="Q783" s="630"/>
      <c r="R783" s="630"/>
      <c r="S783" s="630" t="s">
        <v>570</v>
      </c>
      <c r="T783" s="630"/>
      <c r="U783" s="630" t="s">
        <v>538</v>
      </c>
      <c r="V783" s="630">
        <v>2</v>
      </c>
      <c r="W783" s="630" t="s">
        <v>545</v>
      </c>
      <c r="X783" s="630" t="s">
        <v>575</v>
      </c>
      <c r="Y783" s="630" t="s">
        <v>540</v>
      </c>
      <c r="Z783" s="630">
        <v>6.5186999999999995E-2</v>
      </c>
      <c r="AA783" s="630">
        <v>0.104908</v>
      </c>
      <c r="AB783" s="631">
        <v>1721663</v>
      </c>
      <c r="AC783" s="631">
        <v>55339553</v>
      </c>
      <c r="AD783" s="631">
        <f t="shared" si="12"/>
        <v>3607419.4414109997</v>
      </c>
    </row>
    <row r="784" spans="2:30" x14ac:dyDescent="0.15">
      <c r="B784" s="630">
        <v>17111001949</v>
      </c>
      <c r="C784" s="630">
        <v>17111000018</v>
      </c>
      <c r="D784" s="630">
        <v>99999016991</v>
      </c>
      <c r="E784" s="630" t="s">
        <v>533</v>
      </c>
      <c r="F784" s="630" t="s">
        <v>534</v>
      </c>
      <c r="G784" s="630" t="s">
        <v>375</v>
      </c>
      <c r="H784" s="630" t="s">
        <v>563</v>
      </c>
      <c r="I784" s="630"/>
      <c r="J784" s="630"/>
      <c r="K784" s="630"/>
      <c r="L784" s="630"/>
      <c r="M784" s="630"/>
      <c r="N784" s="630"/>
      <c r="O784" s="630"/>
      <c r="P784" s="630"/>
      <c r="Q784" s="630"/>
      <c r="R784" s="630"/>
      <c r="S784" s="630" t="s">
        <v>629</v>
      </c>
      <c r="T784" s="630"/>
      <c r="U784" s="630" t="s">
        <v>538</v>
      </c>
      <c r="V784" s="630">
        <v>1</v>
      </c>
      <c r="W784" s="630" t="s">
        <v>562</v>
      </c>
      <c r="X784" s="630" t="s">
        <v>554</v>
      </c>
      <c r="Y784" s="630" t="s">
        <v>554</v>
      </c>
      <c r="Z784" s="630">
        <v>2.168523</v>
      </c>
      <c r="AA784" s="630">
        <v>3.489906</v>
      </c>
      <c r="AB784" s="631">
        <v>27178</v>
      </c>
      <c r="AC784" s="631">
        <v>2575893</v>
      </c>
      <c r="AD784" s="631">
        <f t="shared" si="12"/>
        <v>5585883.2160390001</v>
      </c>
    </row>
    <row r="785" spans="2:30" x14ac:dyDescent="0.15">
      <c r="B785" s="630">
        <v>17197002275</v>
      </c>
      <c r="C785" s="630">
        <v>17999024341</v>
      </c>
      <c r="D785" s="630">
        <v>17197004795</v>
      </c>
      <c r="E785" s="630" t="s">
        <v>533</v>
      </c>
      <c r="F785" s="630" t="s">
        <v>534</v>
      </c>
      <c r="G785" s="630" t="s">
        <v>377</v>
      </c>
      <c r="H785" s="630" t="s">
        <v>535</v>
      </c>
      <c r="I785" s="630"/>
      <c r="J785" s="630"/>
      <c r="K785" s="630"/>
      <c r="L785" s="630"/>
      <c r="M785" s="630"/>
      <c r="N785" s="630"/>
      <c r="O785" s="630"/>
      <c r="P785" s="630"/>
      <c r="Q785" s="630"/>
      <c r="R785" s="630"/>
      <c r="S785" s="630" t="s">
        <v>673</v>
      </c>
      <c r="T785" s="630"/>
      <c r="U785" s="630" t="s">
        <v>538</v>
      </c>
      <c r="V785" s="630">
        <v>1</v>
      </c>
      <c r="W785" s="630" t="s">
        <v>560</v>
      </c>
      <c r="X785" s="630" t="s">
        <v>541</v>
      </c>
      <c r="Y785" s="630" t="s">
        <v>554</v>
      </c>
      <c r="Z785" s="630">
        <v>6.3181700000000003</v>
      </c>
      <c r="AA785" s="630">
        <v>10.168129</v>
      </c>
      <c r="AB785" s="631">
        <v>13440</v>
      </c>
      <c r="AC785" s="631">
        <v>1159760</v>
      </c>
      <c r="AD785" s="631">
        <f t="shared" si="12"/>
        <v>7327560.8392000003</v>
      </c>
    </row>
    <row r="786" spans="2:30" x14ac:dyDescent="0.15">
      <c r="B786" s="630">
        <v>17031002340</v>
      </c>
      <c r="C786" s="630">
        <v>99999024155</v>
      </c>
      <c r="D786" s="630">
        <v>17031007643</v>
      </c>
      <c r="E786" s="630" t="s">
        <v>533</v>
      </c>
      <c r="F786" s="630" t="s">
        <v>534</v>
      </c>
      <c r="G786" s="630" t="s">
        <v>365</v>
      </c>
      <c r="H786" s="630" t="s">
        <v>535</v>
      </c>
      <c r="I786" s="630"/>
      <c r="J786" s="630" t="s">
        <v>382</v>
      </c>
      <c r="K786" s="630" t="s">
        <v>536</v>
      </c>
      <c r="L786" s="630"/>
      <c r="M786" s="630"/>
      <c r="N786" s="630"/>
      <c r="O786" s="630"/>
      <c r="P786" s="630"/>
      <c r="Q786" s="630"/>
      <c r="R786" s="630"/>
      <c r="S786" s="630" t="s">
        <v>537</v>
      </c>
      <c r="T786" s="630"/>
      <c r="U786" s="630" t="s">
        <v>538</v>
      </c>
      <c r="V786" s="630">
        <v>2</v>
      </c>
      <c r="W786" s="630" t="s">
        <v>582</v>
      </c>
      <c r="X786" s="630" t="s">
        <v>540</v>
      </c>
      <c r="Y786" s="630" t="s">
        <v>549</v>
      </c>
      <c r="Z786" s="630">
        <v>3.1177619999999999</v>
      </c>
      <c r="AA786" s="630">
        <v>5.0175609999999997</v>
      </c>
      <c r="AB786" s="631">
        <v>10720</v>
      </c>
      <c r="AC786" s="631">
        <v>853160</v>
      </c>
      <c r="AD786" s="631">
        <f t="shared" si="12"/>
        <v>2659949.8279200001</v>
      </c>
    </row>
    <row r="787" spans="2:30" x14ac:dyDescent="0.15">
      <c r="B787" s="630">
        <v>17031002779</v>
      </c>
      <c r="C787" s="630">
        <v>17031001218</v>
      </c>
      <c r="D787" s="630">
        <v>17031001161</v>
      </c>
      <c r="E787" s="630" t="s">
        <v>533</v>
      </c>
      <c r="F787" s="630" t="s">
        <v>534</v>
      </c>
      <c r="G787" s="630" t="s">
        <v>365</v>
      </c>
      <c r="H787" s="630" t="s">
        <v>543</v>
      </c>
      <c r="I787" s="630"/>
      <c r="J787" s="630" t="s">
        <v>577</v>
      </c>
      <c r="K787" s="630"/>
      <c r="L787" s="630"/>
      <c r="M787" s="630"/>
      <c r="N787" s="630"/>
      <c r="O787" s="630"/>
      <c r="P787" s="630"/>
      <c r="Q787" s="630"/>
      <c r="R787" s="630"/>
      <c r="S787" s="630" t="s">
        <v>656</v>
      </c>
      <c r="T787" s="630"/>
      <c r="U787" s="630" t="s">
        <v>559</v>
      </c>
      <c r="V787" s="630">
        <v>1</v>
      </c>
      <c r="W787" s="630" t="s">
        <v>560</v>
      </c>
      <c r="X787" s="630" t="s">
        <v>541</v>
      </c>
      <c r="Y787" s="630" t="s">
        <v>541</v>
      </c>
      <c r="Z787" s="630">
        <v>1.886153</v>
      </c>
      <c r="AA787" s="630">
        <v>3.0354749999999999</v>
      </c>
      <c r="AB787" s="631">
        <v>0</v>
      </c>
      <c r="AC787" s="631">
        <v>0</v>
      </c>
      <c r="AD787" s="631">
        <f t="shared" si="12"/>
        <v>0</v>
      </c>
    </row>
    <row r="788" spans="2:30" x14ac:dyDescent="0.15">
      <c r="B788" s="630">
        <v>17097003095</v>
      </c>
      <c r="C788" s="630">
        <v>17097004547</v>
      </c>
      <c r="D788" s="630">
        <v>17097007471</v>
      </c>
      <c r="E788" s="630" t="s">
        <v>533</v>
      </c>
      <c r="F788" s="630" t="s">
        <v>534</v>
      </c>
      <c r="G788" s="630" t="s">
        <v>373</v>
      </c>
      <c r="H788" s="630" t="s">
        <v>535</v>
      </c>
      <c r="I788" s="630"/>
      <c r="J788" s="630" t="s">
        <v>382</v>
      </c>
      <c r="K788" s="630" t="s">
        <v>536</v>
      </c>
      <c r="L788" s="630"/>
      <c r="M788" s="630"/>
      <c r="N788" s="630"/>
      <c r="O788" s="630"/>
      <c r="P788" s="630"/>
      <c r="Q788" s="630"/>
      <c r="R788" s="630"/>
      <c r="S788" s="630" t="s">
        <v>550</v>
      </c>
      <c r="T788" s="630"/>
      <c r="U788" s="630" t="s">
        <v>538</v>
      </c>
      <c r="V788" s="630">
        <v>2</v>
      </c>
      <c r="W788" s="630" t="s">
        <v>545</v>
      </c>
      <c r="X788" s="630" t="s">
        <v>540</v>
      </c>
      <c r="Y788" s="630" t="s">
        <v>549</v>
      </c>
      <c r="Z788" s="630">
        <v>0.71067599999999997</v>
      </c>
      <c r="AA788" s="630">
        <v>1.143724</v>
      </c>
      <c r="AB788" s="631">
        <v>36082</v>
      </c>
      <c r="AC788" s="631">
        <v>3440570</v>
      </c>
      <c r="AD788" s="631">
        <f t="shared" si="12"/>
        <v>2445130.52532</v>
      </c>
    </row>
    <row r="789" spans="2:30" x14ac:dyDescent="0.15">
      <c r="B789" s="630">
        <v>17031003240</v>
      </c>
      <c r="C789" s="630">
        <v>17031000733</v>
      </c>
      <c r="D789" s="630">
        <v>17031000681</v>
      </c>
      <c r="E789" s="630" t="s">
        <v>533</v>
      </c>
      <c r="F789" s="630" t="s">
        <v>534</v>
      </c>
      <c r="G789" s="630" t="s">
        <v>365</v>
      </c>
      <c r="H789" s="630" t="s">
        <v>535</v>
      </c>
      <c r="I789" s="630"/>
      <c r="J789" s="630" t="s">
        <v>542</v>
      </c>
      <c r="K789" s="630" t="s">
        <v>572</v>
      </c>
      <c r="L789" s="630"/>
      <c r="M789" s="630"/>
      <c r="N789" s="630"/>
      <c r="O789" s="630"/>
      <c r="P789" s="630"/>
      <c r="Q789" s="630"/>
      <c r="R789" s="630"/>
      <c r="S789" s="630" t="s">
        <v>544</v>
      </c>
      <c r="T789" s="630"/>
      <c r="U789" s="630" t="s">
        <v>538</v>
      </c>
      <c r="V789" s="630">
        <v>2</v>
      </c>
      <c r="W789" s="630" t="s">
        <v>545</v>
      </c>
      <c r="X789" s="630" t="s">
        <v>549</v>
      </c>
      <c r="Y789" s="630" t="s">
        <v>554</v>
      </c>
      <c r="Z789" s="630">
        <v>1.3835489999999999</v>
      </c>
      <c r="AA789" s="630">
        <v>2.2266110000000001</v>
      </c>
      <c r="AB789" s="631">
        <v>16696</v>
      </c>
      <c r="AC789" s="631">
        <v>1424574</v>
      </c>
      <c r="AD789" s="631">
        <f t="shared" si="12"/>
        <v>1970967.933126</v>
      </c>
    </row>
    <row r="790" spans="2:30" x14ac:dyDescent="0.15">
      <c r="B790" s="630">
        <v>17097004183</v>
      </c>
      <c r="C790" s="630">
        <v>17097000079</v>
      </c>
      <c r="D790" s="630">
        <v>17097000083</v>
      </c>
      <c r="E790" s="630" t="s">
        <v>533</v>
      </c>
      <c r="F790" s="630" t="s">
        <v>534</v>
      </c>
      <c r="G790" s="630" t="s">
        <v>373</v>
      </c>
      <c r="H790" s="630" t="s">
        <v>535</v>
      </c>
      <c r="I790" s="630"/>
      <c r="J790" s="630"/>
      <c r="K790" s="630"/>
      <c r="L790" s="630"/>
      <c r="M790" s="630"/>
      <c r="N790" s="630"/>
      <c r="O790" s="630"/>
      <c r="P790" s="630"/>
      <c r="Q790" s="630"/>
      <c r="R790" s="630"/>
      <c r="S790" s="630"/>
      <c r="T790" s="630"/>
      <c r="U790" s="630" t="s">
        <v>538</v>
      </c>
      <c r="V790" s="630">
        <v>1</v>
      </c>
      <c r="W790" s="630" t="s">
        <v>560</v>
      </c>
      <c r="X790" s="630" t="s">
        <v>541</v>
      </c>
      <c r="Y790" s="630" t="s">
        <v>541</v>
      </c>
      <c r="Z790" s="630">
        <v>0.176817</v>
      </c>
      <c r="AA790" s="630">
        <v>0.28455999999999998</v>
      </c>
      <c r="AB790" s="631">
        <v>0</v>
      </c>
      <c r="AC790" s="631">
        <v>0</v>
      </c>
      <c r="AD790" s="631">
        <f t="shared" si="12"/>
        <v>0</v>
      </c>
    </row>
    <row r="791" spans="2:30" x14ac:dyDescent="0.15">
      <c r="B791" s="630">
        <v>17031005512</v>
      </c>
      <c r="C791" s="630">
        <v>17031000672</v>
      </c>
      <c r="D791" s="630">
        <v>17031000670</v>
      </c>
      <c r="E791" s="630" t="s">
        <v>533</v>
      </c>
      <c r="F791" s="630" t="s">
        <v>534</v>
      </c>
      <c r="G791" s="630" t="s">
        <v>365</v>
      </c>
      <c r="H791" s="630" t="s">
        <v>381</v>
      </c>
      <c r="I791" s="630"/>
      <c r="J791" s="630" t="s">
        <v>542</v>
      </c>
      <c r="K791" s="630" t="s">
        <v>577</v>
      </c>
      <c r="L791" s="630" t="s">
        <v>572</v>
      </c>
      <c r="M791" s="630" t="s">
        <v>547</v>
      </c>
      <c r="N791" s="630" t="s">
        <v>382</v>
      </c>
      <c r="O791" s="630"/>
      <c r="P791" s="630"/>
      <c r="Q791" s="630"/>
      <c r="R791" s="630"/>
      <c r="S791" s="630" t="s">
        <v>579</v>
      </c>
      <c r="T791" s="630"/>
      <c r="U791" s="630" t="s">
        <v>538</v>
      </c>
      <c r="V791" s="630">
        <v>4</v>
      </c>
      <c r="W791" s="630" t="s">
        <v>545</v>
      </c>
      <c r="X791" s="630" t="s">
        <v>549</v>
      </c>
      <c r="Y791" s="630" t="s">
        <v>540</v>
      </c>
      <c r="Z791" s="630">
        <v>0.114359</v>
      </c>
      <c r="AA791" s="630">
        <v>0.18404300000000001</v>
      </c>
      <c r="AB791" s="631">
        <v>79786</v>
      </c>
      <c r="AC791" s="631">
        <v>3912720</v>
      </c>
      <c r="AD791" s="631">
        <f t="shared" si="12"/>
        <v>447454.74648000003</v>
      </c>
    </row>
    <row r="792" spans="2:30" x14ac:dyDescent="0.15">
      <c r="B792" s="630">
        <v>17031006319</v>
      </c>
      <c r="C792" s="630">
        <v>17031000812</v>
      </c>
      <c r="D792" s="630">
        <v>17031000813</v>
      </c>
      <c r="E792" s="630" t="s">
        <v>533</v>
      </c>
      <c r="F792" s="630" t="s">
        <v>534</v>
      </c>
      <c r="G792" s="630" t="s">
        <v>365</v>
      </c>
      <c r="H792" s="630" t="s">
        <v>571</v>
      </c>
      <c r="I792" s="630"/>
      <c r="J792" s="630" t="s">
        <v>535</v>
      </c>
      <c r="K792" s="630" t="s">
        <v>382</v>
      </c>
      <c r="L792" s="630"/>
      <c r="M792" s="630"/>
      <c r="N792" s="630"/>
      <c r="O792" s="630"/>
      <c r="P792" s="630"/>
      <c r="Q792" s="630"/>
      <c r="R792" s="630"/>
      <c r="S792" s="630"/>
      <c r="T792" s="630"/>
      <c r="U792" s="630" t="s">
        <v>538</v>
      </c>
      <c r="V792" s="630">
        <v>1</v>
      </c>
      <c r="W792" s="630" t="s">
        <v>560</v>
      </c>
      <c r="X792" s="630" t="s">
        <v>541</v>
      </c>
      <c r="Y792" s="630" t="s">
        <v>541</v>
      </c>
      <c r="Z792" s="630">
        <v>0.183841</v>
      </c>
      <c r="AA792" s="630">
        <v>0.29586299999999999</v>
      </c>
      <c r="AB792" s="631">
        <v>75504</v>
      </c>
      <c r="AC792" s="631">
        <v>3897725</v>
      </c>
      <c r="AD792" s="631">
        <f t="shared" si="12"/>
        <v>716561.66172500001</v>
      </c>
    </row>
    <row r="793" spans="2:30" x14ac:dyDescent="0.15">
      <c r="B793" s="630">
        <v>17031006448</v>
      </c>
      <c r="C793" s="630">
        <v>17031001548</v>
      </c>
      <c r="D793" s="630">
        <v>17031001553</v>
      </c>
      <c r="E793" s="630" t="s">
        <v>533</v>
      </c>
      <c r="F793" s="630" t="s">
        <v>534</v>
      </c>
      <c r="G793" s="630" t="s">
        <v>365</v>
      </c>
      <c r="H793" s="630" t="s">
        <v>382</v>
      </c>
      <c r="I793" s="630"/>
      <c r="J793" s="630"/>
      <c r="K793" s="630"/>
      <c r="L793" s="630"/>
      <c r="M793" s="630"/>
      <c r="N793" s="630"/>
      <c r="O793" s="630"/>
      <c r="P793" s="630"/>
      <c r="Q793" s="630"/>
      <c r="R793" s="630"/>
      <c r="S793" s="630" t="s">
        <v>576</v>
      </c>
      <c r="T793" s="630"/>
      <c r="U793" s="630" t="s">
        <v>559</v>
      </c>
      <c r="V793" s="630">
        <v>1</v>
      </c>
      <c r="W793" s="630" t="s">
        <v>560</v>
      </c>
      <c r="X793" s="630" t="s">
        <v>541</v>
      </c>
      <c r="Y793" s="630" t="s">
        <v>541</v>
      </c>
      <c r="Z793" s="630">
        <v>0.141564</v>
      </c>
      <c r="AA793" s="630">
        <v>0.227825</v>
      </c>
      <c r="AB793" s="631">
        <v>0</v>
      </c>
      <c r="AC793" s="631">
        <v>0</v>
      </c>
      <c r="AD793" s="631">
        <f t="shared" si="12"/>
        <v>0</v>
      </c>
    </row>
    <row r="794" spans="2:30" x14ac:dyDescent="0.15">
      <c r="B794" s="630">
        <v>17197009268</v>
      </c>
      <c r="C794" s="630">
        <v>17197007394</v>
      </c>
      <c r="D794" s="630">
        <v>17197004790</v>
      </c>
      <c r="E794" s="630" t="s">
        <v>533</v>
      </c>
      <c r="F794" s="630" t="s">
        <v>534</v>
      </c>
      <c r="G794" s="630" t="s">
        <v>377</v>
      </c>
      <c r="H794" s="630" t="s">
        <v>547</v>
      </c>
      <c r="I794" s="630"/>
      <c r="J794" s="630" t="s">
        <v>577</v>
      </c>
      <c r="K794" s="630" t="s">
        <v>551</v>
      </c>
      <c r="L794" s="630" t="s">
        <v>615</v>
      </c>
      <c r="M794" s="630"/>
      <c r="N794" s="630"/>
      <c r="O794" s="630"/>
      <c r="P794" s="630"/>
      <c r="Q794" s="630"/>
      <c r="R794" s="630"/>
      <c r="S794" s="630" t="s">
        <v>581</v>
      </c>
      <c r="T794" s="630"/>
      <c r="U794" s="630" t="s">
        <v>538</v>
      </c>
      <c r="V794" s="630">
        <v>2</v>
      </c>
      <c r="W794" s="630" t="s">
        <v>582</v>
      </c>
      <c r="X794" s="630" t="s">
        <v>540</v>
      </c>
      <c r="Y794" s="630" t="s">
        <v>540</v>
      </c>
      <c r="Z794" s="630">
        <v>1.083048</v>
      </c>
      <c r="AA794" s="630">
        <v>1.7430000000000001</v>
      </c>
      <c r="AB794" s="631">
        <v>89629</v>
      </c>
      <c r="AC794" s="631">
        <v>8779272</v>
      </c>
      <c r="AD794" s="631">
        <f t="shared" si="12"/>
        <v>9508372.9810559992</v>
      </c>
    </row>
    <row r="795" spans="2:30" x14ac:dyDescent="0.15">
      <c r="B795" s="630">
        <v>17197002267</v>
      </c>
      <c r="C795" s="630">
        <v>17197001465</v>
      </c>
      <c r="D795" s="630">
        <v>17197001431</v>
      </c>
      <c r="E795" s="630" t="s">
        <v>533</v>
      </c>
      <c r="F795" s="630" t="s">
        <v>534</v>
      </c>
      <c r="G795" s="630" t="s">
        <v>377</v>
      </c>
      <c r="H795" s="630" t="s">
        <v>535</v>
      </c>
      <c r="I795" s="630"/>
      <c r="J795" s="630" t="s">
        <v>542</v>
      </c>
      <c r="K795" s="630" t="s">
        <v>572</v>
      </c>
      <c r="L795" s="630" t="s">
        <v>547</v>
      </c>
      <c r="M795" s="630" t="s">
        <v>382</v>
      </c>
      <c r="N795" s="630"/>
      <c r="O795" s="630"/>
      <c r="P795" s="630"/>
      <c r="Q795" s="630"/>
      <c r="R795" s="630"/>
      <c r="S795" s="630" t="s">
        <v>601</v>
      </c>
      <c r="T795" s="630"/>
      <c r="U795" s="630" t="s">
        <v>538</v>
      </c>
      <c r="V795" s="630">
        <v>2</v>
      </c>
      <c r="W795" s="630" t="s">
        <v>545</v>
      </c>
      <c r="X795" s="630" t="s">
        <v>540</v>
      </c>
      <c r="Y795" s="630" t="s">
        <v>549</v>
      </c>
      <c r="Z795" s="630">
        <v>2.6804830000000002</v>
      </c>
      <c r="AA795" s="630">
        <v>4.3138269999999999</v>
      </c>
      <c r="AB795" s="631">
        <v>43880</v>
      </c>
      <c r="AC795" s="631">
        <v>1364920</v>
      </c>
      <c r="AD795" s="631">
        <f t="shared" si="12"/>
        <v>3658644.8563600001</v>
      </c>
    </row>
    <row r="796" spans="2:30" x14ac:dyDescent="0.15">
      <c r="B796" s="630">
        <v>17031002426</v>
      </c>
      <c r="C796" s="630">
        <v>17031000756</v>
      </c>
      <c r="D796" s="630">
        <v>17031000752</v>
      </c>
      <c r="E796" s="630" t="s">
        <v>533</v>
      </c>
      <c r="F796" s="630" t="s">
        <v>534</v>
      </c>
      <c r="G796" s="630" t="s">
        <v>365</v>
      </c>
      <c r="H796" s="630" t="s">
        <v>535</v>
      </c>
      <c r="I796" s="630"/>
      <c r="J796" s="630"/>
      <c r="K796" s="630"/>
      <c r="L796" s="630"/>
      <c r="M796" s="630"/>
      <c r="N796" s="630"/>
      <c r="O796" s="630"/>
      <c r="P796" s="630"/>
      <c r="Q796" s="630"/>
      <c r="R796" s="630"/>
      <c r="S796" s="630" t="s">
        <v>624</v>
      </c>
      <c r="T796" s="630"/>
      <c r="U796" s="630" t="s">
        <v>538</v>
      </c>
      <c r="V796" s="630">
        <v>2</v>
      </c>
      <c r="W796" s="630" t="s">
        <v>582</v>
      </c>
      <c r="X796" s="630" t="s">
        <v>554</v>
      </c>
      <c r="Y796" s="630" t="s">
        <v>554</v>
      </c>
      <c r="Z796" s="630">
        <v>0.191196</v>
      </c>
      <c r="AA796" s="630">
        <v>0.30769999999999997</v>
      </c>
      <c r="AB796" s="631">
        <v>0</v>
      </c>
      <c r="AC796" s="631">
        <v>0</v>
      </c>
      <c r="AD796" s="631">
        <f t="shared" si="12"/>
        <v>0</v>
      </c>
    </row>
    <row r="797" spans="2:30" x14ac:dyDescent="0.15">
      <c r="B797" s="630">
        <v>17031003211</v>
      </c>
      <c r="C797" s="630">
        <v>17031000355</v>
      </c>
      <c r="D797" s="630">
        <v>17031000328</v>
      </c>
      <c r="E797" s="630" t="s">
        <v>533</v>
      </c>
      <c r="F797" s="630" t="s">
        <v>534</v>
      </c>
      <c r="G797" s="630" t="s">
        <v>365</v>
      </c>
      <c r="H797" s="630" t="s">
        <v>552</v>
      </c>
      <c r="I797" s="630"/>
      <c r="J797" s="630"/>
      <c r="K797" s="630"/>
      <c r="L797" s="630"/>
      <c r="M797" s="630"/>
      <c r="N797" s="630"/>
      <c r="O797" s="630"/>
      <c r="P797" s="630"/>
      <c r="Q797" s="630"/>
      <c r="R797" s="630"/>
      <c r="S797" s="630"/>
      <c r="T797" s="630"/>
      <c r="U797" s="630" t="s">
        <v>559</v>
      </c>
      <c r="V797" s="630">
        <v>1</v>
      </c>
      <c r="W797" s="630" t="s">
        <v>560</v>
      </c>
      <c r="X797" s="630" t="s">
        <v>541</v>
      </c>
      <c r="Y797" s="630" t="s">
        <v>541</v>
      </c>
      <c r="Z797" s="630">
        <v>0.67341799999999996</v>
      </c>
      <c r="AA797" s="630">
        <v>1.0837639999999999</v>
      </c>
      <c r="AB797" s="631">
        <v>0</v>
      </c>
      <c r="AC797" s="631">
        <v>0</v>
      </c>
      <c r="AD797" s="631">
        <f t="shared" si="12"/>
        <v>0</v>
      </c>
    </row>
    <row r="798" spans="2:30" x14ac:dyDescent="0.15">
      <c r="B798" s="630">
        <v>17031004269</v>
      </c>
      <c r="C798" s="630">
        <v>17031000796</v>
      </c>
      <c r="D798" s="630">
        <v>17031000802</v>
      </c>
      <c r="E798" s="630" t="s">
        <v>533</v>
      </c>
      <c r="F798" s="630" t="s">
        <v>534</v>
      </c>
      <c r="G798" s="630" t="s">
        <v>365</v>
      </c>
      <c r="H798" s="630" t="s">
        <v>543</v>
      </c>
      <c r="I798" s="630"/>
      <c r="J798" s="630" t="s">
        <v>382</v>
      </c>
      <c r="K798" s="630"/>
      <c r="L798" s="630"/>
      <c r="M798" s="630"/>
      <c r="N798" s="630"/>
      <c r="O798" s="630"/>
      <c r="P798" s="630"/>
      <c r="Q798" s="630"/>
      <c r="R798" s="630"/>
      <c r="S798" s="630" t="s">
        <v>639</v>
      </c>
      <c r="T798" s="630"/>
      <c r="U798" s="630" t="s">
        <v>538</v>
      </c>
      <c r="V798" s="630">
        <v>2</v>
      </c>
      <c r="W798" s="630" t="s">
        <v>560</v>
      </c>
      <c r="X798" s="630" t="s">
        <v>540</v>
      </c>
      <c r="Y798" s="630" t="s">
        <v>541</v>
      </c>
      <c r="Z798" s="630">
        <v>0.11017100000000001</v>
      </c>
      <c r="AA798" s="630">
        <v>0.17730299999999999</v>
      </c>
      <c r="AB798" s="631">
        <v>2733953</v>
      </c>
      <c r="AC798" s="631">
        <v>73726359</v>
      </c>
      <c r="AD798" s="631">
        <f t="shared" si="12"/>
        <v>8122506.6973890001</v>
      </c>
    </row>
    <row r="799" spans="2:30" x14ac:dyDescent="0.15">
      <c r="B799" s="630">
        <v>17031004676</v>
      </c>
      <c r="C799" s="630">
        <v>17031001150</v>
      </c>
      <c r="D799" s="630">
        <v>17031001143</v>
      </c>
      <c r="E799" s="630" t="s">
        <v>533</v>
      </c>
      <c r="F799" s="630" t="s">
        <v>534</v>
      </c>
      <c r="G799" s="630" t="s">
        <v>365</v>
      </c>
      <c r="H799" s="630" t="s">
        <v>543</v>
      </c>
      <c r="I799" s="630"/>
      <c r="J799" s="630" t="s">
        <v>577</v>
      </c>
      <c r="K799" s="630"/>
      <c r="L799" s="630"/>
      <c r="M799" s="630"/>
      <c r="N799" s="630"/>
      <c r="O799" s="630"/>
      <c r="P799" s="630"/>
      <c r="Q799" s="630"/>
      <c r="R799" s="630"/>
      <c r="S799" s="630" t="s">
        <v>656</v>
      </c>
      <c r="T799" s="630" t="s">
        <v>657</v>
      </c>
      <c r="U799" s="630" t="s">
        <v>559</v>
      </c>
      <c r="V799" s="630">
        <v>1</v>
      </c>
      <c r="W799" s="630" t="s">
        <v>560</v>
      </c>
      <c r="X799" s="630" t="s">
        <v>541</v>
      </c>
      <c r="Y799" s="630" t="s">
        <v>541</v>
      </c>
      <c r="Z799" s="630">
        <v>0.12664</v>
      </c>
      <c r="AA799" s="630">
        <v>0.20380699999999999</v>
      </c>
      <c r="AB799" s="631">
        <v>0</v>
      </c>
      <c r="AC799" s="631">
        <v>0</v>
      </c>
      <c r="AD799" s="631">
        <f t="shared" si="12"/>
        <v>0</v>
      </c>
    </row>
    <row r="800" spans="2:30" x14ac:dyDescent="0.15">
      <c r="B800" s="630">
        <v>17031006522</v>
      </c>
      <c r="C800" s="630">
        <v>17031001138</v>
      </c>
      <c r="D800" s="630">
        <v>17031001162</v>
      </c>
      <c r="E800" s="630" t="s">
        <v>533</v>
      </c>
      <c r="F800" s="630" t="s">
        <v>534</v>
      </c>
      <c r="G800" s="630" t="s">
        <v>365</v>
      </c>
      <c r="H800" s="630" t="s">
        <v>577</v>
      </c>
      <c r="I800" s="630"/>
      <c r="J800" s="630"/>
      <c r="K800" s="630"/>
      <c r="L800" s="630"/>
      <c r="M800" s="630"/>
      <c r="N800" s="630"/>
      <c r="O800" s="630"/>
      <c r="P800" s="630"/>
      <c r="Q800" s="630"/>
      <c r="R800" s="630"/>
      <c r="S800" s="630"/>
      <c r="T800" s="630" t="s">
        <v>641</v>
      </c>
      <c r="U800" s="630" t="s">
        <v>538</v>
      </c>
      <c r="V800" s="630">
        <v>1</v>
      </c>
      <c r="W800" s="630" t="s">
        <v>560</v>
      </c>
      <c r="X800" s="630" t="s">
        <v>541</v>
      </c>
      <c r="Y800" s="630" t="s">
        <v>541</v>
      </c>
      <c r="Z800" s="630">
        <v>0.21362600000000001</v>
      </c>
      <c r="AA800" s="630">
        <v>0.34379799999999999</v>
      </c>
      <c r="AB800" s="631">
        <v>0</v>
      </c>
      <c r="AC800" s="631">
        <v>0</v>
      </c>
      <c r="AD800" s="631">
        <f t="shared" si="12"/>
        <v>0</v>
      </c>
    </row>
    <row r="801" spans="2:30" x14ac:dyDescent="0.15">
      <c r="B801" s="630">
        <v>17043009139</v>
      </c>
      <c r="C801" s="630">
        <v>17043007345</v>
      </c>
      <c r="D801" s="630">
        <v>17043004770</v>
      </c>
      <c r="E801" s="630" t="s">
        <v>533</v>
      </c>
      <c r="F801" s="630" t="s">
        <v>534</v>
      </c>
      <c r="G801" s="630" t="s">
        <v>367</v>
      </c>
      <c r="H801" s="630" t="s">
        <v>552</v>
      </c>
      <c r="I801" s="630"/>
      <c r="J801" s="630"/>
      <c r="K801" s="630"/>
      <c r="L801" s="630"/>
      <c r="M801" s="630"/>
      <c r="N801" s="630"/>
      <c r="O801" s="630"/>
      <c r="P801" s="630"/>
      <c r="Q801" s="630"/>
      <c r="R801" s="630"/>
      <c r="S801" s="630"/>
      <c r="T801" s="630"/>
      <c r="U801" s="630" t="s">
        <v>559</v>
      </c>
      <c r="V801" s="630">
        <v>1</v>
      </c>
      <c r="W801" s="630" t="s">
        <v>560</v>
      </c>
      <c r="X801" s="630" t="s">
        <v>541</v>
      </c>
      <c r="Y801" s="630" t="s">
        <v>541</v>
      </c>
      <c r="Z801" s="630">
        <v>0.16194700000000001</v>
      </c>
      <c r="AA801" s="630">
        <v>0.26062999999999997</v>
      </c>
      <c r="AB801" s="631">
        <v>0</v>
      </c>
      <c r="AC801" s="631">
        <v>0</v>
      </c>
      <c r="AD801" s="631">
        <f t="shared" si="12"/>
        <v>0</v>
      </c>
    </row>
    <row r="802" spans="2:30" x14ac:dyDescent="0.15">
      <c r="B802" s="630">
        <v>17197009309</v>
      </c>
      <c r="C802" s="630">
        <v>17197007432</v>
      </c>
      <c r="D802" s="630">
        <v>17197001603</v>
      </c>
      <c r="E802" s="630" t="s">
        <v>533</v>
      </c>
      <c r="F802" s="630" t="s">
        <v>534</v>
      </c>
      <c r="G802" s="630" t="s">
        <v>377</v>
      </c>
      <c r="H802" s="630" t="s">
        <v>551</v>
      </c>
      <c r="I802" s="630"/>
      <c r="J802" s="630" t="s">
        <v>535</v>
      </c>
      <c r="K802" s="630"/>
      <c r="L802" s="630"/>
      <c r="M802" s="630"/>
      <c r="N802" s="630"/>
      <c r="O802" s="630"/>
      <c r="P802" s="630"/>
      <c r="Q802" s="630"/>
      <c r="R802" s="630"/>
      <c r="S802" s="630" t="s">
        <v>594</v>
      </c>
      <c r="T802" s="630"/>
      <c r="U802" s="630" t="s">
        <v>559</v>
      </c>
      <c r="V802" s="630">
        <v>1</v>
      </c>
      <c r="W802" s="630" t="s">
        <v>560</v>
      </c>
      <c r="X802" s="630" t="s">
        <v>541</v>
      </c>
      <c r="Y802" s="630" t="s">
        <v>541</v>
      </c>
      <c r="Z802" s="630">
        <v>0.30752400000000002</v>
      </c>
      <c r="AA802" s="630">
        <v>0.49491200000000002</v>
      </c>
      <c r="AB802" s="631">
        <v>0</v>
      </c>
      <c r="AC802" s="631">
        <v>0</v>
      </c>
      <c r="AD802" s="631">
        <f t="shared" si="12"/>
        <v>0</v>
      </c>
    </row>
    <row r="803" spans="2:30" x14ac:dyDescent="0.15">
      <c r="B803" s="630">
        <v>17089002202</v>
      </c>
      <c r="C803" s="630">
        <v>17089004851</v>
      </c>
      <c r="D803" s="630">
        <v>17089004852</v>
      </c>
      <c r="E803" s="630" t="s">
        <v>533</v>
      </c>
      <c r="F803" s="630" t="s">
        <v>534</v>
      </c>
      <c r="G803" s="630" t="s">
        <v>369</v>
      </c>
      <c r="H803" s="630" t="s">
        <v>552</v>
      </c>
      <c r="I803" s="630"/>
      <c r="J803" s="630" t="s">
        <v>547</v>
      </c>
      <c r="K803" s="630"/>
      <c r="L803" s="630"/>
      <c r="M803" s="630"/>
      <c r="N803" s="630"/>
      <c r="O803" s="630"/>
      <c r="P803" s="630"/>
      <c r="Q803" s="630"/>
      <c r="R803" s="630"/>
      <c r="S803" s="630" t="s">
        <v>589</v>
      </c>
      <c r="T803" s="630"/>
      <c r="U803" s="630" t="s">
        <v>538</v>
      </c>
      <c r="V803" s="630">
        <v>1</v>
      </c>
      <c r="W803" s="630" t="s">
        <v>545</v>
      </c>
      <c r="X803" s="630" t="s">
        <v>540</v>
      </c>
      <c r="Y803" s="630" t="s">
        <v>549</v>
      </c>
      <c r="Z803" s="630">
        <v>0.256436</v>
      </c>
      <c r="AA803" s="630">
        <v>0.41269499999999998</v>
      </c>
      <c r="AB803" s="631">
        <v>73903</v>
      </c>
      <c r="AC803" s="631">
        <v>7739424</v>
      </c>
      <c r="AD803" s="631">
        <f t="shared" si="12"/>
        <v>1984666.9328640001</v>
      </c>
    </row>
    <row r="804" spans="2:30" x14ac:dyDescent="0.15">
      <c r="B804" s="630">
        <v>17031002438</v>
      </c>
      <c r="C804" s="630">
        <v>17031004711</v>
      </c>
      <c r="D804" s="630">
        <v>17031007042</v>
      </c>
      <c r="E804" s="630" t="s">
        <v>533</v>
      </c>
      <c r="F804" s="630" t="s">
        <v>534</v>
      </c>
      <c r="G804" s="630" t="s">
        <v>365</v>
      </c>
      <c r="H804" s="630" t="s">
        <v>382</v>
      </c>
      <c r="I804" s="630"/>
      <c r="J804" s="630"/>
      <c r="K804" s="630"/>
      <c r="L804" s="630"/>
      <c r="M804" s="630"/>
      <c r="N804" s="630"/>
      <c r="O804" s="630"/>
      <c r="P804" s="630"/>
      <c r="Q804" s="630"/>
      <c r="R804" s="630"/>
      <c r="S804" s="630"/>
      <c r="T804" s="630" t="s">
        <v>675</v>
      </c>
      <c r="U804" s="630" t="s">
        <v>559</v>
      </c>
      <c r="V804" s="630">
        <v>1</v>
      </c>
      <c r="W804" s="630" t="s">
        <v>560</v>
      </c>
      <c r="X804" s="630" t="s">
        <v>541</v>
      </c>
      <c r="Y804" s="630" t="s">
        <v>541</v>
      </c>
      <c r="Z804" s="630">
        <v>0.68272299999999997</v>
      </c>
      <c r="AA804" s="630">
        <v>1.098738</v>
      </c>
      <c r="AB804" s="631">
        <v>0</v>
      </c>
      <c r="AC804" s="631">
        <v>0</v>
      </c>
      <c r="AD804" s="631">
        <f t="shared" si="12"/>
        <v>0</v>
      </c>
    </row>
    <row r="805" spans="2:30" x14ac:dyDescent="0.15">
      <c r="B805" s="630">
        <v>17031002384</v>
      </c>
      <c r="C805" s="630">
        <v>17031001197</v>
      </c>
      <c r="D805" s="630">
        <v>17031004667</v>
      </c>
      <c r="E805" s="630" t="s">
        <v>533</v>
      </c>
      <c r="F805" s="630" t="s">
        <v>534</v>
      </c>
      <c r="G805" s="630" t="s">
        <v>365</v>
      </c>
      <c r="H805" s="630" t="s">
        <v>535</v>
      </c>
      <c r="I805" s="630"/>
      <c r="J805" s="630" t="s">
        <v>542</v>
      </c>
      <c r="K805" s="630" t="s">
        <v>572</v>
      </c>
      <c r="L805" s="630" t="s">
        <v>547</v>
      </c>
      <c r="M805" s="630" t="s">
        <v>382</v>
      </c>
      <c r="N805" s="630"/>
      <c r="O805" s="630"/>
      <c r="P805" s="630"/>
      <c r="Q805" s="630"/>
      <c r="R805" s="630"/>
      <c r="S805" s="630" t="s">
        <v>601</v>
      </c>
      <c r="T805" s="630"/>
      <c r="U805" s="630" t="s">
        <v>538</v>
      </c>
      <c r="V805" s="630">
        <v>2</v>
      </c>
      <c r="W805" s="630" t="s">
        <v>545</v>
      </c>
      <c r="X805" s="630" t="s">
        <v>540</v>
      </c>
      <c r="Y805" s="630" t="s">
        <v>549</v>
      </c>
      <c r="Z805" s="630">
        <v>2.612285</v>
      </c>
      <c r="AA805" s="630">
        <v>4.2040740000000003</v>
      </c>
      <c r="AB805" s="631">
        <v>46240</v>
      </c>
      <c r="AC805" s="631">
        <v>1585480</v>
      </c>
      <c r="AD805" s="631">
        <f t="shared" si="12"/>
        <v>4141725.6217999998</v>
      </c>
    </row>
    <row r="806" spans="2:30" x14ac:dyDescent="0.15">
      <c r="B806" s="630">
        <v>17097003090</v>
      </c>
      <c r="C806" s="630">
        <v>17097000065</v>
      </c>
      <c r="D806" s="630">
        <v>17097004567</v>
      </c>
      <c r="E806" s="630" t="s">
        <v>533</v>
      </c>
      <c r="F806" s="630" t="s">
        <v>534</v>
      </c>
      <c r="G806" s="630" t="s">
        <v>373</v>
      </c>
      <c r="H806" s="630" t="s">
        <v>382</v>
      </c>
      <c r="I806" s="630"/>
      <c r="J806" s="630" t="s">
        <v>535</v>
      </c>
      <c r="K806" s="630" t="s">
        <v>547</v>
      </c>
      <c r="L806" s="630"/>
      <c r="M806" s="630"/>
      <c r="N806" s="630"/>
      <c r="O806" s="630"/>
      <c r="P806" s="630"/>
      <c r="Q806" s="630"/>
      <c r="R806" s="630"/>
      <c r="S806" s="630" t="s">
        <v>565</v>
      </c>
      <c r="T806" s="630"/>
      <c r="U806" s="630" t="s">
        <v>538</v>
      </c>
      <c r="V806" s="630">
        <v>2</v>
      </c>
      <c r="W806" s="630" t="s">
        <v>566</v>
      </c>
      <c r="X806" s="630" t="s">
        <v>549</v>
      </c>
      <c r="Y806" s="630" t="s">
        <v>549</v>
      </c>
      <c r="Z806" s="630">
        <v>0.78420100000000004</v>
      </c>
      <c r="AA806" s="630">
        <v>1.262052</v>
      </c>
      <c r="AB806" s="631">
        <v>11334</v>
      </c>
      <c r="AC806" s="631">
        <v>1200930</v>
      </c>
      <c r="AD806" s="631">
        <f t="shared" si="12"/>
        <v>941770.50693000003</v>
      </c>
    </row>
    <row r="807" spans="2:30" x14ac:dyDescent="0.15">
      <c r="B807" s="630">
        <v>17031003504</v>
      </c>
      <c r="C807" s="630">
        <v>17031000723</v>
      </c>
      <c r="D807" s="630">
        <v>17031004655</v>
      </c>
      <c r="E807" s="630" t="s">
        <v>533</v>
      </c>
      <c r="F807" s="630" t="s">
        <v>534</v>
      </c>
      <c r="G807" s="630" t="s">
        <v>365</v>
      </c>
      <c r="H807" s="630" t="s">
        <v>535</v>
      </c>
      <c r="I807" s="630"/>
      <c r="J807" s="630"/>
      <c r="K807" s="630"/>
      <c r="L807" s="630"/>
      <c r="M807" s="630"/>
      <c r="N807" s="630"/>
      <c r="O807" s="630"/>
      <c r="P807" s="630"/>
      <c r="Q807" s="630"/>
      <c r="R807" s="630"/>
      <c r="S807" s="630" t="s">
        <v>624</v>
      </c>
      <c r="T807" s="630"/>
      <c r="U807" s="630" t="s">
        <v>538</v>
      </c>
      <c r="V807" s="630">
        <v>2</v>
      </c>
      <c r="W807" s="630" t="s">
        <v>582</v>
      </c>
      <c r="X807" s="630" t="s">
        <v>554</v>
      </c>
      <c r="Y807" s="630" t="s">
        <v>554</v>
      </c>
      <c r="Z807" s="630">
        <v>1.558503</v>
      </c>
      <c r="AA807" s="630">
        <v>2.5081720000000001</v>
      </c>
      <c r="AB807" s="631">
        <v>0</v>
      </c>
      <c r="AC807" s="631">
        <v>0</v>
      </c>
      <c r="AD807" s="631">
        <f t="shared" si="12"/>
        <v>0</v>
      </c>
    </row>
    <row r="808" spans="2:30" x14ac:dyDescent="0.15">
      <c r="B808" s="630">
        <v>17031003812</v>
      </c>
      <c r="C808" s="630">
        <v>17031001175</v>
      </c>
      <c r="D808" s="630">
        <v>17031004740</v>
      </c>
      <c r="E808" s="630" t="s">
        <v>533</v>
      </c>
      <c r="F808" s="630" t="s">
        <v>534</v>
      </c>
      <c r="G808" s="630" t="s">
        <v>365</v>
      </c>
      <c r="H808" s="630" t="s">
        <v>543</v>
      </c>
      <c r="I808" s="630"/>
      <c r="J808" s="630"/>
      <c r="K808" s="630"/>
      <c r="L808" s="630"/>
      <c r="M808" s="630"/>
      <c r="N808" s="630"/>
      <c r="O808" s="630"/>
      <c r="P808" s="630"/>
      <c r="Q808" s="630"/>
      <c r="R808" s="630"/>
      <c r="S808" s="630" t="s">
        <v>617</v>
      </c>
      <c r="T808" s="630"/>
      <c r="U808" s="630" t="s">
        <v>559</v>
      </c>
      <c r="V808" s="630">
        <v>1</v>
      </c>
      <c r="W808" s="630" t="s">
        <v>560</v>
      </c>
      <c r="X808" s="630" t="s">
        <v>541</v>
      </c>
      <c r="Y808" s="630" t="s">
        <v>541</v>
      </c>
      <c r="Z808" s="630">
        <v>1.8378730000000001</v>
      </c>
      <c r="AA808" s="630">
        <v>2.957776</v>
      </c>
      <c r="AB808" s="631">
        <v>0</v>
      </c>
      <c r="AC808" s="631">
        <v>0</v>
      </c>
      <c r="AD808" s="631">
        <f t="shared" si="12"/>
        <v>0</v>
      </c>
    </row>
    <row r="809" spans="2:30" x14ac:dyDescent="0.15">
      <c r="B809" s="630">
        <v>17031003876</v>
      </c>
      <c r="C809" s="630">
        <v>17031004762</v>
      </c>
      <c r="D809" s="630">
        <v>17031000792</v>
      </c>
      <c r="E809" s="630" t="s">
        <v>533</v>
      </c>
      <c r="F809" s="630" t="s">
        <v>534</v>
      </c>
      <c r="G809" s="630" t="s">
        <v>365</v>
      </c>
      <c r="H809" s="630" t="s">
        <v>382</v>
      </c>
      <c r="I809" s="630"/>
      <c r="J809" s="630"/>
      <c r="K809" s="630"/>
      <c r="L809" s="630"/>
      <c r="M809" s="630"/>
      <c r="N809" s="630"/>
      <c r="O809" s="630"/>
      <c r="P809" s="630"/>
      <c r="Q809" s="630"/>
      <c r="R809" s="630"/>
      <c r="S809" s="630"/>
      <c r="T809" s="630" t="s">
        <v>688</v>
      </c>
      <c r="U809" s="630" t="s">
        <v>559</v>
      </c>
      <c r="V809" s="630">
        <v>1</v>
      </c>
      <c r="W809" s="630" t="s">
        <v>560</v>
      </c>
      <c r="X809" s="630" t="s">
        <v>541</v>
      </c>
      <c r="Y809" s="630" t="s">
        <v>541</v>
      </c>
      <c r="Z809" s="630">
        <v>0.56392799999999998</v>
      </c>
      <c r="AA809" s="630">
        <v>0.90755600000000003</v>
      </c>
      <c r="AB809" s="631">
        <v>200</v>
      </c>
      <c r="AC809" s="631">
        <v>13360</v>
      </c>
      <c r="AD809" s="631">
        <f t="shared" si="12"/>
        <v>7534.0780800000002</v>
      </c>
    </row>
    <row r="810" spans="2:30" x14ac:dyDescent="0.15">
      <c r="B810" s="630">
        <v>17197005462</v>
      </c>
      <c r="C810" s="630">
        <v>17197004791</v>
      </c>
      <c r="D810" s="630">
        <v>17197001480</v>
      </c>
      <c r="E810" s="630" t="s">
        <v>533</v>
      </c>
      <c r="F810" s="630" t="s">
        <v>534</v>
      </c>
      <c r="G810" s="630" t="s">
        <v>377</v>
      </c>
      <c r="H810" s="630" t="s">
        <v>547</v>
      </c>
      <c r="I810" s="630"/>
      <c r="J810" s="630" t="s">
        <v>551</v>
      </c>
      <c r="K810" s="630" t="s">
        <v>615</v>
      </c>
      <c r="L810" s="630"/>
      <c r="M810" s="630"/>
      <c r="N810" s="630"/>
      <c r="O810" s="630"/>
      <c r="P810" s="630"/>
      <c r="Q810" s="630"/>
      <c r="R810" s="630"/>
      <c r="S810" s="630" t="s">
        <v>581</v>
      </c>
      <c r="T810" s="630"/>
      <c r="U810" s="630" t="s">
        <v>538</v>
      </c>
      <c r="V810" s="630">
        <v>2</v>
      </c>
      <c r="W810" s="630" t="s">
        <v>582</v>
      </c>
      <c r="X810" s="630" t="s">
        <v>540</v>
      </c>
      <c r="Y810" s="630" t="s">
        <v>540</v>
      </c>
      <c r="Z810" s="630">
        <v>4.3017240000000001</v>
      </c>
      <c r="AA810" s="630">
        <v>6.922968</v>
      </c>
      <c r="AB810" s="631">
        <v>91081</v>
      </c>
      <c r="AC810" s="631">
        <v>8923844</v>
      </c>
      <c r="AD810" s="631">
        <f t="shared" si="12"/>
        <v>38387913.907056004</v>
      </c>
    </row>
    <row r="811" spans="2:30" x14ac:dyDescent="0.15">
      <c r="B811" s="630">
        <v>17197006230</v>
      </c>
      <c r="C811" s="630">
        <v>17197001222</v>
      </c>
      <c r="D811" s="630">
        <v>17197007187</v>
      </c>
      <c r="E811" s="630" t="s">
        <v>533</v>
      </c>
      <c r="F811" s="630" t="s">
        <v>534</v>
      </c>
      <c r="G811" s="630" t="s">
        <v>377</v>
      </c>
      <c r="H811" s="630" t="s">
        <v>381</v>
      </c>
      <c r="I811" s="630"/>
      <c r="J811" s="630"/>
      <c r="K811" s="630"/>
      <c r="L811" s="630"/>
      <c r="M811" s="630"/>
      <c r="N811" s="630"/>
      <c r="O811" s="630"/>
      <c r="P811" s="630"/>
      <c r="Q811" s="630"/>
      <c r="R811" s="630"/>
      <c r="S811" s="630"/>
      <c r="T811" s="630"/>
      <c r="U811" s="630" t="s">
        <v>559</v>
      </c>
      <c r="V811" s="630">
        <v>1</v>
      </c>
      <c r="W811" s="630" t="s">
        <v>560</v>
      </c>
      <c r="X811" s="630" t="s">
        <v>541</v>
      </c>
      <c r="Y811" s="630" t="s">
        <v>541</v>
      </c>
      <c r="Z811" s="630">
        <v>1.4820500000000001</v>
      </c>
      <c r="AA811" s="630">
        <v>2.3851330000000002</v>
      </c>
      <c r="AB811" s="631">
        <v>0</v>
      </c>
      <c r="AC811" s="631">
        <v>0</v>
      </c>
      <c r="AD811" s="631">
        <f t="shared" si="12"/>
        <v>0</v>
      </c>
    </row>
    <row r="812" spans="2:30" x14ac:dyDescent="0.15">
      <c r="B812" s="630">
        <v>17031006235</v>
      </c>
      <c r="C812" s="630">
        <v>17031000309</v>
      </c>
      <c r="D812" s="630">
        <v>17031000333</v>
      </c>
      <c r="E812" s="630" t="s">
        <v>533</v>
      </c>
      <c r="F812" s="630" t="s">
        <v>534</v>
      </c>
      <c r="G812" s="630" t="s">
        <v>365</v>
      </c>
      <c r="H812" s="630" t="s">
        <v>382</v>
      </c>
      <c r="I812" s="630"/>
      <c r="J812" s="630"/>
      <c r="K812" s="630"/>
      <c r="L812" s="630"/>
      <c r="M812" s="630"/>
      <c r="N812" s="630"/>
      <c r="O812" s="630"/>
      <c r="P812" s="630"/>
      <c r="Q812" s="630"/>
      <c r="R812" s="630"/>
      <c r="S812" s="630" t="s">
        <v>616</v>
      </c>
      <c r="T812" s="630"/>
      <c r="U812" s="630" t="s">
        <v>559</v>
      </c>
      <c r="V812" s="630">
        <v>1</v>
      </c>
      <c r="W812" s="630" t="s">
        <v>560</v>
      </c>
      <c r="X812" s="630" t="s">
        <v>541</v>
      </c>
      <c r="Y812" s="630" t="s">
        <v>541</v>
      </c>
      <c r="Z812" s="630">
        <v>1.1341540000000001</v>
      </c>
      <c r="AA812" s="630">
        <v>1.825248</v>
      </c>
      <c r="AB812" s="631">
        <v>0</v>
      </c>
      <c r="AC812" s="631">
        <v>0</v>
      </c>
      <c r="AD812" s="631">
        <f t="shared" si="12"/>
        <v>0</v>
      </c>
    </row>
    <row r="813" spans="2:30" x14ac:dyDescent="0.15">
      <c r="B813" s="630">
        <v>17031006492</v>
      </c>
      <c r="C813" s="630">
        <v>17031004751</v>
      </c>
      <c r="D813" s="630">
        <v>17031001049</v>
      </c>
      <c r="E813" s="630" t="s">
        <v>533</v>
      </c>
      <c r="F813" s="630" t="s">
        <v>534</v>
      </c>
      <c r="G813" s="630" t="s">
        <v>365</v>
      </c>
      <c r="H813" s="630" t="s">
        <v>535</v>
      </c>
      <c r="I813" s="630"/>
      <c r="J813" s="630" t="s">
        <v>542</v>
      </c>
      <c r="K813" s="630" t="s">
        <v>572</v>
      </c>
      <c r="L813" s="630"/>
      <c r="M813" s="630"/>
      <c r="N813" s="630"/>
      <c r="O813" s="630"/>
      <c r="P813" s="630"/>
      <c r="Q813" s="630"/>
      <c r="R813" s="630"/>
      <c r="S813" s="630" t="s">
        <v>544</v>
      </c>
      <c r="T813" s="630"/>
      <c r="U813" s="630" t="s">
        <v>538</v>
      </c>
      <c r="V813" s="630">
        <v>2</v>
      </c>
      <c r="W813" s="630" t="s">
        <v>545</v>
      </c>
      <c r="X813" s="630" t="s">
        <v>549</v>
      </c>
      <c r="Y813" s="630" t="s">
        <v>549</v>
      </c>
      <c r="Z813" s="630">
        <v>0.18368300000000001</v>
      </c>
      <c r="AA813" s="630">
        <v>0.29560999999999998</v>
      </c>
      <c r="AB813" s="631">
        <v>17296</v>
      </c>
      <c r="AC813" s="631">
        <v>1486494</v>
      </c>
      <c r="AD813" s="631">
        <f t="shared" si="12"/>
        <v>273043.677402</v>
      </c>
    </row>
    <row r="814" spans="2:30" x14ac:dyDescent="0.15">
      <c r="B814" s="630">
        <v>17031006502</v>
      </c>
      <c r="C814" s="630">
        <v>17031004756</v>
      </c>
      <c r="D814" s="630">
        <v>17031000906</v>
      </c>
      <c r="E814" s="630" t="s">
        <v>533</v>
      </c>
      <c r="F814" s="630" t="s">
        <v>534</v>
      </c>
      <c r="G814" s="630" t="s">
        <v>365</v>
      </c>
      <c r="H814" s="630" t="s">
        <v>547</v>
      </c>
      <c r="I814" s="630"/>
      <c r="J814" s="630" t="s">
        <v>577</v>
      </c>
      <c r="K814" s="630"/>
      <c r="L814" s="630"/>
      <c r="M814" s="630"/>
      <c r="N814" s="630"/>
      <c r="O814" s="630"/>
      <c r="P814" s="630"/>
      <c r="Q814" s="630"/>
      <c r="R814" s="630"/>
      <c r="S814" s="630" t="s">
        <v>581</v>
      </c>
      <c r="T814" s="630"/>
      <c r="U814" s="630" t="s">
        <v>538</v>
      </c>
      <c r="V814" s="630">
        <v>2</v>
      </c>
      <c r="W814" s="630" t="s">
        <v>582</v>
      </c>
      <c r="X814" s="630" t="s">
        <v>541</v>
      </c>
      <c r="Y814" s="630" t="s">
        <v>540</v>
      </c>
      <c r="Z814" s="630">
        <v>0.727572</v>
      </c>
      <c r="AA814" s="630">
        <v>1.1709160000000001</v>
      </c>
      <c r="AB814" s="631">
        <v>0</v>
      </c>
      <c r="AC814" s="631">
        <v>0</v>
      </c>
      <c r="AD814" s="631">
        <f t="shared" si="12"/>
        <v>0</v>
      </c>
    </row>
    <row r="815" spans="2:30" x14ac:dyDescent="0.15">
      <c r="B815" s="630">
        <v>17031006523</v>
      </c>
      <c r="C815" s="630">
        <v>17031001165</v>
      </c>
      <c r="D815" s="630">
        <v>17031001179</v>
      </c>
      <c r="E815" s="630" t="s">
        <v>533</v>
      </c>
      <c r="F815" s="630" t="s">
        <v>534</v>
      </c>
      <c r="G815" s="630" t="s">
        <v>365</v>
      </c>
      <c r="H815" s="630" t="s">
        <v>571</v>
      </c>
      <c r="I815" s="630"/>
      <c r="J815" s="630" t="s">
        <v>577</v>
      </c>
      <c r="K815" s="630"/>
      <c r="L815" s="630"/>
      <c r="M815" s="630"/>
      <c r="N815" s="630"/>
      <c r="O815" s="630"/>
      <c r="P815" s="630"/>
      <c r="Q815" s="630"/>
      <c r="R815" s="630"/>
      <c r="S815" s="630" t="s">
        <v>573</v>
      </c>
      <c r="T815" s="630"/>
      <c r="U815" s="630" t="s">
        <v>538</v>
      </c>
      <c r="V815" s="630">
        <v>1</v>
      </c>
      <c r="W815" s="630" t="s">
        <v>545</v>
      </c>
      <c r="X815" s="630" t="s">
        <v>554</v>
      </c>
      <c r="Y815" s="630" t="s">
        <v>541</v>
      </c>
      <c r="Z815" s="630">
        <v>5.1123000000000002E-2</v>
      </c>
      <c r="AA815" s="630">
        <v>8.2275000000000001E-2</v>
      </c>
      <c r="AB815" s="631">
        <v>0</v>
      </c>
      <c r="AC815" s="631">
        <v>0</v>
      </c>
      <c r="AD815" s="631">
        <f t="shared" si="12"/>
        <v>0</v>
      </c>
    </row>
    <row r="816" spans="2:30" x14ac:dyDescent="0.15">
      <c r="B816" s="630">
        <v>17031010208</v>
      </c>
      <c r="C816" s="630">
        <v>17031008301</v>
      </c>
      <c r="D816" s="630">
        <v>17031000448</v>
      </c>
      <c r="E816" s="630" t="s">
        <v>533</v>
      </c>
      <c r="F816" s="630" t="s">
        <v>534</v>
      </c>
      <c r="G816" s="630" t="s">
        <v>365</v>
      </c>
      <c r="H816" s="630" t="s">
        <v>382</v>
      </c>
      <c r="I816" s="630"/>
      <c r="J816" s="630"/>
      <c r="K816" s="630"/>
      <c r="L816" s="630"/>
      <c r="M816" s="630"/>
      <c r="N816" s="630"/>
      <c r="O816" s="630"/>
      <c r="P816" s="630"/>
      <c r="Q816" s="630"/>
      <c r="R816" s="630"/>
      <c r="S816" s="630" t="s">
        <v>586</v>
      </c>
      <c r="T816" s="630" t="s">
        <v>689</v>
      </c>
      <c r="U816" s="630" t="s">
        <v>538</v>
      </c>
      <c r="V816" s="630">
        <v>2</v>
      </c>
      <c r="W816" s="630" t="s">
        <v>582</v>
      </c>
      <c r="X816" s="630" t="s">
        <v>549</v>
      </c>
      <c r="Y816" s="630" t="s">
        <v>554</v>
      </c>
      <c r="Z816" s="630">
        <v>6.7058000000000006E-2</v>
      </c>
      <c r="AA816" s="630">
        <v>0.10792</v>
      </c>
      <c r="AB816" s="631">
        <v>88508</v>
      </c>
      <c r="AC816" s="631">
        <v>9870362</v>
      </c>
      <c r="AD816" s="631">
        <f t="shared" si="12"/>
        <v>661886.73499600007</v>
      </c>
    </row>
    <row r="817" spans="2:30" x14ac:dyDescent="0.15">
      <c r="B817" s="630">
        <v>17031001948</v>
      </c>
      <c r="C817" s="630">
        <v>17031000936</v>
      </c>
      <c r="D817" s="630">
        <v>17031000929</v>
      </c>
      <c r="E817" s="630" t="s">
        <v>533</v>
      </c>
      <c r="F817" s="630" t="s">
        <v>534</v>
      </c>
      <c r="G817" s="630" t="s">
        <v>365</v>
      </c>
      <c r="H817" s="630" t="s">
        <v>557</v>
      </c>
      <c r="I817" s="630"/>
      <c r="J817" s="630" t="s">
        <v>381</v>
      </c>
      <c r="K817" s="630" t="s">
        <v>535</v>
      </c>
      <c r="L817" s="630" t="s">
        <v>552</v>
      </c>
      <c r="M817" s="630" t="s">
        <v>551</v>
      </c>
      <c r="N817" s="630" t="s">
        <v>543</v>
      </c>
      <c r="O817" s="630" t="s">
        <v>382</v>
      </c>
      <c r="P817" s="630"/>
      <c r="Q817" s="630"/>
      <c r="R817" s="630"/>
      <c r="S817" s="630" t="s">
        <v>570</v>
      </c>
      <c r="T817" s="630" t="s">
        <v>690</v>
      </c>
      <c r="U817" s="630" t="s">
        <v>538</v>
      </c>
      <c r="V817" s="630">
        <v>2</v>
      </c>
      <c r="W817" s="630" t="s">
        <v>545</v>
      </c>
      <c r="X817" s="630" t="s">
        <v>575</v>
      </c>
      <c r="Y817" s="630" t="s">
        <v>554</v>
      </c>
      <c r="Z817" s="630">
        <v>5.3003000000000002E-2</v>
      </c>
      <c r="AA817" s="630">
        <v>8.5301000000000002E-2</v>
      </c>
      <c r="AB817" s="631">
        <v>1446506</v>
      </c>
      <c r="AC817" s="631">
        <v>72915461</v>
      </c>
      <c r="AD817" s="631">
        <f t="shared" si="12"/>
        <v>3864738.1793829999</v>
      </c>
    </row>
    <row r="818" spans="2:30" x14ac:dyDescent="0.15">
      <c r="B818" s="630">
        <v>17197001969</v>
      </c>
      <c r="C818" s="630">
        <v>17197001473</v>
      </c>
      <c r="D818" s="630">
        <v>17197007179</v>
      </c>
      <c r="E818" s="630" t="s">
        <v>533</v>
      </c>
      <c r="F818" s="630" t="s">
        <v>534</v>
      </c>
      <c r="G818" s="630" t="s">
        <v>377</v>
      </c>
      <c r="H818" s="630" t="s">
        <v>535</v>
      </c>
      <c r="I818" s="630"/>
      <c r="J818" s="630" t="s">
        <v>542</v>
      </c>
      <c r="K818" s="630" t="s">
        <v>572</v>
      </c>
      <c r="L818" s="630" t="s">
        <v>547</v>
      </c>
      <c r="M818" s="630" t="s">
        <v>382</v>
      </c>
      <c r="N818" s="630"/>
      <c r="O818" s="630"/>
      <c r="P818" s="630"/>
      <c r="Q818" s="630"/>
      <c r="R818" s="630"/>
      <c r="S818" s="630" t="s">
        <v>601</v>
      </c>
      <c r="T818" s="630"/>
      <c r="U818" s="630" t="s">
        <v>538</v>
      </c>
      <c r="V818" s="630">
        <v>2</v>
      </c>
      <c r="W818" s="630" t="s">
        <v>545</v>
      </c>
      <c r="X818" s="630" t="s">
        <v>540</v>
      </c>
      <c r="Y818" s="630" t="s">
        <v>549</v>
      </c>
      <c r="Z818" s="630">
        <v>0.59473500000000001</v>
      </c>
      <c r="AA818" s="630">
        <v>0.95713499999999996</v>
      </c>
      <c r="AB818" s="631">
        <v>43880</v>
      </c>
      <c r="AC818" s="631">
        <v>1364920</v>
      </c>
      <c r="AD818" s="631">
        <f t="shared" si="12"/>
        <v>811765.69620000001</v>
      </c>
    </row>
    <row r="819" spans="2:30" x14ac:dyDescent="0.15">
      <c r="B819" s="630">
        <v>17097002106</v>
      </c>
      <c r="C819" s="630">
        <v>17097004560</v>
      </c>
      <c r="D819" s="630">
        <v>17097004559</v>
      </c>
      <c r="E819" s="630" t="s">
        <v>533</v>
      </c>
      <c r="F819" s="630" t="s">
        <v>534</v>
      </c>
      <c r="G819" s="630" t="s">
        <v>373</v>
      </c>
      <c r="H819" s="630" t="s">
        <v>535</v>
      </c>
      <c r="I819" s="630"/>
      <c r="J819" s="630" t="s">
        <v>547</v>
      </c>
      <c r="K819" s="630"/>
      <c r="L819" s="630"/>
      <c r="M819" s="630"/>
      <c r="N819" s="630"/>
      <c r="O819" s="630"/>
      <c r="P819" s="630"/>
      <c r="Q819" s="630"/>
      <c r="R819" s="630"/>
      <c r="S819" s="630" t="s">
        <v>548</v>
      </c>
      <c r="T819" s="630"/>
      <c r="U819" s="630" t="s">
        <v>538</v>
      </c>
      <c r="V819" s="630">
        <v>2</v>
      </c>
      <c r="W819" s="630" t="s">
        <v>545</v>
      </c>
      <c r="X819" s="630" t="s">
        <v>546</v>
      </c>
      <c r="Y819" s="630" t="s">
        <v>549</v>
      </c>
      <c r="Z819" s="630">
        <v>1.338678</v>
      </c>
      <c r="AA819" s="630">
        <v>2.1543969999999999</v>
      </c>
      <c r="AB819" s="631">
        <v>805376</v>
      </c>
      <c r="AC819" s="631">
        <v>39329111</v>
      </c>
      <c r="AD819" s="631">
        <f t="shared" si="12"/>
        <v>52649015.655258</v>
      </c>
    </row>
    <row r="820" spans="2:30" x14ac:dyDescent="0.15">
      <c r="B820" s="630">
        <v>17097002111</v>
      </c>
      <c r="C820" s="630">
        <v>17097007506</v>
      </c>
      <c r="D820" s="630">
        <v>17097004533</v>
      </c>
      <c r="E820" s="630" t="s">
        <v>533</v>
      </c>
      <c r="F820" s="630" t="s">
        <v>534</v>
      </c>
      <c r="G820" s="630" t="s">
        <v>373</v>
      </c>
      <c r="H820" s="630" t="s">
        <v>552</v>
      </c>
      <c r="I820" s="630"/>
      <c r="J820" s="630" t="s">
        <v>547</v>
      </c>
      <c r="K820" s="630" t="s">
        <v>563</v>
      </c>
      <c r="L820" s="630"/>
      <c r="M820" s="630"/>
      <c r="N820" s="630"/>
      <c r="O820" s="630"/>
      <c r="P820" s="630"/>
      <c r="Q820" s="630"/>
      <c r="R820" s="630"/>
      <c r="S820" s="630" t="s">
        <v>629</v>
      </c>
      <c r="T820" s="630"/>
      <c r="U820" s="630" t="s">
        <v>538</v>
      </c>
      <c r="V820" s="630">
        <v>1</v>
      </c>
      <c r="W820" s="630" t="s">
        <v>582</v>
      </c>
      <c r="X820" s="630" t="s">
        <v>554</v>
      </c>
      <c r="Y820" s="630" t="s">
        <v>540</v>
      </c>
      <c r="Z820" s="630">
        <v>0.79005199999999998</v>
      </c>
      <c r="AA820" s="630">
        <v>1.271468</v>
      </c>
      <c r="AB820" s="631">
        <v>27578</v>
      </c>
      <c r="AC820" s="631">
        <v>2612533</v>
      </c>
      <c r="AD820" s="631">
        <f t="shared" si="12"/>
        <v>2064036.921716</v>
      </c>
    </row>
    <row r="821" spans="2:30" x14ac:dyDescent="0.15">
      <c r="B821" s="630">
        <v>17097002140</v>
      </c>
      <c r="C821" s="630">
        <v>17097000077</v>
      </c>
      <c r="D821" s="630">
        <v>17097004536</v>
      </c>
      <c r="E821" s="630" t="s">
        <v>533</v>
      </c>
      <c r="F821" s="630" t="s">
        <v>534</v>
      </c>
      <c r="G821" s="630" t="s">
        <v>373</v>
      </c>
      <c r="H821" s="630" t="s">
        <v>552</v>
      </c>
      <c r="I821" s="630"/>
      <c r="J821" s="630" t="s">
        <v>547</v>
      </c>
      <c r="K821" s="630" t="s">
        <v>563</v>
      </c>
      <c r="L821" s="630"/>
      <c r="M821" s="630"/>
      <c r="N821" s="630"/>
      <c r="O821" s="630"/>
      <c r="P821" s="630"/>
      <c r="Q821" s="630"/>
      <c r="R821" s="630"/>
      <c r="S821" s="630" t="s">
        <v>629</v>
      </c>
      <c r="T821" s="630"/>
      <c r="U821" s="630" t="s">
        <v>538</v>
      </c>
      <c r="V821" s="630">
        <v>1</v>
      </c>
      <c r="W821" s="630" t="s">
        <v>582</v>
      </c>
      <c r="X821" s="630" t="s">
        <v>554</v>
      </c>
      <c r="Y821" s="630" t="s">
        <v>540</v>
      </c>
      <c r="Z821" s="630">
        <v>0.97117699999999996</v>
      </c>
      <c r="AA821" s="630">
        <v>1.562961</v>
      </c>
      <c r="AB821" s="631">
        <v>27578</v>
      </c>
      <c r="AC821" s="631">
        <v>2612533</v>
      </c>
      <c r="AD821" s="631">
        <f t="shared" si="12"/>
        <v>2537231.9613409997</v>
      </c>
    </row>
    <row r="822" spans="2:30" x14ac:dyDescent="0.15">
      <c r="B822" s="630">
        <v>17089003510</v>
      </c>
      <c r="C822" s="630">
        <v>17089000598</v>
      </c>
      <c r="D822" s="630">
        <v>17999020738</v>
      </c>
      <c r="E822" s="630" t="s">
        <v>533</v>
      </c>
      <c r="F822" s="630" t="s">
        <v>534</v>
      </c>
      <c r="G822" s="630" t="s">
        <v>369</v>
      </c>
      <c r="H822" s="630" t="s">
        <v>382</v>
      </c>
      <c r="I822" s="630"/>
      <c r="J822" s="630" t="s">
        <v>547</v>
      </c>
      <c r="K822" s="630"/>
      <c r="L822" s="630"/>
      <c r="M822" s="630"/>
      <c r="N822" s="630"/>
      <c r="O822" s="630"/>
      <c r="P822" s="630"/>
      <c r="Q822" s="630"/>
      <c r="R822" s="630"/>
      <c r="S822" s="630" t="s">
        <v>583</v>
      </c>
      <c r="T822" s="630"/>
      <c r="U822" s="630" t="s">
        <v>538</v>
      </c>
      <c r="V822" s="630">
        <v>3</v>
      </c>
      <c r="W822" s="630" t="s">
        <v>588</v>
      </c>
      <c r="X822" s="630" t="s">
        <v>575</v>
      </c>
      <c r="Y822" s="630" t="s">
        <v>549</v>
      </c>
      <c r="Z822" s="630">
        <v>1.266664</v>
      </c>
      <c r="AA822" s="630">
        <v>2.0385019999999998</v>
      </c>
      <c r="AB822" s="631">
        <v>1829865</v>
      </c>
      <c r="AC822" s="631">
        <v>58550931</v>
      </c>
      <c r="AD822" s="631">
        <f t="shared" si="12"/>
        <v>74164356.464184001</v>
      </c>
    </row>
    <row r="823" spans="2:30" x14ac:dyDescent="0.15">
      <c r="B823" s="630">
        <v>17031003536</v>
      </c>
      <c r="C823" s="630">
        <v>17031001489</v>
      </c>
      <c r="D823" s="630">
        <v>17031001476</v>
      </c>
      <c r="E823" s="630" t="s">
        <v>533</v>
      </c>
      <c r="F823" s="630" t="s">
        <v>534</v>
      </c>
      <c r="G823" s="630" t="s">
        <v>365</v>
      </c>
      <c r="H823" s="630" t="s">
        <v>382</v>
      </c>
      <c r="I823" s="630"/>
      <c r="J823" s="630" t="s">
        <v>551</v>
      </c>
      <c r="K823" s="630" t="s">
        <v>555</v>
      </c>
      <c r="L823" s="630" t="s">
        <v>552</v>
      </c>
      <c r="M823" s="630"/>
      <c r="N823" s="630"/>
      <c r="O823" s="630"/>
      <c r="P823" s="630"/>
      <c r="Q823" s="630"/>
      <c r="R823" s="630"/>
      <c r="S823" s="630" t="s">
        <v>556</v>
      </c>
      <c r="T823" s="630"/>
      <c r="U823" s="630" t="s">
        <v>538</v>
      </c>
      <c r="V823" s="630">
        <v>2</v>
      </c>
      <c r="W823" s="630" t="s">
        <v>545</v>
      </c>
      <c r="X823" s="630" t="s">
        <v>580</v>
      </c>
      <c r="Y823" s="630" t="s">
        <v>540</v>
      </c>
      <c r="Z823" s="630">
        <v>0.19497300000000001</v>
      </c>
      <c r="AA823" s="630">
        <v>0.31378</v>
      </c>
      <c r="AB823" s="631">
        <v>863416</v>
      </c>
      <c r="AC823" s="631">
        <v>33596941</v>
      </c>
      <c r="AD823" s="631">
        <f t="shared" si="12"/>
        <v>6550496.3775930004</v>
      </c>
    </row>
    <row r="824" spans="2:30" x14ac:dyDescent="0.15">
      <c r="B824" s="630">
        <v>17031004069</v>
      </c>
      <c r="C824" s="630">
        <v>17031000438</v>
      </c>
      <c r="D824" s="630">
        <v>17031000435</v>
      </c>
      <c r="E824" s="630" t="s">
        <v>533</v>
      </c>
      <c r="F824" s="630" t="s">
        <v>534</v>
      </c>
      <c r="G824" s="630" t="s">
        <v>365</v>
      </c>
      <c r="H824" s="630" t="s">
        <v>535</v>
      </c>
      <c r="I824" s="630"/>
      <c r="J824" s="630"/>
      <c r="K824" s="630"/>
      <c r="L824" s="630"/>
      <c r="M824" s="630"/>
      <c r="N824" s="630"/>
      <c r="O824" s="630"/>
      <c r="P824" s="630"/>
      <c r="Q824" s="630"/>
      <c r="R824" s="630"/>
      <c r="S824" s="630" t="s">
        <v>548</v>
      </c>
      <c r="T824" s="630"/>
      <c r="U824" s="630" t="s">
        <v>538</v>
      </c>
      <c r="V824" s="630">
        <v>1</v>
      </c>
      <c r="W824" s="630" t="s">
        <v>545</v>
      </c>
      <c r="X824" s="630" t="s">
        <v>546</v>
      </c>
      <c r="Y824" s="630" t="s">
        <v>554</v>
      </c>
      <c r="Z824" s="630">
        <v>0.220662</v>
      </c>
      <c r="AA824" s="630">
        <v>0.35512199999999999</v>
      </c>
      <c r="AB824" s="631">
        <v>805460</v>
      </c>
      <c r="AC824" s="631">
        <v>39336999</v>
      </c>
      <c r="AD824" s="631">
        <f t="shared" si="12"/>
        <v>8680180.873337999</v>
      </c>
    </row>
    <row r="825" spans="2:30" x14ac:dyDescent="0.15">
      <c r="B825" s="630">
        <v>17031004195</v>
      </c>
      <c r="C825" s="630">
        <v>17031000478</v>
      </c>
      <c r="D825" s="630">
        <v>17031004611</v>
      </c>
      <c r="E825" s="630" t="s">
        <v>533</v>
      </c>
      <c r="F825" s="630" t="s">
        <v>534</v>
      </c>
      <c r="G825" s="630" t="s">
        <v>365</v>
      </c>
      <c r="H825" s="630" t="s">
        <v>382</v>
      </c>
      <c r="I825" s="630"/>
      <c r="J825" s="630" t="s">
        <v>547</v>
      </c>
      <c r="K825" s="630"/>
      <c r="L825" s="630"/>
      <c r="M825" s="630"/>
      <c r="N825" s="630"/>
      <c r="O825" s="630"/>
      <c r="P825" s="630"/>
      <c r="Q825" s="630"/>
      <c r="R825" s="630"/>
      <c r="S825" s="630" t="s">
        <v>608</v>
      </c>
      <c r="T825" s="630"/>
      <c r="U825" s="630" t="s">
        <v>538</v>
      </c>
      <c r="V825" s="630">
        <v>3</v>
      </c>
      <c r="W825" s="630" t="s">
        <v>566</v>
      </c>
      <c r="X825" s="630" t="s">
        <v>541</v>
      </c>
      <c r="Y825" s="630" t="s">
        <v>540</v>
      </c>
      <c r="Z825" s="630">
        <v>0.14677100000000001</v>
      </c>
      <c r="AA825" s="630">
        <v>0.236205</v>
      </c>
      <c r="AB825" s="631">
        <v>0</v>
      </c>
      <c r="AC825" s="631">
        <v>0</v>
      </c>
      <c r="AD825" s="631">
        <f t="shared" si="12"/>
        <v>0</v>
      </c>
    </row>
    <row r="826" spans="2:30" x14ac:dyDescent="0.15">
      <c r="B826" s="630">
        <v>17031004535</v>
      </c>
      <c r="C826" s="630">
        <v>17031001020</v>
      </c>
      <c r="D826" s="630">
        <v>17031001009</v>
      </c>
      <c r="E826" s="630" t="s">
        <v>533</v>
      </c>
      <c r="F826" s="630" t="s">
        <v>534</v>
      </c>
      <c r="G826" s="630" t="s">
        <v>365</v>
      </c>
      <c r="H826" s="630" t="s">
        <v>551</v>
      </c>
      <c r="I826" s="630"/>
      <c r="J826" s="630" t="s">
        <v>381</v>
      </c>
      <c r="K826" s="630" t="s">
        <v>535</v>
      </c>
      <c r="L826" s="630" t="s">
        <v>552</v>
      </c>
      <c r="M826" s="630" t="s">
        <v>382</v>
      </c>
      <c r="N826" s="630"/>
      <c r="O826" s="630"/>
      <c r="P826" s="630"/>
      <c r="Q826" s="630"/>
      <c r="R826" s="630"/>
      <c r="S826" s="630" t="s">
        <v>600</v>
      </c>
      <c r="T826" s="630"/>
      <c r="U826" s="630" t="s">
        <v>538</v>
      </c>
      <c r="V826" s="630">
        <v>1</v>
      </c>
      <c r="W826" s="630" t="s">
        <v>560</v>
      </c>
      <c r="X826" s="630" t="s">
        <v>541</v>
      </c>
      <c r="Y826" s="630" t="s">
        <v>541</v>
      </c>
      <c r="Z826" s="630">
        <v>0.23375099999999999</v>
      </c>
      <c r="AA826" s="630">
        <v>0.37618600000000002</v>
      </c>
      <c r="AB826" s="631">
        <v>22272</v>
      </c>
      <c r="AC826" s="631">
        <v>662960</v>
      </c>
      <c r="AD826" s="631">
        <f t="shared" si="12"/>
        <v>154967.56295999998</v>
      </c>
    </row>
    <row r="827" spans="2:30" x14ac:dyDescent="0.15">
      <c r="B827" s="630">
        <v>17031006480</v>
      </c>
      <c r="C827" s="630">
        <v>99999023003</v>
      </c>
      <c r="D827" s="630">
        <v>17031004744</v>
      </c>
      <c r="E827" s="630" t="s">
        <v>533</v>
      </c>
      <c r="F827" s="630" t="s">
        <v>534</v>
      </c>
      <c r="G827" s="630" t="s">
        <v>365</v>
      </c>
      <c r="H827" s="630" t="s">
        <v>557</v>
      </c>
      <c r="I827" s="630"/>
      <c r="J827" s="630" t="s">
        <v>552</v>
      </c>
      <c r="K827" s="630"/>
      <c r="L827" s="630"/>
      <c r="M827" s="630"/>
      <c r="N827" s="630"/>
      <c r="O827" s="630"/>
      <c r="P827" s="630"/>
      <c r="Q827" s="630"/>
      <c r="R827" s="630"/>
      <c r="S827" s="630" t="s">
        <v>634</v>
      </c>
      <c r="T827" s="630"/>
      <c r="U827" s="630" t="s">
        <v>559</v>
      </c>
      <c r="V827" s="630">
        <v>1</v>
      </c>
      <c r="W827" s="630" t="s">
        <v>560</v>
      </c>
      <c r="X827" s="630" t="s">
        <v>541</v>
      </c>
      <c r="Y827" s="630" t="s">
        <v>541</v>
      </c>
      <c r="Z827" s="630">
        <v>3.5951999999999998E-2</v>
      </c>
      <c r="AA827" s="630">
        <v>5.7859000000000001E-2</v>
      </c>
      <c r="AB827" s="631">
        <v>84</v>
      </c>
      <c r="AC827" s="631">
        <v>7692</v>
      </c>
      <c r="AD827" s="631">
        <f t="shared" si="12"/>
        <v>276.54278399999998</v>
      </c>
    </row>
    <row r="828" spans="2:30" x14ac:dyDescent="0.15">
      <c r="B828" s="630">
        <v>17043009082</v>
      </c>
      <c r="C828" s="630">
        <v>17043007291</v>
      </c>
      <c r="D828" s="630">
        <v>17043007293</v>
      </c>
      <c r="E828" s="630" t="s">
        <v>533</v>
      </c>
      <c r="F828" s="630" t="s">
        <v>534</v>
      </c>
      <c r="G828" s="630" t="s">
        <v>367</v>
      </c>
      <c r="H828" s="630" t="s">
        <v>382</v>
      </c>
      <c r="I828" s="630"/>
      <c r="J828" s="630"/>
      <c r="K828" s="630"/>
      <c r="L828" s="630"/>
      <c r="M828" s="630"/>
      <c r="N828" s="630"/>
      <c r="O828" s="630"/>
      <c r="P828" s="630"/>
      <c r="Q828" s="630"/>
      <c r="R828" s="630"/>
      <c r="S828" s="630"/>
      <c r="T828" s="630"/>
      <c r="U828" s="630" t="s">
        <v>559</v>
      </c>
      <c r="V828" s="630">
        <v>1</v>
      </c>
      <c r="W828" s="630" t="s">
        <v>560</v>
      </c>
      <c r="X828" s="630" t="s">
        <v>541</v>
      </c>
      <c r="Y828" s="630" t="s">
        <v>541</v>
      </c>
      <c r="Z828" s="630">
        <v>0.34531000000000001</v>
      </c>
      <c r="AA828" s="630">
        <v>0.555724</v>
      </c>
      <c r="AB828" s="631">
        <v>0</v>
      </c>
      <c r="AC828" s="631">
        <v>0</v>
      </c>
      <c r="AD828" s="631">
        <f t="shared" si="12"/>
        <v>0</v>
      </c>
    </row>
    <row r="829" spans="2:30" x14ac:dyDescent="0.15">
      <c r="B829" s="630">
        <v>17031009513</v>
      </c>
      <c r="C829" s="630">
        <v>17031004708</v>
      </c>
      <c r="D829" s="630">
        <v>17031007611</v>
      </c>
      <c r="E829" s="630" t="s">
        <v>533</v>
      </c>
      <c r="F829" s="630" t="s">
        <v>534</v>
      </c>
      <c r="G829" s="630" t="s">
        <v>365</v>
      </c>
      <c r="H829" s="630" t="s">
        <v>535</v>
      </c>
      <c r="I829" s="630"/>
      <c r="J829" s="630" t="s">
        <v>382</v>
      </c>
      <c r="K829" s="630" t="s">
        <v>536</v>
      </c>
      <c r="L829" s="630"/>
      <c r="M829" s="630"/>
      <c r="N829" s="630"/>
      <c r="O829" s="630"/>
      <c r="P829" s="630"/>
      <c r="Q829" s="630"/>
      <c r="R829" s="630"/>
      <c r="S829" s="630" t="s">
        <v>537</v>
      </c>
      <c r="T829" s="630"/>
      <c r="U829" s="630" t="s">
        <v>538</v>
      </c>
      <c r="V829" s="630">
        <v>1</v>
      </c>
      <c r="W829" s="630" t="s">
        <v>545</v>
      </c>
      <c r="X829" s="630" t="s">
        <v>540</v>
      </c>
      <c r="Y829" s="630" t="s">
        <v>549</v>
      </c>
      <c r="Z829" s="630">
        <v>1.289723</v>
      </c>
      <c r="AA829" s="630">
        <v>2.075612</v>
      </c>
      <c r="AB829" s="631">
        <v>30651</v>
      </c>
      <c r="AC829" s="631">
        <v>2787674</v>
      </c>
      <c r="AD829" s="631">
        <f t="shared" si="12"/>
        <v>3595327.2743019997</v>
      </c>
    </row>
    <row r="830" spans="2:30" x14ac:dyDescent="0.15">
      <c r="B830" s="630">
        <v>17031001509</v>
      </c>
      <c r="C830" s="630">
        <v>17031000536</v>
      </c>
      <c r="D830" s="630">
        <v>17031000534</v>
      </c>
      <c r="E830" s="630" t="s">
        <v>533</v>
      </c>
      <c r="F830" s="630" t="s">
        <v>534</v>
      </c>
      <c r="G830" s="630" t="s">
        <v>365</v>
      </c>
      <c r="H830" s="630" t="s">
        <v>382</v>
      </c>
      <c r="I830" s="630"/>
      <c r="J830" s="630" t="s">
        <v>535</v>
      </c>
      <c r="K830" s="630" t="s">
        <v>552</v>
      </c>
      <c r="L830" s="630" t="s">
        <v>557</v>
      </c>
      <c r="M830" s="630" t="s">
        <v>543</v>
      </c>
      <c r="N830" s="630"/>
      <c r="O830" s="630"/>
      <c r="P830" s="630"/>
      <c r="Q830" s="630"/>
      <c r="R830" s="630"/>
      <c r="S830" s="630" t="s">
        <v>650</v>
      </c>
      <c r="T830" s="630"/>
      <c r="U830" s="630" t="s">
        <v>559</v>
      </c>
      <c r="V830" s="630">
        <v>1</v>
      </c>
      <c r="W830" s="630" t="s">
        <v>539</v>
      </c>
      <c r="X830" s="630" t="s">
        <v>541</v>
      </c>
      <c r="Y830" s="630" t="s">
        <v>541</v>
      </c>
      <c r="Z830" s="630">
        <v>0.13777800000000001</v>
      </c>
      <c r="AA830" s="630">
        <v>0.22173200000000001</v>
      </c>
      <c r="AB830" s="631">
        <v>7104</v>
      </c>
      <c r="AC830" s="631">
        <v>508792</v>
      </c>
      <c r="AD830" s="631">
        <f t="shared" si="12"/>
        <v>70100.344175999999</v>
      </c>
    </row>
    <row r="831" spans="2:30" x14ac:dyDescent="0.15">
      <c r="B831" s="630">
        <v>17031002999</v>
      </c>
      <c r="C831" s="630">
        <v>17031001299</v>
      </c>
      <c r="D831" s="630">
        <v>17031001117</v>
      </c>
      <c r="E831" s="630" t="s">
        <v>533</v>
      </c>
      <c r="F831" s="630" t="s">
        <v>534</v>
      </c>
      <c r="G831" s="630" t="s">
        <v>365</v>
      </c>
      <c r="H831" s="630" t="s">
        <v>551</v>
      </c>
      <c r="I831" s="630" t="s">
        <v>535</v>
      </c>
      <c r="J831" s="630"/>
      <c r="K831" s="630"/>
      <c r="L831" s="630"/>
      <c r="M831" s="630"/>
      <c r="N831" s="630"/>
      <c r="O831" s="630"/>
      <c r="P831" s="630"/>
      <c r="Q831" s="630"/>
      <c r="R831" s="630"/>
      <c r="S831" s="630" t="s">
        <v>553</v>
      </c>
      <c r="T831" s="630"/>
      <c r="U831" s="630" t="s">
        <v>538</v>
      </c>
      <c r="V831" s="630">
        <v>2</v>
      </c>
      <c r="W831" s="630" t="s">
        <v>582</v>
      </c>
      <c r="X831" s="630" t="s">
        <v>540</v>
      </c>
      <c r="Y831" s="630" t="s">
        <v>540</v>
      </c>
      <c r="Z831" s="630">
        <v>5.0569670000000002</v>
      </c>
      <c r="AA831" s="630">
        <v>8.1384159999999994</v>
      </c>
      <c r="AB831" s="631">
        <v>0</v>
      </c>
      <c r="AC831" s="631">
        <v>0</v>
      </c>
      <c r="AD831" s="631">
        <f t="shared" si="12"/>
        <v>0</v>
      </c>
    </row>
    <row r="832" spans="2:30" x14ac:dyDescent="0.15">
      <c r="B832" s="630">
        <v>17031003637</v>
      </c>
      <c r="C832" s="630">
        <v>17031001068</v>
      </c>
      <c r="D832" s="630">
        <v>17031001065</v>
      </c>
      <c r="E832" s="630" t="s">
        <v>533</v>
      </c>
      <c r="F832" s="630" t="s">
        <v>534</v>
      </c>
      <c r="G832" s="630" t="s">
        <v>365</v>
      </c>
      <c r="H832" s="630" t="s">
        <v>547</v>
      </c>
      <c r="I832" s="630"/>
      <c r="J832" s="630" t="s">
        <v>577</v>
      </c>
      <c r="K832" s="630"/>
      <c r="L832" s="630"/>
      <c r="M832" s="630"/>
      <c r="N832" s="630"/>
      <c r="O832" s="630"/>
      <c r="P832" s="630"/>
      <c r="Q832" s="630"/>
      <c r="R832" s="630"/>
      <c r="S832" s="630" t="s">
        <v>581</v>
      </c>
      <c r="T832" s="630"/>
      <c r="U832" s="630" t="s">
        <v>538</v>
      </c>
      <c r="V832" s="630">
        <v>2</v>
      </c>
      <c r="W832" s="630" t="s">
        <v>582</v>
      </c>
      <c r="X832" s="630" t="s">
        <v>541</v>
      </c>
      <c r="Y832" s="630" t="s">
        <v>540</v>
      </c>
      <c r="Z832" s="630">
        <v>0.120111</v>
      </c>
      <c r="AA832" s="630">
        <v>0.1933</v>
      </c>
      <c r="AB832" s="631">
        <v>0</v>
      </c>
      <c r="AC832" s="631">
        <v>0</v>
      </c>
      <c r="AD832" s="631">
        <f t="shared" si="12"/>
        <v>0</v>
      </c>
    </row>
    <row r="833" spans="2:30" x14ac:dyDescent="0.15">
      <c r="B833" s="630">
        <v>17031003925</v>
      </c>
      <c r="C833" s="630">
        <v>17031000625</v>
      </c>
      <c r="D833" s="630">
        <v>17031000647</v>
      </c>
      <c r="E833" s="630" t="s">
        <v>533</v>
      </c>
      <c r="F833" s="630" t="s">
        <v>534</v>
      </c>
      <c r="G833" s="630" t="s">
        <v>365</v>
      </c>
      <c r="H833" s="630" t="s">
        <v>551</v>
      </c>
      <c r="I833" s="630"/>
      <c r="J833" s="630"/>
      <c r="K833" s="630"/>
      <c r="L833" s="630"/>
      <c r="M833" s="630"/>
      <c r="N833" s="630"/>
      <c r="O833" s="630"/>
      <c r="P833" s="630"/>
      <c r="Q833" s="630"/>
      <c r="R833" s="630"/>
      <c r="S833" s="630" t="s">
        <v>600</v>
      </c>
      <c r="T833" s="630"/>
      <c r="U833" s="630" t="s">
        <v>538</v>
      </c>
      <c r="V833" s="630">
        <v>1</v>
      </c>
      <c r="W833" s="630" t="s">
        <v>539</v>
      </c>
      <c r="X833" s="630" t="s">
        <v>541</v>
      </c>
      <c r="Y833" s="630" t="s">
        <v>541</v>
      </c>
      <c r="Z833" s="630">
        <v>0.435504</v>
      </c>
      <c r="AA833" s="630">
        <v>0.700878</v>
      </c>
      <c r="AB833" s="631">
        <v>168273</v>
      </c>
      <c r="AC833" s="631">
        <v>5149362</v>
      </c>
      <c r="AD833" s="631">
        <f t="shared" si="12"/>
        <v>2242567.7484479998</v>
      </c>
    </row>
    <row r="834" spans="2:30" x14ac:dyDescent="0.15">
      <c r="B834" s="630">
        <v>17031004262</v>
      </c>
      <c r="C834" s="630">
        <v>17031000286</v>
      </c>
      <c r="D834" s="630">
        <v>17031004615</v>
      </c>
      <c r="E834" s="630" t="s">
        <v>533</v>
      </c>
      <c r="F834" s="630" t="s">
        <v>534</v>
      </c>
      <c r="G834" s="630" t="s">
        <v>365</v>
      </c>
      <c r="H834" s="630" t="s">
        <v>552</v>
      </c>
      <c r="I834" s="630"/>
      <c r="J834" s="630" t="s">
        <v>542</v>
      </c>
      <c r="K834" s="630" t="s">
        <v>547</v>
      </c>
      <c r="L834" s="630" t="s">
        <v>563</v>
      </c>
      <c r="M834" s="630" t="s">
        <v>382</v>
      </c>
      <c r="N834" s="630"/>
      <c r="O834" s="630"/>
      <c r="P834" s="630"/>
      <c r="Q834" s="630"/>
      <c r="R834" s="630"/>
      <c r="S834" s="630" t="s">
        <v>564</v>
      </c>
      <c r="T834" s="630"/>
      <c r="U834" s="630" t="s">
        <v>538</v>
      </c>
      <c r="V834" s="630">
        <v>2</v>
      </c>
      <c r="W834" s="630" t="s">
        <v>545</v>
      </c>
      <c r="X834" s="630" t="s">
        <v>541</v>
      </c>
      <c r="Y834" s="630" t="s">
        <v>549</v>
      </c>
      <c r="Z834" s="630">
        <v>1.6337299999999999</v>
      </c>
      <c r="AA834" s="630">
        <v>2.629238</v>
      </c>
      <c r="AB834" s="631">
        <v>27658</v>
      </c>
      <c r="AC834" s="631">
        <v>2621133</v>
      </c>
      <c r="AD834" s="631">
        <f t="shared" si="12"/>
        <v>4282223.6160899997</v>
      </c>
    </row>
    <row r="835" spans="2:30" x14ac:dyDescent="0.15">
      <c r="B835" s="630">
        <v>17197005985</v>
      </c>
      <c r="C835" s="630">
        <v>17197001487</v>
      </c>
      <c r="D835" s="630">
        <v>17197001493</v>
      </c>
      <c r="E835" s="630" t="s">
        <v>533</v>
      </c>
      <c r="F835" s="630" t="s">
        <v>534</v>
      </c>
      <c r="G835" s="630" t="s">
        <v>377</v>
      </c>
      <c r="H835" s="630" t="s">
        <v>535</v>
      </c>
      <c r="I835" s="630"/>
      <c r="J835" s="630" t="s">
        <v>542</v>
      </c>
      <c r="K835" s="630" t="s">
        <v>547</v>
      </c>
      <c r="L835" s="630" t="s">
        <v>382</v>
      </c>
      <c r="M835" s="630"/>
      <c r="N835" s="630"/>
      <c r="O835" s="630"/>
      <c r="P835" s="630"/>
      <c r="Q835" s="630"/>
      <c r="R835" s="630"/>
      <c r="S835" s="630" t="s">
        <v>601</v>
      </c>
      <c r="T835" s="630"/>
      <c r="U835" s="630" t="s">
        <v>538</v>
      </c>
      <c r="V835" s="630">
        <v>2</v>
      </c>
      <c r="W835" s="630" t="s">
        <v>539</v>
      </c>
      <c r="X835" s="630" t="s">
        <v>540</v>
      </c>
      <c r="Y835" s="630" t="s">
        <v>554</v>
      </c>
      <c r="Z835" s="630">
        <v>8.7849999999999998E-2</v>
      </c>
      <c r="AA835" s="630">
        <v>0.14138100000000001</v>
      </c>
      <c r="AB835" s="631">
        <v>530600</v>
      </c>
      <c r="AC835" s="631">
        <v>7881600</v>
      </c>
      <c r="AD835" s="631">
        <f t="shared" si="12"/>
        <v>692398.55999999994</v>
      </c>
    </row>
    <row r="836" spans="2:30" x14ac:dyDescent="0.15">
      <c r="B836" s="630">
        <v>17197006545</v>
      </c>
      <c r="C836" s="630">
        <v>17197004799</v>
      </c>
      <c r="D836" s="630">
        <v>17197004798</v>
      </c>
      <c r="E836" s="630" t="s">
        <v>533</v>
      </c>
      <c r="F836" s="630" t="s">
        <v>534</v>
      </c>
      <c r="G836" s="630" t="s">
        <v>377</v>
      </c>
      <c r="H836" s="630" t="s">
        <v>535</v>
      </c>
      <c r="I836" s="630"/>
      <c r="J836" s="630"/>
      <c r="K836" s="630"/>
      <c r="L836" s="630"/>
      <c r="M836" s="630"/>
      <c r="N836" s="630"/>
      <c r="O836" s="630"/>
      <c r="P836" s="630"/>
      <c r="Q836" s="630"/>
      <c r="R836" s="630"/>
      <c r="S836" s="630" t="s">
        <v>681</v>
      </c>
      <c r="T836" s="630"/>
      <c r="U836" s="630" t="s">
        <v>559</v>
      </c>
      <c r="V836" s="630">
        <v>1</v>
      </c>
      <c r="W836" s="630" t="s">
        <v>560</v>
      </c>
      <c r="X836" s="630" t="s">
        <v>541</v>
      </c>
      <c r="Y836" s="630" t="s">
        <v>541</v>
      </c>
      <c r="Z836" s="630">
        <v>0.28321800000000003</v>
      </c>
      <c r="AA836" s="630">
        <v>0.45579599999999998</v>
      </c>
      <c r="AB836" s="631">
        <v>0</v>
      </c>
      <c r="AC836" s="631">
        <v>0</v>
      </c>
      <c r="AD836" s="631">
        <f t="shared" si="12"/>
        <v>0</v>
      </c>
    </row>
    <row r="837" spans="2:30" x14ac:dyDescent="0.15">
      <c r="B837" s="630">
        <v>17031009453</v>
      </c>
      <c r="C837" s="630">
        <v>17031007557</v>
      </c>
      <c r="D837" s="630">
        <v>17031000354</v>
      </c>
      <c r="E837" s="630" t="s">
        <v>533</v>
      </c>
      <c r="F837" s="630" t="s">
        <v>534</v>
      </c>
      <c r="G837" s="630" t="s">
        <v>365</v>
      </c>
      <c r="H837" s="630" t="s">
        <v>590</v>
      </c>
      <c r="I837" s="630"/>
      <c r="J837" s="630"/>
      <c r="K837" s="630"/>
      <c r="L837" s="630"/>
      <c r="M837" s="630"/>
      <c r="N837" s="630"/>
      <c r="O837" s="630"/>
      <c r="P837" s="630"/>
      <c r="Q837" s="630"/>
      <c r="R837" s="630"/>
      <c r="S837" s="630"/>
      <c r="T837" s="630"/>
      <c r="U837" s="630" t="s">
        <v>559</v>
      </c>
      <c r="V837" s="630">
        <v>1</v>
      </c>
      <c r="W837" s="630" t="s">
        <v>560</v>
      </c>
      <c r="X837" s="630" t="s">
        <v>541</v>
      </c>
      <c r="Y837" s="630" t="s">
        <v>541</v>
      </c>
      <c r="Z837" s="630">
        <v>0.48377900000000001</v>
      </c>
      <c r="AA837" s="630">
        <v>0.77856899999999996</v>
      </c>
      <c r="AB837" s="631">
        <v>0</v>
      </c>
      <c r="AC837" s="631">
        <v>0</v>
      </c>
      <c r="AD837" s="631">
        <f t="shared" si="12"/>
        <v>0</v>
      </c>
    </row>
    <row r="838" spans="2:30" x14ac:dyDescent="0.15">
      <c r="B838" s="630">
        <v>17031009727</v>
      </c>
      <c r="C838" s="630">
        <v>17031007810</v>
      </c>
      <c r="D838" s="630">
        <v>17031001267</v>
      </c>
      <c r="E838" s="630" t="s">
        <v>533</v>
      </c>
      <c r="F838" s="630" t="s">
        <v>534</v>
      </c>
      <c r="G838" s="630" t="s">
        <v>365</v>
      </c>
      <c r="H838" s="630" t="s">
        <v>613</v>
      </c>
      <c r="I838" s="630"/>
      <c r="J838" s="630" t="s">
        <v>577</v>
      </c>
      <c r="K838" s="630" t="s">
        <v>572</v>
      </c>
      <c r="L838" s="630"/>
      <c r="M838" s="630"/>
      <c r="N838" s="630"/>
      <c r="O838" s="630"/>
      <c r="P838" s="630"/>
      <c r="Q838" s="630"/>
      <c r="R838" s="630"/>
      <c r="S838" s="630"/>
      <c r="T838" s="630"/>
      <c r="U838" s="630" t="s">
        <v>559</v>
      </c>
      <c r="V838" s="630">
        <v>1</v>
      </c>
      <c r="W838" s="630" t="s">
        <v>560</v>
      </c>
      <c r="X838" s="630" t="s">
        <v>541</v>
      </c>
      <c r="Y838" s="630" t="s">
        <v>541</v>
      </c>
      <c r="Z838" s="630">
        <v>2.4060000000000002E-2</v>
      </c>
      <c r="AA838" s="630">
        <v>3.8720999999999998E-2</v>
      </c>
      <c r="AB838" s="631">
        <v>0</v>
      </c>
      <c r="AC838" s="631">
        <v>0</v>
      </c>
      <c r="AD838" s="631">
        <f t="shared" ref="AD838:AD901" si="13">AC838*Z838</f>
        <v>0</v>
      </c>
    </row>
    <row r="839" spans="2:30" x14ac:dyDescent="0.15">
      <c r="B839" s="630">
        <v>17031009832</v>
      </c>
      <c r="C839" s="630">
        <v>17031007899</v>
      </c>
      <c r="D839" s="630">
        <v>17031007900</v>
      </c>
      <c r="E839" s="630" t="s">
        <v>533</v>
      </c>
      <c r="F839" s="630" t="s">
        <v>534</v>
      </c>
      <c r="G839" s="630" t="s">
        <v>365</v>
      </c>
      <c r="H839" s="630" t="s">
        <v>535</v>
      </c>
      <c r="I839" s="630"/>
      <c r="J839" s="630" t="s">
        <v>382</v>
      </c>
      <c r="K839" s="630"/>
      <c r="L839" s="630"/>
      <c r="M839" s="630"/>
      <c r="N839" s="630"/>
      <c r="O839" s="630"/>
      <c r="P839" s="630"/>
      <c r="Q839" s="630"/>
      <c r="R839" s="630"/>
      <c r="S839" s="630"/>
      <c r="T839" s="630"/>
      <c r="U839" s="630" t="s">
        <v>538</v>
      </c>
      <c r="V839" s="630">
        <v>1</v>
      </c>
      <c r="W839" s="630" t="s">
        <v>560</v>
      </c>
      <c r="X839" s="630" t="s">
        <v>554</v>
      </c>
      <c r="Y839" s="630" t="s">
        <v>554</v>
      </c>
      <c r="Z839" s="630">
        <v>0.145647</v>
      </c>
      <c r="AA839" s="630">
        <v>0.23439599999999999</v>
      </c>
      <c r="AB839" s="631">
        <v>9868</v>
      </c>
      <c r="AC839" s="631">
        <v>750669</v>
      </c>
      <c r="AD839" s="631">
        <f t="shared" si="13"/>
        <v>109332.68784299999</v>
      </c>
    </row>
    <row r="840" spans="2:30" x14ac:dyDescent="0.15">
      <c r="B840" s="630">
        <v>17097002099</v>
      </c>
      <c r="C840" s="630">
        <v>17097007517</v>
      </c>
      <c r="D840" s="630">
        <v>17097004561</v>
      </c>
      <c r="E840" s="630" t="s">
        <v>533</v>
      </c>
      <c r="F840" s="630" t="s">
        <v>534</v>
      </c>
      <c r="G840" s="630" t="s">
        <v>373</v>
      </c>
      <c r="H840" s="630" t="s">
        <v>535</v>
      </c>
      <c r="I840" s="630"/>
      <c r="J840" s="630" t="s">
        <v>547</v>
      </c>
      <c r="K840" s="630"/>
      <c r="L840" s="630"/>
      <c r="M840" s="630"/>
      <c r="N840" s="630"/>
      <c r="O840" s="630"/>
      <c r="P840" s="630"/>
      <c r="Q840" s="630"/>
      <c r="R840" s="630"/>
      <c r="S840" s="630" t="s">
        <v>548</v>
      </c>
      <c r="T840" s="630"/>
      <c r="U840" s="630" t="s">
        <v>538</v>
      </c>
      <c r="V840" s="630">
        <v>1</v>
      </c>
      <c r="W840" s="630" t="s">
        <v>545</v>
      </c>
      <c r="X840" s="630" t="s">
        <v>546</v>
      </c>
      <c r="Y840" s="630" t="s">
        <v>549</v>
      </c>
      <c r="Z840" s="630">
        <v>0.76541000000000003</v>
      </c>
      <c r="AA840" s="630">
        <v>1.231811</v>
      </c>
      <c r="AB840" s="631">
        <v>805376</v>
      </c>
      <c r="AC840" s="631">
        <v>39329111</v>
      </c>
      <c r="AD840" s="631">
        <f t="shared" si="13"/>
        <v>30102894.850510001</v>
      </c>
    </row>
    <row r="841" spans="2:30" x14ac:dyDescent="0.15">
      <c r="B841" s="630">
        <v>17043002231</v>
      </c>
      <c r="C841" s="630">
        <v>17043000388</v>
      </c>
      <c r="D841" s="630">
        <v>17043000385</v>
      </c>
      <c r="E841" s="630" t="s">
        <v>533</v>
      </c>
      <c r="F841" s="630" t="s">
        <v>534</v>
      </c>
      <c r="G841" s="630" t="s">
        <v>367</v>
      </c>
      <c r="H841" s="630" t="s">
        <v>552</v>
      </c>
      <c r="I841" s="630"/>
      <c r="J841" s="630" t="s">
        <v>547</v>
      </c>
      <c r="K841" s="630"/>
      <c r="L841" s="630"/>
      <c r="M841" s="630"/>
      <c r="N841" s="630"/>
      <c r="O841" s="630"/>
      <c r="P841" s="630"/>
      <c r="Q841" s="630"/>
      <c r="R841" s="630"/>
      <c r="S841" s="630" t="s">
        <v>589</v>
      </c>
      <c r="T841" s="630"/>
      <c r="U841" s="630" t="s">
        <v>538</v>
      </c>
      <c r="V841" s="630">
        <v>2</v>
      </c>
      <c r="W841" s="630" t="s">
        <v>545</v>
      </c>
      <c r="X841" s="630" t="s">
        <v>540</v>
      </c>
      <c r="Y841" s="630" t="s">
        <v>549</v>
      </c>
      <c r="Z841" s="630">
        <v>0.93958399999999997</v>
      </c>
      <c r="AA841" s="630">
        <v>1.512116</v>
      </c>
      <c r="AB841" s="631">
        <v>74103</v>
      </c>
      <c r="AC841" s="631">
        <v>7759864</v>
      </c>
      <c r="AD841" s="631">
        <f t="shared" si="13"/>
        <v>7291044.0565759996</v>
      </c>
    </row>
    <row r="842" spans="2:30" x14ac:dyDescent="0.15">
      <c r="B842" s="630">
        <v>17111003225</v>
      </c>
      <c r="C842" s="630">
        <v>17999019031</v>
      </c>
      <c r="D842" s="630">
        <v>17111004840</v>
      </c>
      <c r="E842" s="630" t="s">
        <v>533</v>
      </c>
      <c r="F842" s="630" t="s">
        <v>534</v>
      </c>
      <c r="G842" s="630" t="s">
        <v>375</v>
      </c>
      <c r="H842" s="630" t="s">
        <v>382</v>
      </c>
      <c r="I842" s="630"/>
      <c r="J842" s="630"/>
      <c r="K842" s="630"/>
      <c r="L842" s="630"/>
      <c r="M842" s="630"/>
      <c r="N842" s="630"/>
      <c r="O842" s="630"/>
      <c r="P842" s="630"/>
      <c r="Q842" s="630"/>
      <c r="R842" s="630"/>
      <c r="S842" s="630" t="s">
        <v>561</v>
      </c>
      <c r="T842" s="630"/>
      <c r="U842" s="630" t="s">
        <v>538</v>
      </c>
      <c r="V842" s="630">
        <v>1</v>
      </c>
      <c r="W842" s="630" t="s">
        <v>562</v>
      </c>
      <c r="X842" s="630" t="s">
        <v>541</v>
      </c>
      <c r="Y842" s="630" t="s">
        <v>540</v>
      </c>
      <c r="Z842" s="630">
        <v>0.10917</v>
      </c>
      <c r="AA842" s="630">
        <v>0.17569199999999999</v>
      </c>
      <c r="AB842" s="631">
        <v>16124</v>
      </c>
      <c r="AC842" s="631">
        <v>373440</v>
      </c>
      <c r="AD842" s="631">
        <f t="shared" si="13"/>
        <v>40768.444800000005</v>
      </c>
    </row>
    <row r="843" spans="2:30" x14ac:dyDescent="0.15">
      <c r="B843" s="630">
        <v>17089001823</v>
      </c>
      <c r="C843" s="630">
        <v>17089001056</v>
      </c>
      <c r="D843" s="630">
        <v>17089001050</v>
      </c>
      <c r="E843" s="630" t="s">
        <v>533</v>
      </c>
      <c r="F843" s="630" t="s">
        <v>534</v>
      </c>
      <c r="G843" s="630" t="s">
        <v>369</v>
      </c>
      <c r="H843" s="630" t="s">
        <v>381</v>
      </c>
      <c r="I843" s="630"/>
      <c r="J843" s="630"/>
      <c r="K843" s="630"/>
      <c r="L843" s="630"/>
      <c r="M843" s="630"/>
      <c r="N843" s="630"/>
      <c r="O843" s="630"/>
      <c r="P843" s="630"/>
      <c r="Q843" s="630"/>
      <c r="R843" s="630"/>
      <c r="S843" s="630" t="s">
        <v>595</v>
      </c>
      <c r="T843" s="630"/>
      <c r="U843" s="630" t="s">
        <v>538</v>
      </c>
      <c r="V843" s="630">
        <v>1</v>
      </c>
      <c r="W843" s="630" t="s">
        <v>545</v>
      </c>
      <c r="X843" s="630" t="s">
        <v>546</v>
      </c>
      <c r="Y843" s="630" t="s">
        <v>549</v>
      </c>
      <c r="Z843" s="630">
        <v>0.45287899999999998</v>
      </c>
      <c r="AA843" s="630">
        <v>0.72883900000000001</v>
      </c>
      <c r="AB843" s="631">
        <v>879655</v>
      </c>
      <c r="AC843" s="631">
        <v>28015781</v>
      </c>
      <c r="AD843" s="631">
        <f t="shared" si="13"/>
        <v>12687758.883499</v>
      </c>
    </row>
    <row r="844" spans="2:30" x14ac:dyDescent="0.15">
      <c r="B844" s="630">
        <v>17031003856</v>
      </c>
      <c r="C844" s="630">
        <v>17031001204</v>
      </c>
      <c r="D844" s="630">
        <v>17031001207</v>
      </c>
      <c r="E844" s="630" t="s">
        <v>533</v>
      </c>
      <c r="F844" s="630" t="s">
        <v>534</v>
      </c>
      <c r="G844" s="630" t="s">
        <v>365</v>
      </c>
      <c r="H844" s="630" t="s">
        <v>577</v>
      </c>
      <c r="I844" s="630"/>
      <c r="J844" s="630"/>
      <c r="K844" s="630"/>
      <c r="L844" s="630"/>
      <c r="M844" s="630"/>
      <c r="N844" s="630"/>
      <c r="O844" s="630"/>
      <c r="P844" s="630"/>
      <c r="Q844" s="630"/>
      <c r="R844" s="630"/>
      <c r="S844" s="630"/>
      <c r="T844" s="630"/>
      <c r="U844" s="630" t="s">
        <v>538</v>
      </c>
      <c r="V844" s="630">
        <v>1</v>
      </c>
      <c r="W844" s="630" t="s">
        <v>560</v>
      </c>
      <c r="X844" s="630" t="s">
        <v>541</v>
      </c>
      <c r="Y844" s="630" t="s">
        <v>541</v>
      </c>
      <c r="Z844" s="630">
        <v>0.23660900000000001</v>
      </c>
      <c r="AA844" s="630">
        <v>0.38078600000000001</v>
      </c>
      <c r="AB844" s="631">
        <v>0</v>
      </c>
      <c r="AC844" s="631">
        <v>0</v>
      </c>
      <c r="AD844" s="631">
        <f t="shared" si="13"/>
        <v>0</v>
      </c>
    </row>
    <row r="845" spans="2:30" x14ac:dyDescent="0.15">
      <c r="B845" s="630">
        <v>17031004075</v>
      </c>
      <c r="C845" s="630">
        <v>17031000571</v>
      </c>
      <c r="D845" s="630">
        <v>17031000560</v>
      </c>
      <c r="E845" s="630" t="s">
        <v>533</v>
      </c>
      <c r="F845" s="630" t="s">
        <v>534</v>
      </c>
      <c r="G845" s="630" t="s">
        <v>365</v>
      </c>
      <c r="H845" s="630" t="s">
        <v>382</v>
      </c>
      <c r="I845" s="630"/>
      <c r="J845" s="630" t="s">
        <v>547</v>
      </c>
      <c r="K845" s="630"/>
      <c r="L845" s="630"/>
      <c r="M845" s="630"/>
      <c r="N845" s="630"/>
      <c r="O845" s="630"/>
      <c r="P845" s="630"/>
      <c r="Q845" s="630"/>
      <c r="R845" s="630"/>
      <c r="S845" s="630"/>
      <c r="T845" s="630" t="s">
        <v>674</v>
      </c>
      <c r="U845" s="630" t="s">
        <v>559</v>
      </c>
      <c r="V845" s="630">
        <v>1</v>
      </c>
      <c r="W845" s="630" t="s">
        <v>539</v>
      </c>
      <c r="X845" s="630" t="s">
        <v>541</v>
      </c>
      <c r="Y845" s="630" t="s">
        <v>541</v>
      </c>
      <c r="Z845" s="630">
        <v>0.48395700000000003</v>
      </c>
      <c r="AA845" s="630">
        <v>0.77885400000000005</v>
      </c>
      <c r="AB845" s="631">
        <v>0</v>
      </c>
      <c r="AC845" s="631">
        <v>0</v>
      </c>
      <c r="AD845" s="631">
        <f t="shared" si="13"/>
        <v>0</v>
      </c>
    </row>
    <row r="846" spans="2:30" x14ac:dyDescent="0.15">
      <c r="B846" s="630">
        <v>17197005161</v>
      </c>
      <c r="C846" s="630">
        <v>17197001469</v>
      </c>
      <c r="D846" s="630">
        <v>17197001471</v>
      </c>
      <c r="E846" s="630" t="s">
        <v>533</v>
      </c>
      <c r="F846" s="630" t="s">
        <v>534</v>
      </c>
      <c r="G846" s="630" t="s">
        <v>377</v>
      </c>
      <c r="H846" s="630" t="s">
        <v>535</v>
      </c>
      <c r="I846" s="630"/>
      <c r="J846" s="630"/>
      <c r="K846" s="630"/>
      <c r="L846" s="630"/>
      <c r="M846" s="630"/>
      <c r="N846" s="630"/>
      <c r="O846" s="630"/>
      <c r="P846" s="630"/>
      <c r="Q846" s="630"/>
      <c r="R846" s="630"/>
      <c r="S846" s="630"/>
      <c r="T846" s="630"/>
      <c r="U846" s="630" t="s">
        <v>559</v>
      </c>
      <c r="V846" s="630">
        <v>1</v>
      </c>
      <c r="W846" s="630" t="s">
        <v>560</v>
      </c>
      <c r="X846" s="630" t="s">
        <v>541</v>
      </c>
      <c r="Y846" s="630" t="s">
        <v>541</v>
      </c>
      <c r="Z846" s="630">
        <v>0.55895499999999998</v>
      </c>
      <c r="AA846" s="630">
        <v>0.89955200000000002</v>
      </c>
      <c r="AB846" s="631">
        <v>41040</v>
      </c>
      <c r="AC846" s="631">
        <v>1081040</v>
      </c>
      <c r="AD846" s="631">
        <f t="shared" si="13"/>
        <v>604252.7132</v>
      </c>
    </row>
    <row r="847" spans="2:30" x14ac:dyDescent="0.15">
      <c r="B847" s="630">
        <v>17031006386</v>
      </c>
      <c r="C847" s="630">
        <v>17031004673</v>
      </c>
      <c r="D847" s="630">
        <v>17031004674</v>
      </c>
      <c r="E847" s="630" t="s">
        <v>533</v>
      </c>
      <c r="F847" s="630" t="s">
        <v>534</v>
      </c>
      <c r="G847" s="630" t="s">
        <v>365</v>
      </c>
      <c r="H847" s="630" t="s">
        <v>644</v>
      </c>
      <c r="I847" s="630"/>
      <c r="J847" s="630" t="s">
        <v>535</v>
      </c>
      <c r="K847" s="630"/>
      <c r="L847" s="630"/>
      <c r="M847" s="630"/>
      <c r="N847" s="630"/>
      <c r="O847" s="630"/>
      <c r="P847" s="630"/>
      <c r="Q847" s="630"/>
      <c r="R847" s="630"/>
      <c r="S847" s="630"/>
      <c r="T847" s="630"/>
      <c r="U847" s="630" t="s">
        <v>559</v>
      </c>
      <c r="V847" s="630">
        <v>1</v>
      </c>
      <c r="W847" s="630" t="s">
        <v>560</v>
      </c>
      <c r="X847" s="630" t="s">
        <v>541</v>
      </c>
      <c r="Y847" s="630" t="s">
        <v>541</v>
      </c>
      <c r="Z847" s="630">
        <v>0.162053</v>
      </c>
      <c r="AA847" s="630">
        <v>0.260799</v>
      </c>
      <c r="AB847" s="631">
        <v>0</v>
      </c>
      <c r="AC847" s="631">
        <v>0</v>
      </c>
      <c r="AD847" s="631">
        <f t="shared" si="13"/>
        <v>0</v>
      </c>
    </row>
    <row r="848" spans="2:30" x14ac:dyDescent="0.15">
      <c r="B848" s="630">
        <v>17089006566</v>
      </c>
      <c r="C848" s="630">
        <v>17089004854</v>
      </c>
      <c r="D848" s="630">
        <v>17089000288</v>
      </c>
      <c r="E848" s="630" t="s">
        <v>533</v>
      </c>
      <c r="F848" s="630" t="s">
        <v>534</v>
      </c>
      <c r="G848" s="630" t="s">
        <v>369</v>
      </c>
      <c r="H848" s="630" t="s">
        <v>552</v>
      </c>
      <c r="I848" s="630"/>
      <c r="J848" s="630" t="s">
        <v>547</v>
      </c>
      <c r="K848" s="630"/>
      <c r="L848" s="630"/>
      <c r="M848" s="630"/>
      <c r="N848" s="630"/>
      <c r="O848" s="630"/>
      <c r="P848" s="630"/>
      <c r="Q848" s="630"/>
      <c r="R848" s="630"/>
      <c r="S848" s="630" t="s">
        <v>589</v>
      </c>
      <c r="T848" s="630"/>
      <c r="U848" s="630" t="s">
        <v>538</v>
      </c>
      <c r="V848" s="630">
        <v>2</v>
      </c>
      <c r="W848" s="630" t="s">
        <v>545</v>
      </c>
      <c r="X848" s="630" t="s">
        <v>540</v>
      </c>
      <c r="Y848" s="630" t="s">
        <v>540</v>
      </c>
      <c r="Z848" s="630">
        <v>0.107504</v>
      </c>
      <c r="AA848" s="630">
        <v>0.173011</v>
      </c>
      <c r="AB848" s="631">
        <v>73903</v>
      </c>
      <c r="AC848" s="631">
        <v>7739424</v>
      </c>
      <c r="AD848" s="631">
        <f t="shared" si="13"/>
        <v>832019.03769600007</v>
      </c>
    </row>
    <row r="849" spans="2:30" x14ac:dyDescent="0.15">
      <c r="B849" s="630">
        <v>17031006381</v>
      </c>
      <c r="C849" s="630">
        <v>17031000630</v>
      </c>
      <c r="D849" s="630">
        <v>17031000631</v>
      </c>
      <c r="E849" s="630" t="s">
        <v>533</v>
      </c>
      <c r="F849" s="630" t="s">
        <v>534</v>
      </c>
      <c r="G849" s="630" t="s">
        <v>365</v>
      </c>
      <c r="H849" s="630" t="s">
        <v>551</v>
      </c>
      <c r="I849" s="630"/>
      <c r="J849" s="630" t="s">
        <v>535</v>
      </c>
      <c r="K849" s="630"/>
      <c r="L849" s="630"/>
      <c r="M849" s="630"/>
      <c r="N849" s="630"/>
      <c r="O849" s="630"/>
      <c r="P849" s="630"/>
      <c r="Q849" s="630"/>
      <c r="R849" s="630"/>
      <c r="S849" s="630" t="s">
        <v>649</v>
      </c>
      <c r="T849" s="630"/>
      <c r="U849" s="630" t="s">
        <v>538</v>
      </c>
      <c r="V849" s="630">
        <v>1</v>
      </c>
      <c r="W849" s="630" t="s">
        <v>539</v>
      </c>
      <c r="X849" s="630" t="s">
        <v>541</v>
      </c>
      <c r="Y849" s="630" t="s">
        <v>541</v>
      </c>
      <c r="Z849" s="630">
        <v>0.16470599999999999</v>
      </c>
      <c r="AA849" s="630">
        <v>0.26506999999999997</v>
      </c>
      <c r="AB849" s="631">
        <v>680</v>
      </c>
      <c r="AC849" s="631">
        <v>51960</v>
      </c>
      <c r="AD849" s="631">
        <f t="shared" si="13"/>
        <v>8558.1237600000004</v>
      </c>
    </row>
    <row r="850" spans="2:30" x14ac:dyDescent="0.15">
      <c r="B850" s="630">
        <v>17197009299</v>
      </c>
      <c r="C850" s="630">
        <v>17197007421</v>
      </c>
      <c r="D850" s="630">
        <v>17197007422</v>
      </c>
      <c r="E850" s="630" t="s">
        <v>533</v>
      </c>
      <c r="F850" s="630" t="s">
        <v>534</v>
      </c>
      <c r="G850" s="630" t="s">
        <v>377</v>
      </c>
      <c r="H850" s="630" t="s">
        <v>551</v>
      </c>
      <c r="I850" s="630"/>
      <c r="J850" s="630" t="s">
        <v>535</v>
      </c>
      <c r="K850" s="630"/>
      <c r="L850" s="630"/>
      <c r="M850" s="630"/>
      <c r="N850" s="630"/>
      <c r="O850" s="630"/>
      <c r="P850" s="630"/>
      <c r="Q850" s="630"/>
      <c r="R850" s="630"/>
      <c r="S850" s="630" t="s">
        <v>594</v>
      </c>
      <c r="T850" s="630"/>
      <c r="U850" s="630" t="s">
        <v>559</v>
      </c>
      <c r="V850" s="630">
        <v>1</v>
      </c>
      <c r="W850" s="630" t="s">
        <v>560</v>
      </c>
      <c r="X850" s="630" t="s">
        <v>541</v>
      </c>
      <c r="Y850" s="630" t="s">
        <v>541</v>
      </c>
      <c r="Z850" s="630">
        <v>0.46231899999999998</v>
      </c>
      <c r="AA850" s="630">
        <v>0.744031</v>
      </c>
      <c r="AB850" s="631">
        <v>0</v>
      </c>
      <c r="AC850" s="631">
        <v>0</v>
      </c>
      <c r="AD850" s="631">
        <f t="shared" si="13"/>
        <v>0</v>
      </c>
    </row>
    <row r="851" spans="2:30" x14ac:dyDescent="0.15">
      <c r="B851" s="630">
        <v>17197002066</v>
      </c>
      <c r="C851" s="630">
        <v>17197001606</v>
      </c>
      <c r="D851" s="630">
        <v>17999024401</v>
      </c>
      <c r="E851" s="630" t="s">
        <v>533</v>
      </c>
      <c r="F851" s="630" t="s">
        <v>534</v>
      </c>
      <c r="G851" s="630" t="s">
        <v>377</v>
      </c>
      <c r="H851" s="630" t="s">
        <v>382</v>
      </c>
      <c r="I851" s="630"/>
      <c r="J851" s="630" t="s">
        <v>551</v>
      </c>
      <c r="K851" s="630" t="s">
        <v>555</v>
      </c>
      <c r="L851" s="630"/>
      <c r="M851" s="630"/>
      <c r="N851" s="630"/>
      <c r="O851" s="630"/>
      <c r="P851" s="630"/>
      <c r="Q851" s="630"/>
      <c r="R851" s="630"/>
      <c r="S851" s="630" t="s">
        <v>556</v>
      </c>
      <c r="T851" s="630"/>
      <c r="U851" s="630" t="s">
        <v>538</v>
      </c>
      <c r="V851" s="630">
        <v>2</v>
      </c>
      <c r="W851" s="630" t="s">
        <v>545</v>
      </c>
      <c r="X851" s="630" t="s">
        <v>580</v>
      </c>
      <c r="Y851" s="630" t="s">
        <v>540</v>
      </c>
      <c r="Z851" s="630">
        <v>1.627521</v>
      </c>
      <c r="AA851" s="630">
        <v>2.619246</v>
      </c>
      <c r="AB851" s="631">
        <v>865530</v>
      </c>
      <c r="AC851" s="631">
        <v>33874541</v>
      </c>
      <c r="AD851" s="631">
        <f t="shared" si="13"/>
        <v>55131526.842860997</v>
      </c>
    </row>
    <row r="852" spans="2:30" x14ac:dyDescent="0.15">
      <c r="B852" s="630">
        <v>17031003227</v>
      </c>
      <c r="C852" s="630">
        <v>17031004583</v>
      </c>
      <c r="D852" s="630">
        <v>17031004582</v>
      </c>
      <c r="E852" s="630" t="s">
        <v>533</v>
      </c>
      <c r="F852" s="630" t="s">
        <v>534</v>
      </c>
      <c r="G852" s="630" t="s">
        <v>365</v>
      </c>
      <c r="H852" s="630" t="s">
        <v>382</v>
      </c>
      <c r="I852" s="630"/>
      <c r="J852" s="630" t="s">
        <v>547</v>
      </c>
      <c r="K852" s="630"/>
      <c r="L852" s="630"/>
      <c r="M852" s="630"/>
      <c r="N852" s="630"/>
      <c r="O852" s="630"/>
      <c r="P852" s="630"/>
      <c r="Q852" s="630"/>
      <c r="R852" s="630"/>
      <c r="S852" s="630" t="s">
        <v>565</v>
      </c>
      <c r="T852" s="630"/>
      <c r="U852" s="630" t="s">
        <v>538</v>
      </c>
      <c r="V852" s="630">
        <v>2</v>
      </c>
      <c r="W852" s="630" t="s">
        <v>566</v>
      </c>
      <c r="X852" s="630" t="s">
        <v>541</v>
      </c>
      <c r="Y852" s="630" t="s">
        <v>549</v>
      </c>
      <c r="Z852" s="630">
        <v>1.6621999999999999</v>
      </c>
      <c r="AA852" s="630">
        <v>2.6750569999999998</v>
      </c>
      <c r="AB852" s="631">
        <v>0</v>
      </c>
      <c r="AC852" s="631">
        <v>0</v>
      </c>
      <c r="AD852" s="631">
        <f t="shared" si="13"/>
        <v>0</v>
      </c>
    </row>
    <row r="853" spans="2:30" x14ac:dyDescent="0.15">
      <c r="B853" s="630">
        <v>17031004050</v>
      </c>
      <c r="C853" s="630">
        <v>17031000714</v>
      </c>
      <c r="D853" s="630">
        <v>17031000698</v>
      </c>
      <c r="E853" s="630" t="s">
        <v>533</v>
      </c>
      <c r="F853" s="630" t="s">
        <v>534</v>
      </c>
      <c r="G853" s="630" t="s">
        <v>365</v>
      </c>
      <c r="H853" s="630" t="s">
        <v>535</v>
      </c>
      <c r="I853" s="630"/>
      <c r="J853" s="630" t="s">
        <v>542</v>
      </c>
      <c r="K853" s="630" t="s">
        <v>572</v>
      </c>
      <c r="L853" s="630" t="s">
        <v>547</v>
      </c>
      <c r="M853" s="630" t="s">
        <v>382</v>
      </c>
      <c r="N853" s="630"/>
      <c r="O853" s="630"/>
      <c r="P853" s="630"/>
      <c r="Q853" s="630"/>
      <c r="R853" s="630"/>
      <c r="S853" s="630" t="s">
        <v>624</v>
      </c>
      <c r="T853" s="630"/>
      <c r="U853" s="630" t="s">
        <v>538</v>
      </c>
      <c r="V853" s="630">
        <v>2</v>
      </c>
      <c r="W853" s="630" t="s">
        <v>545</v>
      </c>
      <c r="X853" s="630" t="s">
        <v>549</v>
      </c>
      <c r="Y853" s="630" t="s">
        <v>554</v>
      </c>
      <c r="Z853" s="630">
        <v>0.45135799999999998</v>
      </c>
      <c r="AA853" s="630">
        <v>0.72639200000000004</v>
      </c>
      <c r="AB853" s="631">
        <v>103316</v>
      </c>
      <c r="AC853" s="631">
        <v>4167946</v>
      </c>
      <c r="AD853" s="631">
        <f t="shared" si="13"/>
        <v>1881235.770668</v>
      </c>
    </row>
    <row r="854" spans="2:30" x14ac:dyDescent="0.15">
      <c r="B854" s="630">
        <v>17031004088</v>
      </c>
      <c r="C854" s="630">
        <v>17031004663</v>
      </c>
      <c r="D854" s="630">
        <v>17031000741</v>
      </c>
      <c r="E854" s="630" t="s">
        <v>533</v>
      </c>
      <c r="F854" s="630" t="s">
        <v>534</v>
      </c>
      <c r="G854" s="630" t="s">
        <v>365</v>
      </c>
      <c r="H854" s="630" t="s">
        <v>381</v>
      </c>
      <c r="I854" s="630"/>
      <c r="J854" s="630" t="s">
        <v>542</v>
      </c>
      <c r="K854" s="630" t="s">
        <v>547</v>
      </c>
      <c r="L854" s="630" t="s">
        <v>382</v>
      </c>
      <c r="M854" s="630"/>
      <c r="N854" s="630"/>
      <c r="O854" s="630"/>
      <c r="P854" s="630"/>
      <c r="Q854" s="630"/>
      <c r="R854" s="630"/>
      <c r="S854" s="630" t="s">
        <v>579</v>
      </c>
      <c r="T854" s="630"/>
      <c r="U854" s="630" t="s">
        <v>538</v>
      </c>
      <c r="V854" s="630">
        <v>3</v>
      </c>
      <c r="W854" s="630" t="s">
        <v>545</v>
      </c>
      <c r="X854" s="630" t="s">
        <v>580</v>
      </c>
      <c r="Y854" s="630" t="s">
        <v>549</v>
      </c>
      <c r="Z854" s="630">
        <v>0.19159300000000001</v>
      </c>
      <c r="AA854" s="630">
        <v>0.30833899999999997</v>
      </c>
      <c r="AB854" s="631">
        <v>945771</v>
      </c>
      <c r="AC854" s="631">
        <v>40638017</v>
      </c>
      <c r="AD854" s="631">
        <f t="shared" si="13"/>
        <v>7785959.5910810009</v>
      </c>
    </row>
    <row r="855" spans="2:30" x14ac:dyDescent="0.15">
      <c r="B855" s="630">
        <v>17097004190</v>
      </c>
      <c r="C855" s="630">
        <v>17097004520</v>
      </c>
      <c r="D855" s="630">
        <v>17097000238</v>
      </c>
      <c r="E855" s="630" t="s">
        <v>533</v>
      </c>
      <c r="F855" s="630" t="s">
        <v>534</v>
      </c>
      <c r="G855" s="630" t="s">
        <v>373</v>
      </c>
      <c r="H855" s="630" t="s">
        <v>382</v>
      </c>
      <c r="I855" s="630"/>
      <c r="J855" s="630" t="s">
        <v>535</v>
      </c>
      <c r="K855" s="630" t="s">
        <v>547</v>
      </c>
      <c r="L855" s="630"/>
      <c r="M855" s="630"/>
      <c r="N855" s="630"/>
      <c r="O855" s="630"/>
      <c r="P855" s="630"/>
      <c r="Q855" s="630"/>
      <c r="R855" s="630"/>
      <c r="S855" s="630"/>
      <c r="T855" s="630"/>
      <c r="U855" s="630" t="s">
        <v>538</v>
      </c>
      <c r="V855" s="630">
        <v>1</v>
      </c>
      <c r="W855" s="630" t="s">
        <v>560</v>
      </c>
      <c r="X855" s="630" t="s">
        <v>541</v>
      </c>
      <c r="Y855" s="630" t="s">
        <v>541</v>
      </c>
      <c r="Z855" s="630">
        <v>0.187884</v>
      </c>
      <c r="AA855" s="630">
        <v>0.30237000000000003</v>
      </c>
      <c r="AB855" s="631">
        <v>1478</v>
      </c>
      <c r="AC855" s="631">
        <v>99920</v>
      </c>
      <c r="AD855" s="631">
        <f t="shared" si="13"/>
        <v>18773.369279999999</v>
      </c>
    </row>
    <row r="856" spans="2:30" x14ac:dyDescent="0.15">
      <c r="B856" s="630">
        <v>17031004837</v>
      </c>
      <c r="C856" s="630">
        <v>17031001211</v>
      </c>
      <c r="D856" s="630">
        <v>17031001214</v>
      </c>
      <c r="E856" s="630" t="s">
        <v>533</v>
      </c>
      <c r="F856" s="630" t="s">
        <v>534</v>
      </c>
      <c r="G856" s="630" t="s">
        <v>365</v>
      </c>
      <c r="H856" s="630" t="s">
        <v>577</v>
      </c>
      <c r="I856" s="630"/>
      <c r="J856" s="630"/>
      <c r="K856" s="630"/>
      <c r="L856" s="630"/>
      <c r="M856" s="630"/>
      <c r="N856" s="630"/>
      <c r="O856" s="630"/>
      <c r="P856" s="630"/>
      <c r="Q856" s="630"/>
      <c r="R856" s="630"/>
      <c r="S856" s="630"/>
      <c r="T856" s="630"/>
      <c r="U856" s="630" t="s">
        <v>559</v>
      </c>
      <c r="V856" s="630">
        <v>1</v>
      </c>
      <c r="W856" s="630" t="s">
        <v>560</v>
      </c>
      <c r="X856" s="630" t="s">
        <v>541</v>
      </c>
      <c r="Y856" s="630" t="s">
        <v>541</v>
      </c>
      <c r="Z856" s="630">
        <v>4.0689000000000003E-2</v>
      </c>
      <c r="AA856" s="630">
        <v>6.5483E-2</v>
      </c>
      <c r="AB856" s="631">
        <v>0</v>
      </c>
      <c r="AC856" s="631">
        <v>0</v>
      </c>
      <c r="AD856" s="631">
        <f t="shared" si="13"/>
        <v>0</v>
      </c>
    </row>
    <row r="857" spans="2:30" x14ac:dyDescent="0.15">
      <c r="B857" s="630">
        <v>17031008630</v>
      </c>
      <c r="C857" s="630">
        <v>17031006712</v>
      </c>
      <c r="D857" s="630">
        <v>17031001137</v>
      </c>
      <c r="E857" s="630" t="s">
        <v>533</v>
      </c>
      <c r="F857" s="630" t="s">
        <v>534</v>
      </c>
      <c r="G857" s="630" t="s">
        <v>365</v>
      </c>
      <c r="H857" s="630" t="s">
        <v>571</v>
      </c>
      <c r="I857" s="630"/>
      <c r="J857" s="630"/>
      <c r="K857" s="630"/>
      <c r="L857" s="630"/>
      <c r="M857" s="630"/>
      <c r="N857" s="630"/>
      <c r="O857" s="630"/>
      <c r="P857" s="630"/>
      <c r="Q857" s="630"/>
      <c r="R857" s="630"/>
      <c r="S857" s="630" t="s">
        <v>573</v>
      </c>
      <c r="T857" s="630" t="s">
        <v>643</v>
      </c>
      <c r="U857" s="630" t="s">
        <v>538</v>
      </c>
      <c r="V857" s="630">
        <v>1</v>
      </c>
      <c r="W857" s="630" t="s">
        <v>545</v>
      </c>
      <c r="X857" s="630" t="s">
        <v>546</v>
      </c>
      <c r="Y857" s="630" t="s">
        <v>541</v>
      </c>
      <c r="Z857" s="630">
        <v>3.7130999999999997E-2</v>
      </c>
      <c r="AA857" s="630">
        <v>5.9756999999999998E-2</v>
      </c>
      <c r="AB857" s="631">
        <v>0</v>
      </c>
      <c r="AC857" s="631">
        <v>0</v>
      </c>
      <c r="AD857" s="631">
        <f t="shared" si="13"/>
        <v>0</v>
      </c>
    </row>
    <row r="858" spans="2:30" x14ac:dyDescent="0.15">
      <c r="B858" s="630">
        <v>17031009836</v>
      </c>
      <c r="C858" s="630">
        <v>17031007901</v>
      </c>
      <c r="D858" s="630">
        <v>17031007902</v>
      </c>
      <c r="E858" s="630" t="s">
        <v>533</v>
      </c>
      <c r="F858" s="630" t="s">
        <v>534</v>
      </c>
      <c r="G858" s="630" t="s">
        <v>365</v>
      </c>
      <c r="H858" s="630" t="s">
        <v>535</v>
      </c>
      <c r="I858" s="630"/>
      <c r="J858" s="630" t="s">
        <v>382</v>
      </c>
      <c r="K858" s="630" t="s">
        <v>536</v>
      </c>
      <c r="L858" s="630"/>
      <c r="M858" s="630"/>
      <c r="N858" s="630"/>
      <c r="O858" s="630"/>
      <c r="P858" s="630"/>
      <c r="Q858" s="630"/>
      <c r="R858" s="630"/>
      <c r="S858" s="630"/>
      <c r="T858" s="630"/>
      <c r="U858" s="630" t="s">
        <v>538</v>
      </c>
      <c r="V858" s="630">
        <v>1</v>
      </c>
      <c r="W858" s="630" t="s">
        <v>560</v>
      </c>
      <c r="X858" s="630" t="s">
        <v>554</v>
      </c>
      <c r="Y858" s="630" t="s">
        <v>554</v>
      </c>
      <c r="Z858" s="630">
        <v>0.30457499999999998</v>
      </c>
      <c r="AA858" s="630">
        <v>0.49016799999999999</v>
      </c>
      <c r="AB858" s="631">
        <v>8148</v>
      </c>
      <c r="AC858" s="631">
        <v>598709</v>
      </c>
      <c r="AD858" s="631">
        <f t="shared" si="13"/>
        <v>182351.79367499999</v>
      </c>
    </row>
    <row r="859" spans="2:30" x14ac:dyDescent="0.15">
      <c r="B859" s="630">
        <v>17097003091</v>
      </c>
      <c r="C859" s="630">
        <v>17097000080</v>
      </c>
      <c r="D859" s="630">
        <v>17097000071</v>
      </c>
      <c r="E859" s="630" t="s">
        <v>533</v>
      </c>
      <c r="F859" s="630" t="s">
        <v>534</v>
      </c>
      <c r="G859" s="630" t="s">
        <v>373</v>
      </c>
      <c r="H859" s="630" t="s">
        <v>382</v>
      </c>
      <c r="I859" s="630"/>
      <c r="J859" s="630" t="s">
        <v>535</v>
      </c>
      <c r="K859" s="630" t="s">
        <v>547</v>
      </c>
      <c r="L859" s="630"/>
      <c r="M859" s="630"/>
      <c r="N859" s="630"/>
      <c r="O859" s="630"/>
      <c r="P859" s="630"/>
      <c r="Q859" s="630"/>
      <c r="R859" s="630"/>
      <c r="S859" s="630" t="s">
        <v>565</v>
      </c>
      <c r="T859" s="630"/>
      <c r="U859" s="630" t="s">
        <v>538</v>
      </c>
      <c r="V859" s="630">
        <v>2</v>
      </c>
      <c r="W859" s="630" t="s">
        <v>566</v>
      </c>
      <c r="X859" s="630" t="s">
        <v>549</v>
      </c>
      <c r="Y859" s="630" t="s">
        <v>549</v>
      </c>
      <c r="Z859" s="630">
        <v>1.8258840000000001</v>
      </c>
      <c r="AA859" s="630">
        <v>2.9384809999999999</v>
      </c>
      <c r="AB859" s="631">
        <v>11334</v>
      </c>
      <c r="AC859" s="631">
        <v>1200930</v>
      </c>
      <c r="AD859" s="631">
        <f t="shared" si="13"/>
        <v>2192758.87212</v>
      </c>
    </row>
    <row r="860" spans="2:30" x14ac:dyDescent="0.15">
      <c r="B860" s="630">
        <v>17031003266</v>
      </c>
      <c r="C860" s="630">
        <v>17031001100</v>
      </c>
      <c r="D860" s="630">
        <v>17031001080</v>
      </c>
      <c r="E860" s="630" t="s">
        <v>533</v>
      </c>
      <c r="F860" s="630" t="s">
        <v>534</v>
      </c>
      <c r="G860" s="630" t="s">
        <v>365</v>
      </c>
      <c r="H860" s="630" t="s">
        <v>535</v>
      </c>
      <c r="I860" s="630"/>
      <c r="J860" s="630"/>
      <c r="K860" s="630"/>
      <c r="L860" s="630"/>
      <c r="M860" s="630"/>
      <c r="N860" s="630"/>
      <c r="O860" s="630"/>
      <c r="P860" s="630"/>
      <c r="Q860" s="630"/>
      <c r="R860" s="630"/>
      <c r="S860" s="630" t="s">
        <v>597</v>
      </c>
      <c r="T860" s="630"/>
      <c r="U860" s="630" t="s">
        <v>538</v>
      </c>
      <c r="V860" s="630">
        <v>1</v>
      </c>
      <c r="W860" s="630" t="s">
        <v>560</v>
      </c>
      <c r="X860" s="630" t="s">
        <v>541</v>
      </c>
      <c r="Y860" s="630" t="s">
        <v>554</v>
      </c>
      <c r="Z860" s="630">
        <v>0.16473599999999999</v>
      </c>
      <c r="AA860" s="630">
        <v>0.26511699999999999</v>
      </c>
      <c r="AB860" s="631">
        <v>5840</v>
      </c>
      <c r="AC860" s="631">
        <v>552320</v>
      </c>
      <c r="AD860" s="631">
        <f t="shared" si="13"/>
        <v>90986.987519999995</v>
      </c>
    </row>
    <row r="861" spans="2:30" x14ac:dyDescent="0.15">
      <c r="B861" s="630">
        <v>17031003282</v>
      </c>
      <c r="C861" s="630">
        <v>17031004648</v>
      </c>
      <c r="D861" s="630">
        <v>17031000505</v>
      </c>
      <c r="E861" s="630" t="s">
        <v>533</v>
      </c>
      <c r="F861" s="630" t="s">
        <v>534</v>
      </c>
      <c r="G861" s="630" t="s">
        <v>365</v>
      </c>
      <c r="H861" s="630" t="s">
        <v>382</v>
      </c>
      <c r="I861" s="630"/>
      <c r="J861" s="630"/>
      <c r="K861" s="630"/>
      <c r="L861" s="630"/>
      <c r="M861" s="630"/>
      <c r="N861" s="630"/>
      <c r="O861" s="630"/>
      <c r="P861" s="630"/>
      <c r="Q861" s="630"/>
      <c r="R861" s="630"/>
      <c r="S861" s="630" t="s">
        <v>650</v>
      </c>
      <c r="T861" s="630" t="s">
        <v>626</v>
      </c>
      <c r="U861" s="630" t="s">
        <v>559</v>
      </c>
      <c r="V861" s="630">
        <v>1</v>
      </c>
      <c r="W861" s="630" t="s">
        <v>539</v>
      </c>
      <c r="X861" s="630" t="s">
        <v>541</v>
      </c>
      <c r="Y861" s="630" t="s">
        <v>541</v>
      </c>
      <c r="Z861" s="630">
        <v>0.17352699999999999</v>
      </c>
      <c r="AA861" s="630">
        <v>0.27926499999999999</v>
      </c>
      <c r="AB861" s="631">
        <v>4354</v>
      </c>
      <c r="AC861" s="631">
        <v>376422</v>
      </c>
      <c r="AD861" s="631">
        <f t="shared" si="13"/>
        <v>65319.380393999993</v>
      </c>
    </row>
    <row r="862" spans="2:30" x14ac:dyDescent="0.15">
      <c r="B862" s="630">
        <v>17031003880</v>
      </c>
      <c r="C862" s="630">
        <v>17031000573</v>
      </c>
      <c r="D862" s="630">
        <v>17031000572</v>
      </c>
      <c r="E862" s="630" t="s">
        <v>533</v>
      </c>
      <c r="F862" s="630" t="s">
        <v>534</v>
      </c>
      <c r="G862" s="630" t="s">
        <v>365</v>
      </c>
      <c r="H862" s="630" t="s">
        <v>382</v>
      </c>
      <c r="I862" s="630"/>
      <c r="J862" s="630" t="s">
        <v>572</v>
      </c>
      <c r="K862" s="630" t="s">
        <v>547</v>
      </c>
      <c r="L862" s="630"/>
      <c r="M862" s="630"/>
      <c r="N862" s="630"/>
      <c r="O862" s="630"/>
      <c r="P862" s="630"/>
      <c r="Q862" s="630"/>
      <c r="R862" s="630"/>
      <c r="S862" s="630" t="s">
        <v>583</v>
      </c>
      <c r="T862" s="630"/>
      <c r="U862" s="630" t="s">
        <v>538</v>
      </c>
      <c r="V862" s="630">
        <v>3</v>
      </c>
      <c r="W862" s="630" t="s">
        <v>545</v>
      </c>
      <c r="X862" s="630" t="s">
        <v>580</v>
      </c>
      <c r="Y862" s="630" t="s">
        <v>540</v>
      </c>
      <c r="Z862" s="630">
        <v>0.91156199999999998</v>
      </c>
      <c r="AA862" s="630">
        <v>1.4670190000000001</v>
      </c>
      <c r="AB862" s="631">
        <v>858401</v>
      </c>
      <c r="AC862" s="631">
        <v>28501686</v>
      </c>
      <c r="AD862" s="631">
        <f t="shared" si="13"/>
        <v>25981053.893532</v>
      </c>
    </row>
    <row r="863" spans="2:30" x14ac:dyDescent="0.15">
      <c r="B863" s="630">
        <v>17111001981</v>
      </c>
      <c r="C863" s="630">
        <v>17999018890</v>
      </c>
      <c r="D863" s="630">
        <v>17111004833</v>
      </c>
      <c r="E863" s="630" t="s">
        <v>533</v>
      </c>
      <c r="F863" s="630" t="s">
        <v>534</v>
      </c>
      <c r="G863" s="630" t="s">
        <v>375</v>
      </c>
      <c r="H863" s="630" t="s">
        <v>382</v>
      </c>
      <c r="I863" s="630"/>
      <c r="J863" s="630" t="s">
        <v>547</v>
      </c>
      <c r="K863" s="630"/>
      <c r="L863" s="630"/>
      <c r="M863" s="630"/>
      <c r="N863" s="630"/>
      <c r="O863" s="630"/>
      <c r="P863" s="630"/>
      <c r="Q863" s="630"/>
      <c r="R863" s="630"/>
      <c r="S863" s="630" t="s">
        <v>608</v>
      </c>
      <c r="T863" s="630"/>
      <c r="U863" s="630" t="s">
        <v>538</v>
      </c>
      <c r="V863" s="630">
        <v>2</v>
      </c>
      <c r="W863" s="630" t="s">
        <v>566</v>
      </c>
      <c r="X863" s="630" t="s">
        <v>549</v>
      </c>
      <c r="Y863" s="630" t="s">
        <v>549</v>
      </c>
      <c r="Z863" s="630">
        <v>1.238639</v>
      </c>
      <c r="AA863" s="630">
        <v>1.9934000000000001</v>
      </c>
      <c r="AB863" s="631">
        <v>9672</v>
      </c>
      <c r="AC863" s="631">
        <v>874093</v>
      </c>
      <c r="AD863" s="631">
        <f t="shared" si="13"/>
        <v>1082685.679427</v>
      </c>
    </row>
    <row r="864" spans="2:30" x14ac:dyDescent="0.15">
      <c r="B864" s="630">
        <v>17089002040</v>
      </c>
      <c r="C864" s="630">
        <v>17089000379</v>
      </c>
      <c r="D864" s="630">
        <v>17089000361</v>
      </c>
      <c r="E864" s="630" t="s">
        <v>533</v>
      </c>
      <c r="F864" s="630" t="s">
        <v>534</v>
      </c>
      <c r="G864" s="630" t="s">
        <v>369</v>
      </c>
      <c r="H864" s="630" t="s">
        <v>535</v>
      </c>
      <c r="I864" s="630"/>
      <c r="J864" s="630"/>
      <c r="K864" s="630"/>
      <c r="L864" s="630"/>
      <c r="M864" s="630"/>
      <c r="N864" s="630"/>
      <c r="O864" s="630"/>
      <c r="P864" s="630"/>
      <c r="Q864" s="630"/>
      <c r="R864" s="630"/>
      <c r="S864" s="630" t="s">
        <v>624</v>
      </c>
      <c r="T864" s="630"/>
      <c r="U864" s="630" t="s">
        <v>538</v>
      </c>
      <c r="V864" s="630">
        <v>1</v>
      </c>
      <c r="W864" s="630" t="s">
        <v>582</v>
      </c>
      <c r="X864" s="630" t="s">
        <v>554</v>
      </c>
      <c r="Y864" s="630" t="s">
        <v>549</v>
      </c>
      <c r="Z864" s="630">
        <v>2.5022660000000001</v>
      </c>
      <c r="AA864" s="630">
        <v>4.0270140000000003</v>
      </c>
      <c r="AB864" s="631">
        <v>46181</v>
      </c>
      <c r="AC864" s="631">
        <v>4487359</v>
      </c>
      <c r="AD864" s="631">
        <f t="shared" si="13"/>
        <v>11228565.855494</v>
      </c>
    </row>
    <row r="865" spans="2:30" x14ac:dyDescent="0.15">
      <c r="B865" s="630">
        <v>17097002116</v>
      </c>
      <c r="C865" s="630">
        <v>17097000049</v>
      </c>
      <c r="D865" s="630">
        <v>17097004529</v>
      </c>
      <c r="E865" s="630" t="s">
        <v>533</v>
      </c>
      <c r="F865" s="630" t="s">
        <v>534</v>
      </c>
      <c r="G865" s="630" t="s">
        <v>373</v>
      </c>
      <c r="H865" s="630" t="s">
        <v>552</v>
      </c>
      <c r="I865" s="630"/>
      <c r="J865" s="630" t="s">
        <v>563</v>
      </c>
      <c r="K865" s="630"/>
      <c r="L865" s="630"/>
      <c r="M865" s="630"/>
      <c r="N865" s="630"/>
      <c r="O865" s="630"/>
      <c r="P865" s="630"/>
      <c r="Q865" s="630"/>
      <c r="R865" s="630"/>
      <c r="S865" s="630" t="s">
        <v>629</v>
      </c>
      <c r="T865" s="630"/>
      <c r="U865" s="630" t="s">
        <v>538</v>
      </c>
      <c r="V865" s="630">
        <v>1</v>
      </c>
      <c r="W865" s="630" t="s">
        <v>539</v>
      </c>
      <c r="X865" s="630" t="s">
        <v>554</v>
      </c>
      <c r="Y865" s="630" t="s">
        <v>541</v>
      </c>
      <c r="Z865" s="630">
        <v>0.19794800000000001</v>
      </c>
      <c r="AA865" s="630">
        <v>0.31856699999999999</v>
      </c>
      <c r="AB865" s="631">
        <v>27538</v>
      </c>
      <c r="AC865" s="631">
        <v>2609253</v>
      </c>
      <c r="AD865" s="631">
        <f t="shared" si="13"/>
        <v>516496.41284400003</v>
      </c>
    </row>
    <row r="866" spans="2:30" x14ac:dyDescent="0.15">
      <c r="B866" s="630">
        <v>17031002165</v>
      </c>
      <c r="C866" s="630">
        <v>17031001272</v>
      </c>
      <c r="D866" s="630">
        <v>17031001241</v>
      </c>
      <c r="E866" s="630" t="s">
        <v>533</v>
      </c>
      <c r="F866" s="630" t="s">
        <v>534</v>
      </c>
      <c r="G866" s="630" t="s">
        <v>365</v>
      </c>
      <c r="H866" s="630" t="s">
        <v>557</v>
      </c>
      <c r="I866" s="630" t="s">
        <v>543</v>
      </c>
      <c r="J866" s="630" t="s">
        <v>381</v>
      </c>
      <c r="K866" s="630" t="s">
        <v>535</v>
      </c>
      <c r="L866" s="630" t="s">
        <v>552</v>
      </c>
      <c r="M866" s="630" t="s">
        <v>551</v>
      </c>
      <c r="N866" s="630" t="s">
        <v>543</v>
      </c>
      <c r="O866" s="630" t="s">
        <v>382</v>
      </c>
      <c r="P866" s="630"/>
      <c r="Q866" s="630"/>
      <c r="R866" s="630"/>
      <c r="S866" s="630" t="s">
        <v>570</v>
      </c>
      <c r="T866" s="630"/>
      <c r="U866" s="630" t="s">
        <v>538</v>
      </c>
      <c r="V866" s="630">
        <v>2</v>
      </c>
      <c r="W866" s="630" t="s">
        <v>545</v>
      </c>
      <c r="X866" s="630" t="s">
        <v>575</v>
      </c>
      <c r="Y866" s="630" t="s">
        <v>540</v>
      </c>
      <c r="Z866" s="630">
        <v>1.263585</v>
      </c>
      <c r="AA866" s="630">
        <v>2.033547</v>
      </c>
      <c r="AB866" s="631">
        <v>1870890</v>
      </c>
      <c r="AC866" s="631">
        <v>61693531</v>
      </c>
      <c r="AD866" s="631">
        <f t="shared" si="13"/>
        <v>77955020.368634999</v>
      </c>
    </row>
    <row r="867" spans="2:30" x14ac:dyDescent="0.15">
      <c r="B867" s="630">
        <v>17031003980</v>
      </c>
      <c r="C867" s="630">
        <v>17031000685</v>
      </c>
      <c r="D867" s="630">
        <v>17031000679</v>
      </c>
      <c r="E867" s="630" t="s">
        <v>533</v>
      </c>
      <c r="F867" s="630" t="s">
        <v>534</v>
      </c>
      <c r="G867" s="630" t="s">
        <v>365</v>
      </c>
      <c r="H867" s="630" t="s">
        <v>543</v>
      </c>
      <c r="I867" s="630"/>
      <c r="J867" s="630" t="s">
        <v>542</v>
      </c>
      <c r="K867" s="630" t="s">
        <v>547</v>
      </c>
      <c r="L867" s="630" t="s">
        <v>382</v>
      </c>
      <c r="M867" s="630"/>
      <c r="N867" s="630"/>
      <c r="O867" s="630"/>
      <c r="P867" s="630"/>
      <c r="Q867" s="630"/>
      <c r="R867" s="630"/>
      <c r="S867" s="630" t="s">
        <v>630</v>
      </c>
      <c r="T867" s="630"/>
      <c r="U867" s="630" t="s">
        <v>538</v>
      </c>
      <c r="V867" s="630">
        <v>2</v>
      </c>
      <c r="W867" s="630" t="s">
        <v>545</v>
      </c>
      <c r="X867" s="630" t="s">
        <v>540</v>
      </c>
      <c r="Y867" s="630" t="s">
        <v>541</v>
      </c>
      <c r="Z867" s="630">
        <v>0.151418</v>
      </c>
      <c r="AA867" s="630">
        <v>0.24368400000000001</v>
      </c>
      <c r="AB867" s="631">
        <v>196032</v>
      </c>
      <c r="AC867" s="631">
        <v>8031847</v>
      </c>
      <c r="AD867" s="631">
        <f t="shared" si="13"/>
        <v>1216166.2090459999</v>
      </c>
    </row>
    <row r="868" spans="2:30" x14ac:dyDescent="0.15">
      <c r="B868" s="630">
        <v>17031004284</v>
      </c>
      <c r="C868" s="630">
        <v>17031006638</v>
      </c>
      <c r="D868" s="630">
        <v>17031000699</v>
      </c>
      <c r="E868" s="630" t="s">
        <v>533</v>
      </c>
      <c r="F868" s="630" t="s">
        <v>534</v>
      </c>
      <c r="G868" s="630" t="s">
        <v>365</v>
      </c>
      <c r="H868" s="630" t="s">
        <v>571</v>
      </c>
      <c r="I868" s="630"/>
      <c r="J868" s="630" t="s">
        <v>535</v>
      </c>
      <c r="K868" s="630" t="s">
        <v>552</v>
      </c>
      <c r="L868" s="630" t="s">
        <v>551</v>
      </c>
      <c r="M868" s="630" t="s">
        <v>563</v>
      </c>
      <c r="N868" s="630"/>
      <c r="O868" s="630"/>
      <c r="P868" s="630"/>
      <c r="Q868" s="630"/>
      <c r="R868" s="630"/>
      <c r="S868" s="630" t="s">
        <v>573</v>
      </c>
      <c r="T868" s="630" t="s">
        <v>612</v>
      </c>
      <c r="U868" s="630" t="s">
        <v>538</v>
      </c>
      <c r="V868" s="630">
        <v>2</v>
      </c>
      <c r="W868" s="630" t="s">
        <v>545</v>
      </c>
      <c r="X868" s="630" t="s">
        <v>580</v>
      </c>
      <c r="Y868" s="630" t="s">
        <v>554</v>
      </c>
      <c r="Z868" s="630">
        <v>0.55068499999999998</v>
      </c>
      <c r="AA868" s="630">
        <v>0.88624400000000003</v>
      </c>
      <c r="AB868" s="631">
        <v>126454</v>
      </c>
      <c r="AC868" s="631">
        <v>4429481</v>
      </c>
      <c r="AD868" s="631">
        <f t="shared" si="13"/>
        <v>2439248.7444849997</v>
      </c>
    </row>
    <row r="869" spans="2:30" x14ac:dyDescent="0.15">
      <c r="B869" s="630">
        <v>17031004015</v>
      </c>
      <c r="C869" s="630">
        <v>17031000637</v>
      </c>
      <c r="D869" s="630">
        <v>17031000683</v>
      </c>
      <c r="E869" s="630" t="s">
        <v>533</v>
      </c>
      <c r="F869" s="630" t="s">
        <v>534</v>
      </c>
      <c r="G869" s="630" t="s">
        <v>365</v>
      </c>
      <c r="H869" s="630" t="s">
        <v>644</v>
      </c>
      <c r="I869" s="630"/>
      <c r="J869" s="630"/>
      <c r="K869" s="630"/>
      <c r="L869" s="630"/>
      <c r="M869" s="630"/>
      <c r="N869" s="630"/>
      <c r="O869" s="630"/>
      <c r="P869" s="630"/>
      <c r="Q869" s="630"/>
      <c r="R869" s="630"/>
      <c r="S869" s="630"/>
      <c r="T869" s="630"/>
      <c r="U869" s="630" t="s">
        <v>559</v>
      </c>
      <c r="V869" s="630">
        <v>1</v>
      </c>
      <c r="W869" s="630" t="s">
        <v>560</v>
      </c>
      <c r="X869" s="630" t="s">
        <v>541</v>
      </c>
      <c r="Y869" s="630" t="s">
        <v>541</v>
      </c>
      <c r="Z869" s="630">
        <v>0.54106299999999996</v>
      </c>
      <c r="AA869" s="630">
        <v>0.87075899999999995</v>
      </c>
      <c r="AB869" s="631">
        <v>0</v>
      </c>
      <c r="AC869" s="631">
        <v>0</v>
      </c>
      <c r="AD869" s="631">
        <f t="shared" si="13"/>
        <v>0</v>
      </c>
    </row>
    <row r="870" spans="2:30" x14ac:dyDescent="0.15">
      <c r="B870" s="630">
        <v>17031004025</v>
      </c>
      <c r="C870" s="630">
        <v>17031001421</v>
      </c>
      <c r="D870" s="630">
        <v>17031004508</v>
      </c>
      <c r="E870" s="630" t="s">
        <v>533</v>
      </c>
      <c r="F870" s="630" t="s">
        <v>534</v>
      </c>
      <c r="G870" s="630" t="s">
        <v>365</v>
      </c>
      <c r="H870" s="630" t="s">
        <v>535</v>
      </c>
      <c r="I870" s="630"/>
      <c r="J870" s="630" t="s">
        <v>542</v>
      </c>
      <c r="K870" s="630" t="s">
        <v>543</v>
      </c>
      <c r="L870" s="630" t="s">
        <v>382</v>
      </c>
      <c r="M870" s="630" t="s">
        <v>552</v>
      </c>
      <c r="N870" s="630"/>
      <c r="O870" s="630"/>
      <c r="P870" s="630"/>
      <c r="Q870" s="630"/>
      <c r="R870" s="630"/>
      <c r="S870" s="630" t="s">
        <v>544</v>
      </c>
      <c r="T870" s="630"/>
      <c r="U870" s="630" t="s">
        <v>538</v>
      </c>
      <c r="V870" s="630">
        <v>2</v>
      </c>
      <c r="W870" s="630" t="s">
        <v>545</v>
      </c>
      <c r="X870" s="630" t="s">
        <v>546</v>
      </c>
      <c r="Y870" s="630" t="s">
        <v>549</v>
      </c>
      <c r="Z870" s="630">
        <v>0.207679</v>
      </c>
      <c r="AA870" s="630">
        <v>0.33422800000000003</v>
      </c>
      <c r="AB870" s="631">
        <v>691539</v>
      </c>
      <c r="AC870" s="631">
        <v>26787995</v>
      </c>
      <c r="AD870" s="631">
        <f t="shared" si="13"/>
        <v>5563304.0136050005</v>
      </c>
    </row>
    <row r="871" spans="2:30" x14ac:dyDescent="0.15">
      <c r="B871" s="630">
        <v>17031005459</v>
      </c>
      <c r="C871" s="630">
        <v>17031001293</v>
      </c>
      <c r="D871" s="630">
        <v>17031004697</v>
      </c>
      <c r="E871" s="630" t="s">
        <v>533</v>
      </c>
      <c r="F871" s="630" t="s">
        <v>534</v>
      </c>
      <c r="G871" s="630" t="s">
        <v>365</v>
      </c>
      <c r="H871" s="630" t="s">
        <v>547</v>
      </c>
      <c r="I871" s="630"/>
      <c r="J871" s="630" t="s">
        <v>577</v>
      </c>
      <c r="K871" s="630" t="s">
        <v>615</v>
      </c>
      <c r="L871" s="630"/>
      <c r="M871" s="630"/>
      <c r="N871" s="630"/>
      <c r="O871" s="630"/>
      <c r="P871" s="630"/>
      <c r="Q871" s="630"/>
      <c r="R871" s="630"/>
      <c r="S871" s="630" t="s">
        <v>581</v>
      </c>
      <c r="T871" s="630"/>
      <c r="U871" s="630" t="s">
        <v>538</v>
      </c>
      <c r="V871" s="630">
        <v>2</v>
      </c>
      <c r="W871" s="630" t="s">
        <v>582</v>
      </c>
      <c r="X871" s="630" t="s">
        <v>541</v>
      </c>
      <c r="Y871" s="630" t="s">
        <v>540</v>
      </c>
      <c r="Z871" s="630">
        <v>0.56481800000000004</v>
      </c>
      <c r="AA871" s="630">
        <v>0.90898900000000005</v>
      </c>
      <c r="AB871" s="631">
        <v>0</v>
      </c>
      <c r="AC871" s="631">
        <v>0</v>
      </c>
      <c r="AD871" s="631">
        <f t="shared" si="13"/>
        <v>0</v>
      </c>
    </row>
    <row r="872" spans="2:30" x14ac:dyDescent="0.15">
      <c r="B872" s="630">
        <v>17031006145</v>
      </c>
      <c r="C872" s="630">
        <v>17031000746</v>
      </c>
      <c r="D872" s="630">
        <v>17031000772</v>
      </c>
      <c r="E872" s="630" t="s">
        <v>533</v>
      </c>
      <c r="F872" s="630" t="s">
        <v>534</v>
      </c>
      <c r="G872" s="630" t="s">
        <v>365</v>
      </c>
      <c r="H872" s="630" t="s">
        <v>551</v>
      </c>
      <c r="I872" s="630"/>
      <c r="J872" s="630"/>
      <c r="K872" s="630"/>
      <c r="L872" s="630"/>
      <c r="M872" s="630"/>
      <c r="N872" s="630"/>
      <c r="O872" s="630"/>
      <c r="P872" s="630"/>
      <c r="Q872" s="630"/>
      <c r="R872" s="630"/>
      <c r="S872" s="630" t="s">
        <v>600</v>
      </c>
      <c r="T872" s="630"/>
      <c r="U872" s="630" t="s">
        <v>538</v>
      </c>
      <c r="V872" s="630">
        <v>2</v>
      </c>
      <c r="W872" s="630" t="s">
        <v>582</v>
      </c>
      <c r="X872" s="630" t="s">
        <v>549</v>
      </c>
      <c r="Y872" s="630" t="s">
        <v>554</v>
      </c>
      <c r="Z872" s="630">
        <v>0.32191500000000001</v>
      </c>
      <c r="AA872" s="630">
        <v>0.51807300000000001</v>
      </c>
      <c r="AB872" s="631">
        <v>168553</v>
      </c>
      <c r="AC872" s="631">
        <v>5157762</v>
      </c>
      <c r="AD872" s="631">
        <f t="shared" si="13"/>
        <v>1660360.95423</v>
      </c>
    </row>
    <row r="873" spans="2:30" x14ac:dyDescent="0.15">
      <c r="B873" s="630">
        <v>17031006484</v>
      </c>
      <c r="C873" s="630">
        <v>17031001361</v>
      </c>
      <c r="D873" s="630">
        <v>17031004746</v>
      </c>
      <c r="E873" s="630" t="s">
        <v>533</v>
      </c>
      <c r="F873" s="630" t="s">
        <v>534</v>
      </c>
      <c r="G873" s="630" t="s">
        <v>365</v>
      </c>
      <c r="H873" s="630" t="s">
        <v>551</v>
      </c>
      <c r="I873" s="630"/>
      <c r="J873" s="630"/>
      <c r="K873" s="630"/>
      <c r="L873" s="630"/>
      <c r="M873" s="630"/>
      <c r="N873" s="630"/>
      <c r="O873" s="630"/>
      <c r="P873" s="630"/>
      <c r="Q873" s="630"/>
      <c r="R873" s="630"/>
      <c r="S873" s="630" t="s">
        <v>603</v>
      </c>
      <c r="T873" s="630"/>
      <c r="U873" s="630" t="s">
        <v>538</v>
      </c>
      <c r="V873" s="630">
        <v>2</v>
      </c>
      <c r="W873" s="630" t="s">
        <v>545</v>
      </c>
      <c r="X873" s="630" t="s">
        <v>575</v>
      </c>
      <c r="Y873" s="630" t="s">
        <v>540</v>
      </c>
      <c r="Z873" s="630">
        <v>9.7070000000000004E-2</v>
      </c>
      <c r="AA873" s="630">
        <v>0.15622</v>
      </c>
      <c r="AB873" s="631">
        <v>869375</v>
      </c>
      <c r="AC873" s="631">
        <v>38486588</v>
      </c>
      <c r="AD873" s="631">
        <f t="shared" si="13"/>
        <v>3735893.0971600004</v>
      </c>
    </row>
    <row r="874" spans="2:30" x14ac:dyDescent="0.15">
      <c r="B874" s="630">
        <v>17031006521</v>
      </c>
      <c r="C874" s="630">
        <v>17031001120</v>
      </c>
      <c r="D874" s="630">
        <v>17031001133</v>
      </c>
      <c r="E874" s="630" t="s">
        <v>533</v>
      </c>
      <c r="F874" s="630" t="s">
        <v>534</v>
      </c>
      <c r="G874" s="630" t="s">
        <v>365</v>
      </c>
      <c r="H874" s="630" t="s">
        <v>577</v>
      </c>
      <c r="I874" s="630"/>
      <c r="J874" s="630"/>
      <c r="K874" s="630"/>
      <c r="L874" s="630"/>
      <c r="M874" s="630"/>
      <c r="N874" s="630"/>
      <c r="O874" s="630"/>
      <c r="P874" s="630"/>
      <c r="Q874" s="630"/>
      <c r="R874" s="630"/>
      <c r="S874" s="630"/>
      <c r="T874" s="630"/>
      <c r="U874" s="630" t="s">
        <v>538</v>
      </c>
      <c r="V874" s="630">
        <v>1</v>
      </c>
      <c r="W874" s="630" t="s">
        <v>560</v>
      </c>
      <c r="X874" s="630" t="s">
        <v>541</v>
      </c>
      <c r="Y874" s="630" t="s">
        <v>541</v>
      </c>
      <c r="Z874" s="630">
        <v>0.38375100000000001</v>
      </c>
      <c r="AA874" s="630">
        <v>0.61758800000000003</v>
      </c>
      <c r="AB874" s="631">
        <v>0</v>
      </c>
      <c r="AC874" s="631">
        <v>0</v>
      </c>
      <c r="AD874" s="631">
        <f t="shared" si="13"/>
        <v>0</v>
      </c>
    </row>
    <row r="875" spans="2:30" x14ac:dyDescent="0.15">
      <c r="B875" s="630">
        <v>17197002057</v>
      </c>
      <c r="C875" s="630">
        <v>17197001773</v>
      </c>
      <c r="D875" s="630">
        <v>17197001753</v>
      </c>
      <c r="E875" s="630" t="s">
        <v>533</v>
      </c>
      <c r="F875" s="630" t="s">
        <v>534</v>
      </c>
      <c r="G875" s="630" t="s">
        <v>377</v>
      </c>
      <c r="H875" s="630" t="s">
        <v>382</v>
      </c>
      <c r="I875" s="630"/>
      <c r="J875" s="630" t="s">
        <v>542</v>
      </c>
      <c r="K875" s="630"/>
      <c r="L875" s="630"/>
      <c r="M875" s="630"/>
      <c r="N875" s="630"/>
      <c r="O875" s="630"/>
      <c r="P875" s="630"/>
      <c r="Q875" s="630"/>
      <c r="R875" s="630"/>
      <c r="S875" s="630" t="s">
        <v>606</v>
      </c>
      <c r="T875" s="630"/>
      <c r="U875" s="630" t="s">
        <v>538</v>
      </c>
      <c r="V875" s="630">
        <v>1</v>
      </c>
      <c r="W875" s="630" t="s">
        <v>545</v>
      </c>
      <c r="X875" s="630" t="s">
        <v>541</v>
      </c>
      <c r="Y875" s="630" t="s">
        <v>549</v>
      </c>
      <c r="Z875" s="630">
        <v>1.969776</v>
      </c>
      <c r="AA875" s="630">
        <v>3.1700529999999998</v>
      </c>
      <c r="AB875" s="631">
        <v>0</v>
      </c>
      <c r="AC875" s="631">
        <v>0</v>
      </c>
      <c r="AD875" s="631">
        <f t="shared" si="13"/>
        <v>0</v>
      </c>
    </row>
    <row r="876" spans="2:30" x14ac:dyDescent="0.15">
      <c r="B876" s="630">
        <v>17097002142</v>
      </c>
      <c r="C876" s="630">
        <v>17097000038</v>
      </c>
      <c r="D876" s="630">
        <v>17097000030</v>
      </c>
      <c r="E876" s="630" t="s">
        <v>533</v>
      </c>
      <c r="F876" s="630" t="s">
        <v>534</v>
      </c>
      <c r="G876" s="630" t="s">
        <v>373</v>
      </c>
      <c r="H876" s="630" t="s">
        <v>382</v>
      </c>
      <c r="I876" s="630"/>
      <c r="J876" s="630" t="s">
        <v>535</v>
      </c>
      <c r="K876" s="630" t="s">
        <v>547</v>
      </c>
      <c r="L876" s="630"/>
      <c r="M876" s="630"/>
      <c r="N876" s="630"/>
      <c r="O876" s="630"/>
      <c r="P876" s="630"/>
      <c r="Q876" s="630"/>
      <c r="R876" s="630"/>
      <c r="S876" s="630" t="s">
        <v>565</v>
      </c>
      <c r="T876" s="630"/>
      <c r="U876" s="630" t="s">
        <v>538</v>
      </c>
      <c r="V876" s="630">
        <v>2</v>
      </c>
      <c r="W876" s="630" t="s">
        <v>566</v>
      </c>
      <c r="X876" s="630" t="s">
        <v>540</v>
      </c>
      <c r="Y876" s="630" t="s">
        <v>549</v>
      </c>
      <c r="Z876" s="630">
        <v>1.488059</v>
      </c>
      <c r="AA876" s="630">
        <v>2.3948040000000002</v>
      </c>
      <c r="AB876" s="631">
        <v>4940</v>
      </c>
      <c r="AC876" s="631">
        <v>456256</v>
      </c>
      <c r="AD876" s="631">
        <f t="shared" si="13"/>
        <v>678935.84710400004</v>
      </c>
    </row>
    <row r="877" spans="2:30" x14ac:dyDescent="0.15">
      <c r="B877" s="630">
        <v>17031002221</v>
      </c>
      <c r="C877" s="630">
        <v>17031004580</v>
      </c>
      <c r="D877" s="630">
        <v>17031004579</v>
      </c>
      <c r="E877" s="630" t="s">
        <v>533</v>
      </c>
      <c r="F877" s="630" t="s">
        <v>534</v>
      </c>
      <c r="G877" s="630" t="s">
        <v>365</v>
      </c>
      <c r="H877" s="630" t="s">
        <v>382</v>
      </c>
      <c r="I877" s="630"/>
      <c r="J877" s="630" t="s">
        <v>547</v>
      </c>
      <c r="K877" s="630"/>
      <c r="L877" s="630"/>
      <c r="M877" s="630"/>
      <c r="N877" s="630"/>
      <c r="O877" s="630"/>
      <c r="P877" s="630"/>
      <c r="Q877" s="630"/>
      <c r="R877" s="630"/>
      <c r="S877" s="630" t="s">
        <v>565</v>
      </c>
      <c r="T877" s="630"/>
      <c r="U877" s="630" t="s">
        <v>538</v>
      </c>
      <c r="V877" s="630">
        <v>2</v>
      </c>
      <c r="W877" s="630" t="s">
        <v>566</v>
      </c>
      <c r="X877" s="630" t="s">
        <v>541</v>
      </c>
      <c r="Y877" s="630" t="s">
        <v>541</v>
      </c>
      <c r="Z877" s="630">
        <v>1.0932040000000001</v>
      </c>
      <c r="AA877" s="630">
        <v>1.7593449999999999</v>
      </c>
      <c r="AB877" s="631">
        <v>0</v>
      </c>
      <c r="AC877" s="631">
        <v>0</v>
      </c>
      <c r="AD877" s="631">
        <f t="shared" si="13"/>
        <v>0</v>
      </c>
    </row>
    <row r="878" spans="2:30" x14ac:dyDescent="0.15">
      <c r="B878" s="630">
        <v>17031002423</v>
      </c>
      <c r="C878" s="630">
        <v>17031001295</v>
      </c>
      <c r="D878" s="630">
        <v>17031001208</v>
      </c>
      <c r="E878" s="630" t="s">
        <v>533</v>
      </c>
      <c r="F878" s="630" t="s">
        <v>534</v>
      </c>
      <c r="G878" s="630" t="s">
        <v>365</v>
      </c>
      <c r="H878" s="630" t="s">
        <v>535</v>
      </c>
      <c r="I878" s="630"/>
      <c r="J878" s="630" t="s">
        <v>542</v>
      </c>
      <c r="K878" s="630" t="s">
        <v>543</v>
      </c>
      <c r="L878" s="630"/>
      <c r="M878" s="630"/>
      <c r="N878" s="630"/>
      <c r="O878" s="630"/>
      <c r="P878" s="630"/>
      <c r="Q878" s="630"/>
      <c r="R878" s="630"/>
      <c r="S878" s="630" t="s">
        <v>544</v>
      </c>
      <c r="T878" s="630"/>
      <c r="U878" s="630" t="s">
        <v>538</v>
      </c>
      <c r="V878" s="630">
        <v>2</v>
      </c>
      <c r="W878" s="630" t="s">
        <v>545</v>
      </c>
      <c r="X878" s="630" t="s">
        <v>546</v>
      </c>
      <c r="Y878" s="630" t="s">
        <v>549</v>
      </c>
      <c r="Z878" s="630">
        <v>1.83351</v>
      </c>
      <c r="AA878" s="630">
        <v>2.9507539999999999</v>
      </c>
      <c r="AB878" s="631">
        <v>22170</v>
      </c>
      <c r="AC878" s="631">
        <v>2065148</v>
      </c>
      <c r="AD878" s="631">
        <f t="shared" si="13"/>
        <v>3786469.50948</v>
      </c>
    </row>
    <row r="879" spans="2:30" x14ac:dyDescent="0.15">
      <c r="B879" s="630">
        <v>17031002903</v>
      </c>
      <c r="C879" s="630">
        <v>17031001107</v>
      </c>
      <c r="D879" s="630">
        <v>17031001105</v>
      </c>
      <c r="E879" s="630" t="s">
        <v>533</v>
      </c>
      <c r="F879" s="630" t="s">
        <v>534</v>
      </c>
      <c r="G879" s="630" t="s">
        <v>365</v>
      </c>
      <c r="H879" s="630" t="s">
        <v>577</v>
      </c>
      <c r="I879" s="630"/>
      <c r="J879" s="630"/>
      <c r="K879" s="630"/>
      <c r="L879" s="630"/>
      <c r="M879" s="630"/>
      <c r="N879" s="630"/>
      <c r="O879" s="630"/>
      <c r="P879" s="630"/>
      <c r="Q879" s="630"/>
      <c r="R879" s="630"/>
      <c r="S879" s="630"/>
      <c r="T879" s="630"/>
      <c r="U879" s="630" t="s">
        <v>538</v>
      </c>
      <c r="V879" s="630">
        <v>1</v>
      </c>
      <c r="W879" s="630" t="s">
        <v>560</v>
      </c>
      <c r="X879" s="630" t="s">
        <v>541</v>
      </c>
      <c r="Y879" s="630" t="s">
        <v>541</v>
      </c>
      <c r="Z879" s="630">
        <v>4.4794E-2</v>
      </c>
      <c r="AA879" s="630">
        <v>7.2087999999999999E-2</v>
      </c>
      <c r="AB879" s="631">
        <v>0</v>
      </c>
      <c r="AC879" s="631">
        <v>0</v>
      </c>
      <c r="AD879" s="631">
        <f t="shared" si="13"/>
        <v>0</v>
      </c>
    </row>
    <row r="880" spans="2:30" x14ac:dyDescent="0.15">
      <c r="B880" s="630">
        <v>17031003088</v>
      </c>
      <c r="C880" s="630">
        <v>17031000852</v>
      </c>
      <c r="D880" s="630">
        <v>17031000848</v>
      </c>
      <c r="E880" s="630" t="s">
        <v>533</v>
      </c>
      <c r="F880" s="630" t="s">
        <v>534</v>
      </c>
      <c r="G880" s="630" t="s">
        <v>365</v>
      </c>
      <c r="H880" s="630" t="s">
        <v>535</v>
      </c>
      <c r="I880" s="630"/>
      <c r="J880" s="630" t="s">
        <v>543</v>
      </c>
      <c r="K880" s="630"/>
      <c r="L880" s="630"/>
      <c r="M880" s="630"/>
      <c r="N880" s="630"/>
      <c r="O880" s="630"/>
      <c r="P880" s="630"/>
      <c r="Q880" s="630"/>
      <c r="R880" s="630"/>
      <c r="S880" s="630" t="s">
        <v>553</v>
      </c>
      <c r="T880" s="630" t="s">
        <v>553</v>
      </c>
      <c r="U880" s="630" t="s">
        <v>538</v>
      </c>
      <c r="V880" s="630">
        <v>1</v>
      </c>
      <c r="W880" s="630" t="s">
        <v>539</v>
      </c>
      <c r="X880" s="630" t="s">
        <v>541</v>
      </c>
      <c r="Y880" s="630" t="s">
        <v>554</v>
      </c>
      <c r="Z880" s="630">
        <v>0.27474700000000002</v>
      </c>
      <c r="AA880" s="630">
        <v>0.44216299999999997</v>
      </c>
      <c r="AB880" s="631">
        <v>63280</v>
      </c>
      <c r="AC880" s="631">
        <v>3022040</v>
      </c>
      <c r="AD880" s="631">
        <f t="shared" si="13"/>
        <v>830296.42388000002</v>
      </c>
    </row>
    <row r="881" spans="2:30" x14ac:dyDescent="0.15">
      <c r="B881" s="630">
        <v>17197005325</v>
      </c>
      <c r="C881" s="630">
        <v>17197007391</v>
      </c>
      <c r="D881" s="630">
        <v>17197001618</v>
      </c>
      <c r="E881" s="630" t="s">
        <v>533</v>
      </c>
      <c r="F881" s="630" t="s">
        <v>534</v>
      </c>
      <c r="G881" s="630" t="s">
        <v>377</v>
      </c>
      <c r="H881" s="630" t="s">
        <v>535</v>
      </c>
      <c r="I881" s="630"/>
      <c r="J881" s="630" t="s">
        <v>382</v>
      </c>
      <c r="K881" s="630"/>
      <c r="L881" s="630"/>
      <c r="M881" s="630"/>
      <c r="N881" s="630"/>
      <c r="O881" s="630"/>
      <c r="P881" s="630"/>
      <c r="Q881" s="630"/>
      <c r="R881" s="630"/>
      <c r="S881" s="630"/>
      <c r="T881" s="630"/>
      <c r="U881" s="630" t="s">
        <v>559</v>
      </c>
      <c r="V881" s="630">
        <v>1</v>
      </c>
      <c r="W881" s="630" t="s">
        <v>560</v>
      </c>
      <c r="X881" s="630" t="s">
        <v>541</v>
      </c>
      <c r="Y881" s="630" t="s">
        <v>541</v>
      </c>
      <c r="Z881" s="630">
        <v>0.84811499999999995</v>
      </c>
      <c r="AA881" s="630">
        <v>1.364911</v>
      </c>
      <c r="AB881" s="631">
        <v>0</v>
      </c>
      <c r="AC881" s="631">
        <v>0</v>
      </c>
      <c r="AD881" s="631">
        <f t="shared" si="13"/>
        <v>0</v>
      </c>
    </row>
    <row r="882" spans="2:30" x14ac:dyDescent="0.15">
      <c r="B882" s="630">
        <v>17111005926</v>
      </c>
      <c r="C882" s="630">
        <v>17111000039</v>
      </c>
      <c r="D882" s="630">
        <v>17111000040</v>
      </c>
      <c r="E882" s="630" t="s">
        <v>533</v>
      </c>
      <c r="F882" s="630" t="s">
        <v>534</v>
      </c>
      <c r="G882" s="630" t="s">
        <v>375</v>
      </c>
      <c r="H882" s="630" t="s">
        <v>636</v>
      </c>
      <c r="I882" s="630"/>
      <c r="J882" s="630"/>
      <c r="K882" s="630"/>
      <c r="L882" s="630"/>
      <c r="M882" s="630"/>
      <c r="N882" s="630"/>
      <c r="O882" s="630"/>
      <c r="P882" s="630"/>
      <c r="Q882" s="630"/>
      <c r="R882" s="630"/>
      <c r="S882" s="630"/>
      <c r="T882" s="630"/>
      <c r="U882" s="630" t="s">
        <v>538</v>
      </c>
      <c r="V882" s="630">
        <v>1</v>
      </c>
      <c r="W882" s="630" t="s">
        <v>560</v>
      </c>
      <c r="X882" s="630" t="s">
        <v>541</v>
      </c>
      <c r="Y882" s="630" t="s">
        <v>637</v>
      </c>
      <c r="Z882" s="630">
        <v>0.16050800000000001</v>
      </c>
      <c r="AA882" s="630">
        <v>0.25831300000000001</v>
      </c>
      <c r="AB882" s="631">
        <v>0</v>
      </c>
      <c r="AC882" s="631">
        <v>0</v>
      </c>
      <c r="AD882" s="631">
        <f t="shared" si="13"/>
        <v>0</v>
      </c>
    </row>
    <row r="883" spans="2:30" x14ac:dyDescent="0.15">
      <c r="B883" s="630">
        <v>17031006316</v>
      </c>
      <c r="C883" s="630">
        <v>17031004621</v>
      </c>
      <c r="D883" s="630">
        <v>17031000496</v>
      </c>
      <c r="E883" s="630" t="s">
        <v>533</v>
      </c>
      <c r="F883" s="630" t="s">
        <v>534</v>
      </c>
      <c r="G883" s="630" t="s">
        <v>365</v>
      </c>
      <c r="H883" s="630" t="s">
        <v>552</v>
      </c>
      <c r="I883" s="630"/>
      <c r="J883" s="630" t="s">
        <v>542</v>
      </c>
      <c r="K883" s="630" t="s">
        <v>547</v>
      </c>
      <c r="L883" s="630"/>
      <c r="M883" s="630"/>
      <c r="N883" s="630"/>
      <c r="O883" s="630"/>
      <c r="P883" s="630"/>
      <c r="Q883" s="630"/>
      <c r="R883" s="630"/>
      <c r="S883" s="630" t="s">
        <v>564</v>
      </c>
      <c r="T883" s="630"/>
      <c r="U883" s="630" t="s">
        <v>538</v>
      </c>
      <c r="V883" s="630">
        <v>3</v>
      </c>
      <c r="W883" s="630" t="s">
        <v>545</v>
      </c>
      <c r="X883" s="630" t="s">
        <v>541</v>
      </c>
      <c r="Y883" s="630" t="s">
        <v>540</v>
      </c>
      <c r="Z883" s="630">
        <v>3.3359E-2</v>
      </c>
      <c r="AA883" s="630">
        <v>5.3684999999999997E-2</v>
      </c>
      <c r="AB883" s="631">
        <v>26416</v>
      </c>
      <c r="AC883" s="631">
        <v>1321473</v>
      </c>
      <c r="AD883" s="631">
        <f t="shared" si="13"/>
        <v>44083.017806999997</v>
      </c>
    </row>
    <row r="884" spans="2:30" x14ac:dyDescent="0.15">
      <c r="B884" s="630">
        <v>17031001121</v>
      </c>
      <c r="C884" s="630">
        <v>17031001279</v>
      </c>
      <c r="D884" s="630">
        <v>17031001289</v>
      </c>
      <c r="E884" s="630" t="s">
        <v>533</v>
      </c>
      <c r="F884" s="630" t="s">
        <v>534</v>
      </c>
      <c r="G884" s="630" t="s">
        <v>365</v>
      </c>
      <c r="H884" s="630" t="s">
        <v>627</v>
      </c>
      <c r="I884" s="630"/>
      <c r="J884" s="630" t="s">
        <v>572</v>
      </c>
      <c r="K884" s="630"/>
      <c r="L884" s="630"/>
      <c r="M884" s="630"/>
      <c r="N884" s="630"/>
      <c r="O884" s="630"/>
      <c r="P884" s="630"/>
      <c r="Q884" s="630"/>
      <c r="R884" s="630"/>
      <c r="S884" s="630"/>
      <c r="T884" s="630"/>
      <c r="U884" s="630" t="s">
        <v>538</v>
      </c>
      <c r="V884" s="630">
        <v>2</v>
      </c>
      <c r="W884" s="630" t="s">
        <v>545</v>
      </c>
      <c r="X884" s="630" t="s">
        <v>541</v>
      </c>
      <c r="Y884" s="630" t="s">
        <v>540</v>
      </c>
      <c r="Z884" s="630">
        <v>2.4963410000000001</v>
      </c>
      <c r="AA884" s="630">
        <v>4.0174799999999999</v>
      </c>
      <c r="AB884" s="631">
        <v>23086</v>
      </c>
      <c r="AC884" s="631">
        <v>2039650</v>
      </c>
      <c r="AD884" s="631">
        <f t="shared" si="13"/>
        <v>5091661.9206500007</v>
      </c>
    </row>
    <row r="885" spans="2:30" x14ac:dyDescent="0.15">
      <c r="B885" s="630">
        <v>17089002007</v>
      </c>
      <c r="C885" s="630">
        <v>17089000990</v>
      </c>
      <c r="D885" s="630">
        <v>17089000971</v>
      </c>
      <c r="E885" s="630" t="s">
        <v>533</v>
      </c>
      <c r="F885" s="630" t="s">
        <v>534</v>
      </c>
      <c r="G885" s="630" t="s">
        <v>369</v>
      </c>
      <c r="H885" s="630" t="s">
        <v>381</v>
      </c>
      <c r="I885" s="630"/>
      <c r="J885" s="630" t="s">
        <v>547</v>
      </c>
      <c r="K885" s="630"/>
      <c r="L885" s="630"/>
      <c r="M885" s="630"/>
      <c r="N885" s="630"/>
      <c r="O885" s="630"/>
      <c r="P885" s="630"/>
      <c r="Q885" s="630"/>
      <c r="R885" s="630"/>
      <c r="S885" s="630" t="s">
        <v>585</v>
      </c>
      <c r="T885" s="630"/>
      <c r="U885" s="630" t="s">
        <v>559</v>
      </c>
      <c r="V885" s="630">
        <v>1</v>
      </c>
      <c r="W885" s="630" t="s">
        <v>560</v>
      </c>
      <c r="X885" s="630" t="s">
        <v>541</v>
      </c>
      <c r="Y885" s="630" t="s">
        <v>541</v>
      </c>
      <c r="Z885" s="630">
        <v>0.19717599999999999</v>
      </c>
      <c r="AA885" s="630">
        <v>0.31732500000000002</v>
      </c>
      <c r="AB885" s="631">
        <v>640</v>
      </c>
      <c r="AC885" s="631">
        <v>61280</v>
      </c>
      <c r="AD885" s="631">
        <f t="shared" si="13"/>
        <v>12082.94528</v>
      </c>
    </row>
    <row r="886" spans="2:30" x14ac:dyDescent="0.15">
      <c r="B886" s="630">
        <v>17031002369</v>
      </c>
      <c r="C886" s="630">
        <v>17031001578</v>
      </c>
      <c r="D886" s="630">
        <v>17031001587</v>
      </c>
      <c r="E886" s="630" t="s">
        <v>533</v>
      </c>
      <c r="F886" s="630" t="s">
        <v>534</v>
      </c>
      <c r="G886" s="630" t="s">
        <v>365</v>
      </c>
      <c r="H886" s="630" t="s">
        <v>382</v>
      </c>
      <c r="I886" s="630"/>
      <c r="J886" s="630" t="s">
        <v>551</v>
      </c>
      <c r="K886" s="630" t="s">
        <v>555</v>
      </c>
      <c r="L886" s="630"/>
      <c r="M886" s="630"/>
      <c r="N886" s="630"/>
      <c r="O886" s="630"/>
      <c r="P886" s="630"/>
      <c r="Q886" s="630"/>
      <c r="R886" s="630"/>
      <c r="S886" s="630" t="s">
        <v>556</v>
      </c>
      <c r="T886" s="630"/>
      <c r="U886" s="630" t="s">
        <v>538</v>
      </c>
      <c r="V886" s="630">
        <v>2</v>
      </c>
      <c r="W886" s="630" t="s">
        <v>545</v>
      </c>
      <c r="X886" s="630" t="s">
        <v>580</v>
      </c>
      <c r="Y886" s="630" t="s">
        <v>540</v>
      </c>
      <c r="Z886" s="630">
        <v>0.11637599999999999</v>
      </c>
      <c r="AA886" s="630">
        <v>0.18729000000000001</v>
      </c>
      <c r="AB886" s="631">
        <v>865530</v>
      </c>
      <c r="AC886" s="631">
        <v>33874541</v>
      </c>
      <c r="AD886" s="631">
        <f t="shared" si="13"/>
        <v>3942183.5834159995</v>
      </c>
    </row>
    <row r="887" spans="2:30" x14ac:dyDescent="0.15">
      <c r="B887" s="630">
        <v>17031002391</v>
      </c>
      <c r="C887" s="630">
        <v>17031000562</v>
      </c>
      <c r="D887" s="630">
        <v>17031000559</v>
      </c>
      <c r="E887" s="630" t="s">
        <v>533</v>
      </c>
      <c r="F887" s="630" t="s">
        <v>534</v>
      </c>
      <c r="G887" s="630" t="s">
        <v>365</v>
      </c>
      <c r="H887" s="630" t="s">
        <v>552</v>
      </c>
      <c r="I887" s="630"/>
      <c r="J887" s="630" t="s">
        <v>542</v>
      </c>
      <c r="K887" s="630" t="s">
        <v>547</v>
      </c>
      <c r="L887" s="630"/>
      <c r="M887" s="630"/>
      <c r="N887" s="630"/>
      <c r="O887" s="630"/>
      <c r="P887" s="630"/>
      <c r="Q887" s="630"/>
      <c r="R887" s="630"/>
      <c r="S887" s="630" t="s">
        <v>564</v>
      </c>
      <c r="T887" s="630"/>
      <c r="U887" s="630" t="s">
        <v>538</v>
      </c>
      <c r="V887" s="630">
        <v>3</v>
      </c>
      <c r="W887" s="630" t="s">
        <v>545</v>
      </c>
      <c r="X887" s="630" t="s">
        <v>541</v>
      </c>
      <c r="Y887" s="630" t="s">
        <v>540</v>
      </c>
      <c r="Z887" s="630">
        <v>0.13687199999999999</v>
      </c>
      <c r="AA887" s="630">
        <v>0.220275</v>
      </c>
      <c r="AB887" s="631">
        <v>26416</v>
      </c>
      <c r="AC887" s="631">
        <v>1321473</v>
      </c>
      <c r="AD887" s="631">
        <f t="shared" si="13"/>
        <v>180872.65245599998</v>
      </c>
    </row>
    <row r="888" spans="2:30" x14ac:dyDescent="0.15">
      <c r="B888" s="630">
        <v>17043002420</v>
      </c>
      <c r="C888" s="630">
        <v>17043000380</v>
      </c>
      <c r="D888" s="630">
        <v>17043000387</v>
      </c>
      <c r="E888" s="630" t="s">
        <v>533</v>
      </c>
      <c r="F888" s="630" t="s">
        <v>534</v>
      </c>
      <c r="G888" s="630" t="s">
        <v>367</v>
      </c>
      <c r="H888" s="630" t="s">
        <v>638</v>
      </c>
      <c r="I888" s="630"/>
      <c r="J888" s="630"/>
      <c r="K888" s="630"/>
      <c r="L888" s="630"/>
      <c r="M888" s="630"/>
      <c r="N888" s="630"/>
      <c r="O888" s="630"/>
      <c r="P888" s="630"/>
      <c r="Q888" s="630"/>
      <c r="R888" s="630"/>
      <c r="S888" s="630"/>
      <c r="T888" s="630"/>
      <c r="U888" s="630" t="s">
        <v>559</v>
      </c>
      <c r="V888" s="630">
        <v>1</v>
      </c>
      <c r="W888" s="630" t="s">
        <v>560</v>
      </c>
      <c r="X888" s="630" t="s">
        <v>541</v>
      </c>
      <c r="Y888" s="630" t="s">
        <v>541</v>
      </c>
      <c r="Z888" s="630">
        <v>0.194323</v>
      </c>
      <c r="AA888" s="630">
        <v>0.31273299999999998</v>
      </c>
      <c r="AB888" s="631">
        <v>0</v>
      </c>
      <c r="AC888" s="631">
        <v>0</v>
      </c>
      <c r="AD888" s="631">
        <f t="shared" si="13"/>
        <v>0</v>
      </c>
    </row>
    <row r="889" spans="2:30" x14ac:dyDescent="0.15">
      <c r="B889" s="630">
        <v>17031002421</v>
      </c>
      <c r="C889" s="630">
        <v>17031000475</v>
      </c>
      <c r="D889" s="630">
        <v>17031004639</v>
      </c>
      <c r="E889" s="630" t="s">
        <v>533</v>
      </c>
      <c r="F889" s="630" t="s">
        <v>534</v>
      </c>
      <c r="G889" s="630" t="s">
        <v>365</v>
      </c>
      <c r="H889" s="630" t="s">
        <v>552</v>
      </c>
      <c r="I889" s="630"/>
      <c r="J889" s="630" t="s">
        <v>551</v>
      </c>
      <c r="K889" s="630" t="s">
        <v>547</v>
      </c>
      <c r="L889" s="630" t="s">
        <v>382</v>
      </c>
      <c r="M889" s="630" t="s">
        <v>563</v>
      </c>
      <c r="N889" s="630"/>
      <c r="O889" s="630"/>
      <c r="P889" s="630"/>
      <c r="Q889" s="630"/>
      <c r="R889" s="630"/>
      <c r="S889" s="630" t="s">
        <v>589</v>
      </c>
      <c r="T889" s="630"/>
      <c r="U889" s="630" t="s">
        <v>538</v>
      </c>
      <c r="V889" s="630">
        <v>3</v>
      </c>
      <c r="W889" s="630" t="s">
        <v>545</v>
      </c>
      <c r="X889" s="630" t="s">
        <v>549</v>
      </c>
      <c r="Y889" s="630" t="s">
        <v>549</v>
      </c>
      <c r="Z889" s="630">
        <v>0.30520999999999998</v>
      </c>
      <c r="AA889" s="630">
        <v>0.49118899999999999</v>
      </c>
      <c r="AB889" s="631">
        <v>313574</v>
      </c>
      <c r="AC889" s="631">
        <v>20645328</v>
      </c>
      <c r="AD889" s="631">
        <f t="shared" si="13"/>
        <v>6301160.5588799994</v>
      </c>
    </row>
    <row r="890" spans="2:30" x14ac:dyDescent="0.15">
      <c r="B890" s="630">
        <v>17031002599</v>
      </c>
      <c r="C890" s="630">
        <v>17031004695</v>
      </c>
      <c r="D890" s="630">
        <v>17031004696</v>
      </c>
      <c r="E890" s="630" t="s">
        <v>533</v>
      </c>
      <c r="F890" s="630" t="s">
        <v>534</v>
      </c>
      <c r="G890" s="630" t="s">
        <v>365</v>
      </c>
      <c r="H890" s="630" t="s">
        <v>547</v>
      </c>
      <c r="I890" s="630"/>
      <c r="J890" s="630" t="s">
        <v>577</v>
      </c>
      <c r="K890" s="630" t="s">
        <v>551</v>
      </c>
      <c r="L890" s="630" t="s">
        <v>615</v>
      </c>
      <c r="M890" s="630"/>
      <c r="N890" s="630"/>
      <c r="O890" s="630"/>
      <c r="P890" s="630"/>
      <c r="Q890" s="630"/>
      <c r="R890" s="630"/>
      <c r="S890" s="630" t="s">
        <v>581</v>
      </c>
      <c r="T890" s="630"/>
      <c r="U890" s="630" t="s">
        <v>538</v>
      </c>
      <c r="V890" s="630">
        <v>2</v>
      </c>
      <c r="W890" s="630" t="s">
        <v>582</v>
      </c>
      <c r="X890" s="630" t="s">
        <v>540</v>
      </c>
      <c r="Y890" s="630" t="s">
        <v>540</v>
      </c>
      <c r="Z890" s="630">
        <v>1.0622579999999999</v>
      </c>
      <c r="AA890" s="630">
        <v>1.709541</v>
      </c>
      <c r="AB890" s="631">
        <v>89629</v>
      </c>
      <c r="AC890" s="631">
        <v>8779272</v>
      </c>
      <c r="AD890" s="631">
        <f t="shared" si="13"/>
        <v>9325851.9161759987</v>
      </c>
    </row>
    <row r="891" spans="2:30" x14ac:dyDescent="0.15">
      <c r="B891" s="630">
        <v>17031003015</v>
      </c>
      <c r="C891" s="630">
        <v>17031000972</v>
      </c>
      <c r="D891" s="630">
        <v>17031000953</v>
      </c>
      <c r="E891" s="630" t="s">
        <v>533</v>
      </c>
      <c r="F891" s="630" t="s">
        <v>534</v>
      </c>
      <c r="G891" s="630" t="s">
        <v>365</v>
      </c>
      <c r="H891" s="630" t="s">
        <v>571</v>
      </c>
      <c r="I891" s="630"/>
      <c r="J891" s="630" t="s">
        <v>381</v>
      </c>
      <c r="K891" s="630" t="s">
        <v>535</v>
      </c>
      <c r="L891" s="630" t="s">
        <v>552</v>
      </c>
      <c r="M891" s="630" t="s">
        <v>551</v>
      </c>
      <c r="N891" s="630" t="s">
        <v>382</v>
      </c>
      <c r="O891" s="630" t="s">
        <v>563</v>
      </c>
      <c r="P891" s="630" t="s">
        <v>543</v>
      </c>
      <c r="Q891" s="630"/>
      <c r="R891" s="630"/>
      <c r="S891" s="630" t="s">
        <v>622</v>
      </c>
      <c r="T891" s="630"/>
      <c r="U891" s="630" t="s">
        <v>538</v>
      </c>
      <c r="V891" s="630">
        <v>1</v>
      </c>
      <c r="W891" s="630" t="s">
        <v>545</v>
      </c>
      <c r="X891" s="630" t="s">
        <v>554</v>
      </c>
      <c r="Y891" s="630" t="s">
        <v>541</v>
      </c>
      <c r="Z891" s="630">
        <v>0.29472700000000002</v>
      </c>
      <c r="AA891" s="630">
        <v>0.47431800000000002</v>
      </c>
      <c r="AB891" s="631">
        <v>6432</v>
      </c>
      <c r="AC891" s="631">
        <v>563472</v>
      </c>
      <c r="AD891" s="631">
        <f t="shared" si="13"/>
        <v>166070.412144</v>
      </c>
    </row>
    <row r="892" spans="2:30" x14ac:dyDescent="0.15">
      <c r="B892" s="630">
        <v>17031003119</v>
      </c>
      <c r="C892" s="630">
        <v>17031001131</v>
      </c>
      <c r="D892" s="630">
        <v>17031001124</v>
      </c>
      <c r="E892" s="630" t="s">
        <v>533</v>
      </c>
      <c r="F892" s="630" t="s">
        <v>534</v>
      </c>
      <c r="G892" s="630" t="s">
        <v>365</v>
      </c>
      <c r="H892" s="630" t="s">
        <v>661</v>
      </c>
      <c r="I892" s="630"/>
      <c r="J892" s="630"/>
      <c r="K892" s="630"/>
      <c r="L892" s="630"/>
      <c r="M892" s="630"/>
      <c r="N892" s="630"/>
      <c r="O892" s="630"/>
      <c r="P892" s="630"/>
      <c r="Q892" s="630"/>
      <c r="R892" s="630"/>
      <c r="S892" s="630"/>
      <c r="T892" s="630"/>
      <c r="U892" s="630" t="s">
        <v>538</v>
      </c>
      <c r="V892" s="630">
        <v>1</v>
      </c>
      <c r="W892" s="630" t="s">
        <v>560</v>
      </c>
      <c r="X892" s="630" t="s">
        <v>541</v>
      </c>
      <c r="Y892" s="630" t="s">
        <v>541</v>
      </c>
      <c r="Z892" s="630">
        <v>0.50889200000000001</v>
      </c>
      <c r="AA892" s="630">
        <v>0.81898400000000005</v>
      </c>
      <c r="AB892" s="631">
        <v>0</v>
      </c>
      <c r="AC892" s="631">
        <v>0</v>
      </c>
      <c r="AD892" s="631">
        <f t="shared" si="13"/>
        <v>0</v>
      </c>
    </row>
    <row r="893" spans="2:30" x14ac:dyDescent="0.15">
      <c r="B893" s="630">
        <v>17031003285</v>
      </c>
      <c r="C893" s="630">
        <v>17031004641</v>
      </c>
      <c r="D893" s="630">
        <v>17031000479</v>
      </c>
      <c r="E893" s="630" t="s">
        <v>533</v>
      </c>
      <c r="F893" s="630" t="s">
        <v>534</v>
      </c>
      <c r="G893" s="630" t="s">
        <v>365</v>
      </c>
      <c r="H893" s="630" t="s">
        <v>552</v>
      </c>
      <c r="I893" s="630"/>
      <c r="J893" s="630" t="s">
        <v>551</v>
      </c>
      <c r="K893" s="630" t="s">
        <v>547</v>
      </c>
      <c r="L893" s="630" t="s">
        <v>382</v>
      </c>
      <c r="M893" s="630" t="s">
        <v>563</v>
      </c>
      <c r="N893" s="630"/>
      <c r="O893" s="630"/>
      <c r="P893" s="630"/>
      <c r="Q893" s="630"/>
      <c r="R893" s="630"/>
      <c r="S893" s="630" t="s">
        <v>589</v>
      </c>
      <c r="T893" s="630" t="s">
        <v>691</v>
      </c>
      <c r="U893" s="630" t="s">
        <v>538</v>
      </c>
      <c r="V893" s="630">
        <v>3</v>
      </c>
      <c r="W893" s="630" t="s">
        <v>545</v>
      </c>
      <c r="X893" s="630" t="s">
        <v>549</v>
      </c>
      <c r="Y893" s="630" t="s">
        <v>549</v>
      </c>
      <c r="Z893" s="630">
        <v>0.68124700000000005</v>
      </c>
      <c r="AA893" s="630">
        <v>1.096363</v>
      </c>
      <c r="AB893" s="631">
        <v>313574</v>
      </c>
      <c r="AC893" s="631">
        <v>20645328</v>
      </c>
      <c r="AD893" s="631">
        <f t="shared" si="13"/>
        <v>14064567.764016001</v>
      </c>
    </row>
    <row r="894" spans="2:30" x14ac:dyDescent="0.15">
      <c r="B894" s="630">
        <v>17031003299</v>
      </c>
      <c r="C894" s="630">
        <v>17031004671</v>
      </c>
      <c r="D894" s="630">
        <v>17031004672</v>
      </c>
      <c r="E894" s="630" t="s">
        <v>533</v>
      </c>
      <c r="F894" s="630" t="s">
        <v>534</v>
      </c>
      <c r="G894" s="630" t="s">
        <v>365</v>
      </c>
      <c r="H894" s="630" t="s">
        <v>551</v>
      </c>
      <c r="I894" s="630"/>
      <c r="J894" s="630" t="s">
        <v>535</v>
      </c>
      <c r="K894" s="630"/>
      <c r="L894" s="630"/>
      <c r="M894" s="630"/>
      <c r="N894" s="630"/>
      <c r="O894" s="630"/>
      <c r="P894" s="630"/>
      <c r="Q894" s="630"/>
      <c r="R894" s="630"/>
      <c r="S894" s="630" t="s">
        <v>667</v>
      </c>
      <c r="T894" s="630"/>
      <c r="U894" s="630" t="s">
        <v>538</v>
      </c>
      <c r="V894" s="630">
        <v>2</v>
      </c>
      <c r="W894" s="630" t="s">
        <v>582</v>
      </c>
      <c r="X894" s="630" t="s">
        <v>541</v>
      </c>
      <c r="Y894" s="630" t="s">
        <v>541</v>
      </c>
      <c r="Z894" s="630">
        <v>1.0304660000000001</v>
      </c>
      <c r="AA894" s="630">
        <v>1.6583779999999999</v>
      </c>
      <c r="AB894" s="631">
        <v>0</v>
      </c>
      <c r="AC894" s="631">
        <v>0</v>
      </c>
      <c r="AD894" s="631">
        <f t="shared" si="13"/>
        <v>0</v>
      </c>
    </row>
    <row r="895" spans="2:30" x14ac:dyDescent="0.15">
      <c r="B895" s="630">
        <v>17031003822</v>
      </c>
      <c r="C895" s="630">
        <v>17031000777</v>
      </c>
      <c r="D895" s="630">
        <v>17031000776</v>
      </c>
      <c r="E895" s="630" t="s">
        <v>533</v>
      </c>
      <c r="F895" s="630" t="s">
        <v>534</v>
      </c>
      <c r="G895" s="630" t="s">
        <v>365</v>
      </c>
      <c r="H895" s="630" t="s">
        <v>535</v>
      </c>
      <c r="I895" s="630"/>
      <c r="J895" s="630" t="s">
        <v>542</v>
      </c>
      <c r="K895" s="630" t="s">
        <v>572</v>
      </c>
      <c r="L895" s="630" t="s">
        <v>547</v>
      </c>
      <c r="M895" s="630" t="s">
        <v>382</v>
      </c>
      <c r="N895" s="630"/>
      <c r="O895" s="630"/>
      <c r="P895" s="630"/>
      <c r="Q895" s="630"/>
      <c r="R895" s="630"/>
      <c r="S895" s="630" t="s">
        <v>601</v>
      </c>
      <c r="T895" s="630"/>
      <c r="U895" s="630" t="s">
        <v>538</v>
      </c>
      <c r="V895" s="630">
        <v>2</v>
      </c>
      <c r="W895" s="630" t="s">
        <v>545</v>
      </c>
      <c r="X895" s="630" t="s">
        <v>540</v>
      </c>
      <c r="Y895" s="630" t="s">
        <v>549</v>
      </c>
      <c r="Z895" s="630">
        <v>6.5660999999999997E-2</v>
      </c>
      <c r="AA895" s="630">
        <v>0.105671</v>
      </c>
      <c r="AB895" s="631">
        <v>103316</v>
      </c>
      <c r="AC895" s="631">
        <v>4167946</v>
      </c>
      <c r="AD895" s="631">
        <f t="shared" si="13"/>
        <v>273671.50230599998</v>
      </c>
    </row>
    <row r="896" spans="2:30" x14ac:dyDescent="0.15">
      <c r="B896" s="630">
        <v>17031003838</v>
      </c>
      <c r="C896" s="630">
        <v>17031000409</v>
      </c>
      <c r="D896" s="630">
        <v>17031004620</v>
      </c>
      <c r="E896" s="630" t="s">
        <v>533</v>
      </c>
      <c r="F896" s="630" t="s">
        <v>534</v>
      </c>
      <c r="G896" s="630" t="s">
        <v>365</v>
      </c>
      <c r="H896" s="630" t="s">
        <v>552</v>
      </c>
      <c r="I896" s="630"/>
      <c r="J896" s="630" t="s">
        <v>542</v>
      </c>
      <c r="K896" s="630" t="s">
        <v>547</v>
      </c>
      <c r="L896" s="630" t="s">
        <v>563</v>
      </c>
      <c r="M896" s="630"/>
      <c r="N896" s="630"/>
      <c r="O896" s="630"/>
      <c r="P896" s="630"/>
      <c r="Q896" s="630"/>
      <c r="R896" s="630"/>
      <c r="S896" s="630" t="s">
        <v>564</v>
      </c>
      <c r="T896" s="630"/>
      <c r="U896" s="630" t="s">
        <v>538</v>
      </c>
      <c r="V896" s="630">
        <v>2</v>
      </c>
      <c r="W896" s="630" t="s">
        <v>545</v>
      </c>
      <c r="X896" s="630" t="s">
        <v>541</v>
      </c>
      <c r="Y896" s="630" t="s">
        <v>549</v>
      </c>
      <c r="Z896" s="630">
        <v>0.861124</v>
      </c>
      <c r="AA896" s="630">
        <v>1.3858470000000001</v>
      </c>
      <c r="AB896" s="631">
        <v>27538</v>
      </c>
      <c r="AC896" s="631">
        <v>2609253</v>
      </c>
      <c r="AD896" s="631">
        <f t="shared" si="13"/>
        <v>2246890.3803719999</v>
      </c>
    </row>
    <row r="897" spans="2:30" x14ac:dyDescent="0.15">
      <c r="B897" s="630">
        <v>17031006160</v>
      </c>
      <c r="C897" s="630">
        <v>17031001498</v>
      </c>
      <c r="D897" s="630">
        <v>17031001516</v>
      </c>
      <c r="E897" s="630" t="s">
        <v>533</v>
      </c>
      <c r="F897" s="630" t="s">
        <v>534</v>
      </c>
      <c r="G897" s="630" t="s">
        <v>365</v>
      </c>
      <c r="H897" s="630" t="s">
        <v>382</v>
      </c>
      <c r="I897" s="630"/>
      <c r="J897" s="630"/>
      <c r="K897" s="630"/>
      <c r="L897" s="630"/>
      <c r="M897" s="630"/>
      <c r="N897" s="630"/>
      <c r="O897" s="630"/>
      <c r="P897" s="630"/>
      <c r="Q897" s="630"/>
      <c r="R897" s="630"/>
      <c r="S897" s="630" t="s">
        <v>576</v>
      </c>
      <c r="T897" s="630"/>
      <c r="U897" s="630" t="s">
        <v>559</v>
      </c>
      <c r="V897" s="630">
        <v>1</v>
      </c>
      <c r="W897" s="630" t="s">
        <v>560</v>
      </c>
      <c r="X897" s="630" t="s">
        <v>541</v>
      </c>
      <c r="Y897" s="630" t="s">
        <v>541</v>
      </c>
      <c r="Z897" s="630">
        <v>0.31131799999999998</v>
      </c>
      <c r="AA897" s="630">
        <v>0.50101899999999999</v>
      </c>
      <c r="AB897" s="631">
        <v>0</v>
      </c>
      <c r="AC897" s="631">
        <v>0</v>
      </c>
      <c r="AD897" s="631">
        <f t="shared" si="13"/>
        <v>0</v>
      </c>
    </row>
    <row r="898" spans="2:30" x14ac:dyDescent="0.15">
      <c r="B898" s="630">
        <v>17031008721</v>
      </c>
      <c r="C898" s="630">
        <v>17031006778</v>
      </c>
      <c r="D898" s="630">
        <v>17031001024</v>
      </c>
      <c r="E898" s="630" t="s">
        <v>533</v>
      </c>
      <c r="F898" s="630" t="s">
        <v>534</v>
      </c>
      <c r="G898" s="630" t="s">
        <v>365</v>
      </c>
      <c r="H898" s="630" t="s">
        <v>571</v>
      </c>
      <c r="I898" s="630"/>
      <c r="J898" s="630" t="s">
        <v>552</v>
      </c>
      <c r="K898" s="630" t="s">
        <v>572</v>
      </c>
      <c r="L898" s="630" t="s">
        <v>551</v>
      </c>
      <c r="M898" s="630" t="s">
        <v>555</v>
      </c>
      <c r="N898" s="630" t="s">
        <v>543</v>
      </c>
      <c r="O898" s="630" t="s">
        <v>382</v>
      </c>
      <c r="P898" s="630" t="s">
        <v>535</v>
      </c>
      <c r="Q898" s="630" t="s">
        <v>381</v>
      </c>
      <c r="R898" s="630"/>
      <c r="S898" s="630" t="s">
        <v>573</v>
      </c>
      <c r="T898" s="630" t="s">
        <v>677</v>
      </c>
      <c r="U898" s="630" t="s">
        <v>538</v>
      </c>
      <c r="V898" s="630">
        <v>2</v>
      </c>
      <c r="W898" s="630" t="s">
        <v>545</v>
      </c>
      <c r="X898" s="630" t="s">
        <v>580</v>
      </c>
      <c r="Y898" s="630" t="s">
        <v>554</v>
      </c>
      <c r="Z898" s="630">
        <v>2.3147999999999998E-2</v>
      </c>
      <c r="AA898" s="630">
        <v>3.7253000000000001E-2</v>
      </c>
      <c r="AB898" s="631">
        <v>371285</v>
      </c>
      <c r="AC898" s="631">
        <v>16601511</v>
      </c>
      <c r="AD898" s="631">
        <f t="shared" si="13"/>
        <v>384291.77662799996</v>
      </c>
    </row>
    <row r="899" spans="2:30" x14ac:dyDescent="0.15">
      <c r="B899" s="630">
        <v>17089002045</v>
      </c>
      <c r="C899" s="630">
        <v>17089004847</v>
      </c>
      <c r="D899" s="630">
        <v>17089004848</v>
      </c>
      <c r="E899" s="630" t="s">
        <v>533</v>
      </c>
      <c r="F899" s="630" t="s">
        <v>534</v>
      </c>
      <c r="G899" s="630" t="s">
        <v>369</v>
      </c>
      <c r="H899" s="630" t="s">
        <v>382</v>
      </c>
      <c r="I899" s="630"/>
      <c r="J899" s="630" t="s">
        <v>547</v>
      </c>
      <c r="K899" s="630"/>
      <c r="L899" s="630"/>
      <c r="M899" s="630"/>
      <c r="N899" s="630"/>
      <c r="O899" s="630"/>
      <c r="P899" s="630"/>
      <c r="Q899" s="630"/>
      <c r="R899" s="630"/>
      <c r="S899" s="630" t="s">
        <v>583</v>
      </c>
      <c r="T899" s="630"/>
      <c r="U899" s="630" t="s">
        <v>538</v>
      </c>
      <c r="V899" s="630">
        <v>3</v>
      </c>
      <c r="W899" s="630" t="s">
        <v>588</v>
      </c>
      <c r="X899" s="630" t="s">
        <v>575</v>
      </c>
      <c r="Y899" s="630" t="s">
        <v>549</v>
      </c>
      <c r="Z899" s="630">
        <v>2.4800740000000001</v>
      </c>
      <c r="AA899" s="630">
        <v>3.9912999999999998</v>
      </c>
      <c r="AB899" s="631">
        <v>1830185</v>
      </c>
      <c r="AC899" s="631">
        <v>58575731</v>
      </c>
      <c r="AD899" s="631">
        <f t="shared" si="13"/>
        <v>145272147.48409399</v>
      </c>
    </row>
    <row r="900" spans="2:30" x14ac:dyDescent="0.15">
      <c r="B900" s="630">
        <v>17031002357</v>
      </c>
      <c r="C900" s="630">
        <v>17031001364</v>
      </c>
      <c r="D900" s="630">
        <v>17031001362</v>
      </c>
      <c r="E900" s="630" t="s">
        <v>533</v>
      </c>
      <c r="F900" s="630" t="s">
        <v>534</v>
      </c>
      <c r="G900" s="630" t="s">
        <v>365</v>
      </c>
      <c r="H900" s="630" t="s">
        <v>557</v>
      </c>
      <c r="I900" s="630"/>
      <c r="J900" s="630" t="s">
        <v>569</v>
      </c>
      <c r="K900" s="630" t="s">
        <v>535</v>
      </c>
      <c r="L900" s="630" t="s">
        <v>551</v>
      </c>
      <c r="M900" s="630" t="s">
        <v>543</v>
      </c>
      <c r="N900" s="630" t="s">
        <v>382</v>
      </c>
      <c r="O900" s="630" t="s">
        <v>552</v>
      </c>
      <c r="P900" s="630" t="s">
        <v>555</v>
      </c>
      <c r="Q900" s="630"/>
      <c r="R900" s="630"/>
      <c r="S900" s="630" t="s">
        <v>570</v>
      </c>
      <c r="T900" s="630"/>
      <c r="U900" s="630" t="s">
        <v>538</v>
      </c>
      <c r="V900" s="630">
        <v>2</v>
      </c>
      <c r="W900" s="630" t="s">
        <v>545</v>
      </c>
      <c r="X900" s="630" t="s">
        <v>546</v>
      </c>
      <c r="Y900" s="630" t="s">
        <v>554</v>
      </c>
      <c r="Z900" s="630">
        <v>0.104766</v>
      </c>
      <c r="AA900" s="630">
        <v>0.168605</v>
      </c>
      <c r="AB900" s="631">
        <v>1034589</v>
      </c>
      <c r="AC900" s="631">
        <v>27994211</v>
      </c>
      <c r="AD900" s="631">
        <f t="shared" si="13"/>
        <v>2932841.5096259997</v>
      </c>
    </row>
    <row r="901" spans="2:30" x14ac:dyDescent="0.15">
      <c r="B901" s="630">
        <v>17197003327</v>
      </c>
      <c r="C901" s="630">
        <v>17999024193</v>
      </c>
      <c r="D901" s="630">
        <v>17197004792</v>
      </c>
      <c r="E901" s="630" t="s">
        <v>533</v>
      </c>
      <c r="F901" s="630" t="s">
        <v>534</v>
      </c>
      <c r="G901" s="630" t="s">
        <v>377</v>
      </c>
      <c r="H901" s="630" t="s">
        <v>535</v>
      </c>
      <c r="I901" s="630"/>
      <c r="J901" s="630" t="s">
        <v>382</v>
      </c>
      <c r="K901" s="630" t="s">
        <v>536</v>
      </c>
      <c r="L901" s="630"/>
      <c r="M901" s="630"/>
      <c r="N901" s="630"/>
      <c r="O901" s="630"/>
      <c r="P901" s="630"/>
      <c r="Q901" s="630"/>
      <c r="R901" s="630"/>
      <c r="S901" s="630" t="s">
        <v>537</v>
      </c>
      <c r="T901" s="630"/>
      <c r="U901" s="630" t="s">
        <v>538</v>
      </c>
      <c r="V901" s="630">
        <v>1</v>
      </c>
      <c r="W901" s="630" t="s">
        <v>545</v>
      </c>
      <c r="X901" s="630" t="s">
        <v>540</v>
      </c>
      <c r="Y901" s="630" t="s">
        <v>549</v>
      </c>
      <c r="Z901" s="630">
        <v>2.4914700000000001</v>
      </c>
      <c r="AA901" s="630">
        <v>4.0096410000000002</v>
      </c>
      <c r="AB901" s="631">
        <v>30651</v>
      </c>
      <c r="AC901" s="631">
        <v>2787674</v>
      </c>
      <c r="AD901" s="631">
        <f t="shared" si="13"/>
        <v>6945406.14078</v>
      </c>
    </row>
    <row r="902" spans="2:30" x14ac:dyDescent="0.15">
      <c r="B902" s="630">
        <v>17031004838</v>
      </c>
      <c r="C902" s="630">
        <v>17031006725</v>
      </c>
      <c r="D902" s="630">
        <v>17031006727</v>
      </c>
      <c r="E902" s="630" t="s">
        <v>533</v>
      </c>
      <c r="F902" s="630" t="s">
        <v>534</v>
      </c>
      <c r="G902" s="630" t="s">
        <v>365</v>
      </c>
      <c r="H902" s="630" t="s">
        <v>577</v>
      </c>
      <c r="I902" s="630"/>
      <c r="J902" s="630"/>
      <c r="K902" s="630"/>
      <c r="L902" s="630"/>
      <c r="M902" s="630"/>
      <c r="N902" s="630"/>
      <c r="O902" s="630"/>
      <c r="P902" s="630"/>
      <c r="Q902" s="630"/>
      <c r="R902" s="630"/>
      <c r="S902" s="630"/>
      <c r="T902" s="630"/>
      <c r="U902" s="630" t="s">
        <v>559</v>
      </c>
      <c r="V902" s="630">
        <v>1</v>
      </c>
      <c r="W902" s="630" t="s">
        <v>560</v>
      </c>
      <c r="X902" s="630" t="s">
        <v>541</v>
      </c>
      <c r="Y902" s="630" t="s">
        <v>541</v>
      </c>
      <c r="Z902" s="630">
        <v>0.108917</v>
      </c>
      <c r="AA902" s="630">
        <v>0.175285</v>
      </c>
      <c r="AB902" s="631">
        <v>0</v>
      </c>
      <c r="AC902" s="631">
        <v>0</v>
      </c>
      <c r="AD902" s="631">
        <f t="shared" ref="AD902:AD965" si="14">AC902*Z902</f>
        <v>0</v>
      </c>
    </row>
    <row r="903" spans="2:30" x14ac:dyDescent="0.15">
      <c r="B903" s="630">
        <v>17031006174</v>
      </c>
      <c r="C903" s="630">
        <v>17031000680</v>
      </c>
      <c r="D903" s="630">
        <v>17031000677</v>
      </c>
      <c r="E903" s="630" t="s">
        <v>533</v>
      </c>
      <c r="F903" s="630" t="s">
        <v>534</v>
      </c>
      <c r="G903" s="630" t="s">
        <v>365</v>
      </c>
      <c r="H903" s="630" t="s">
        <v>551</v>
      </c>
      <c r="I903" s="630"/>
      <c r="J903" s="630"/>
      <c r="K903" s="630"/>
      <c r="L903" s="630"/>
      <c r="M903" s="630"/>
      <c r="N903" s="630"/>
      <c r="O903" s="630"/>
      <c r="P903" s="630"/>
      <c r="Q903" s="630"/>
      <c r="R903" s="630"/>
      <c r="S903" s="630"/>
      <c r="T903" s="630"/>
      <c r="U903" s="630" t="s">
        <v>538</v>
      </c>
      <c r="V903" s="630">
        <v>1</v>
      </c>
      <c r="W903" s="630" t="s">
        <v>560</v>
      </c>
      <c r="X903" s="630" t="s">
        <v>541</v>
      </c>
      <c r="Y903" s="630" t="s">
        <v>541</v>
      </c>
      <c r="Z903" s="630">
        <v>4.2894000000000002E-2</v>
      </c>
      <c r="AA903" s="630">
        <v>6.9030999999999995E-2</v>
      </c>
      <c r="AB903" s="631">
        <v>0</v>
      </c>
      <c r="AC903" s="631">
        <v>0</v>
      </c>
      <c r="AD903" s="631">
        <f t="shared" si="14"/>
        <v>0</v>
      </c>
    </row>
    <row r="904" spans="2:30" x14ac:dyDescent="0.15">
      <c r="B904" s="630">
        <v>17111002557</v>
      </c>
      <c r="C904" s="630">
        <v>17111000158</v>
      </c>
      <c r="D904" s="630">
        <v>17111000154</v>
      </c>
      <c r="E904" s="630" t="s">
        <v>533</v>
      </c>
      <c r="F904" s="630" t="s">
        <v>534</v>
      </c>
      <c r="G904" s="630" t="s">
        <v>375</v>
      </c>
      <c r="H904" s="630" t="s">
        <v>678</v>
      </c>
      <c r="I904" s="630"/>
      <c r="J904" s="630"/>
      <c r="K904" s="630"/>
      <c r="L904" s="630"/>
      <c r="M904" s="630"/>
      <c r="N904" s="630"/>
      <c r="O904" s="630"/>
      <c r="P904" s="630"/>
      <c r="Q904" s="630"/>
      <c r="R904" s="630"/>
      <c r="S904" s="630"/>
      <c r="T904" s="630"/>
      <c r="U904" s="630" t="s">
        <v>538</v>
      </c>
      <c r="V904" s="630">
        <v>1</v>
      </c>
      <c r="W904" s="630" t="s">
        <v>560</v>
      </c>
      <c r="X904" s="630" t="s">
        <v>541</v>
      </c>
      <c r="Y904" s="630" t="s">
        <v>541</v>
      </c>
      <c r="Z904" s="630">
        <v>0.473055</v>
      </c>
      <c r="AA904" s="630">
        <v>0.76130900000000001</v>
      </c>
      <c r="AB904" s="631">
        <v>0</v>
      </c>
      <c r="AC904" s="631">
        <v>0</v>
      </c>
      <c r="AD904" s="631">
        <f t="shared" si="14"/>
        <v>0</v>
      </c>
    </row>
    <row r="905" spans="2:30" x14ac:dyDescent="0.15">
      <c r="B905" s="630">
        <v>17197002627</v>
      </c>
      <c r="C905" s="630">
        <v>17197001569</v>
      </c>
      <c r="D905" s="630">
        <v>17197001555</v>
      </c>
      <c r="E905" s="630" t="s">
        <v>533</v>
      </c>
      <c r="F905" s="630" t="s">
        <v>534</v>
      </c>
      <c r="G905" s="630" t="s">
        <v>377</v>
      </c>
      <c r="H905" s="630" t="s">
        <v>551</v>
      </c>
      <c r="I905" s="630"/>
      <c r="J905" s="630" t="s">
        <v>535</v>
      </c>
      <c r="K905" s="630" t="s">
        <v>615</v>
      </c>
      <c r="L905" s="630"/>
      <c r="M905" s="630"/>
      <c r="N905" s="630"/>
      <c r="O905" s="630"/>
      <c r="P905" s="630"/>
      <c r="Q905" s="630"/>
      <c r="R905" s="630"/>
      <c r="S905" s="630" t="s">
        <v>663</v>
      </c>
      <c r="T905" s="630"/>
      <c r="U905" s="630" t="s">
        <v>538</v>
      </c>
      <c r="V905" s="630">
        <v>1</v>
      </c>
      <c r="W905" s="630" t="s">
        <v>539</v>
      </c>
      <c r="X905" s="630" t="s">
        <v>540</v>
      </c>
      <c r="Y905" s="630" t="s">
        <v>554</v>
      </c>
      <c r="Z905" s="630">
        <v>0.80666700000000002</v>
      </c>
      <c r="AA905" s="630">
        <v>1.2982070000000001</v>
      </c>
      <c r="AB905" s="631">
        <v>86109</v>
      </c>
      <c r="AC905" s="631">
        <v>8449584</v>
      </c>
      <c r="AD905" s="631">
        <f t="shared" si="14"/>
        <v>6816000.5765280006</v>
      </c>
    </row>
    <row r="906" spans="2:30" x14ac:dyDescent="0.15">
      <c r="B906" s="630">
        <v>17043003527</v>
      </c>
      <c r="C906" s="630">
        <v>17043007337</v>
      </c>
      <c r="D906" s="630">
        <v>17043007341</v>
      </c>
      <c r="E906" s="630" t="s">
        <v>533</v>
      </c>
      <c r="F906" s="630" t="s">
        <v>534</v>
      </c>
      <c r="G906" s="630" t="s">
        <v>367</v>
      </c>
      <c r="H906" s="630" t="s">
        <v>552</v>
      </c>
      <c r="I906" s="630"/>
      <c r="J906" s="630"/>
      <c r="K906" s="630"/>
      <c r="L906" s="630"/>
      <c r="M906" s="630"/>
      <c r="N906" s="630"/>
      <c r="O906" s="630"/>
      <c r="P906" s="630"/>
      <c r="Q906" s="630"/>
      <c r="R906" s="630"/>
      <c r="S906" s="630"/>
      <c r="T906" s="630"/>
      <c r="U906" s="630" t="s">
        <v>559</v>
      </c>
      <c r="V906" s="630">
        <v>1</v>
      </c>
      <c r="W906" s="630" t="s">
        <v>560</v>
      </c>
      <c r="X906" s="630" t="s">
        <v>541</v>
      </c>
      <c r="Y906" s="630" t="s">
        <v>541</v>
      </c>
      <c r="Z906" s="630">
        <v>0.61138899999999996</v>
      </c>
      <c r="AA906" s="630">
        <v>0.98393699999999995</v>
      </c>
      <c r="AB906" s="631">
        <v>0</v>
      </c>
      <c r="AC906" s="631">
        <v>0</v>
      </c>
      <c r="AD906" s="631">
        <f t="shared" si="14"/>
        <v>0</v>
      </c>
    </row>
    <row r="907" spans="2:30" x14ac:dyDescent="0.15">
      <c r="B907" s="630">
        <v>17031003894</v>
      </c>
      <c r="C907" s="630">
        <v>17031000490</v>
      </c>
      <c r="D907" s="630">
        <v>17031008300</v>
      </c>
      <c r="E907" s="630" t="s">
        <v>533</v>
      </c>
      <c r="F907" s="630" t="s">
        <v>534</v>
      </c>
      <c r="G907" s="630" t="s">
        <v>365</v>
      </c>
      <c r="H907" s="630" t="s">
        <v>382</v>
      </c>
      <c r="I907" s="630"/>
      <c r="J907" s="630"/>
      <c r="K907" s="630"/>
      <c r="L907" s="630"/>
      <c r="M907" s="630"/>
      <c r="N907" s="630"/>
      <c r="O907" s="630"/>
      <c r="P907" s="630"/>
      <c r="Q907" s="630"/>
      <c r="R907" s="630"/>
      <c r="S907" s="630" t="s">
        <v>586</v>
      </c>
      <c r="T907" s="630" t="s">
        <v>689</v>
      </c>
      <c r="U907" s="630" t="s">
        <v>538</v>
      </c>
      <c r="V907" s="630">
        <v>2</v>
      </c>
      <c r="W907" s="630" t="s">
        <v>582</v>
      </c>
      <c r="X907" s="630" t="s">
        <v>549</v>
      </c>
      <c r="Y907" s="630" t="s">
        <v>554</v>
      </c>
      <c r="Z907" s="630">
        <v>1.11283</v>
      </c>
      <c r="AA907" s="630">
        <v>1.7909310000000001</v>
      </c>
      <c r="AB907" s="631">
        <v>88508</v>
      </c>
      <c r="AC907" s="631">
        <v>9870362</v>
      </c>
      <c r="AD907" s="631">
        <f t="shared" si="14"/>
        <v>10984034.944459999</v>
      </c>
    </row>
    <row r="908" spans="2:30" x14ac:dyDescent="0.15">
      <c r="B908" s="630">
        <v>17031005731</v>
      </c>
      <c r="C908" s="630">
        <v>17031000823</v>
      </c>
      <c r="D908" s="630">
        <v>17031000875</v>
      </c>
      <c r="E908" s="630" t="s">
        <v>533</v>
      </c>
      <c r="F908" s="630" t="s">
        <v>534</v>
      </c>
      <c r="G908" s="630" t="s">
        <v>365</v>
      </c>
      <c r="H908" s="630" t="s">
        <v>543</v>
      </c>
      <c r="I908" s="630"/>
      <c r="J908" s="630" t="s">
        <v>542</v>
      </c>
      <c r="K908" s="630"/>
      <c r="L908" s="630"/>
      <c r="M908" s="630"/>
      <c r="N908" s="630"/>
      <c r="O908" s="630"/>
      <c r="P908" s="630"/>
      <c r="Q908" s="630"/>
      <c r="R908" s="630"/>
      <c r="S908" s="630" t="s">
        <v>630</v>
      </c>
      <c r="T908" s="630" t="s">
        <v>659</v>
      </c>
      <c r="U908" s="630" t="s">
        <v>538</v>
      </c>
      <c r="V908" s="630">
        <v>2</v>
      </c>
      <c r="W908" s="630" t="s">
        <v>545</v>
      </c>
      <c r="X908" s="630" t="s">
        <v>546</v>
      </c>
      <c r="Y908" s="630" t="s">
        <v>540</v>
      </c>
      <c r="Z908" s="630">
        <v>1.0068330000000001</v>
      </c>
      <c r="AA908" s="630">
        <v>1.620344</v>
      </c>
      <c r="AB908" s="631">
        <v>2617438</v>
      </c>
      <c r="AC908" s="631">
        <v>69406708</v>
      </c>
      <c r="AD908" s="631">
        <f t="shared" si="14"/>
        <v>69880964.035764009</v>
      </c>
    </row>
    <row r="909" spans="2:30" x14ac:dyDescent="0.15">
      <c r="B909" s="630">
        <v>17197009282</v>
      </c>
      <c r="C909" s="630">
        <v>17197001591</v>
      </c>
      <c r="D909" s="630">
        <v>17197007408</v>
      </c>
      <c r="E909" s="630" t="s">
        <v>533</v>
      </c>
      <c r="F909" s="630" t="s">
        <v>534</v>
      </c>
      <c r="G909" s="630" t="s">
        <v>377</v>
      </c>
      <c r="H909" s="630" t="s">
        <v>551</v>
      </c>
      <c r="I909" s="630"/>
      <c r="J909" s="630" t="s">
        <v>535</v>
      </c>
      <c r="K909" s="630"/>
      <c r="L909" s="630"/>
      <c r="M909" s="630"/>
      <c r="N909" s="630"/>
      <c r="O909" s="630"/>
      <c r="P909" s="630"/>
      <c r="Q909" s="630"/>
      <c r="R909" s="630"/>
      <c r="S909" s="630" t="s">
        <v>594</v>
      </c>
      <c r="T909" s="630"/>
      <c r="U909" s="630" t="s">
        <v>559</v>
      </c>
      <c r="V909" s="630">
        <v>1</v>
      </c>
      <c r="W909" s="630" t="s">
        <v>560</v>
      </c>
      <c r="X909" s="630" t="s">
        <v>541</v>
      </c>
      <c r="Y909" s="630" t="s">
        <v>541</v>
      </c>
      <c r="Z909" s="630">
        <v>1.2711479999999999</v>
      </c>
      <c r="AA909" s="630">
        <v>2.0457179999999999</v>
      </c>
      <c r="AB909" s="631">
        <v>0</v>
      </c>
      <c r="AC909" s="631">
        <v>0</v>
      </c>
      <c r="AD909" s="631">
        <f t="shared" si="14"/>
        <v>0</v>
      </c>
    </row>
    <row r="910" spans="2:30" x14ac:dyDescent="0.15">
      <c r="B910" s="630">
        <v>17097009406</v>
      </c>
      <c r="C910" s="630">
        <v>17097004562</v>
      </c>
      <c r="D910" s="630">
        <v>17097007517</v>
      </c>
      <c r="E910" s="630" t="s">
        <v>533</v>
      </c>
      <c r="F910" s="630" t="s">
        <v>534</v>
      </c>
      <c r="G910" s="630" t="s">
        <v>373</v>
      </c>
      <c r="H910" s="630" t="s">
        <v>535</v>
      </c>
      <c r="I910" s="630"/>
      <c r="J910" s="630" t="s">
        <v>547</v>
      </c>
      <c r="K910" s="630"/>
      <c r="L910" s="630"/>
      <c r="M910" s="630"/>
      <c r="N910" s="630"/>
      <c r="O910" s="630"/>
      <c r="P910" s="630"/>
      <c r="Q910" s="630"/>
      <c r="R910" s="630"/>
      <c r="S910" s="630" t="s">
        <v>548</v>
      </c>
      <c r="T910" s="630"/>
      <c r="U910" s="630" t="s">
        <v>538</v>
      </c>
      <c r="V910" s="630">
        <v>1</v>
      </c>
      <c r="W910" s="630" t="s">
        <v>545</v>
      </c>
      <c r="X910" s="630" t="s">
        <v>546</v>
      </c>
      <c r="Y910" s="630" t="s">
        <v>549</v>
      </c>
      <c r="Z910" s="630">
        <v>0.243561</v>
      </c>
      <c r="AA910" s="630">
        <v>0.39197500000000002</v>
      </c>
      <c r="AB910" s="631">
        <v>805376</v>
      </c>
      <c r="AC910" s="631">
        <v>39329111</v>
      </c>
      <c r="AD910" s="631">
        <f t="shared" si="14"/>
        <v>9579037.6042710003</v>
      </c>
    </row>
    <row r="911" spans="2:30" x14ac:dyDescent="0.15">
      <c r="B911" s="630">
        <v>17089001834</v>
      </c>
      <c r="C911" s="630">
        <v>17089000989</v>
      </c>
      <c r="D911" s="630">
        <v>17999021616</v>
      </c>
      <c r="E911" s="630" t="s">
        <v>533</v>
      </c>
      <c r="F911" s="630" t="s">
        <v>534</v>
      </c>
      <c r="G911" s="630" t="s">
        <v>369</v>
      </c>
      <c r="H911" s="630" t="s">
        <v>381</v>
      </c>
      <c r="I911" s="630"/>
      <c r="J911" s="630"/>
      <c r="K911" s="630"/>
      <c r="L911" s="630"/>
      <c r="M911" s="630"/>
      <c r="N911" s="630"/>
      <c r="O911" s="630"/>
      <c r="P911" s="630"/>
      <c r="Q911" s="630"/>
      <c r="R911" s="630"/>
      <c r="S911" s="630" t="s">
        <v>595</v>
      </c>
      <c r="T911" s="630"/>
      <c r="U911" s="630" t="s">
        <v>538</v>
      </c>
      <c r="V911" s="630">
        <v>1</v>
      </c>
      <c r="W911" s="630" t="s">
        <v>545</v>
      </c>
      <c r="X911" s="630" t="s">
        <v>546</v>
      </c>
      <c r="Y911" s="630" t="s">
        <v>549</v>
      </c>
      <c r="Z911" s="630">
        <v>2.0536650000000001</v>
      </c>
      <c r="AA911" s="630">
        <v>3.3050600000000001</v>
      </c>
      <c r="AB911" s="631">
        <v>879615</v>
      </c>
      <c r="AC911" s="631">
        <v>28014261</v>
      </c>
      <c r="AD911" s="631">
        <f t="shared" si="14"/>
        <v>57531907.316565</v>
      </c>
    </row>
    <row r="912" spans="2:30" x14ac:dyDescent="0.15">
      <c r="B912" s="630">
        <v>17089001836</v>
      </c>
      <c r="C912" s="630">
        <v>17089000839</v>
      </c>
      <c r="D912" s="630">
        <v>17089000709</v>
      </c>
      <c r="E912" s="630" t="s">
        <v>533</v>
      </c>
      <c r="F912" s="630" t="s">
        <v>534</v>
      </c>
      <c r="G912" s="630" t="s">
        <v>369</v>
      </c>
      <c r="H912" s="630" t="s">
        <v>381</v>
      </c>
      <c r="I912" s="630"/>
      <c r="J912" s="630"/>
      <c r="K912" s="630"/>
      <c r="L912" s="630"/>
      <c r="M912" s="630"/>
      <c r="N912" s="630"/>
      <c r="O912" s="630"/>
      <c r="P912" s="630"/>
      <c r="Q912" s="630"/>
      <c r="R912" s="630"/>
      <c r="S912" s="630" t="s">
        <v>585</v>
      </c>
      <c r="T912" s="630"/>
      <c r="U912" s="630" t="s">
        <v>559</v>
      </c>
      <c r="V912" s="630">
        <v>1</v>
      </c>
      <c r="W912" s="630" t="s">
        <v>560</v>
      </c>
      <c r="X912" s="630" t="s">
        <v>541</v>
      </c>
      <c r="Y912" s="630" t="s">
        <v>541</v>
      </c>
      <c r="Z912" s="630">
        <v>4.4170509999999998</v>
      </c>
      <c r="AA912" s="630">
        <v>7.1085690000000001</v>
      </c>
      <c r="AB912" s="631">
        <v>640</v>
      </c>
      <c r="AC912" s="631">
        <v>61280</v>
      </c>
      <c r="AD912" s="631">
        <f t="shared" si="14"/>
        <v>270676.88527999999</v>
      </c>
    </row>
    <row r="913" spans="2:30" x14ac:dyDescent="0.15">
      <c r="B913" s="630">
        <v>17089002006</v>
      </c>
      <c r="C913" s="630">
        <v>17089001038</v>
      </c>
      <c r="D913" s="630">
        <v>17089000982</v>
      </c>
      <c r="E913" s="630" t="s">
        <v>533</v>
      </c>
      <c r="F913" s="630" t="s">
        <v>534</v>
      </c>
      <c r="G913" s="630" t="s">
        <v>369</v>
      </c>
      <c r="H913" s="630" t="s">
        <v>381</v>
      </c>
      <c r="I913" s="630"/>
      <c r="J913" s="630" t="s">
        <v>542</v>
      </c>
      <c r="K913" s="630" t="s">
        <v>578</v>
      </c>
      <c r="L913" s="630" t="s">
        <v>382</v>
      </c>
      <c r="M913" s="630"/>
      <c r="N913" s="630"/>
      <c r="O913" s="630"/>
      <c r="P913" s="630"/>
      <c r="Q913" s="630"/>
      <c r="R913" s="630"/>
      <c r="S913" s="630" t="s">
        <v>579</v>
      </c>
      <c r="T913" s="630"/>
      <c r="U913" s="630" t="s">
        <v>538</v>
      </c>
      <c r="V913" s="630">
        <v>2</v>
      </c>
      <c r="W913" s="630" t="s">
        <v>545</v>
      </c>
      <c r="X913" s="630" t="s">
        <v>575</v>
      </c>
      <c r="Y913" s="630" t="s">
        <v>549</v>
      </c>
      <c r="Z913" s="630">
        <v>2.1868910000000001</v>
      </c>
      <c r="AA913" s="630">
        <v>3.5194679999999998</v>
      </c>
      <c r="AB913" s="631">
        <v>1187105</v>
      </c>
      <c r="AC913" s="631">
        <v>47002312</v>
      </c>
      <c r="AD913" s="631">
        <f t="shared" si="14"/>
        <v>102788933.09199201</v>
      </c>
    </row>
    <row r="914" spans="2:30" x14ac:dyDescent="0.15">
      <c r="B914" s="630">
        <v>17097002115</v>
      </c>
      <c r="C914" s="630">
        <v>17097000056</v>
      </c>
      <c r="D914" s="630">
        <v>17097004531</v>
      </c>
      <c r="E914" s="630" t="s">
        <v>533</v>
      </c>
      <c r="F914" s="630" t="s">
        <v>534</v>
      </c>
      <c r="G914" s="630" t="s">
        <v>373</v>
      </c>
      <c r="H914" s="630" t="s">
        <v>552</v>
      </c>
      <c r="I914" s="630"/>
      <c r="J914" s="630" t="s">
        <v>547</v>
      </c>
      <c r="K914" s="630" t="s">
        <v>563</v>
      </c>
      <c r="L914" s="630"/>
      <c r="M914" s="630"/>
      <c r="N914" s="630"/>
      <c r="O914" s="630"/>
      <c r="P914" s="630"/>
      <c r="Q914" s="630"/>
      <c r="R914" s="630"/>
      <c r="S914" s="630" t="s">
        <v>629</v>
      </c>
      <c r="T914" s="630"/>
      <c r="U914" s="630" t="s">
        <v>538</v>
      </c>
      <c r="V914" s="630">
        <v>1</v>
      </c>
      <c r="W914" s="630" t="s">
        <v>582</v>
      </c>
      <c r="X914" s="630" t="s">
        <v>554</v>
      </c>
      <c r="Y914" s="630" t="s">
        <v>540</v>
      </c>
      <c r="Z914" s="630">
        <v>0.75714700000000001</v>
      </c>
      <c r="AA914" s="630">
        <v>1.218513</v>
      </c>
      <c r="AB914" s="631">
        <v>27538</v>
      </c>
      <c r="AC914" s="631">
        <v>2609253</v>
      </c>
      <c r="AD914" s="631">
        <f t="shared" si="14"/>
        <v>1975588.0811910001</v>
      </c>
    </row>
    <row r="915" spans="2:30" x14ac:dyDescent="0.15">
      <c r="B915" s="630">
        <v>17043002228</v>
      </c>
      <c r="C915" s="630">
        <v>17043004769</v>
      </c>
      <c r="D915" s="630">
        <v>17043004768</v>
      </c>
      <c r="E915" s="630" t="s">
        <v>533</v>
      </c>
      <c r="F915" s="630" t="s">
        <v>534</v>
      </c>
      <c r="G915" s="630" t="s">
        <v>367</v>
      </c>
      <c r="H915" s="630" t="s">
        <v>552</v>
      </c>
      <c r="I915" s="630"/>
      <c r="J915" s="630" t="s">
        <v>547</v>
      </c>
      <c r="K915" s="630"/>
      <c r="L915" s="630"/>
      <c r="M915" s="630"/>
      <c r="N915" s="630"/>
      <c r="O915" s="630"/>
      <c r="P915" s="630"/>
      <c r="Q915" s="630"/>
      <c r="R915" s="630"/>
      <c r="S915" s="630" t="s">
        <v>589</v>
      </c>
      <c r="T915" s="630"/>
      <c r="U915" s="630" t="s">
        <v>538</v>
      </c>
      <c r="V915" s="630">
        <v>2</v>
      </c>
      <c r="W915" s="630" t="s">
        <v>545</v>
      </c>
      <c r="X915" s="630" t="s">
        <v>540</v>
      </c>
      <c r="Y915" s="630" t="s">
        <v>549</v>
      </c>
      <c r="Z915" s="630">
        <v>0.80951700000000004</v>
      </c>
      <c r="AA915" s="630">
        <v>1.3027930000000001</v>
      </c>
      <c r="AB915" s="631">
        <v>74103</v>
      </c>
      <c r="AC915" s="631">
        <v>7759864</v>
      </c>
      <c r="AD915" s="631">
        <f t="shared" si="14"/>
        <v>6281741.8256880008</v>
      </c>
    </row>
    <row r="916" spans="2:30" x14ac:dyDescent="0.15">
      <c r="B916" s="630">
        <v>17031002996</v>
      </c>
      <c r="C916" s="630">
        <v>17031007756</v>
      </c>
      <c r="D916" s="630">
        <v>17031000259</v>
      </c>
      <c r="E916" s="630" t="s">
        <v>533</v>
      </c>
      <c r="F916" s="630" t="s">
        <v>534</v>
      </c>
      <c r="G916" s="630" t="s">
        <v>365</v>
      </c>
      <c r="H916" s="630" t="s">
        <v>552</v>
      </c>
      <c r="I916" s="630"/>
      <c r="J916" s="630" t="s">
        <v>382</v>
      </c>
      <c r="K916" s="630"/>
      <c r="L916" s="630"/>
      <c r="M916" s="630"/>
      <c r="N916" s="630"/>
      <c r="O916" s="630"/>
      <c r="P916" s="630"/>
      <c r="Q916" s="630"/>
      <c r="R916" s="630"/>
      <c r="S916" s="630" t="s">
        <v>564</v>
      </c>
      <c r="T916" s="630"/>
      <c r="U916" s="630" t="s">
        <v>538</v>
      </c>
      <c r="V916" s="630">
        <v>2</v>
      </c>
      <c r="W916" s="630" t="s">
        <v>545</v>
      </c>
      <c r="X916" s="630" t="s">
        <v>549</v>
      </c>
      <c r="Y916" s="630" t="s">
        <v>554</v>
      </c>
      <c r="Z916" s="630">
        <v>0.69904299999999997</v>
      </c>
      <c r="AA916" s="630">
        <v>1.125003</v>
      </c>
      <c r="AB916" s="631">
        <v>502181</v>
      </c>
      <c r="AC916" s="631">
        <v>30395312</v>
      </c>
      <c r="AD916" s="631">
        <f t="shared" si="14"/>
        <v>21247630.086415999</v>
      </c>
    </row>
    <row r="917" spans="2:30" x14ac:dyDescent="0.15">
      <c r="B917" s="630">
        <v>17031003331</v>
      </c>
      <c r="C917" s="630">
        <v>17031004669</v>
      </c>
      <c r="D917" s="630">
        <v>17031000824</v>
      </c>
      <c r="E917" s="630" t="s">
        <v>533</v>
      </c>
      <c r="F917" s="630" t="s">
        <v>534</v>
      </c>
      <c r="G917" s="630" t="s">
        <v>365</v>
      </c>
      <c r="H917" s="630" t="s">
        <v>535</v>
      </c>
      <c r="I917" s="630"/>
      <c r="J917" s="630" t="s">
        <v>542</v>
      </c>
      <c r="K917" s="630" t="s">
        <v>572</v>
      </c>
      <c r="L917" s="630" t="s">
        <v>547</v>
      </c>
      <c r="M917" s="630" t="s">
        <v>382</v>
      </c>
      <c r="N917" s="630" t="s">
        <v>552</v>
      </c>
      <c r="O917" s="630" t="s">
        <v>381</v>
      </c>
      <c r="P917" s="630"/>
      <c r="Q917" s="630"/>
      <c r="R917" s="630"/>
      <c r="S917" s="630" t="s">
        <v>601</v>
      </c>
      <c r="T917" s="630" t="s">
        <v>692</v>
      </c>
      <c r="U917" s="630" t="s">
        <v>538</v>
      </c>
      <c r="V917" s="630">
        <v>2</v>
      </c>
      <c r="W917" s="630" t="s">
        <v>545</v>
      </c>
      <c r="X917" s="630" t="s">
        <v>540</v>
      </c>
      <c r="Y917" s="630" t="s">
        <v>549</v>
      </c>
      <c r="Z917" s="630">
        <v>0.44090000000000001</v>
      </c>
      <c r="AA917" s="630">
        <v>0.709561</v>
      </c>
      <c r="AB917" s="631">
        <v>1360</v>
      </c>
      <c r="AC917" s="631">
        <v>119080</v>
      </c>
      <c r="AD917" s="631">
        <f t="shared" si="14"/>
        <v>52502.372000000003</v>
      </c>
    </row>
    <row r="918" spans="2:30" x14ac:dyDescent="0.15">
      <c r="B918" s="630">
        <v>17043003526</v>
      </c>
      <c r="C918" s="630">
        <v>17043000367</v>
      </c>
      <c r="D918" s="630">
        <v>17043000364</v>
      </c>
      <c r="E918" s="630" t="s">
        <v>533</v>
      </c>
      <c r="F918" s="630" t="s">
        <v>534</v>
      </c>
      <c r="G918" s="630" t="s">
        <v>367</v>
      </c>
      <c r="H918" s="630" t="s">
        <v>552</v>
      </c>
      <c r="I918" s="630"/>
      <c r="J918" s="630"/>
      <c r="K918" s="630"/>
      <c r="L918" s="630"/>
      <c r="M918" s="630"/>
      <c r="N918" s="630"/>
      <c r="O918" s="630"/>
      <c r="P918" s="630"/>
      <c r="Q918" s="630"/>
      <c r="R918" s="630"/>
      <c r="S918" s="630"/>
      <c r="T918" s="630"/>
      <c r="U918" s="630" t="s">
        <v>559</v>
      </c>
      <c r="V918" s="630">
        <v>1</v>
      </c>
      <c r="W918" s="630" t="s">
        <v>560</v>
      </c>
      <c r="X918" s="630" t="s">
        <v>541</v>
      </c>
      <c r="Y918" s="630" t="s">
        <v>541</v>
      </c>
      <c r="Z918" s="630">
        <v>0.218747</v>
      </c>
      <c r="AA918" s="630">
        <v>0.35204000000000002</v>
      </c>
      <c r="AB918" s="631">
        <v>0</v>
      </c>
      <c r="AC918" s="631">
        <v>0</v>
      </c>
      <c r="AD918" s="631">
        <f t="shared" si="14"/>
        <v>0</v>
      </c>
    </row>
    <row r="919" spans="2:30" x14ac:dyDescent="0.15">
      <c r="B919" s="630">
        <v>17031003938</v>
      </c>
      <c r="C919" s="630">
        <v>17031000783</v>
      </c>
      <c r="D919" s="630">
        <v>17031000780</v>
      </c>
      <c r="E919" s="630" t="s">
        <v>533</v>
      </c>
      <c r="F919" s="630" t="s">
        <v>534</v>
      </c>
      <c r="G919" s="630" t="s">
        <v>365</v>
      </c>
      <c r="H919" s="630" t="s">
        <v>535</v>
      </c>
      <c r="I919" s="630"/>
      <c r="J919" s="630" t="s">
        <v>382</v>
      </c>
      <c r="K919" s="630"/>
      <c r="L919" s="630"/>
      <c r="M919" s="630"/>
      <c r="N919" s="630"/>
      <c r="O919" s="630"/>
      <c r="P919" s="630"/>
      <c r="Q919" s="630"/>
      <c r="R919" s="630"/>
      <c r="S919" s="630"/>
      <c r="T919" s="630"/>
      <c r="U919" s="630" t="s">
        <v>538</v>
      </c>
      <c r="V919" s="630">
        <v>1</v>
      </c>
      <c r="W919" s="630" t="s">
        <v>560</v>
      </c>
      <c r="X919" s="630" t="s">
        <v>541</v>
      </c>
      <c r="Y919" s="630" t="s">
        <v>541</v>
      </c>
      <c r="Z919" s="630">
        <v>0.17064499999999999</v>
      </c>
      <c r="AA919" s="630">
        <v>0.27462799999999998</v>
      </c>
      <c r="AB919" s="631">
        <v>180180</v>
      </c>
      <c r="AC919" s="631">
        <v>8184751</v>
      </c>
      <c r="AD919" s="631">
        <f t="shared" si="14"/>
        <v>1396686.834395</v>
      </c>
    </row>
    <row r="920" spans="2:30" x14ac:dyDescent="0.15">
      <c r="B920" s="630">
        <v>17031004281</v>
      </c>
      <c r="C920" s="630">
        <v>17031000517</v>
      </c>
      <c r="D920" s="630">
        <v>17031000636</v>
      </c>
      <c r="E920" s="630" t="s">
        <v>533</v>
      </c>
      <c r="F920" s="630" t="s">
        <v>534</v>
      </c>
      <c r="G920" s="630" t="s">
        <v>365</v>
      </c>
      <c r="H920" s="630" t="s">
        <v>571</v>
      </c>
      <c r="I920" s="630"/>
      <c r="J920" s="630" t="s">
        <v>552</v>
      </c>
      <c r="K920" s="630" t="s">
        <v>551</v>
      </c>
      <c r="L920" s="630" t="s">
        <v>563</v>
      </c>
      <c r="M920" s="630"/>
      <c r="N920" s="630"/>
      <c r="O920" s="630"/>
      <c r="P920" s="630"/>
      <c r="Q920" s="630"/>
      <c r="R920" s="630"/>
      <c r="S920" s="630" t="s">
        <v>573</v>
      </c>
      <c r="T920" s="630"/>
      <c r="U920" s="630" t="s">
        <v>538</v>
      </c>
      <c r="V920" s="630">
        <v>2</v>
      </c>
      <c r="W920" s="630" t="s">
        <v>545</v>
      </c>
      <c r="X920" s="630" t="s">
        <v>546</v>
      </c>
      <c r="Y920" s="630" t="s">
        <v>554</v>
      </c>
      <c r="Z920" s="630">
        <v>2.215856</v>
      </c>
      <c r="AA920" s="630">
        <v>3.5660820000000002</v>
      </c>
      <c r="AB920" s="631">
        <v>125774</v>
      </c>
      <c r="AC920" s="631">
        <v>4377521</v>
      </c>
      <c r="AD920" s="631">
        <f t="shared" si="14"/>
        <v>9699956.1729760002</v>
      </c>
    </row>
    <row r="921" spans="2:30" x14ac:dyDescent="0.15">
      <c r="B921" s="630">
        <v>17031005466</v>
      </c>
      <c r="C921" s="630">
        <v>17031000937</v>
      </c>
      <c r="D921" s="630">
        <v>17031000959</v>
      </c>
      <c r="E921" s="630" t="s">
        <v>533</v>
      </c>
      <c r="F921" s="630" t="s">
        <v>534</v>
      </c>
      <c r="G921" s="630" t="s">
        <v>365</v>
      </c>
      <c r="H921" s="630" t="s">
        <v>571</v>
      </c>
      <c r="I921" s="630"/>
      <c r="J921" s="630"/>
      <c r="K921" s="630"/>
      <c r="L921" s="630"/>
      <c r="M921" s="630"/>
      <c r="N921" s="630"/>
      <c r="O921" s="630"/>
      <c r="P921" s="630"/>
      <c r="Q921" s="630"/>
      <c r="R921" s="630"/>
      <c r="S921" s="630" t="s">
        <v>693</v>
      </c>
      <c r="T921" s="630"/>
      <c r="U921" s="630" t="s">
        <v>559</v>
      </c>
      <c r="V921" s="630">
        <v>1</v>
      </c>
      <c r="W921" s="630" t="s">
        <v>560</v>
      </c>
      <c r="X921" s="630" t="s">
        <v>541</v>
      </c>
      <c r="Y921" s="630" t="s">
        <v>541</v>
      </c>
      <c r="Z921" s="630">
        <v>0.80945299999999998</v>
      </c>
      <c r="AA921" s="630">
        <v>1.302691</v>
      </c>
      <c r="AB921" s="631">
        <v>0</v>
      </c>
      <c r="AC921" s="631">
        <v>0</v>
      </c>
      <c r="AD921" s="631">
        <f t="shared" si="14"/>
        <v>0</v>
      </c>
    </row>
    <row r="922" spans="2:30" x14ac:dyDescent="0.15">
      <c r="B922" s="630">
        <v>17031005604</v>
      </c>
      <c r="C922" s="630">
        <v>17031000545</v>
      </c>
      <c r="D922" s="630">
        <v>17031000543</v>
      </c>
      <c r="E922" s="630" t="s">
        <v>533</v>
      </c>
      <c r="F922" s="630" t="s">
        <v>534</v>
      </c>
      <c r="G922" s="630" t="s">
        <v>365</v>
      </c>
      <c r="H922" s="630" t="s">
        <v>382</v>
      </c>
      <c r="I922" s="630"/>
      <c r="J922" s="630"/>
      <c r="K922" s="630"/>
      <c r="L922" s="630"/>
      <c r="M922" s="630"/>
      <c r="N922" s="630"/>
      <c r="O922" s="630"/>
      <c r="P922" s="630"/>
      <c r="Q922" s="630"/>
      <c r="R922" s="630"/>
      <c r="S922" s="630"/>
      <c r="T922" s="630" t="s">
        <v>626</v>
      </c>
      <c r="U922" s="630" t="s">
        <v>559</v>
      </c>
      <c r="V922" s="630">
        <v>1</v>
      </c>
      <c r="W922" s="630" t="s">
        <v>539</v>
      </c>
      <c r="X922" s="630" t="s">
        <v>541</v>
      </c>
      <c r="Y922" s="630" t="s">
        <v>541</v>
      </c>
      <c r="Z922" s="630">
        <v>0.21937699999999999</v>
      </c>
      <c r="AA922" s="630">
        <v>0.35305399999999998</v>
      </c>
      <c r="AB922" s="631">
        <v>0</v>
      </c>
      <c r="AC922" s="631">
        <v>0</v>
      </c>
      <c r="AD922" s="631">
        <f t="shared" si="14"/>
        <v>0</v>
      </c>
    </row>
    <row r="923" spans="2:30" x14ac:dyDescent="0.15">
      <c r="B923" s="630">
        <v>17197007046</v>
      </c>
      <c r="C923" s="630">
        <v>17197005595</v>
      </c>
      <c r="D923" s="630">
        <v>17197005592</v>
      </c>
      <c r="E923" s="630" t="s">
        <v>533</v>
      </c>
      <c r="F923" s="630" t="s">
        <v>534</v>
      </c>
      <c r="G923" s="630" t="s">
        <v>377</v>
      </c>
      <c r="H923" s="630" t="s">
        <v>382</v>
      </c>
      <c r="I923" s="630"/>
      <c r="J923" s="630"/>
      <c r="K923" s="630"/>
      <c r="L923" s="630"/>
      <c r="M923" s="630"/>
      <c r="N923" s="630"/>
      <c r="O923" s="630"/>
      <c r="P923" s="630"/>
      <c r="Q923" s="630"/>
      <c r="R923" s="630"/>
      <c r="S923" s="630" t="s">
        <v>592</v>
      </c>
      <c r="T923" s="630"/>
      <c r="U923" s="630" t="s">
        <v>559</v>
      </c>
      <c r="V923" s="630">
        <v>1</v>
      </c>
      <c r="W923" s="630" t="s">
        <v>539</v>
      </c>
      <c r="X923" s="630" t="s">
        <v>541</v>
      </c>
      <c r="Y923" s="630" t="s">
        <v>541</v>
      </c>
      <c r="Z923" s="630">
        <v>0.27682000000000001</v>
      </c>
      <c r="AA923" s="630">
        <v>0.44550000000000001</v>
      </c>
      <c r="AB923" s="631">
        <v>0</v>
      </c>
      <c r="AC923" s="631">
        <v>0</v>
      </c>
      <c r="AD923" s="631">
        <f t="shared" si="14"/>
        <v>0</v>
      </c>
    </row>
    <row r="924" spans="2:30" x14ac:dyDescent="0.15">
      <c r="B924" s="630">
        <v>17097009354</v>
      </c>
      <c r="C924" s="630">
        <v>17097000067</v>
      </c>
      <c r="D924" s="630">
        <v>17097007473</v>
      </c>
      <c r="E924" s="630" t="s">
        <v>533</v>
      </c>
      <c r="F924" s="630" t="s">
        <v>534</v>
      </c>
      <c r="G924" s="630" t="s">
        <v>373</v>
      </c>
      <c r="H924" s="630" t="s">
        <v>535</v>
      </c>
      <c r="I924" s="630"/>
      <c r="J924" s="630" t="s">
        <v>382</v>
      </c>
      <c r="K924" s="630"/>
      <c r="L924" s="630"/>
      <c r="M924" s="630"/>
      <c r="N924" s="630"/>
      <c r="O924" s="630"/>
      <c r="P924" s="630"/>
      <c r="Q924" s="630"/>
      <c r="R924" s="630"/>
      <c r="S924" s="630" t="s">
        <v>550</v>
      </c>
      <c r="T924" s="630"/>
      <c r="U924" s="630" t="s">
        <v>538</v>
      </c>
      <c r="V924" s="630">
        <v>1</v>
      </c>
      <c r="W924" s="630" t="s">
        <v>560</v>
      </c>
      <c r="X924" s="630" t="s">
        <v>541</v>
      </c>
      <c r="Y924" s="630" t="s">
        <v>541</v>
      </c>
      <c r="Z924" s="630">
        <v>0.279254</v>
      </c>
      <c r="AA924" s="630">
        <v>0.44941700000000001</v>
      </c>
      <c r="AB924" s="631">
        <v>0</v>
      </c>
      <c r="AC924" s="631">
        <v>0</v>
      </c>
      <c r="AD924" s="631">
        <f t="shared" si="14"/>
        <v>0</v>
      </c>
    </row>
    <row r="925" spans="2:30" x14ac:dyDescent="0.15">
      <c r="B925" s="630">
        <v>17097002148</v>
      </c>
      <c r="C925" s="630">
        <v>17097004544</v>
      </c>
      <c r="D925" s="630">
        <v>17097004543</v>
      </c>
      <c r="E925" s="630" t="s">
        <v>533</v>
      </c>
      <c r="F925" s="630" t="s">
        <v>534</v>
      </c>
      <c r="G925" s="630" t="s">
        <v>373</v>
      </c>
      <c r="H925" s="630" t="s">
        <v>382</v>
      </c>
      <c r="I925" s="630"/>
      <c r="J925" s="630" t="s">
        <v>535</v>
      </c>
      <c r="K925" s="630"/>
      <c r="L925" s="630"/>
      <c r="M925" s="630"/>
      <c r="N925" s="630"/>
      <c r="O925" s="630"/>
      <c r="P925" s="630"/>
      <c r="Q925" s="630"/>
      <c r="R925" s="630"/>
      <c r="S925" s="630" t="s">
        <v>586</v>
      </c>
      <c r="T925" s="630"/>
      <c r="U925" s="630" t="s">
        <v>538</v>
      </c>
      <c r="V925" s="630">
        <v>2</v>
      </c>
      <c r="W925" s="630" t="s">
        <v>582</v>
      </c>
      <c r="X925" s="630" t="s">
        <v>549</v>
      </c>
      <c r="Y925" s="630" t="s">
        <v>549</v>
      </c>
      <c r="Z925" s="630">
        <v>5.2488549999999998</v>
      </c>
      <c r="AA925" s="630">
        <v>8.4472310000000004</v>
      </c>
      <c r="AB925" s="631">
        <v>92223</v>
      </c>
      <c r="AC925" s="631">
        <v>10277729</v>
      </c>
      <c r="AD925" s="631">
        <f t="shared" si="14"/>
        <v>53946309.250294998</v>
      </c>
    </row>
    <row r="926" spans="2:30" x14ac:dyDescent="0.15">
      <c r="B926" s="630">
        <v>17031004250</v>
      </c>
      <c r="C926" s="630">
        <v>17031001562</v>
      </c>
      <c r="D926" s="630">
        <v>17031007616</v>
      </c>
      <c r="E926" s="630" t="s">
        <v>533</v>
      </c>
      <c r="F926" s="630" t="s">
        <v>534</v>
      </c>
      <c r="G926" s="630" t="s">
        <v>365</v>
      </c>
      <c r="H926" s="630" t="s">
        <v>382</v>
      </c>
      <c r="I926" s="630"/>
      <c r="J926" s="630"/>
      <c r="K926" s="630"/>
      <c r="L926" s="630"/>
      <c r="M926" s="630"/>
      <c r="N926" s="630"/>
      <c r="O926" s="630"/>
      <c r="P926" s="630"/>
      <c r="Q926" s="630"/>
      <c r="R926" s="630"/>
      <c r="S926" s="630" t="s">
        <v>576</v>
      </c>
      <c r="T926" s="630"/>
      <c r="U926" s="630" t="s">
        <v>559</v>
      </c>
      <c r="V926" s="630">
        <v>1</v>
      </c>
      <c r="W926" s="630" t="s">
        <v>560</v>
      </c>
      <c r="X926" s="630" t="s">
        <v>541</v>
      </c>
      <c r="Y926" s="630" t="s">
        <v>541</v>
      </c>
      <c r="Z926" s="630">
        <v>0.376357</v>
      </c>
      <c r="AA926" s="630">
        <v>0.60568900000000003</v>
      </c>
      <c r="AB926" s="631">
        <v>0</v>
      </c>
      <c r="AC926" s="631">
        <v>0</v>
      </c>
      <c r="AD926" s="631">
        <f t="shared" si="14"/>
        <v>0</v>
      </c>
    </row>
    <row r="927" spans="2:30" x14ac:dyDescent="0.15">
      <c r="B927" s="630">
        <v>17031004275</v>
      </c>
      <c r="C927" s="630">
        <v>17031000804</v>
      </c>
      <c r="D927" s="630">
        <v>17031000810</v>
      </c>
      <c r="E927" s="630" t="s">
        <v>533</v>
      </c>
      <c r="F927" s="630" t="s">
        <v>534</v>
      </c>
      <c r="G927" s="630" t="s">
        <v>365</v>
      </c>
      <c r="H927" s="630" t="s">
        <v>547</v>
      </c>
      <c r="I927" s="630"/>
      <c r="J927" s="630" t="s">
        <v>543</v>
      </c>
      <c r="K927" s="630" t="s">
        <v>382</v>
      </c>
      <c r="L927" s="630"/>
      <c r="M927" s="630"/>
      <c r="N927" s="630"/>
      <c r="O927" s="630"/>
      <c r="P927" s="630"/>
      <c r="Q927" s="630"/>
      <c r="R927" s="630"/>
      <c r="S927" s="630" t="s">
        <v>602</v>
      </c>
      <c r="T927" s="630"/>
      <c r="U927" s="630" t="s">
        <v>538</v>
      </c>
      <c r="V927" s="630">
        <v>2</v>
      </c>
      <c r="W927" s="630" t="s">
        <v>545</v>
      </c>
      <c r="X927" s="630" t="s">
        <v>549</v>
      </c>
      <c r="Y927" s="630" t="s">
        <v>541</v>
      </c>
      <c r="Z927" s="630">
        <v>5.6675000000000003E-2</v>
      </c>
      <c r="AA927" s="630">
        <v>9.1208999999999998E-2</v>
      </c>
      <c r="AB927" s="631">
        <v>2734473</v>
      </c>
      <c r="AC927" s="631">
        <v>73779959</v>
      </c>
      <c r="AD927" s="631">
        <f t="shared" si="14"/>
        <v>4181479.1763250004</v>
      </c>
    </row>
    <row r="928" spans="2:30" x14ac:dyDescent="0.15">
      <c r="B928" s="630">
        <v>17031005304</v>
      </c>
      <c r="C928" s="630">
        <v>17031000701</v>
      </c>
      <c r="D928" s="630">
        <v>17031000702</v>
      </c>
      <c r="E928" s="630" t="s">
        <v>533</v>
      </c>
      <c r="F928" s="630" t="s">
        <v>534</v>
      </c>
      <c r="G928" s="630" t="s">
        <v>365</v>
      </c>
      <c r="H928" s="630" t="s">
        <v>381</v>
      </c>
      <c r="I928" s="630"/>
      <c r="J928" s="630"/>
      <c r="K928" s="630"/>
      <c r="L928" s="630"/>
      <c r="M928" s="630"/>
      <c r="N928" s="630"/>
      <c r="O928" s="630"/>
      <c r="P928" s="630"/>
      <c r="Q928" s="630"/>
      <c r="R928" s="630"/>
      <c r="S928" s="630"/>
      <c r="T928" s="630"/>
      <c r="U928" s="630" t="s">
        <v>559</v>
      </c>
      <c r="V928" s="630">
        <v>1</v>
      </c>
      <c r="W928" s="630" t="s">
        <v>560</v>
      </c>
      <c r="X928" s="630" t="s">
        <v>541</v>
      </c>
      <c r="Y928" s="630" t="s">
        <v>541</v>
      </c>
      <c r="Z928" s="630">
        <v>0.25811499999999998</v>
      </c>
      <c r="AA928" s="630">
        <v>0.41539599999999999</v>
      </c>
      <c r="AB928" s="631">
        <v>0</v>
      </c>
      <c r="AC928" s="631">
        <v>0</v>
      </c>
      <c r="AD928" s="631">
        <f t="shared" si="14"/>
        <v>0</v>
      </c>
    </row>
    <row r="929" spans="2:30" x14ac:dyDescent="0.15">
      <c r="B929" s="630">
        <v>17031001946</v>
      </c>
      <c r="C929" s="630">
        <v>17031000916</v>
      </c>
      <c r="D929" s="630">
        <v>17031000910</v>
      </c>
      <c r="E929" s="630" t="s">
        <v>533</v>
      </c>
      <c r="F929" s="630" t="s">
        <v>534</v>
      </c>
      <c r="G929" s="630" t="s">
        <v>365</v>
      </c>
      <c r="H929" s="630" t="s">
        <v>535</v>
      </c>
      <c r="I929" s="630"/>
      <c r="J929" s="630" t="s">
        <v>542</v>
      </c>
      <c r="K929" s="630" t="s">
        <v>572</v>
      </c>
      <c r="L929" s="630" t="s">
        <v>547</v>
      </c>
      <c r="M929" s="630" t="s">
        <v>382</v>
      </c>
      <c r="N929" s="630"/>
      <c r="O929" s="630"/>
      <c r="P929" s="630"/>
      <c r="Q929" s="630"/>
      <c r="R929" s="630"/>
      <c r="S929" s="630" t="s">
        <v>601</v>
      </c>
      <c r="T929" s="630"/>
      <c r="U929" s="630" t="s">
        <v>538</v>
      </c>
      <c r="V929" s="630">
        <v>2</v>
      </c>
      <c r="W929" s="630" t="s">
        <v>545</v>
      </c>
      <c r="X929" s="630" t="s">
        <v>540</v>
      </c>
      <c r="Y929" s="630" t="s">
        <v>540</v>
      </c>
      <c r="Z929" s="630">
        <v>0.21934899999999999</v>
      </c>
      <c r="AA929" s="630">
        <v>0.35300799999999999</v>
      </c>
      <c r="AB929" s="631">
        <v>1360</v>
      </c>
      <c r="AC929" s="631">
        <v>119080</v>
      </c>
      <c r="AD929" s="631">
        <f t="shared" si="14"/>
        <v>26120.07892</v>
      </c>
    </row>
    <row r="930" spans="2:30" x14ac:dyDescent="0.15">
      <c r="B930" s="630">
        <v>17097002118</v>
      </c>
      <c r="C930" s="630">
        <v>17097004555</v>
      </c>
      <c r="D930" s="630">
        <v>17097000047</v>
      </c>
      <c r="E930" s="630" t="s">
        <v>533</v>
      </c>
      <c r="F930" s="630" t="s">
        <v>534</v>
      </c>
      <c r="G930" s="630" t="s">
        <v>373</v>
      </c>
      <c r="H930" s="630" t="s">
        <v>535</v>
      </c>
      <c r="I930" s="630"/>
      <c r="J930" s="630" t="s">
        <v>547</v>
      </c>
      <c r="K930" s="630"/>
      <c r="L930" s="630"/>
      <c r="M930" s="630"/>
      <c r="N930" s="630"/>
      <c r="O930" s="630"/>
      <c r="P930" s="630"/>
      <c r="Q930" s="630"/>
      <c r="R930" s="630"/>
      <c r="S930" s="630" t="s">
        <v>548</v>
      </c>
      <c r="T930" s="630"/>
      <c r="U930" s="630" t="s">
        <v>538</v>
      </c>
      <c r="V930" s="630">
        <v>2</v>
      </c>
      <c r="W930" s="630" t="s">
        <v>545</v>
      </c>
      <c r="X930" s="630" t="s">
        <v>546</v>
      </c>
      <c r="Y930" s="630" t="s">
        <v>549</v>
      </c>
      <c r="Z930" s="630">
        <v>2.2824689999999999</v>
      </c>
      <c r="AA930" s="630">
        <v>3.6732849999999999</v>
      </c>
      <c r="AB930" s="631">
        <v>777350</v>
      </c>
      <c r="AC930" s="631">
        <v>36648785</v>
      </c>
      <c r="AD930" s="631">
        <f t="shared" si="14"/>
        <v>83649715.650164992</v>
      </c>
    </row>
    <row r="931" spans="2:30" x14ac:dyDescent="0.15">
      <c r="B931" s="630">
        <v>17031002358</v>
      </c>
      <c r="C931" s="630">
        <v>17031000583</v>
      </c>
      <c r="D931" s="630">
        <v>17031000561</v>
      </c>
      <c r="E931" s="630" t="s">
        <v>533</v>
      </c>
      <c r="F931" s="630" t="s">
        <v>534</v>
      </c>
      <c r="G931" s="630" t="s">
        <v>365</v>
      </c>
      <c r="H931" s="630" t="s">
        <v>382</v>
      </c>
      <c r="I931" s="630"/>
      <c r="J931" s="630" t="s">
        <v>547</v>
      </c>
      <c r="K931" s="630"/>
      <c r="L931" s="630"/>
      <c r="M931" s="630"/>
      <c r="N931" s="630"/>
      <c r="O931" s="630"/>
      <c r="P931" s="630"/>
      <c r="Q931" s="630"/>
      <c r="R931" s="630"/>
      <c r="S931" s="630" t="s">
        <v>583</v>
      </c>
      <c r="T931" s="630"/>
      <c r="U931" s="630" t="s">
        <v>538</v>
      </c>
      <c r="V931" s="630">
        <v>4</v>
      </c>
      <c r="W931" s="630" t="s">
        <v>545</v>
      </c>
      <c r="X931" s="630" t="s">
        <v>541</v>
      </c>
      <c r="Y931" s="630" t="s">
        <v>541</v>
      </c>
      <c r="Z931" s="630">
        <v>0.21868599999999999</v>
      </c>
      <c r="AA931" s="630">
        <v>0.351941</v>
      </c>
      <c r="AB931" s="631">
        <v>0</v>
      </c>
      <c r="AC931" s="631">
        <v>0</v>
      </c>
      <c r="AD931" s="631">
        <f t="shared" si="14"/>
        <v>0</v>
      </c>
    </row>
    <row r="932" spans="2:30" x14ac:dyDescent="0.15">
      <c r="B932" s="630">
        <v>17031004027</v>
      </c>
      <c r="C932" s="630">
        <v>17031000450</v>
      </c>
      <c r="D932" s="630">
        <v>17031000471</v>
      </c>
      <c r="E932" s="630" t="s">
        <v>533</v>
      </c>
      <c r="F932" s="630" t="s">
        <v>534</v>
      </c>
      <c r="G932" s="630" t="s">
        <v>365</v>
      </c>
      <c r="H932" s="630" t="s">
        <v>590</v>
      </c>
      <c r="I932" s="630"/>
      <c r="J932" s="630"/>
      <c r="K932" s="630"/>
      <c r="L932" s="630"/>
      <c r="M932" s="630"/>
      <c r="N932" s="630"/>
      <c r="O932" s="630"/>
      <c r="P932" s="630"/>
      <c r="Q932" s="630"/>
      <c r="R932" s="630"/>
      <c r="S932" s="630"/>
      <c r="T932" s="630"/>
      <c r="U932" s="630" t="s">
        <v>559</v>
      </c>
      <c r="V932" s="630">
        <v>1</v>
      </c>
      <c r="W932" s="630" t="s">
        <v>560</v>
      </c>
      <c r="X932" s="630" t="s">
        <v>541</v>
      </c>
      <c r="Y932" s="630" t="s">
        <v>541</v>
      </c>
      <c r="Z932" s="630">
        <v>1.001339</v>
      </c>
      <c r="AA932" s="630">
        <v>1.611502</v>
      </c>
      <c r="AB932" s="631">
        <v>0</v>
      </c>
      <c r="AC932" s="631">
        <v>0</v>
      </c>
      <c r="AD932" s="631">
        <f t="shared" si="14"/>
        <v>0</v>
      </c>
    </row>
    <row r="933" spans="2:30" x14ac:dyDescent="0.15">
      <c r="B933" s="630">
        <v>17031006440</v>
      </c>
      <c r="C933" s="630">
        <v>17031004738</v>
      </c>
      <c r="D933" s="630">
        <v>17031001276</v>
      </c>
      <c r="E933" s="630" t="s">
        <v>533</v>
      </c>
      <c r="F933" s="630" t="s">
        <v>534</v>
      </c>
      <c r="G933" s="630" t="s">
        <v>365</v>
      </c>
      <c r="H933" s="630" t="s">
        <v>543</v>
      </c>
      <c r="I933" s="630"/>
      <c r="J933" s="630"/>
      <c r="K933" s="630"/>
      <c r="L933" s="630"/>
      <c r="M933" s="630"/>
      <c r="N933" s="630"/>
      <c r="O933" s="630"/>
      <c r="P933" s="630"/>
      <c r="Q933" s="630"/>
      <c r="R933" s="630"/>
      <c r="S933" s="630" t="s">
        <v>604</v>
      </c>
      <c r="T933" s="630"/>
      <c r="U933" s="630" t="s">
        <v>538</v>
      </c>
      <c r="V933" s="630">
        <v>2</v>
      </c>
      <c r="W933" s="630" t="s">
        <v>545</v>
      </c>
      <c r="X933" s="630" t="s">
        <v>546</v>
      </c>
      <c r="Y933" s="630" t="s">
        <v>554</v>
      </c>
      <c r="Z933" s="630">
        <v>0.37386000000000003</v>
      </c>
      <c r="AA933" s="630">
        <v>0.60167099999999996</v>
      </c>
      <c r="AB933" s="631">
        <v>10277</v>
      </c>
      <c r="AC933" s="631">
        <v>921789</v>
      </c>
      <c r="AD933" s="631">
        <f t="shared" si="14"/>
        <v>344620.03554000001</v>
      </c>
    </row>
    <row r="934" spans="2:30" x14ac:dyDescent="0.15">
      <c r="B934" s="630">
        <v>17097006329</v>
      </c>
      <c r="C934" s="630">
        <v>17097004566</v>
      </c>
      <c r="D934" s="630">
        <v>17097000057</v>
      </c>
      <c r="E934" s="630" t="s">
        <v>533</v>
      </c>
      <c r="F934" s="630" t="s">
        <v>534</v>
      </c>
      <c r="G934" s="630" t="s">
        <v>373</v>
      </c>
      <c r="H934" s="630" t="s">
        <v>382</v>
      </c>
      <c r="I934" s="630"/>
      <c r="J934" s="630" t="s">
        <v>535</v>
      </c>
      <c r="K934" s="630" t="s">
        <v>547</v>
      </c>
      <c r="L934" s="630"/>
      <c r="M934" s="630"/>
      <c r="N934" s="630"/>
      <c r="O934" s="630"/>
      <c r="P934" s="630"/>
      <c r="Q934" s="630"/>
      <c r="R934" s="630"/>
      <c r="S934" s="630" t="s">
        <v>565</v>
      </c>
      <c r="T934" s="630"/>
      <c r="U934" s="630" t="s">
        <v>538</v>
      </c>
      <c r="V934" s="630">
        <v>2</v>
      </c>
      <c r="W934" s="630" t="s">
        <v>566</v>
      </c>
      <c r="X934" s="630" t="s">
        <v>549</v>
      </c>
      <c r="Y934" s="630" t="s">
        <v>549</v>
      </c>
      <c r="Z934" s="630">
        <v>0.15413299999999999</v>
      </c>
      <c r="AA934" s="630">
        <v>0.248054</v>
      </c>
      <c r="AB934" s="631">
        <v>4940</v>
      </c>
      <c r="AC934" s="631">
        <v>456256</v>
      </c>
      <c r="AD934" s="631">
        <f t="shared" si="14"/>
        <v>70324.106048000001</v>
      </c>
    </row>
    <row r="935" spans="2:30" x14ac:dyDescent="0.15">
      <c r="B935" s="630">
        <v>17031001963</v>
      </c>
      <c r="C935" s="630">
        <v>17031004713</v>
      </c>
      <c r="D935" s="630">
        <v>17031001459</v>
      </c>
      <c r="E935" s="630" t="s">
        <v>533</v>
      </c>
      <c r="F935" s="630" t="s">
        <v>534</v>
      </c>
      <c r="G935" s="630" t="s">
        <v>365</v>
      </c>
      <c r="H935" s="630" t="s">
        <v>551</v>
      </c>
      <c r="I935" s="630"/>
      <c r="J935" s="630"/>
      <c r="K935" s="630"/>
      <c r="L935" s="630"/>
      <c r="M935" s="630"/>
      <c r="N935" s="630"/>
      <c r="O935" s="630"/>
      <c r="P935" s="630"/>
      <c r="Q935" s="630"/>
      <c r="R935" s="630"/>
      <c r="S935" s="630" t="s">
        <v>628</v>
      </c>
      <c r="T935" s="630"/>
      <c r="U935" s="630" t="s">
        <v>538</v>
      </c>
      <c r="V935" s="630">
        <v>1</v>
      </c>
      <c r="W935" s="630" t="s">
        <v>560</v>
      </c>
      <c r="X935" s="630" t="s">
        <v>541</v>
      </c>
      <c r="Y935" s="630" t="s">
        <v>541</v>
      </c>
      <c r="Z935" s="630">
        <v>0.54272299999999996</v>
      </c>
      <c r="AA935" s="630">
        <v>0.87343000000000004</v>
      </c>
      <c r="AB935" s="631">
        <v>0</v>
      </c>
      <c r="AC935" s="631">
        <v>0</v>
      </c>
      <c r="AD935" s="631">
        <f t="shared" si="14"/>
        <v>0</v>
      </c>
    </row>
    <row r="936" spans="2:30" x14ac:dyDescent="0.15">
      <c r="B936" s="630">
        <v>17031002097</v>
      </c>
      <c r="C936" s="630">
        <v>17031004644</v>
      </c>
      <c r="D936" s="630">
        <v>17031000500</v>
      </c>
      <c r="E936" s="630" t="s">
        <v>533</v>
      </c>
      <c r="F936" s="630" t="s">
        <v>534</v>
      </c>
      <c r="G936" s="630" t="s">
        <v>365</v>
      </c>
      <c r="H936" s="630" t="s">
        <v>557</v>
      </c>
      <c r="I936" s="630"/>
      <c r="J936" s="630" t="s">
        <v>535</v>
      </c>
      <c r="K936" s="630" t="s">
        <v>552</v>
      </c>
      <c r="L936" s="630" t="s">
        <v>543</v>
      </c>
      <c r="M936" s="630" t="s">
        <v>382</v>
      </c>
      <c r="N936" s="630"/>
      <c r="O936" s="630"/>
      <c r="P936" s="630"/>
      <c r="Q936" s="630"/>
      <c r="R936" s="630"/>
      <c r="S936" s="630" t="s">
        <v>570</v>
      </c>
      <c r="T936" s="630"/>
      <c r="U936" s="630" t="s">
        <v>538</v>
      </c>
      <c r="V936" s="630">
        <v>2</v>
      </c>
      <c r="W936" s="630" t="s">
        <v>545</v>
      </c>
      <c r="X936" s="630" t="s">
        <v>546</v>
      </c>
      <c r="Y936" s="630" t="s">
        <v>554</v>
      </c>
      <c r="Z936" s="630">
        <v>0.41100500000000001</v>
      </c>
      <c r="AA936" s="630">
        <v>0.66144999999999998</v>
      </c>
      <c r="AB936" s="631">
        <v>943691</v>
      </c>
      <c r="AC936" s="631">
        <v>50467379</v>
      </c>
      <c r="AD936" s="631">
        <f t="shared" si="14"/>
        <v>20742345.105895001</v>
      </c>
    </row>
    <row r="937" spans="2:30" x14ac:dyDescent="0.15">
      <c r="B937" s="630">
        <v>17031002177</v>
      </c>
      <c r="C937" s="630">
        <v>17031001375</v>
      </c>
      <c r="D937" s="630">
        <v>17031001368</v>
      </c>
      <c r="E937" s="630" t="s">
        <v>533</v>
      </c>
      <c r="F937" s="630" t="s">
        <v>534</v>
      </c>
      <c r="G937" s="630" t="s">
        <v>365</v>
      </c>
      <c r="H937" s="630" t="s">
        <v>557</v>
      </c>
      <c r="I937" s="630"/>
      <c r="J937" s="630" t="s">
        <v>381</v>
      </c>
      <c r="K937" s="630" t="s">
        <v>535</v>
      </c>
      <c r="L937" s="630" t="s">
        <v>552</v>
      </c>
      <c r="M937" s="630" t="s">
        <v>551</v>
      </c>
      <c r="N937" s="630" t="s">
        <v>615</v>
      </c>
      <c r="O937" s="630" t="s">
        <v>543</v>
      </c>
      <c r="P937" s="630" t="s">
        <v>382</v>
      </c>
      <c r="Q937" s="630"/>
      <c r="R937" s="630"/>
      <c r="S937" s="630" t="s">
        <v>570</v>
      </c>
      <c r="T937" s="630"/>
      <c r="U937" s="630" t="s">
        <v>538</v>
      </c>
      <c r="V937" s="630">
        <v>2</v>
      </c>
      <c r="W937" s="630" t="s">
        <v>545</v>
      </c>
      <c r="X937" s="630" t="s">
        <v>546</v>
      </c>
      <c r="Y937" s="630" t="s">
        <v>554</v>
      </c>
      <c r="Z937" s="630">
        <v>0.16749</v>
      </c>
      <c r="AA937" s="630">
        <v>0.26955000000000001</v>
      </c>
      <c r="AB937" s="631">
        <v>1195443</v>
      </c>
      <c r="AC937" s="631">
        <v>40434913</v>
      </c>
      <c r="AD937" s="631">
        <f t="shared" si="14"/>
        <v>6772443.5783700002</v>
      </c>
    </row>
    <row r="938" spans="2:30" x14ac:dyDescent="0.15">
      <c r="B938" s="630">
        <v>17031002364</v>
      </c>
      <c r="C938" s="630">
        <v>17031001446</v>
      </c>
      <c r="D938" s="630">
        <v>17031001434</v>
      </c>
      <c r="E938" s="630" t="s">
        <v>533</v>
      </c>
      <c r="F938" s="630" t="s">
        <v>534</v>
      </c>
      <c r="G938" s="630" t="s">
        <v>365</v>
      </c>
      <c r="H938" s="630" t="s">
        <v>535</v>
      </c>
      <c r="I938" s="630"/>
      <c r="J938" s="630" t="s">
        <v>542</v>
      </c>
      <c r="K938" s="630" t="s">
        <v>543</v>
      </c>
      <c r="L938" s="630" t="s">
        <v>382</v>
      </c>
      <c r="M938" s="630"/>
      <c r="N938" s="630"/>
      <c r="O938" s="630"/>
      <c r="P938" s="630"/>
      <c r="Q938" s="630"/>
      <c r="R938" s="630"/>
      <c r="S938" s="630" t="s">
        <v>544</v>
      </c>
      <c r="T938" s="630" t="s">
        <v>621</v>
      </c>
      <c r="U938" s="630" t="s">
        <v>538</v>
      </c>
      <c r="V938" s="630">
        <v>2</v>
      </c>
      <c r="W938" s="630" t="s">
        <v>545</v>
      </c>
      <c r="X938" s="630" t="s">
        <v>546</v>
      </c>
      <c r="Y938" s="630" t="s">
        <v>549</v>
      </c>
      <c r="Z938" s="630">
        <v>1.3117179999999999</v>
      </c>
      <c r="AA938" s="630">
        <v>2.1110099999999998</v>
      </c>
      <c r="AB938" s="631">
        <v>420455</v>
      </c>
      <c r="AC938" s="631">
        <v>22300363</v>
      </c>
      <c r="AD938" s="631">
        <f t="shared" si="14"/>
        <v>29251787.553633999</v>
      </c>
    </row>
    <row r="939" spans="2:30" x14ac:dyDescent="0.15">
      <c r="B939" s="630">
        <v>17043002990</v>
      </c>
      <c r="C939" s="630">
        <v>17043004778</v>
      </c>
      <c r="D939" s="630">
        <v>17043004779</v>
      </c>
      <c r="E939" s="630" t="s">
        <v>533</v>
      </c>
      <c r="F939" s="630" t="s">
        <v>534</v>
      </c>
      <c r="G939" s="630" t="s">
        <v>367</v>
      </c>
      <c r="H939" s="630" t="s">
        <v>382</v>
      </c>
      <c r="I939" s="630"/>
      <c r="J939" s="630" t="s">
        <v>547</v>
      </c>
      <c r="K939" s="630"/>
      <c r="L939" s="630"/>
      <c r="M939" s="630"/>
      <c r="N939" s="630"/>
      <c r="O939" s="630"/>
      <c r="P939" s="630"/>
      <c r="Q939" s="630"/>
      <c r="R939" s="630"/>
      <c r="S939" s="630" t="s">
        <v>583</v>
      </c>
      <c r="T939" s="630"/>
      <c r="U939" s="630" t="s">
        <v>538</v>
      </c>
      <c r="V939" s="630">
        <v>3</v>
      </c>
      <c r="W939" s="630" t="s">
        <v>588</v>
      </c>
      <c r="X939" s="630" t="s">
        <v>575</v>
      </c>
      <c r="Y939" s="630" t="s">
        <v>549</v>
      </c>
      <c r="Z939" s="630">
        <v>0.351493</v>
      </c>
      <c r="AA939" s="630">
        <v>0.56567400000000001</v>
      </c>
      <c r="AB939" s="631">
        <v>1830855</v>
      </c>
      <c r="AC939" s="631">
        <v>57776893</v>
      </c>
      <c r="AD939" s="631">
        <f t="shared" si="14"/>
        <v>20308173.451249</v>
      </c>
    </row>
    <row r="940" spans="2:30" x14ac:dyDescent="0.15">
      <c r="B940" s="630">
        <v>17031003242</v>
      </c>
      <c r="C940" s="630">
        <v>17031004686</v>
      </c>
      <c r="D940" s="630">
        <v>17031004687</v>
      </c>
      <c r="E940" s="630" t="s">
        <v>533</v>
      </c>
      <c r="F940" s="630" t="s">
        <v>534</v>
      </c>
      <c r="G940" s="630" t="s">
        <v>365</v>
      </c>
      <c r="H940" s="630" t="s">
        <v>547</v>
      </c>
      <c r="I940" s="630"/>
      <c r="J940" s="630" t="s">
        <v>543</v>
      </c>
      <c r="K940" s="630"/>
      <c r="L940" s="630"/>
      <c r="M940" s="630"/>
      <c r="N940" s="630"/>
      <c r="O940" s="630"/>
      <c r="P940" s="630"/>
      <c r="Q940" s="630"/>
      <c r="R940" s="630"/>
      <c r="S940" s="630" t="s">
        <v>602</v>
      </c>
      <c r="T940" s="630"/>
      <c r="U940" s="630" t="s">
        <v>538</v>
      </c>
      <c r="V940" s="630">
        <v>2</v>
      </c>
      <c r="W940" s="630" t="s">
        <v>582</v>
      </c>
      <c r="X940" s="630" t="s">
        <v>541</v>
      </c>
      <c r="Y940" s="630" t="s">
        <v>540</v>
      </c>
      <c r="Z940" s="630">
        <v>0.87663199999999997</v>
      </c>
      <c r="AA940" s="630">
        <v>1.4108050000000001</v>
      </c>
      <c r="AB940" s="631">
        <v>320</v>
      </c>
      <c r="AC940" s="631">
        <v>23200</v>
      </c>
      <c r="AD940" s="631">
        <f t="shared" si="14"/>
        <v>20337.862399999998</v>
      </c>
    </row>
    <row r="941" spans="2:30" x14ac:dyDescent="0.15">
      <c r="B941" s="630">
        <v>17031003489</v>
      </c>
      <c r="C941" s="630">
        <v>17031001042</v>
      </c>
      <c r="D941" s="630">
        <v>17031007733</v>
      </c>
      <c r="E941" s="630" t="s">
        <v>533</v>
      </c>
      <c r="F941" s="630" t="s">
        <v>534</v>
      </c>
      <c r="G941" s="630" t="s">
        <v>365</v>
      </c>
      <c r="H941" s="630" t="s">
        <v>381</v>
      </c>
      <c r="I941" s="630"/>
      <c r="J941" s="630" t="s">
        <v>551</v>
      </c>
      <c r="K941" s="630" t="s">
        <v>543</v>
      </c>
      <c r="L941" s="630" t="s">
        <v>382</v>
      </c>
      <c r="M941" s="630"/>
      <c r="N941" s="630"/>
      <c r="O941" s="630"/>
      <c r="P941" s="630"/>
      <c r="Q941" s="630"/>
      <c r="R941" s="630"/>
      <c r="S941" s="630" t="s">
        <v>647</v>
      </c>
      <c r="T941" s="630"/>
      <c r="U941" s="630" t="s">
        <v>538</v>
      </c>
      <c r="V941" s="630">
        <v>2</v>
      </c>
      <c r="W941" s="630" t="s">
        <v>545</v>
      </c>
      <c r="X941" s="630" t="s">
        <v>580</v>
      </c>
      <c r="Y941" s="630" t="s">
        <v>549</v>
      </c>
      <c r="Z941" s="630">
        <v>0.89963599999999999</v>
      </c>
      <c r="AA941" s="630">
        <v>1.447827</v>
      </c>
      <c r="AB941" s="631">
        <v>2311976</v>
      </c>
      <c r="AC941" s="631">
        <v>43666756</v>
      </c>
      <c r="AD941" s="631">
        <f t="shared" si="14"/>
        <v>39284185.700815998</v>
      </c>
    </row>
    <row r="942" spans="2:30" x14ac:dyDescent="0.15">
      <c r="B942" s="630">
        <v>17031003624</v>
      </c>
      <c r="C942" s="630">
        <v>17031000897</v>
      </c>
      <c r="D942" s="630">
        <v>17031000893</v>
      </c>
      <c r="E942" s="630" t="s">
        <v>533</v>
      </c>
      <c r="F942" s="630" t="s">
        <v>534</v>
      </c>
      <c r="G942" s="630" t="s">
        <v>365</v>
      </c>
      <c r="H942" s="630" t="s">
        <v>551</v>
      </c>
      <c r="I942" s="630"/>
      <c r="J942" s="630" t="s">
        <v>381</v>
      </c>
      <c r="K942" s="630" t="s">
        <v>535</v>
      </c>
      <c r="L942" s="630" t="s">
        <v>552</v>
      </c>
      <c r="M942" s="630" t="s">
        <v>382</v>
      </c>
      <c r="N942" s="630"/>
      <c r="O942" s="630"/>
      <c r="P942" s="630"/>
      <c r="Q942" s="630"/>
      <c r="R942" s="630"/>
      <c r="S942" s="630" t="s">
        <v>600</v>
      </c>
      <c r="T942" s="630" t="s">
        <v>633</v>
      </c>
      <c r="U942" s="630" t="s">
        <v>538</v>
      </c>
      <c r="V942" s="630">
        <v>3</v>
      </c>
      <c r="W942" s="630" t="s">
        <v>582</v>
      </c>
      <c r="X942" s="630" t="s">
        <v>549</v>
      </c>
      <c r="Y942" s="630" t="s">
        <v>540</v>
      </c>
      <c r="Z942" s="630">
        <v>0.48685699999999998</v>
      </c>
      <c r="AA942" s="630">
        <v>0.78352299999999997</v>
      </c>
      <c r="AB942" s="631">
        <v>168553</v>
      </c>
      <c r="AC942" s="631">
        <v>5157762</v>
      </c>
      <c r="AD942" s="631">
        <f t="shared" si="14"/>
        <v>2511092.5340339998</v>
      </c>
    </row>
    <row r="943" spans="2:30" x14ac:dyDescent="0.15">
      <c r="B943" s="630">
        <v>17031003655</v>
      </c>
      <c r="C943" s="630">
        <v>17031001048</v>
      </c>
      <c r="D943" s="630">
        <v>17031001335</v>
      </c>
      <c r="E943" s="630" t="s">
        <v>533</v>
      </c>
      <c r="F943" s="630" t="s">
        <v>534</v>
      </c>
      <c r="G943" s="630" t="s">
        <v>365</v>
      </c>
      <c r="H943" s="630" t="s">
        <v>382</v>
      </c>
      <c r="I943" s="630"/>
      <c r="J943" s="630" t="s">
        <v>542</v>
      </c>
      <c r="K943" s="630" t="s">
        <v>555</v>
      </c>
      <c r="L943" s="630"/>
      <c r="M943" s="630"/>
      <c r="N943" s="630"/>
      <c r="O943" s="630"/>
      <c r="P943" s="630"/>
      <c r="Q943" s="630"/>
      <c r="R943" s="630"/>
      <c r="S943" s="630" t="s">
        <v>556</v>
      </c>
      <c r="T943" s="630"/>
      <c r="U943" s="630" t="s">
        <v>538</v>
      </c>
      <c r="V943" s="630">
        <v>2</v>
      </c>
      <c r="W943" s="630" t="s">
        <v>545</v>
      </c>
      <c r="X943" s="630" t="s">
        <v>540</v>
      </c>
      <c r="Y943" s="630" t="s">
        <v>540</v>
      </c>
      <c r="Z943" s="630">
        <v>7.5133840000000003</v>
      </c>
      <c r="AA943" s="630">
        <v>12.091642999999999</v>
      </c>
      <c r="AB943" s="631">
        <v>45400</v>
      </c>
      <c r="AC943" s="631">
        <v>2103988</v>
      </c>
      <c r="AD943" s="631">
        <f t="shared" si="14"/>
        <v>15808069.775392001</v>
      </c>
    </row>
    <row r="944" spans="2:30" x14ac:dyDescent="0.15">
      <c r="B944" s="630">
        <v>17031003931</v>
      </c>
      <c r="C944" s="630">
        <v>17031001098</v>
      </c>
      <c r="D944" s="630">
        <v>17031001106</v>
      </c>
      <c r="E944" s="630" t="s">
        <v>533</v>
      </c>
      <c r="F944" s="630" t="s">
        <v>534</v>
      </c>
      <c r="G944" s="630" t="s">
        <v>365</v>
      </c>
      <c r="H944" s="630" t="s">
        <v>543</v>
      </c>
      <c r="I944" s="630"/>
      <c r="J944" s="630" t="s">
        <v>577</v>
      </c>
      <c r="K944" s="630"/>
      <c r="L944" s="630"/>
      <c r="M944" s="630"/>
      <c r="N944" s="630"/>
      <c r="O944" s="630"/>
      <c r="P944" s="630"/>
      <c r="Q944" s="630"/>
      <c r="R944" s="630"/>
      <c r="S944" s="630" t="s">
        <v>604</v>
      </c>
      <c r="T944" s="630"/>
      <c r="U944" s="630" t="s">
        <v>538</v>
      </c>
      <c r="V944" s="630">
        <v>1</v>
      </c>
      <c r="W944" s="630" t="s">
        <v>545</v>
      </c>
      <c r="X944" s="630" t="s">
        <v>546</v>
      </c>
      <c r="Y944" s="630" t="s">
        <v>554</v>
      </c>
      <c r="Z944" s="630">
        <v>6.7876000000000006E-2</v>
      </c>
      <c r="AA944" s="630">
        <v>0.109237</v>
      </c>
      <c r="AB944" s="631">
        <v>10277</v>
      </c>
      <c r="AC944" s="631">
        <v>921789</v>
      </c>
      <c r="AD944" s="631">
        <f t="shared" si="14"/>
        <v>62567.350164000003</v>
      </c>
    </row>
    <row r="945" spans="2:30" x14ac:dyDescent="0.15">
      <c r="B945" s="630">
        <v>17089003971</v>
      </c>
      <c r="C945" s="630">
        <v>17089000965</v>
      </c>
      <c r="D945" s="630">
        <v>17089000960</v>
      </c>
      <c r="E945" s="630" t="s">
        <v>533</v>
      </c>
      <c r="F945" s="630" t="s">
        <v>534</v>
      </c>
      <c r="G945" s="630" t="s">
        <v>369</v>
      </c>
      <c r="H945" s="630" t="s">
        <v>381</v>
      </c>
      <c r="I945" s="630"/>
      <c r="J945" s="630" t="s">
        <v>542</v>
      </c>
      <c r="K945" s="630" t="s">
        <v>578</v>
      </c>
      <c r="L945" s="630" t="s">
        <v>547</v>
      </c>
      <c r="M945" s="630" t="s">
        <v>382</v>
      </c>
      <c r="N945" s="630"/>
      <c r="O945" s="630"/>
      <c r="P945" s="630"/>
      <c r="Q945" s="630"/>
      <c r="R945" s="630"/>
      <c r="S945" s="630" t="s">
        <v>579</v>
      </c>
      <c r="T945" s="630" t="s">
        <v>694</v>
      </c>
      <c r="U945" s="630" t="s">
        <v>538</v>
      </c>
      <c r="V945" s="630">
        <v>3</v>
      </c>
      <c r="W945" s="630" t="s">
        <v>545</v>
      </c>
      <c r="X945" s="630" t="s">
        <v>575</v>
      </c>
      <c r="Y945" s="630" t="s">
        <v>540</v>
      </c>
      <c r="Z945" s="630">
        <v>6.0865000000000002E-2</v>
      </c>
      <c r="AA945" s="630">
        <v>9.7952999999999998E-2</v>
      </c>
      <c r="AB945" s="631">
        <v>1187105</v>
      </c>
      <c r="AC945" s="631">
        <v>47005432</v>
      </c>
      <c r="AD945" s="631">
        <f t="shared" si="14"/>
        <v>2860985.6186800003</v>
      </c>
    </row>
    <row r="946" spans="2:30" x14ac:dyDescent="0.15">
      <c r="B946" s="630">
        <v>17031004236</v>
      </c>
      <c r="C946" s="630">
        <v>17031001575</v>
      </c>
      <c r="D946" s="630">
        <v>17031006632</v>
      </c>
      <c r="E946" s="630" t="s">
        <v>533</v>
      </c>
      <c r="F946" s="630" t="s">
        <v>534</v>
      </c>
      <c r="G946" s="630" t="s">
        <v>365</v>
      </c>
      <c r="H946" s="630" t="s">
        <v>382</v>
      </c>
      <c r="I946" s="630"/>
      <c r="J946" s="630"/>
      <c r="K946" s="630"/>
      <c r="L946" s="630"/>
      <c r="M946" s="630"/>
      <c r="N946" s="630"/>
      <c r="O946" s="630"/>
      <c r="P946" s="630"/>
      <c r="Q946" s="630"/>
      <c r="R946" s="630"/>
      <c r="S946" s="630" t="s">
        <v>576</v>
      </c>
      <c r="T946" s="630" t="s">
        <v>599</v>
      </c>
      <c r="U946" s="630" t="s">
        <v>559</v>
      </c>
      <c r="V946" s="630">
        <v>1</v>
      </c>
      <c r="W946" s="630" t="s">
        <v>560</v>
      </c>
      <c r="X946" s="630" t="s">
        <v>541</v>
      </c>
      <c r="Y946" s="630" t="s">
        <v>541</v>
      </c>
      <c r="Z946" s="630">
        <v>5.6807000000000003E-2</v>
      </c>
      <c r="AA946" s="630">
        <v>9.1422000000000003E-2</v>
      </c>
      <c r="AB946" s="631">
        <v>0</v>
      </c>
      <c r="AC946" s="631">
        <v>0</v>
      </c>
      <c r="AD946" s="631">
        <f t="shared" si="14"/>
        <v>0</v>
      </c>
    </row>
    <row r="947" spans="2:30" x14ac:dyDescent="0.15">
      <c r="B947" s="630">
        <v>17031006093</v>
      </c>
      <c r="C947" s="630">
        <v>17031000669</v>
      </c>
      <c r="D947" s="630">
        <v>17031000708</v>
      </c>
      <c r="E947" s="630" t="s">
        <v>533</v>
      </c>
      <c r="F947" s="630" t="s">
        <v>534</v>
      </c>
      <c r="G947" s="630" t="s">
        <v>365</v>
      </c>
      <c r="H947" s="630" t="s">
        <v>644</v>
      </c>
      <c r="I947" s="630"/>
      <c r="J947" s="630"/>
      <c r="K947" s="630"/>
      <c r="L947" s="630"/>
      <c r="M947" s="630"/>
      <c r="N947" s="630"/>
      <c r="O947" s="630"/>
      <c r="P947" s="630"/>
      <c r="Q947" s="630"/>
      <c r="R947" s="630"/>
      <c r="S947" s="630"/>
      <c r="T947" s="630"/>
      <c r="U947" s="630" t="s">
        <v>559</v>
      </c>
      <c r="V947" s="630">
        <v>1</v>
      </c>
      <c r="W947" s="630" t="s">
        <v>560</v>
      </c>
      <c r="X947" s="630" t="s">
        <v>541</v>
      </c>
      <c r="Y947" s="630" t="s">
        <v>541</v>
      </c>
      <c r="Z947" s="630">
        <v>0.65022199999999997</v>
      </c>
      <c r="AA947" s="630">
        <v>1.0464329999999999</v>
      </c>
      <c r="AB947" s="631">
        <v>0</v>
      </c>
      <c r="AC947" s="631">
        <v>0</v>
      </c>
      <c r="AD947" s="631">
        <f t="shared" si="14"/>
        <v>0</v>
      </c>
    </row>
    <row r="948" spans="2:30" x14ac:dyDescent="0.15">
      <c r="B948" s="630">
        <v>17031006310</v>
      </c>
      <c r="C948" s="630">
        <v>17031000958</v>
      </c>
      <c r="D948" s="630">
        <v>17031000874</v>
      </c>
      <c r="E948" s="630" t="s">
        <v>533</v>
      </c>
      <c r="F948" s="630" t="s">
        <v>534</v>
      </c>
      <c r="G948" s="630" t="s">
        <v>365</v>
      </c>
      <c r="H948" s="630" t="s">
        <v>547</v>
      </c>
      <c r="I948" s="630"/>
      <c r="J948" s="630" t="s">
        <v>627</v>
      </c>
      <c r="K948" s="630"/>
      <c r="L948" s="630"/>
      <c r="M948" s="630"/>
      <c r="N948" s="630"/>
      <c r="O948" s="630"/>
      <c r="P948" s="630"/>
      <c r="Q948" s="630"/>
      <c r="R948" s="630"/>
      <c r="S948" s="630"/>
      <c r="T948" s="630"/>
      <c r="U948" s="630" t="s">
        <v>538</v>
      </c>
      <c r="V948" s="630">
        <v>4</v>
      </c>
      <c r="W948" s="630" t="s">
        <v>545</v>
      </c>
      <c r="X948" s="630" t="s">
        <v>541</v>
      </c>
      <c r="Y948" s="630" t="s">
        <v>540</v>
      </c>
      <c r="Z948" s="630">
        <v>2.0032640000000002</v>
      </c>
      <c r="AA948" s="630">
        <v>3.2239469999999999</v>
      </c>
      <c r="AB948" s="631">
        <v>0</v>
      </c>
      <c r="AC948" s="631">
        <v>0</v>
      </c>
      <c r="AD948" s="631">
        <f t="shared" si="14"/>
        <v>0</v>
      </c>
    </row>
    <row r="949" spans="2:30" x14ac:dyDescent="0.15">
      <c r="B949" s="630">
        <v>17197008228</v>
      </c>
      <c r="C949" s="630">
        <v>17197006586</v>
      </c>
      <c r="D949" s="630">
        <v>17197004513</v>
      </c>
      <c r="E949" s="630" t="s">
        <v>533</v>
      </c>
      <c r="F949" s="630" t="s">
        <v>534</v>
      </c>
      <c r="G949" s="630" t="s">
        <v>377</v>
      </c>
      <c r="H949" s="630" t="s">
        <v>381</v>
      </c>
      <c r="I949" s="630"/>
      <c r="J949" s="630" t="s">
        <v>382</v>
      </c>
      <c r="K949" s="630"/>
      <c r="L949" s="630"/>
      <c r="M949" s="630"/>
      <c r="N949" s="630"/>
      <c r="O949" s="630"/>
      <c r="P949" s="630"/>
      <c r="Q949" s="630"/>
      <c r="R949" s="630"/>
      <c r="S949" s="630" t="s">
        <v>651</v>
      </c>
      <c r="T949" s="630" t="s">
        <v>651</v>
      </c>
      <c r="U949" s="630" t="s">
        <v>559</v>
      </c>
      <c r="V949" s="630">
        <v>1</v>
      </c>
      <c r="W949" s="630" t="s">
        <v>539</v>
      </c>
      <c r="X949" s="630" t="s">
        <v>540</v>
      </c>
      <c r="Y949" s="630" t="s">
        <v>554</v>
      </c>
      <c r="Z949" s="630">
        <v>0.74365199999999998</v>
      </c>
      <c r="AA949" s="630">
        <v>1.1967950000000001</v>
      </c>
      <c r="AB949" s="631">
        <v>890480</v>
      </c>
      <c r="AC949" s="631">
        <v>13574960</v>
      </c>
      <c r="AD949" s="631">
        <f t="shared" si="14"/>
        <v>10095046.15392</v>
      </c>
    </row>
    <row r="950" spans="2:30" x14ac:dyDescent="0.15">
      <c r="B950" s="630">
        <v>17031009671</v>
      </c>
      <c r="C950" s="630">
        <v>17031007754</v>
      </c>
      <c r="D950" s="630">
        <v>17031004601</v>
      </c>
      <c r="E950" s="630" t="s">
        <v>533</v>
      </c>
      <c r="F950" s="630" t="s">
        <v>534</v>
      </c>
      <c r="G950" s="630" t="s">
        <v>365</v>
      </c>
      <c r="H950" s="630" t="s">
        <v>382</v>
      </c>
      <c r="I950" s="630"/>
      <c r="J950" s="630" t="s">
        <v>535</v>
      </c>
      <c r="K950" s="630" t="s">
        <v>547</v>
      </c>
      <c r="L950" s="630"/>
      <c r="M950" s="630"/>
      <c r="N950" s="630"/>
      <c r="O950" s="630"/>
      <c r="P950" s="630"/>
      <c r="Q950" s="630"/>
      <c r="R950" s="630"/>
      <c r="S950" s="630" t="s">
        <v>608</v>
      </c>
      <c r="T950" s="630"/>
      <c r="U950" s="630" t="s">
        <v>538</v>
      </c>
      <c r="V950" s="630">
        <v>3</v>
      </c>
      <c r="W950" s="630" t="s">
        <v>566</v>
      </c>
      <c r="X950" s="630" t="s">
        <v>549</v>
      </c>
      <c r="Y950" s="630" t="s">
        <v>549</v>
      </c>
      <c r="Z950" s="630">
        <v>0.58747400000000005</v>
      </c>
      <c r="AA950" s="630">
        <v>0.94544899999999998</v>
      </c>
      <c r="AB950" s="631">
        <v>8906</v>
      </c>
      <c r="AC950" s="631">
        <v>840677</v>
      </c>
      <c r="AD950" s="631">
        <f t="shared" si="14"/>
        <v>493875.87989800004</v>
      </c>
    </row>
    <row r="951" spans="2:30" x14ac:dyDescent="0.15">
      <c r="B951" s="630">
        <v>17089002013</v>
      </c>
      <c r="C951" s="630">
        <v>17089001052</v>
      </c>
      <c r="D951" s="630">
        <v>17089001055</v>
      </c>
      <c r="E951" s="630" t="s">
        <v>533</v>
      </c>
      <c r="F951" s="630" t="s">
        <v>534</v>
      </c>
      <c r="G951" s="630" t="s">
        <v>369</v>
      </c>
      <c r="H951" s="630" t="s">
        <v>381</v>
      </c>
      <c r="I951" s="630"/>
      <c r="J951" s="630"/>
      <c r="K951" s="630"/>
      <c r="L951" s="630"/>
      <c r="M951" s="630"/>
      <c r="N951" s="630"/>
      <c r="O951" s="630"/>
      <c r="P951" s="630"/>
      <c r="Q951" s="630"/>
      <c r="R951" s="630"/>
      <c r="S951" s="630"/>
      <c r="T951" s="630"/>
      <c r="U951" s="630" t="s">
        <v>559</v>
      </c>
      <c r="V951" s="630">
        <v>1</v>
      </c>
      <c r="W951" s="630" t="s">
        <v>560</v>
      </c>
      <c r="X951" s="630" t="s">
        <v>541</v>
      </c>
      <c r="Y951" s="630" t="s">
        <v>541</v>
      </c>
      <c r="Z951" s="630">
        <v>1.468324</v>
      </c>
      <c r="AA951" s="630">
        <v>2.3630429999999998</v>
      </c>
      <c r="AB951" s="631">
        <v>0</v>
      </c>
      <c r="AC951" s="631">
        <v>0</v>
      </c>
      <c r="AD951" s="631">
        <f t="shared" si="14"/>
        <v>0</v>
      </c>
    </row>
    <row r="952" spans="2:30" x14ac:dyDescent="0.15">
      <c r="B952" s="630">
        <v>17031002170</v>
      </c>
      <c r="C952" s="630">
        <v>17031001356</v>
      </c>
      <c r="D952" s="630">
        <v>17031001355</v>
      </c>
      <c r="E952" s="630" t="s">
        <v>533</v>
      </c>
      <c r="F952" s="630" t="s">
        <v>534</v>
      </c>
      <c r="G952" s="630" t="s">
        <v>365</v>
      </c>
      <c r="H952" s="630" t="s">
        <v>557</v>
      </c>
      <c r="I952" s="630"/>
      <c r="J952" s="630" t="s">
        <v>381</v>
      </c>
      <c r="K952" s="630" t="s">
        <v>535</v>
      </c>
      <c r="L952" s="630" t="s">
        <v>552</v>
      </c>
      <c r="M952" s="630" t="s">
        <v>551</v>
      </c>
      <c r="N952" s="630" t="s">
        <v>615</v>
      </c>
      <c r="O952" s="630" t="s">
        <v>543</v>
      </c>
      <c r="P952" s="630" t="s">
        <v>382</v>
      </c>
      <c r="Q952" s="630" t="s">
        <v>569</v>
      </c>
      <c r="R952" s="630"/>
      <c r="S952" s="630" t="s">
        <v>570</v>
      </c>
      <c r="T952" s="630" t="s">
        <v>600</v>
      </c>
      <c r="U952" s="630" t="s">
        <v>538</v>
      </c>
      <c r="V952" s="630">
        <v>2</v>
      </c>
      <c r="W952" s="630" t="s">
        <v>545</v>
      </c>
      <c r="X952" s="630" t="s">
        <v>546</v>
      </c>
      <c r="Y952" s="630" t="s">
        <v>554</v>
      </c>
      <c r="Z952" s="630">
        <v>1.096975</v>
      </c>
      <c r="AA952" s="630">
        <v>1.765414</v>
      </c>
      <c r="AB952" s="631">
        <v>1188887</v>
      </c>
      <c r="AC952" s="631">
        <v>39868985</v>
      </c>
      <c r="AD952" s="631">
        <f t="shared" si="14"/>
        <v>43735279.820375003</v>
      </c>
    </row>
    <row r="953" spans="2:30" x14ac:dyDescent="0.15">
      <c r="B953" s="630">
        <v>17031002184</v>
      </c>
      <c r="C953" s="630">
        <v>17031004605</v>
      </c>
      <c r="D953" s="630">
        <v>17031000301</v>
      </c>
      <c r="E953" s="630" t="s">
        <v>533</v>
      </c>
      <c r="F953" s="630" t="s">
        <v>534</v>
      </c>
      <c r="G953" s="630" t="s">
        <v>365</v>
      </c>
      <c r="H953" s="630" t="s">
        <v>382</v>
      </c>
      <c r="I953" s="630"/>
      <c r="J953" s="630" t="s">
        <v>547</v>
      </c>
      <c r="K953" s="630"/>
      <c r="L953" s="630"/>
      <c r="M953" s="630"/>
      <c r="N953" s="630"/>
      <c r="O953" s="630"/>
      <c r="P953" s="630"/>
      <c r="Q953" s="630"/>
      <c r="R953" s="630"/>
      <c r="S953" s="630" t="s">
        <v>608</v>
      </c>
      <c r="T953" s="630"/>
      <c r="U953" s="630" t="s">
        <v>538</v>
      </c>
      <c r="V953" s="630">
        <v>3</v>
      </c>
      <c r="W953" s="630" t="s">
        <v>566</v>
      </c>
      <c r="X953" s="630" t="s">
        <v>554</v>
      </c>
      <c r="Y953" s="630" t="s">
        <v>549</v>
      </c>
      <c r="Z953" s="630">
        <v>1.941549</v>
      </c>
      <c r="AA953" s="630">
        <v>3.1246260000000001</v>
      </c>
      <c r="AB953" s="631">
        <v>0</v>
      </c>
      <c r="AC953" s="631">
        <v>0</v>
      </c>
      <c r="AD953" s="631">
        <f t="shared" si="14"/>
        <v>0</v>
      </c>
    </row>
    <row r="954" spans="2:30" x14ac:dyDescent="0.15">
      <c r="B954" s="630">
        <v>17031002187</v>
      </c>
      <c r="C954" s="630">
        <v>17031000747</v>
      </c>
      <c r="D954" s="630">
        <v>17031000739</v>
      </c>
      <c r="E954" s="630" t="s">
        <v>533</v>
      </c>
      <c r="F954" s="630" t="s">
        <v>534</v>
      </c>
      <c r="G954" s="630" t="s">
        <v>365</v>
      </c>
      <c r="H954" s="630" t="s">
        <v>535</v>
      </c>
      <c r="I954" s="630"/>
      <c r="J954" s="630"/>
      <c r="K954" s="630"/>
      <c r="L954" s="630"/>
      <c r="M954" s="630"/>
      <c r="N954" s="630"/>
      <c r="O954" s="630"/>
      <c r="P954" s="630"/>
      <c r="Q954" s="630"/>
      <c r="R954" s="630"/>
      <c r="S954" s="630" t="s">
        <v>624</v>
      </c>
      <c r="T954" s="630"/>
      <c r="U954" s="630" t="s">
        <v>538</v>
      </c>
      <c r="V954" s="630">
        <v>2</v>
      </c>
      <c r="W954" s="630" t="s">
        <v>582</v>
      </c>
      <c r="X954" s="630" t="s">
        <v>554</v>
      </c>
      <c r="Y954" s="630" t="s">
        <v>554</v>
      </c>
      <c r="Z954" s="630">
        <v>1.540519</v>
      </c>
      <c r="AA954" s="630">
        <v>2.479231</v>
      </c>
      <c r="AB954" s="631">
        <v>0</v>
      </c>
      <c r="AC954" s="631">
        <v>0</v>
      </c>
      <c r="AD954" s="631">
        <f t="shared" si="14"/>
        <v>0</v>
      </c>
    </row>
    <row r="955" spans="2:30" x14ac:dyDescent="0.15">
      <c r="B955" s="630">
        <v>17031002192</v>
      </c>
      <c r="C955" s="630">
        <v>17031000654</v>
      </c>
      <c r="D955" s="630">
        <v>17031000655</v>
      </c>
      <c r="E955" s="630" t="s">
        <v>533</v>
      </c>
      <c r="F955" s="630" t="s">
        <v>534</v>
      </c>
      <c r="G955" s="630" t="s">
        <v>365</v>
      </c>
      <c r="H955" s="630" t="s">
        <v>382</v>
      </c>
      <c r="I955" s="630"/>
      <c r="J955" s="630" t="s">
        <v>572</v>
      </c>
      <c r="K955" s="630"/>
      <c r="L955" s="630"/>
      <c r="M955" s="630"/>
      <c r="N955" s="630"/>
      <c r="O955" s="630"/>
      <c r="P955" s="630"/>
      <c r="Q955" s="630"/>
      <c r="R955" s="630"/>
      <c r="S955" s="630" t="s">
        <v>609</v>
      </c>
      <c r="T955" s="630" t="s">
        <v>695</v>
      </c>
      <c r="U955" s="630" t="s">
        <v>538</v>
      </c>
      <c r="V955" s="630">
        <v>1</v>
      </c>
      <c r="W955" s="630" t="s">
        <v>560</v>
      </c>
      <c r="X955" s="630" t="s">
        <v>540</v>
      </c>
      <c r="Y955" s="630" t="s">
        <v>541</v>
      </c>
      <c r="Z955" s="630">
        <v>0.142322</v>
      </c>
      <c r="AA955" s="630">
        <v>0.229045</v>
      </c>
      <c r="AB955" s="631">
        <v>518784</v>
      </c>
      <c r="AC955" s="631">
        <v>21506516</v>
      </c>
      <c r="AD955" s="631">
        <f t="shared" si="14"/>
        <v>3060850.3701519999</v>
      </c>
    </row>
    <row r="956" spans="2:30" x14ac:dyDescent="0.15">
      <c r="B956" s="630">
        <v>17043002392</v>
      </c>
      <c r="C956" s="630">
        <v>17043004765</v>
      </c>
      <c r="D956" s="630">
        <v>17043007366</v>
      </c>
      <c r="E956" s="630" t="s">
        <v>533</v>
      </c>
      <c r="F956" s="630" t="s">
        <v>534</v>
      </c>
      <c r="G956" s="630" t="s">
        <v>367</v>
      </c>
      <c r="H956" s="630" t="s">
        <v>382</v>
      </c>
      <c r="I956" s="630"/>
      <c r="J956" s="630"/>
      <c r="K956" s="630"/>
      <c r="L956" s="630"/>
      <c r="M956" s="630"/>
      <c r="N956" s="630"/>
      <c r="O956" s="630"/>
      <c r="P956" s="630"/>
      <c r="Q956" s="630"/>
      <c r="R956" s="630"/>
      <c r="S956" s="630" t="s">
        <v>561</v>
      </c>
      <c r="T956" s="630"/>
      <c r="U956" s="630" t="s">
        <v>538</v>
      </c>
      <c r="V956" s="630">
        <v>1</v>
      </c>
      <c r="W956" s="630" t="s">
        <v>562</v>
      </c>
      <c r="X956" s="630" t="s">
        <v>541</v>
      </c>
      <c r="Y956" s="630" t="s">
        <v>540</v>
      </c>
      <c r="Z956" s="630">
        <v>0.398169</v>
      </c>
      <c r="AA956" s="630">
        <v>0.64079299999999995</v>
      </c>
      <c r="AB956" s="631">
        <v>16124</v>
      </c>
      <c r="AC956" s="631">
        <v>373440</v>
      </c>
      <c r="AD956" s="631">
        <f t="shared" si="14"/>
        <v>148692.23136000001</v>
      </c>
    </row>
    <row r="957" spans="2:30" x14ac:dyDescent="0.15">
      <c r="B957" s="630">
        <v>17031002613</v>
      </c>
      <c r="C957" s="630">
        <v>17031001153</v>
      </c>
      <c r="D957" s="630">
        <v>17031004689</v>
      </c>
      <c r="E957" s="630" t="s">
        <v>533</v>
      </c>
      <c r="F957" s="630" t="s">
        <v>534</v>
      </c>
      <c r="G957" s="630" t="s">
        <v>365</v>
      </c>
      <c r="H957" s="630" t="s">
        <v>547</v>
      </c>
      <c r="I957" s="630"/>
      <c r="J957" s="630" t="s">
        <v>543</v>
      </c>
      <c r="K957" s="630"/>
      <c r="L957" s="630"/>
      <c r="M957" s="630"/>
      <c r="N957" s="630"/>
      <c r="O957" s="630"/>
      <c r="P957" s="630"/>
      <c r="Q957" s="630"/>
      <c r="R957" s="630"/>
      <c r="S957" s="630" t="s">
        <v>602</v>
      </c>
      <c r="T957" s="630"/>
      <c r="U957" s="630" t="s">
        <v>538</v>
      </c>
      <c r="V957" s="630">
        <v>2</v>
      </c>
      <c r="W957" s="630" t="s">
        <v>582</v>
      </c>
      <c r="X957" s="630" t="s">
        <v>541</v>
      </c>
      <c r="Y957" s="630" t="s">
        <v>540</v>
      </c>
      <c r="Z957" s="630">
        <v>1.6759269999999999</v>
      </c>
      <c r="AA957" s="630">
        <v>2.6971479999999999</v>
      </c>
      <c r="AB957" s="631">
        <v>0</v>
      </c>
      <c r="AC957" s="631">
        <v>0</v>
      </c>
      <c r="AD957" s="631">
        <f t="shared" si="14"/>
        <v>0</v>
      </c>
    </row>
    <row r="958" spans="2:30" x14ac:dyDescent="0.15">
      <c r="B958" s="630">
        <v>17031002696</v>
      </c>
      <c r="C958" s="630">
        <v>17031001329</v>
      </c>
      <c r="D958" s="630">
        <v>17031001340</v>
      </c>
      <c r="E958" s="630" t="s">
        <v>533</v>
      </c>
      <c r="F958" s="630" t="s">
        <v>534</v>
      </c>
      <c r="G958" s="630" t="s">
        <v>365</v>
      </c>
      <c r="H958" s="630" t="s">
        <v>551</v>
      </c>
      <c r="I958" s="630"/>
      <c r="J958" s="630" t="s">
        <v>381</v>
      </c>
      <c r="K958" s="630" t="s">
        <v>535</v>
      </c>
      <c r="L958" s="630" t="s">
        <v>552</v>
      </c>
      <c r="M958" s="630"/>
      <c r="N958" s="630"/>
      <c r="O958" s="630"/>
      <c r="P958" s="630"/>
      <c r="Q958" s="630"/>
      <c r="R958" s="630"/>
      <c r="S958" s="630" t="s">
        <v>628</v>
      </c>
      <c r="T958" s="630"/>
      <c r="U958" s="630" t="s">
        <v>538</v>
      </c>
      <c r="V958" s="630">
        <v>1</v>
      </c>
      <c r="W958" s="630" t="s">
        <v>545</v>
      </c>
      <c r="X958" s="630" t="s">
        <v>541</v>
      </c>
      <c r="Y958" s="630" t="s">
        <v>541</v>
      </c>
      <c r="Z958" s="630">
        <v>0.21310299999999999</v>
      </c>
      <c r="AA958" s="630">
        <v>0.34295599999999998</v>
      </c>
      <c r="AB958" s="631">
        <v>280</v>
      </c>
      <c r="AC958" s="631">
        <v>26200</v>
      </c>
      <c r="AD958" s="631">
        <f t="shared" si="14"/>
        <v>5583.2986000000001</v>
      </c>
    </row>
    <row r="959" spans="2:30" x14ac:dyDescent="0.15">
      <c r="B959" s="630">
        <v>17031003599</v>
      </c>
      <c r="C959" s="630">
        <v>17031000957</v>
      </c>
      <c r="D959" s="630">
        <v>17031000956</v>
      </c>
      <c r="E959" s="630" t="s">
        <v>533</v>
      </c>
      <c r="F959" s="630" t="s">
        <v>534</v>
      </c>
      <c r="G959" s="630" t="s">
        <v>365</v>
      </c>
      <c r="H959" s="630" t="s">
        <v>571</v>
      </c>
      <c r="I959" s="630"/>
      <c r="J959" s="630" t="s">
        <v>381</v>
      </c>
      <c r="K959" s="630" t="s">
        <v>535</v>
      </c>
      <c r="L959" s="630" t="s">
        <v>552</v>
      </c>
      <c r="M959" s="630" t="s">
        <v>572</v>
      </c>
      <c r="N959" s="630" t="s">
        <v>551</v>
      </c>
      <c r="O959" s="630" t="s">
        <v>555</v>
      </c>
      <c r="P959" s="630" t="s">
        <v>543</v>
      </c>
      <c r="Q959" s="630" t="s">
        <v>382</v>
      </c>
      <c r="R959" s="630" t="s">
        <v>563</v>
      </c>
      <c r="S959" s="630" t="s">
        <v>605</v>
      </c>
      <c r="T959" s="630" t="s">
        <v>574</v>
      </c>
      <c r="U959" s="630" t="s">
        <v>538</v>
      </c>
      <c r="V959" s="630">
        <v>2</v>
      </c>
      <c r="W959" s="630" t="s">
        <v>545</v>
      </c>
      <c r="X959" s="630" t="s">
        <v>575</v>
      </c>
      <c r="Y959" s="630" t="s">
        <v>554</v>
      </c>
      <c r="Z959" s="630">
        <v>0.184585</v>
      </c>
      <c r="AA959" s="630">
        <v>0.29706199999999999</v>
      </c>
      <c r="AB959" s="631">
        <v>269567</v>
      </c>
      <c r="AC959" s="631">
        <v>14123853</v>
      </c>
      <c r="AD959" s="631">
        <f t="shared" si="14"/>
        <v>2607051.4060049998</v>
      </c>
    </row>
    <row r="960" spans="2:30" x14ac:dyDescent="0.15">
      <c r="B960" s="630">
        <v>17031004242</v>
      </c>
      <c r="C960" s="630">
        <v>17031007665</v>
      </c>
      <c r="D960" s="630">
        <v>17031001442</v>
      </c>
      <c r="E960" s="630" t="s">
        <v>533</v>
      </c>
      <c r="F960" s="630" t="s">
        <v>534</v>
      </c>
      <c r="G960" s="630" t="s">
        <v>365</v>
      </c>
      <c r="H960" s="630" t="s">
        <v>547</v>
      </c>
      <c r="I960" s="630"/>
      <c r="J960" s="630" t="s">
        <v>543</v>
      </c>
      <c r="K960" s="630"/>
      <c r="L960" s="630"/>
      <c r="M960" s="630"/>
      <c r="N960" s="630"/>
      <c r="O960" s="630"/>
      <c r="P960" s="630"/>
      <c r="Q960" s="630"/>
      <c r="R960" s="630"/>
      <c r="S960" s="630" t="s">
        <v>602</v>
      </c>
      <c r="T960" s="630"/>
      <c r="U960" s="630" t="s">
        <v>538</v>
      </c>
      <c r="V960" s="630">
        <v>1</v>
      </c>
      <c r="W960" s="630" t="s">
        <v>582</v>
      </c>
      <c r="X960" s="630" t="s">
        <v>541</v>
      </c>
      <c r="Y960" s="630" t="s">
        <v>540</v>
      </c>
      <c r="Z960" s="630">
        <v>0.394453</v>
      </c>
      <c r="AA960" s="630">
        <v>0.63481100000000001</v>
      </c>
      <c r="AB960" s="631">
        <v>320</v>
      </c>
      <c r="AC960" s="631">
        <v>23200</v>
      </c>
      <c r="AD960" s="631">
        <f t="shared" si="14"/>
        <v>9151.3096000000005</v>
      </c>
    </row>
    <row r="961" spans="2:30" x14ac:dyDescent="0.15">
      <c r="B961" s="630">
        <v>17031005505</v>
      </c>
      <c r="C961" s="630">
        <v>17031000721</v>
      </c>
      <c r="D961" s="630">
        <v>17031000716</v>
      </c>
      <c r="E961" s="630" t="s">
        <v>533</v>
      </c>
      <c r="F961" s="630" t="s">
        <v>534</v>
      </c>
      <c r="G961" s="630" t="s">
        <v>365</v>
      </c>
      <c r="H961" s="630" t="s">
        <v>571</v>
      </c>
      <c r="I961" s="630"/>
      <c r="J961" s="630" t="s">
        <v>381</v>
      </c>
      <c r="K961" s="630"/>
      <c r="L961" s="630"/>
      <c r="M961" s="630"/>
      <c r="N961" s="630"/>
      <c r="O961" s="630"/>
      <c r="P961" s="630"/>
      <c r="Q961" s="630"/>
      <c r="R961" s="630"/>
      <c r="S961" s="630"/>
      <c r="T961" s="630"/>
      <c r="U961" s="630" t="s">
        <v>538</v>
      </c>
      <c r="V961" s="630">
        <v>1</v>
      </c>
      <c r="W961" s="630" t="s">
        <v>560</v>
      </c>
      <c r="X961" s="630" t="s">
        <v>541</v>
      </c>
      <c r="Y961" s="630" t="s">
        <v>541</v>
      </c>
      <c r="Z961" s="630">
        <v>0.78609399999999996</v>
      </c>
      <c r="AA961" s="630">
        <v>1.2650980000000001</v>
      </c>
      <c r="AB961" s="631">
        <v>0</v>
      </c>
      <c r="AC961" s="631">
        <v>0</v>
      </c>
      <c r="AD961" s="631">
        <f t="shared" si="14"/>
        <v>0</v>
      </c>
    </row>
    <row r="962" spans="2:30" x14ac:dyDescent="0.15">
      <c r="B962" s="630">
        <v>17031006134</v>
      </c>
      <c r="C962" s="630">
        <v>17031000656</v>
      </c>
      <c r="D962" s="630">
        <v>17031000657</v>
      </c>
      <c r="E962" s="630" t="s">
        <v>533</v>
      </c>
      <c r="F962" s="630" t="s">
        <v>534</v>
      </c>
      <c r="G962" s="630" t="s">
        <v>365</v>
      </c>
      <c r="H962" s="630" t="s">
        <v>382</v>
      </c>
      <c r="I962" s="630"/>
      <c r="J962" s="630" t="s">
        <v>572</v>
      </c>
      <c r="K962" s="630"/>
      <c r="L962" s="630"/>
      <c r="M962" s="630"/>
      <c r="N962" s="630"/>
      <c r="O962" s="630"/>
      <c r="P962" s="630"/>
      <c r="Q962" s="630"/>
      <c r="R962" s="630"/>
      <c r="S962" s="630" t="s">
        <v>609</v>
      </c>
      <c r="T962" s="630"/>
      <c r="U962" s="630" t="s">
        <v>538</v>
      </c>
      <c r="V962" s="630">
        <v>1</v>
      </c>
      <c r="W962" s="630" t="s">
        <v>539</v>
      </c>
      <c r="X962" s="630" t="s">
        <v>540</v>
      </c>
      <c r="Y962" s="630" t="s">
        <v>541</v>
      </c>
      <c r="Z962" s="630">
        <v>0.183695</v>
      </c>
      <c r="AA962" s="630">
        <v>0.29562899999999998</v>
      </c>
      <c r="AB962" s="631">
        <v>518784</v>
      </c>
      <c r="AC962" s="631">
        <v>21506516</v>
      </c>
      <c r="AD962" s="631">
        <f t="shared" si="14"/>
        <v>3950639.4566199998</v>
      </c>
    </row>
    <row r="963" spans="2:30" x14ac:dyDescent="0.15">
      <c r="B963" s="630">
        <v>17031001959</v>
      </c>
      <c r="C963" s="630">
        <v>17031001238</v>
      </c>
      <c r="D963" s="630">
        <v>17031004725</v>
      </c>
      <c r="E963" s="630" t="s">
        <v>533</v>
      </c>
      <c r="F963" s="630" t="s">
        <v>534</v>
      </c>
      <c r="G963" s="630" t="s">
        <v>365</v>
      </c>
      <c r="H963" s="630" t="s">
        <v>547</v>
      </c>
      <c r="I963" s="630"/>
      <c r="J963" s="630"/>
      <c r="K963" s="630"/>
      <c r="L963" s="630"/>
      <c r="M963" s="630"/>
      <c r="N963" s="630"/>
      <c r="O963" s="630"/>
      <c r="P963" s="630"/>
      <c r="Q963" s="630"/>
      <c r="R963" s="630"/>
      <c r="S963" s="630"/>
      <c r="T963" s="630"/>
      <c r="U963" s="630" t="s">
        <v>538</v>
      </c>
      <c r="V963" s="630">
        <v>1</v>
      </c>
      <c r="W963" s="630" t="s">
        <v>582</v>
      </c>
      <c r="X963" s="630" t="s">
        <v>541</v>
      </c>
      <c r="Y963" s="630" t="s">
        <v>541</v>
      </c>
      <c r="Z963" s="630">
        <v>0.55371899999999996</v>
      </c>
      <c r="AA963" s="630">
        <v>0.89112599999999997</v>
      </c>
      <c r="AB963" s="631">
        <v>0</v>
      </c>
      <c r="AC963" s="631">
        <v>0</v>
      </c>
      <c r="AD963" s="631">
        <f t="shared" si="14"/>
        <v>0</v>
      </c>
    </row>
    <row r="964" spans="2:30" x14ac:dyDescent="0.15">
      <c r="B964" s="630">
        <v>17111001983</v>
      </c>
      <c r="C964" s="630">
        <v>17111000148</v>
      </c>
      <c r="D964" s="630">
        <v>17111004842</v>
      </c>
      <c r="E964" s="630" t="s">
        <v>533</v>
      </c>
      <c r="F964" s="630" t="s">
        <v>534</v>
      </c>
      <c r="G964" s="630" t="s">
        <v>375</v>
      </c>
      <c r="H964" s="630" t="s">
        <v>382</v>
      </c>
      <c r="I964" s="630"/>
      <c r="J964" s="630"/>
      <c r="K964" s="630"/>
      <c r="L964" s="630"/>
      <c r="M964" s="630"/>
      <c r="N964" s="630"/>
      <c r="O964" s="630"/>
      <c r="P964" s="630"/>
      <c r="Q964" s="630"/>
      <c r="R964" s="630"/>
      <c r="S964" s="630" t="s">
        <v>561</v>
      </c>
      <c r="T964" s="630"/>
      <c r="U964" s="630" t="s">
        <v>538</v>
      </c>
      <c r="V964" s="630">
        <v>1</v>
      </c>
      <c r="W964" s="630" t="s">
        <v>562</v>
      </c>
      <c r="X964" s="630" t="s">
        <v>541</v>
      </c>
      <c r="Y964" s="630" t="s">
        <v>540</v>
      </c>
      <c r="Z964" s="630">
        <v>3.662531</v>
      </c>
      <c r="AA964" s="630">
        <v>5.8942839999999999</v>
      </c>
      <c r="AB964" s="631">
        <v>16124</v>
      </c>
      <c r="AC964" s="631">
        <v>373440</v>
      </c>
      <c r="AD964" s="631">
        <f t="shared" si="14"/>
        <v>1367735.5766400001</v>
      </c>
    </row>
    <row r="965" spans="2:30" x14ac:dyDescent="0.15">
      <c r="B965" s="630">
        <v>17089002038</v>
      </c>
      <c r="C965" s="630">
        <v>17999020068</v>
      </c>
      <c r="D965" s="630">
        <v>17089004843</v>
      </c>
      <c r="E965" s="630" t="s">
        <v>533</v>
      </c>
      <c r="F965" s="630" t="s">
        <v>534</v>
      </c>
      <c r="G965" s="630" t="s">
        <v>369</v>
      </c>
      <c r="H965" s="630" t="s">
        <v>382</v>
      </c>
      <c r="I965" s="630"/>
      <c r="J965" s="630"/>
      <c r="K965" s="630"/>
      <c r="L965" s="630"/>
      <c r="M965" s="630"/>
      <c r="N965" s="630"/>
      <c r="O965" s="630"/>
      <c r="P965" s="630"/>
      <c r="Q965" s="630"/>
      <c r="R965" s="630"/>
      <c r="S965" s="630" t="s">
        <v>561</v>
      </c>
      <c r="T965" s="630"/>
      <c r="U965" s="630" t="s">
        <v>538</v>
      </c>
      <c r="V965" s="630">
        <v>1</v>
      </c>
      <c r="W965" s="630" t="s">
        <v>562</v>
      </c>
      <c r="X965" s="630" t="s">
        <v>541</v>
      </c>
      <c r="Y965" s="630" t="s">
        <v>540</v>
      </c>
      <c r="Z965" s="630">
        <v>2.4580769999999998</v>
      </c>
      <c r="AA965" s="630">
        <v>3.9558990000000001</v>
      </c>
      <c r="AB965" s="631">
        <v>16124</v>
      </c>
      <c r="AC965" s="631">
        <v>373440</v>
      </c>
      <c r="AD965" s="631">
        <f t="shared" si="14"/>
        <v>917944.27487999992</v>
      </c>
    </row>
    <row r="966" spans="2:30" x14ac:dyDescent="0.15">
      <c r="B966" s="630">
        <v>17031002338</v>
      </c>
      <c r="C966" s="630">
        <v>17031001296</v>
      </c>
      <c r="D966" s="630">
        <v>17031001294</v>
      </c>
      <c r="E966" s="630" t="s">
        <v>533</v>
      </c>
      <c r="F966" s="630" t="s">
        <v>534</v>
      </c>
      <c r="G966" s="630" t="s">
        <v>365</v>
      </c>
      <c r="H966" s="630" t="s">
        <v>557</v>
      </c>
      <c r="I966" s="630"/>
      <c r="J966" s="630" t="s">
        <v>535</v>
      </c>
      <c r="K966" s="630" t="s">
        <v>552</v>
      </c>
      <c r="L966" s="630" t="s">
        <v>551</v>
      </c>
      <c r="M966" s="630" t="s">
        <v>615</v>
      </c>
      <c r="N966" s="630" t="s">
        <v>543</v>
      </c>
      <c r="O966" s="630" t="s">
        <v>382</v>
      </c>
      <c r="P966" s="630"/>
      <c r="Q966" s="630"/>
      <c r="R966" s="630"/>
      <c r="S966" s="630"/>
      <c r="T966" s="630"/>
      <c r="U966" s="630" t="s">
        <v>538</v>
      </c>
      <c r="V966" s="630">
        <v>1</v>
      </c>
      <c r="W966" s="630" t="s">
        <v>545</v>
      </c>
      <c r="X966" s="630" t="s">
        <v>549</v>
      </c>
      <c r="Y966" s="630" t="s">
        <v>540</v>
      </c>
      <c r="Z966" s="630">
        <v>0.24670800000000001</v>
      </c>
      <c r="AA966" s="630">
        <v>0.39704</v>
      </c>
      <c r="AB966" s="631">
        <v>771625</v>
      </c>
      <c r="AC966" s="631">
        <v>33224262</v>
      </c>
      <c r="AD966" s="631">
        <f t="shared" ref="AD966:AD1029" si="15">AC966*Z966</f>
        <v>8196691.2294960003</v>
      </c>
    </row>
    <row r="967" spans="2:30" x14ac:dyDescent="0.15">
      <c r="B967" s="630">
        <v>17043002387</v>
      </c>
      <c r="C967" s="630">
        <v>17043000366</v>
      </c>
      <c r="D967" s="630">
        <v>17043007335</v>
      </c>
      <c r="E967" s="630" t="s">
        <v>533</v>
      </c>
      <c r="F967" s="630" t="s">
        <v>534</v>
      </c>
      <c r="G967" s="630" t="s">
        <v>367</v>
      </c>
      <c r="H967" s="630" t="s">
        <v>552</v>
      </c>
      <c r="I967" s="630"/>
      <c r="J967" s="630" t="s">
        <v>547</v>
      </c>
      <c r="K967" s="630"/>
      <c r="L967" s="630"/>
      <c r="M967" s="630"/>
      <c r="N967" s="630"/>
      <c r="O967" s="630"/>
      <c r="P967" s="630"/>
      <c r="Q967" s="630"/>
      <c r="R967" s="630"/>
      <c r="S967" s="630" t="s">
        <v>589</v>
      </c>
      <c r="T967" s="630"/>
      <c r="U967" s="630" t="s">
        <v>538</v>
      </c>
      <c r="V967" s="630">
        <v>2</v>
      </c>
      <c r="W967" s="630" t="s">
        <v>545</v>
      </c>
      <c r="X967" s="630" t="s">
        <v>540</v>
      </c>
      <c r="Y967" s="630" t="s">
        <v>549</v>
      </c>
      <c r="Z967" s="630">
        <v>0.488153</v>
      </c>
      <c r="AA967" s="630">
        <v>0.78560799999999997</v>
      </c>
      <c r="AB967" s="631">
        <v>74103</v>
      </c>
      <c r="AC967" s="631">
        <v>7759864</v>
      </c>
      <c r="AD967" s="631">
        <f t="shared" si="15"/>
        <v>3788000.8911919999</v>
      </c>
    </row>
    <row r="968" spans="2:30" x14ac:dyDescent="0.15">
      <c r="B968" s="630">
        <v>17031003109</v>
      </c>
      <c r="C968" s="630">
        <v>17031000830</v>
      </c>
      <c r="D968" s="630">
        <v>17031000818</v>
      </c>
      <c r="E968" s="630" t="s">
        <v>533</v>
      </c>
      <c r="F968" s="630" t="s">
        <v>534</v>
      </c>
      <c r="G968" s="630" t="s">
        <v>365</v>
      </c>
      <c r="H968" s="630" t="s">
        <v>535</v>
      </c>
      <c r="I968" s="630"/>
      <c r="J968" s="630" t="s">
        <v>543</v>
      </c>
      <c r="K968" s="630"/>
      <c r="L968" s="630"/>
      <c r="M968" s="630"/>
      <c r="N968" s="630"/>
      <c r="O968" s="630"/>
      <c r="P968" s="630"/>
      <c r="Q968" s="630"/>
      <c r="R968" s="630"/>
      <c r="S968" s="630" t="s">
        <v>553</v>
      </c>
      <c r="T968" s="630" t="s">
        <v>696</v>
      </c>
      <c r="U968" s="630" t="s">
        <v>538</v>
      </c>
      <c r="V968" s="630">
        <v>1</v>
      </c>
      <c r="W968" s="630" t="s">
        <v>539</v>
      </c>
      <c r="X968" s="630" t="s">
        <v>541</v>
      </c>
      <c r="Y968" s="630" t="s">
        <v>554</v>
      </c>
      <c r="Z968" s="630">
        <v>0.47084100000000001</v>
      </c>
      <c r="AA968" s="630">
        <v>0.75774600000000003</v>
      </c>
      <c r="AB968" s="631">
        <v>63280</v>
      </c>
      <c r="AC968" s="631">
        <v>3022040</v>
      </c>
      <c r="AD968" s="631">
        <f t="shared" si="15"/>
        <v>1422900.3356399999</v>
      </c>
    </row>
    <row r="969" spans="2:30" x14ac:dyDescent="0.15">
      <c r="B969" s="630">
        <v>17043002404</v>
      </c>
      <c r="C969" s="630">
        <v>17999020915</v>
      </c>
      <c r="D969" s="630">
        <v>17043007303</v>
      </c>
      <c r="E969" s="630" t="s">
        <v>533</v>
      </c>
      <c r="F969" s="630" t="s">
        <v>534</v>
      </c>
      <c r="G969" s="630" t="s">
        <v>367</v>
      </c>
      <c r="H969" s="630" t="s">
        <v>381</v>
      </c>
      <c r="I969" s="630"/>
      <c r="J969" s="630"/>
      <c r="K969" s="630"/>
      <c r="L969" s="630"/>
      <c r="M969" s="630"/>
      <c r="N969" s="630"/>
      <c r="O969" s="630"/>
      <c r="P969" s="630"/>
      <c r="Q969" s="630"/>
      <c r="R969" s="630"/>
      <c r="S969" s="630" t="s">
        <v>585</v>
      </c>
      <c r="T969" s="630"/>
      <c r="U969" s="630" t="s">
        <v>559</v>
      </c>
      <c r="V969" s="630">
        <v>1</v>
      </c>
      <c r="W969" s="630" t="s">
        <v>560</v>
      </c>
      <c r="X969" s="630" t="s">
        <v>541</v>
      </c>
      <c r="Y969" s="630" t="s">
        <v>541</v>
      </c>
      <c r="Z969" s="630">
        <v>2.3105579999999999</v>
      </c>
      <c r="AA969" s="630">
        <v>3.7184910000000002</v>
      </c>
      <c r="AB969" s="631">
        <v>0</v>
      </c>
      <c r="AC969" s="631">
        <v>0</v>
      </c>
      <c r="AD969" s="631">
        <f t="shared" si="15"/>
        <v>0</v>
      </c>
    </row>
    <row r="970" spans="2:30" x14ac:dyDescent="0.15">
      <c r="B970" s="630">
        <v>17031002997</v>
      </c>
      <c r="C970" s="630">
        <v>17031000426</v>
      </c>
      <c r="D970" s="630">
        <v>17031000417</v>
      </c>
      <c r="E970" s="630" t="s">
        <v>533</v>
      </c>
      <c r="F970" s="630" t="s">
        <v>534</v>
      </c>
      <c r="G970" s="630" t="s">
        <v>365</v>
      </c>
      <c r="H970" s="630" t="s">
        <v>552</v>
      </c>
      <c r="I970" s="630"/>
      <c r="J970" s="630" t="s">
        <v>551</v>
      </c>
      <c r="K970" s="630" t="s">
        <v>547</v>
      </c>
      <c r="L970" s="630" t="s">
        <v>382</v>
      </c>
      <c r="M970" s="630" t="s">
        <v>563</v>
      </c>
      <c r="N970" s="630"/>
      <c r="O970" s="630"/>
      <c r="P970" s="630"/>
      <c r="Q970" s="630"/>
      <c r="R970" s="630"/>
      <c r="S970" s="630" t="s">
        <v>589</v>
      </c>
      <c r="T970" s="630" t="s">
        <v>632</v>
      </c>
      <c r="U970" s="630" t="s">
        <v>538</v>
      </c>
      <c r="V970" s="630">
        <v>2</v>
      </c>
      <c r="W970" s="630" t="s">
        <v>545</v>
      </c>
      <c r="X970" s="630" t="s">
        <v>549</v>
      </c>
      <c r="Y970" s="630" t="s">
        <v>540</v>
      </c>
      <c r="Z970" s="630">
        <v>0.21757799999999999</v>
      </c>
      <c r="AA970" s="630">
        <v>0.35015800000000002</v>
      </c>
      <c r="AB970" s="631">
        <v>360017</v>
      </c>
      <c r="AC970" s="631">
        <v>28874068</v>
      </c>
      <c r="AD970" s="631">
        <f t="shared" si="15"/>
        <v>6282361.9673039997</v>
      </c>
    </row>
    <row r="971" spans="2:30" x14ac:dyDescent="0.15">
      <c r="B971" s="630">
        <v>17197003169</v>
      </c>
      <c r="C971" s="630">
        <v>17197006628</v>
      </c>
      <c r="D971" s="630">
        <v>17197001466</v>
      </c>
      <c r="E971" s="630" t="s">
        <v>533</v>
      </c>
      <c r="F971" s="630" t="s">
        <v>534</v>
      </c>
      <c r="G971" s="630" t="s">
        <v>377</v>
      </c>
      <c r="H971" s="630" t="s">
        <v>535</v>
      </c>
      <c r="I971" s="630"/>
      <c r="J971" s="630"/>
      <c r="K971" s="630"/>
      <c r="L971" s="630"/>
      <c r="M971" s="630"/>
      <c r="N971" s="630"/>
      <c r="O971" s="630"/>
      <c r="P971" s="630"/>
      <c r="Q971" s="630"/>
      <c r="R971" s="630"/>
      <c r="S971" s="630"/>
      <c r="T971" s="630" t="s">
        <v>596</v>
      </c>
      <c r="U971" s="630" t="s">
        <v>559</v>
      </c>
      <c r="V971" s="630">
        <v>1</v>
      </c>
      <c r="W971" s="630" t="s">
        <v>560</v>
      </c>
      <c r="X971" s="630" t="s">
        <v>541</v>
      </c>
      <c r="Y971" s="630" t="s">
        <v>541</v>
      </c>
      <c r="Z971" s="630">
        <v>0.275036</v>
      </c>
      <c r="AA971" s="630">
        <v>0.44262800000000002</v>
      </c>
      <c r="AB971" s="631">
        <v>38880</v>
      </c>
      <c r="AC971" s="631">
        <v>893480</v>
      </c>
      <c r="AD971" s="631">
        <f t="shared" si="15"/>
        <v>245739.16528000002</v>
      </c>
    </row>
    <row r="972" spans="2:30" x14ac:dyDescent="0.15">
      <c r="B972" s="630">
        <v>17031003281</v>
      </c>
      <c r="C972" s="630">
        <v>17031000298</v>
      </c>
      <c r="D972" s="630">
        <v>17031004603</v>
      </c>
      <c r="E972" s="630" t="s">
        <v>533</v>
      </c>
      <c r="F972" s="630" t="s">
        <v>534</v>
      </c>
      <c r="G972" s="630" t="s">
        <v>365</v>
      </c>
      <c r="H972" s="630" t="s">
        <v>382</v>
      </c>
      <c r="I972" s="630"/>
      <c r="J972" s="630" t="s">
        <v>535</v>
      </c>
      <c r="K972" s="630" t="s">
        <v>547</v>
      </c>
      <c r="L972" s="630"/>
      <c r="M972" s="630"/>
      <c r="N972" s="630"/>
      <c r="O972" s="630"/>
      <c r="P972" s="630"/>
      <c r="Q972" s="630"/>
      <c r="R972" s="630"/>
      <c r="S972" s="630" t="s">
        <v>608</v>
      </c>
      <c r="T972" s="630"/>
      <c r="U972" s="630" t="s">
        <v>538</v>
      </c>
      <c r="V972" s="630">
        <v>3</v>
      </c>
      <c r="W972" s="630" t="s">
        <v>566</v>
      </c>
      <c r="X972" s="630" t="s">
        <v>554</v>
      </c>
      <c r="Y972" s="630" t="s">
        <v>549</v>
      </c>
      <c r="Z972" s="630">
        <v>0.67344999999999999</v>
      </c>
      <c r="AA972" s="630">
        <v>1.0838159999999999</v>
      </c>
      <c r="AB972" s="631">
        <v>336</v>
      </c>
      <c r="AC972" s="631">
        <v>31392</v>
      </c>
      <c r="AD972" s="631">
        <f t="shared" si="15"/>
        <v>21140.9424</v>
      </c>
    </row>
    <row r="973" spans="2:30" x14ac:dyDescent="0.15">
      <c r="B973" s="630">
        <v>17031003534</v>
      </c>
      <c r="C973" s="630">
        <v>17031000661</v>
      </c>
      <c r="D973" s="630">
        <v>17031000653</v>
      </c>
      <c r="E973" s="630" t="s">
        <v>533</v>
      </c>
      <c r="F973" s="630" t="s">
        <v>534</v>
      </c>
      <c r="G973" s="630" t="s">
        <v>365</v>
      </c>
      <c r="H973" s="630" t="s">
        <v>535</v>
      </c>
      <c r="I973" s="630"/>
      <c r="J973" s="630" t="s">
        <v>542</v>
      </c>
      <c r="K973" s="630" t="s">
        <v>572</v>
      </c>
      <c r="L973" s="630"/>
      <c r="M973" s="630"/>
      <c r="N973" s="630"/>
      <c r="O973" s="630"/>
      <c r="P973" s="630"/>
      <c r="Q973" s="630"/>
      <c r="R973" s="630"/>
      <c r="S973" s="630"/>
      <c r="T973" s="630"/>
      <c r="U973" s="630" t="s">
        <v>538</v>
      </c>
      <c r="V973" s="630">
        <v>2</v>
      </c>
      <c r="W973" s="630" t="s">
        <v>539</v>
      </c>
      <c r="X973" s="630" t="s">
        <v>554</v>
      </c>
      <c r="Y973" s="630" t="s">
        <v>541</v>
      </c>
      <c r="Z973" s="630">
        <v>0.13933599999999999</v>
      </c>
      <c r="AA973" s="630">
        <v>0.22423999999999999</v>
      </c>
      <c r="AB973" s="631">
        <v>15856</v>
      </c>
      <c r="AC973" s="631">
        <v>1342614</v>
      </c>
      <c r="AD973" s="631">
        <f t="shared" si="15"/>
        <v>187074.46430399999</v>
      </c>
    </row>
    <row r="974" spans="2:30" x14ac:dyDescent="0.15">
      <c r="B974" s="630">
        <v>17031004272</v>
      </c>
      <c r="C974" s="630">
        <v>17031000898</v>
      </c>
      <c r="D974" s="630">
        <v>17031001006</v>
      </c>
      <c r="E974" s="630" t="s">
        <v>533</v>
      </c>
      <c r="F974" s="630" t="s">
        <v>534</v>
      </c>
      <c r="G974" s="630" t="s">
        <v>365</v>
      </c>
      <c r="H974" s="630" t="s">
        <v>547</v>
      </c>
      <c r="I974" s="630"/>
      <c r="J974" s="630" t="s">
        <v>542</v>
      </c>
      <c r="K974" s="630" t="s">
        <v>543</v>
      </c>
      <c r="L974" s="630" t="s">
        <v>382</v>
      </c>
      <c r="M974" s="630"/>
      <c r="N974" s="630"/>
      <c r="O974" s="630"/>
      <c r="P974" s="630"/>
      <c r="Q974" s="630"/>
      <c r="R974" s="630"/>
      <c r="S974" s="630" t="s">
        <v>602</v>
      </c>
      <c r="T974" s="630"/>
      <c r="U974" s="630" t="s">
        <v>538</v>
      </c>
      <c r="V974" s="630">
        <v>2</v>
      </c>
      <c r="W974" s="630" t="s">
        <v>545</v>
      </c>
      <c r="X974" s="630" t="s">
        <v>540</v>
      </c>
      <c r="Y974" s="630" t="s">
        <v>540</v>
      </c>
      <c r="Z974" s="630">
        <v>1.664512</v>
      </c>
      <c r="AA974" s="630">
        <v>2.6787770000000002</v>
      </c>
      <c r="AB974" s="631">
        <v>202799</v>
      </c>
      <c r="AC974" s="631">
        <v>7241376</v>
      </c>
      <c r="AD974" s="631">
        <f t="shared" si="15"/>
        <v>12053357.248512</v>
      </c>
    </row>
    <row r="975" spans="2:30" x14ac:dyDescent="0.15">
      <c r="B975" s="630">
        <v>17043005912</v>
      </c>
      <c r="C975" s="630">
        <v>17043000392</v>
      </c>
      <c r="D975" s="630">
        <v>17043000390</v>
      </c>
      <c r="E975" s="630" t="s">
        <v>533</v>
      </c>
      <c r="F975" s="630" t="s">
        <v>534</v>
      </c>
      <c r="G975" s="630" t="s">
        <v>367</v>
      </c>
      <c r="H975" s="630" t="s">
        <v>638</v>
      </c>
      <c r="I975" s="630"/>
      <c r="J975" s="630"/>
      <c r="K975" s="630"/>
      <c r="L975" s="630"/>
      <c r="M975" s="630"/>
      <c r="N975" s="630"/>
      <c r="O975" s="630"/>
      <c r="P975" s="630"/>
      <c r="Q975" s="630"/>
      <c r="R975" s="630"/>
      <c r="S975" s="630"/>
      <c r="T975" s="630"/>
      <c r="U975" s="630" t="s">
        <v>559</v>
      </c>
      <c r="V975" s="630">
        <v>1</v>
      </c>
      <c r="W975" s="630" t="s">
        <v>560</v>
      </c>
      <c r="X975" s="630" t="s">
        <v>541</v>
      </c>
      <c r="Y975" s="630" t="s">
        <v>541</v>
      </c>
      <c r="Z975" s="630">
        <v>0.175593</v>
      </c>
      <c r="AA975" s="630">
        <v>0.28259000000000001</v>
      </c>
      <c r="AB975" s="631">
        <v>0</v>
      </c>
      <c r="AC975" s="631">
        <v>0</v>
      </c>
      <c r="AD975" s="631">
        <f t="shared" si="15"/>
        <v>0</v>
      </c>
    </row>
    <row r="976" spans="2:30" x14ac:dyDescent="0.15">
      <c r="B976" s="630">
        <v>17031003288</v>
      </c>
      <c r="C976" s="630">
        <v>17031000574</v>
      </c>
      <c r="D976" s="630">
        <v>17031004622</v>
      </c>
      <c r="E976" s="630" t="s">
        <v>533</v>
      </c>
      <c r="F976" s="630" t="s">
        <v>534</v>
      </c>
      <c r="G976" s="630" t="s">
        <v>365</v>
      </c>
      <c r="H976" s="630" t="s">
        <v>552</v>
      </c>
      <c r="I976" s="630"/>
      <c r="J976" s="630" t="s">
        <v>542</v>
      </c>
      <c r="K976" s="630" t="s">
        <v>547</v>
      </c>
      <c r="L976" s="630"/>
      <c r="M976" s="630"/>
      <c r="N976" s="630"/>
      <c r="O976" s="630"/>
      <c r="P976" s="630"/>
      <c r="Q976" s="630"/>
      <c r="R976" s="630"/>
      <c r="S976" s="630" t="s">
        <v>564</v>
      </c>
      <c r="T976" s="630"/>
      <c r="U976" s="630" t="s">
        <v>538</v>
      </c>
      <c r="V976" s="630">
        <v>3</v>
      </c>
      <c r="W976" s="630" t="s">
        <v>545</v>
      </c>
      <c r="X976" s="630" t="s">
        <v>541</v>
      </c>
      <c r="Y976" s="630" t="s">
        <v>541</v>
      </c>
      <c r="Z976" s="630">
        <v>0.75495299999999999</v>
      </c>
      <c r="AA976" s="630">
        <v>1.2149810000000001</v>
      </c>
      <c r="AB976" s="631">
        <v>26416</v>
      </c>
      <c r="AC976" s="631">
        <v>1321473</v>
      </c>
      <c r="AD976" s="631">
        <f t="shared" si="15"/>
        <v>997650.00576899992</v>
      </c>
    </row>
    <row r="977" spans="2:30" x14ac:dyDescent="0.15">
      <c r="B977" s="630">
        <v>17031004011</v>
      </c>
      <c r="C977" s="630">
        <v>17031000582</v>
      </c>
      <c r="D977" s="630">
        <v>17031000566</v>
      </c>
      <c r="E977" s="630" t="s">
        <v>533</v>
      </c>
      <c r="F977" s="630" t="s">
        <v>534</v>
      </c>
      <c r="G977" s="630" t="s">
        <v>365</v>
      </c>
      <c r="H977" s="630" t="s">
        <v>382</v>
      </c>
      <c r="I977" s="630"/>
      <c r="J977" s="630" t="s">
        <v>572</v>
      </c>
      <c r="K977" s="630" t="s">
        <v>543</v>
      </c>
      <c r="L977" s="630"/>
      <c r="M977" s="630"/>
      <c r="N977" s="630"/>
      <c r="O977" s="630"/>
      <c r="P977" s="630"/>
      <c r="Q977" s="630"/>
      <c r="R977" s="630"/>
      <c r="S977" s="630" t="s">
        <v>609</v>
      </c>
      <c r="T977" s="630"/>
      <c r="U977" s="630" t="s">
        <v>538</v>
      </c>
      <c r="V977" s="630">
        <v>1</v>
      </c>
      <c r="W977" s="630" t="s">
        <v>539</v>
      </c>
      <c r="X977" s="630" t="s">
        <v>541</v>
      </c>
      <c r="Y977" s="630" t="s">
        <v>554</v>
      </c>
      <c r="Z977" s="630">
        <v>0.35082099999999999</v>
      </c>
      <c r="AA977" s="630">
        <v>0.56459300000000001</v>
      </c>
      <c r="AB977" s="631">
        <v>0</v>
      </c>
      <c r="AC977" s="631">
        <v>0</v>
      </c>
      <c r="AD977" s="631">
        <f t="shared" si="15"/>
        <v>0</v>
      </c>
    </row>
    <row r="978" spans="2:30" x14ac:dyDescent="0.15">
      <c r="B978" s="630">
        <v>17031004184</v>
      </c>
      <c r="C978" s="630">
        <v>17031000691</v>
      </c>
      <c r="D978" s="630">
        <v>17031000684</v>
      </c>
      <c r="E978" s="630" t="s">
        <v>533</v>
      </c>
      <c r="F978" s="630" t="s">
        <v>534</v>
      </c>
      <c r="G978" s="630" t="s">
        <v>365</v>
      </c>
      <c r="H978" s="630" t="s">
        <v>381</v>
      </c>
      <c r="I978" s="630"/>
      <c r="J978" s="630" t="s">
        <v>542</v>
      </c>
      <c r="K978" s="630" t="s">
        <v>572</v>
      </c>
      <c r="L978" s="630" t="s">
        <v>547</v>
      </c>
      <c r="M978" s="630" t="s">
        <v>382</v>
      </c>
      <c r="N978" s="630" t="s">
        <v>551</v>
      </c>
      <c r="O978" s="630"/>
      <c r="P978" s="630"/>
      <c r="Q978" s="630"/>
      <c r="R978" s="630"/>
      <c r="S978" s="630" t="s">
        <v>579</v>
      </c>
      <c r="T978" s="630"/>
      <c r="U978" s="630" t="s">
        <v>538</v>
      </c>
      <c r="V978" s="630">
        <v>4</v>
      </c>
      <c r="W978" s="630" t="s">
        <v>545</v>
      </c>
      <c r="X978" s="630" t="s">
        <v>549</v>
      </c>
      <c r="Y978" s="630" t="s">
        <v>540</v>
      </c>
      <c r="Z978" s="630">
        <v>0.295792</v>
      </c>
      <c r="AA978" s="630">
        <v>0.47603200000000001</v>
      </c>
      <c r="AB978" s="631">
        <v>79786</v>
      </c>
      <c r="AC978" s="631">
        <v>3912720</v>
      </c>
      <c r="AD978" s="631">
        <f t="shared" si="15"/>
        <v>1157351.2742399999</v>
      </c>
    </row>
    <row r="979" spans="2:30" x14ac:dyDescent="0.15">
      <c r="B979" s="630">
        <v>17031004544</v>
      </c>
      <c r="C979" s="630">
        <v>17031001518</v>
      </c>
      <c r="D979" s="630">
        <v>17031001519</v>
      </c>
      <c r="E979" s="630" t="s">
        <v>533</v>
      </c>
      <c r="F979" s="630" t="s">
        <v>534</v>
      </c>
      <c r="G979" s="630" t="s">
        <v>365</v>
      </c>
      <c r="H979" s="630" t="s">
        <v>382</v>
      </c>
      <c r="I979" s="630"/>
      <c r="J979" s="630"/>
      <c r="K979" s="630"/>
      <c r="L979" s="630"/>
      <c r="M979" s="630"/>
      <c r="N979" s="630"/>
      <c r="O979" s="630"/>
      <c r="P979" s="630"/>
      <c r="Q979" s="630"/>
      <c r="R979" s="630"/>
      <c r="S979" s="630" t="s">
        <v>576</v>
      </c>
      <c r="T979" s="630"/>
      <c r="U979" s="630" t="s">
        <v>559</v>
      </c>
      <c r="V979" s="630">
        <v>1</v>
      </c>
      <c r="W979" s="630" t="s">
        <v>560</v>
      </c>
      <c r="X979" s="630" t="s">
        <v>541</v>
      </c>
      <c r="Y979" s="630" t="s">
        <v>541</v>
      </c>
      <c r="Z979" s="630">
        <v>5.2263999999999998E-2</v>
      </c>
      <c r="AA979" s="630">
        <v>8.4111000000000005E-2</v>
      </c>
      <c r="AB979" s="631">
        <v>0</v>
      </c>
      <c r="AC979" s="631">
        <v>0</v>
      </c>
      <c r="AD979" s="631">
        <f t="shared" si="15"/>
        <v>0</v>
      </c>
    </row>
    <row r="980" spans="2:30" x14ac:dyDescent="0.15">
      <c r="B980" s="630">
        <v>17031006376</v>
      </c>
      <c r="C980" s="630">
        <v>17031000885</v>
      </c>
      <c r="D980" s="630">
        <v>17031000901</v>
      </c>
      <c r="E980" s="630" t="s">
        <v>533</v>
      </c>
      <c r="F980" s="630" t="s">
        <v>534</v>
      </c>
      <c r="G980" s="630" t="s">
        <v>365</v>
      </c>
      <c r="H980" s="630" t="s">
        <v>557</v>
      </c>
      <c r="I980" s="630"/>
      <c r="J980" s="630" t="s">
        <v>381</v>
      </c>
      <c r="K980" s="630" t="s">
        <v>382</v>
      </c>
      <c r="L980" s="630"/>
      <c r="M980" s="630"/>
      <c r="N980" s="630"/>
      <c r="O980" s="630"/>
      <c r="P980" s="630"/>
      <c r="Q980" s="630"/>
      <c r="R980" s="630"/>
      <c r="S980" s="630"/>
      <c r="T980" s="630"/>
      <c r="U980" s="630" t="s">
        <v>538</v>
      </c>
      <c r="V980" s="630">
        <v>1</v>
      </c>
      <c r="W980" s="630" t="s">
        <v>560</v>
      </c>
      <c r="X980" s="630" t="s">
        <v>541</v>
      </c>
      <c r="Y980" s="630" t="s">
        <v>541</v>
      </c>
      <c r="Z980" s="630">
        <v>3.0856000000000001E-2</v>
      </c>
      <c r="AA980" s="630">
        <v>4.9658000000000001E-2</v>
      </c>
      <c r="AB980" s="631">
        <v>0</v>
      </c>
      <c r="AC980" s="631">
        <v>0</v>
      </c>
      <c r="AD980" s="631">
        <f t="shared" si="15"/>
        <v>0</v>
      </c>
    </row>
    <row r="981" spans="2:30" x14ac:dyDescent="0.15">
      <c r="B981" s="630">
        <v>17043009154</v>
      </c>
      <c r="C981" s="630">
        <v>17043007360</v>
      </c>
      <c r="D981" s="630">
        <v>17043000499</v>
      </c>
      <c r="E981" s="630" t="s">
        <v>533</v>
      </c>
      <c r="F981" s="630" t="s">
        <v>534</v>
      </c>
      <c r="G981" s="630" t="s">
        <v>367</v>
      </c>
      <c r="H981" s="630" t="s">
        <v>382</v>
      </c>
      <c r="I981" s="630"/>
      <c r="J981" s="630"/>
      <c r="K981" s="630"/>
      <c r="L981" s="630"/>
      <c r="M981" s="630"/>
      <c r="N981" s="630"/>
      <c r="O981" s="630"/>
      <c r="P981" s="630"/>
      <c r="Q981" s="630"/>
      <c r="R981" s="630"/>
      <c r="S981" s="630" t="s">
        <v>561</v>
      </c>
      <c r="T981" s="630"/>
      <c r="U981" s="630" t="s">
        <v>538</v>
      </c>
      <c r="V981" s="630">
        <v>1</v>
      </c>
      <c r="W981" s="630" t="s">
        <v>562</v>
      </c>
      <c r="X981" s="630" t="s">
        <v>541</v>
      </c>
      <c r="Y981" s="630" t="s">
        <v>540</v>
      </c>
      <c r="Z981" s="630">
        <v>0.417713</v>
      </c>
      <c r="AA981" s="630">
        <v>0.67224600000000001</v>
      </c>
      <c r="AB981" s="631">
        <v>16124</v>
      </c>
      <c r="AC981" s="631">
        <v>373440</v>
      </c>
      <c r="AD981" s="631">
        <f t="shared" si="15"/>
        <v>155990.74272000001</v>
      </c>
    </row>
    <row r="982" spans="2:30" x14ac:dyDescent="0.15">
      <c r="B982" s="630">
        <v>17031006354</v>
      </c>
      <c r="C982" s="630">
        <v>17031000407</v>
      </c>
      <c r="D982" s="630">
        <v>17031004629</v>
      </c>
      <c r="E982" s="630" t="s">
        <v>533</v>
      </c>
      <c r="F982" s="630" t="s">
        <v>534</v>
      </c>
      <c r="G982" s="630" t="s">
        <v>365</v>
      </c>
      <c r="H982" s="630" t="s">
        <v>535</v>
      </c>
      <c r="I982" s="630"/>
      <c r="J982" s="630" t="s">
        <v>552</v>
      </c>
      <c r="K982" s="630" t="s">
        <v>547</v>
      </c>
      <c r="L982" s="630" t="s">
        <v>551</v>
      </c>
      <c r="M982" s="630"/>
      <c r="N982" s="630"/>
      <c r="O982" s="630"/>
      <c r="P982" s="630"/>
      <c r="Q982" s="630"/>
      <c r="R982" s="630"/>
      <c r="S982" s="630" t="s">
        <v>548</v>
      </c>
      <c r="T982" s="630" t="s">
        <v>671</v>
      </c>
      <c r="U982" s="630" t="s">
        <v>538</v>
      </c>
      <c r="V982" s="630">
        <v>3</v>
      </c>
      <c r="W982" s="630" t="s">
        <v>545</v>
      </c>
      <c r="X982" s="630" t="s">
        <v>546</v>
      </c>
      <c r="Y982" s="630" t="s">
        <v>554</v>
      </c>
      <c r="Z982" s="630">
        <v>0.23457500000000001</v>
      </c>
      <c r="AA982" s="630">
        <v>0.37751299999999999</v>
      </c>
      <c r="AB982" s="631">
        <v>877800</v>
      </c>
      <c r="AC982" s="631">
        <v>40317087</v>
      </c>
      <c r="AD982" s="631">
        <f t="shared" si="15"/>
        <v>9457380.6830250006</v>
      </c>
    </row>
    <row r="983" spans="2:30" x14ac:dyDescent="0.15">
      <c r="B983" s="630">
        <v>17031002100</v>
      </c>
      <c r="C983" s="630">
        <v>17031004628</v>
      </c>
      <c r="D983" s="630">
        <v>17031004627</v>
      </c>
      <c r="E983" s="630" t="s">
        <v>533</v>
      </c>
      <c r="F983" s="630" t="s">
        <v>534</v>
      </c>
      <c r="G983" s="630" t="s">
        <v>365</v>
      </c>
      <c r="H983" s="630" t="s">
        <v>535</v>
      </c>
      <c r="I983" s="630"/>
      <c r="J983" s="630" t="s">
        <v>547</v>
      </c>
      <c r="K983" s="630" t="s">
        <v>551</v>
      </c>
      <c r="L983" s="630" t="s">
        <v>552</v>
      </c>
      <c r="M983" s="630"/>
      <c r="N983" s="630"/>
      <c r="O983" s="630"/>
      <c r="P983" s="630"/>
      <c r="Q983" s="630"/>
      <c r="R983" s="630"/>
      <c r="S983" s="630" t="s">
        <v>548</v>
      </c>
      <c r="T983" s="630" t="s">
        <v>671</v>
      </c>
      <c r="U983" s="630" t="s">
        <v>538</v>
      </c>
      <c r="V983" s="630">
        <v>2</v>
      </c>
      <c r="W983" s="630" t="s">
        <v>545</v>
      </c>
      <c r="X983" s="630" t="s">
        <v>546</v>
      </c>
      <c r="Y983" s="630" t="s">
        <v>554</v>
      </c>
      <c r="Z983" s="630">
        <v>0.93876899999999996</v>
      </c>
      <c r="AA983" s="630">
        <v>1.510805</v>
      </c>
      <c r="AB983" s="631">
        <v>805460</v>
      </c>
      <c r="AC983" s="631">
        <v>39336999</v>
      </c>
      <c r="AD983" s="631">
        <f t="shared" si="15"/>
        <v>36928355.214230999</v>
      </c>
    </row>
    <row r="984" spans="2:30" x14ac:dyDescent="0.15">
      <c r="B984" s="630">
        <v>17031006383</v>
      </c>
      <c r="C984" s="630">
        <v>17031004672</v>
      </c>
      <c r="D984" s="630">
        <v>17031007606</v>
      </c>
      <c r="E984" s="630" t="s">
        <v>533</v>
      </c>
      <c r="F984" s="630" t="s">
        <v>534</v>
      </c>
      <c r="G984" s="630" t="s">
        <v>365</v>
      </c>
      <c r="H984" s="630" t="s">
        <v>551</v>
      </c>
      <c r="I984" s="630"/>
      <c r="J984" s="630" t="s">
        <v>535</v>
      </c>
      <c r="K984" s="630"/>
      <c r="L984" s="630"/>
      <c r="M984" s="630"/>
      <c r="N984" s="630"/>
      <c r="O984" s="630"/>
      <c r="P984" s="630"/>
      <c r="Q984" s="630"/>
      <c r="R984" s="630"/>
      <c r="S984" s="630" t="s">
        <v>667</v>
      </c>
      <c r="T984" s="630"/>
      <c r="U984" s="630" t="s">
        <v>538</v>
      </c>
      <c r="V984" s="630">
        <v>2</v>
      </c>
      <c r="W984" s="630" t="s">
        <v>582</v>
      </c>
      <c r="X984" s="630" t="s">
        <v>541</v>
      </c>
      <c r="Y984" s="630" t="s">
        <v>541</v>
      </c>
      <c r="Z984" s="630">
        <v>0.85231699999999999</v>
      </c>
      <c r="AA984" s="630">
        <v>1.3716740000000001</v>
      </c>
      <c r="AB984" s="631">
        <v>0</v>
      </c>
      <c r="AC984" s="631">
        <v>0</v>
      </c>
      <c r="AD984" s="631">
        <f t="shared" si="15"/>
        <v>0</v>
      </c>
    </row>
    <row r="985" spans="2:30" x14ac:dyDescent="0.15">
      <c r="B985" s="630">
        <v>17031006389</v>
      </c>
      <c r="C985" s="630">
        <v>17031000659</v>
      </c>
      <c r="D985" s="630">
        <v>17031000662</v>
      </c>
      <c r="E985" s="630" t="s">
        <v>533</v>
      </c>
      <c r="F985" s="630" t="s">
        <v>534</v>
      </c>
      <c r="G985" s="630" t="s">
        <v>365</v>
      </c>
      <c r="H985" s="630" t="s">
        <v>382</v>
      </c>
      <c r="I985" s="630"/>
      <c r="J985" s="630" t="s">
        <v>572</v>
      </c>
      <c r="K985" s="630"/>
      <c r="L985" s="630"/>
      <c r="M985" s="630"/>
      <c r="N985" s="630"/>
      <c r="O985" s="630"/>
      <c r="P985" s="630"/>
      <c r="Q985" s="630"/>
      <c r="R985" s="630"/>
      <c r="S985" s="630" t="s">
        <v>609</v>
      </c>
      <c r="T985" s="630" t="s">
        <v>695</v>
      </c>
      <c r="U985" s="630" t="s">
        <v>538</v>
      </c>
      <c r="V985" s="630">
        <v>1</v>
      </c>
      <c r="W985" s="630" t="s">
        <v>539</v>
      </c>
      <c r="X985" s="630" t="s">
        <v>540</v>
      </c>
      <c r="Y985" s="630" t="s">
        <v>541</v>
      </c>
      <c r="Z985" s="630">
        <v>0.13223199999999999</v>
      </c>
      <c r="AA985" s="630">
        <v>0.212807</v>
      </c>
      <c r="AB985" s="631">
        <v>724224</v>
      </c>
      <c r="AC985" s="631">
        <v>24488076</v>
      </c>
      <c r="AD985" s="631">
        <f t="shared" si="15"/>
        <v>3238107.2656319998</v>
      </c>
    </row>
    <row r="986" spans="2:30" x14ac:dyDescent="0.15">
      <c r="B986" s="630">
        <v>17031005678</v>
      </c>
      <c r="C986" s="630">
        <v>17031004748</v>
      </c>
      <c r="D986" s="630">
        <v>17031001353</v>
      </c>
      <c r="E986" s="630" t="s">
        <v>533</v>
      </c>
      <c r="F986" s="630" t="s">
        <v>534</v>
      </c>
      <c r="G986" s="630" t="s">
        <v>365</v>
      </c>
      <c r="H986" s="630" t="s">
        <v>551</v>
      </c>
      <c r="I986" s="630"/>
      <c r="J986" s="630" t="s">
        <v>382</v>
      </c>
      <c r="K986" s="630"/>
      <c r="L986" s="630"/>
      <c r="M986" s="630"/>
      <c r="N986" s="630"/>
      <c r="O986" s="630"/>
      <c r="P986" s="630"/>
      <c r="Q986" s="630"/>
      <c r="R986" s="630"/>
      <c r="S986" s="630" t="s">
        <v>603</v>
      </c>
      <c r="T986" s="630"/>
      <c r="U986" s="630" t="s">
        <v>538</v>
      </c>
      <c r="V986" s="630">
        <v>2</v>
      </c>
      <c r="W986" s="630" t="s">
        <v>545</v>
      </c>
      <c r="X986" s="630" t="s">
        <v>575</v>
      </c>
      <c r="Y986" s="630" t="s">
        <v>554</v>
      </c>
      <c r="Z986" s="630">
        <v>0.38470900000000002</v>
      </c>
      <c r="AA986" s="630">
        <v>0.61912999999999996</v>
      </c>
      <c r="AB986" s="631">
        <v>1252236</v>
      </c>
      <c r="AC986" s="631">
        <v>51268718</v>
      </c>
      <c r="AD986" s="631">
        <f t="shared" si="15"/>
        <v>19723537.233062003</v>
      </c>
    </row>
    <row r="987" spans="2:30" x14ac:dyDescent="0.15">
      <c r="B987" s="630">
        <v>17031005650</v>
      </c>
      <c r="C987" s="630">
        <v>17031000630</v>
      </c>
      <c r="D987" s="630">
        <v>17031000669</v>
      </c>
      <c r="E987" s="630" t="s">
        <v>533</v>
      </c>
      <c r="F987" s="630" t="s">
        <v>534</v>
      </c>
      <c r="G987" s="630" t="s">
        <v>365</v>
      </c>
      <c r="H987" s="630" t="s">
        <v>551</v>
      </c>
      <c r="I987" s="630"/>
      <c r="J987" s="630"/>
      <c r="K987" s="630"/>
      <c r="L987" s="630"/>
      <c r="M987" s="630"/>
      <c r="N987" s="630"/>
      <c r="O987" s="630"/>
      <c r="P987" s="630"/>
      <c r="Q987" s="630"/>
      <c r="R987" s="630"/>
      <c r="S987" s="630" t="s">
        <v>649</v>
      </c>
      <c r="T987" s="630"/>
      <c r="U987" s="630" t="s">
        <v>559</v>
      </c>
      <c r="V987" s="630">
        <v>1</v>
      </c>
      <c r="W987" s="630" t="s">
        <v>539</v>
      </c>
      <c r="X987" s="630" t="s">
        <v>541</v>
      </c>
      <c r="Y987" s="630" t="s">
        <v>541</v>
      </c>
      <c r="Z987" s="630">
        <v>0.41852299999999998</v>
      </c>
      <c r="AA987" s="630">
        <v>0.67354899999999995</v>
      </c>
      <c r="AB987" s="631">
        <v>680</v>
      </c>
      <c r="AC987" s="631">
        <v>51960</v>
      </c>
      <c r="AD987" s="631">
        <f t="shared" si="15"/>
        <v>21746.45508</v>
      </c>
    </row>
    <row r="988" spans="2:30" x14ac:dyDescent="0.15">
      <c r="B988" s="630">
        <v>17031005735</v>
      </c>
      <c r="C988" s="630">
        <v>17031001051</v>
      </c>
      <c r="D988" s="630">
        <v>17031001060</v>
      </c>
      <c r="E988" s="630" t="s">
        <v>533</v>
      </c>
      <c r="F988" s="630" t="s">
        <v>534</v>
      </c>
      <c r="G988" s="630" t="s">
        <v>365</v>
      </c>
      <c r="H988" s="630" t="s">
        <v>543</v>
      </c>
      <c r="I988" s="630"/>
      <c r="J988" s="630"/>
      <c r="K988" s="630"/>
      <c r="L988" s="630"/>
      <c r="M988" s="630"/>
      <c r="N988" s="630"/>
      <c r="O988" s="630"/>
      <c r="P988" s="630"/>
      <c r="Q988" s="630"/>
      <c r="R988" s="630"/>
      <c r="S988" s="630" t="s">
        <v>604</v>
      </c>
      <c r="T988" s="630"/>
      <c r="U988" s="630" t="s">
        <v>538</v>
      </c>
      <c r="V988" s="630">
        <v>2</v>
      </c>
      <c r="W988" s="630" t="s">
        <v>545</v>
      </c>
      <c r="X988" s="630" t="s">
        <v>549</v>
      </c>
      <c r="Y988" s="630" t="s">
        <v>540</v>
      </c>
      <c r="Z988" s="630">
        <v>0.697218</v>
      </c>
      <c r="AA988" s="630">
        <v>1.1220650000000001</v>
      </c>
      <c r="AB988" s="631">
        <v>0</v>
      </c>
      <c r="AC988" s="631">
        <v>0</v>
      </c>
      <c r="AD988" s="631">
        <f t="shared" si="15"/>
        <v>0</v>
      </c>
    </row>
    <row r="989" spans="2:30" x14ac:dyDescent="0.15">
      <c r="B989" s="630">
        <v>17197006302</v>
      </c>
      <c r="C989" s="630">
        <v>17197005594</v>
      </c>
      <c r="D989" s="630">
        <v>17197007193</v>
      </c>
      <c r="E989" s="630" t="s">
        <v>533</v>
      </c>
      <c r="F989" s="630" t="s">
        <v>534</v>
      </c>
      <c r="G989" s="630" t="s">
        <v>377</v>
      </c>
      <c r="H989" s="630" t="s">
        <v>382</v>
      </c>
      <c r="I989" s="630"/>
      <c r="J989" s="630" t="s">
        <v>542</v>
      </c>
      <c r="K989" s="630"/>
      <c r="L989" s="630"/>
      <c r="M989" s="630"/>
      <c r="N989" s="630"/>
      <c r="O989" s="630"/>
      <c r="P989" s="630"/>
      <c r="Q989" s="630"/>
      <c r="R989" s="630"/>
      <c r="S989" s="630" t="s">
        <v>606</v>
      </c>
      <c r="T989" s="630"/>
      <c r="U989" s="630" t="s">
        <v>538</v>
      </c>
      <c r="V989" s="630">
        <v>1</v>
      </c>
      <c r="W989" s="630" t="s">
        <v>545</v>
      </c>
      <c r="X989" s="630" t="s">
        <v>541</v>
      </c>
      <c r="Y989" s="630" t="s">
        <v>549</v>
      </c>
      <c r="Z989" s="630">
        <v>3.782724</v>
      </c>
      <c r="AA989" s="630">
        <v>6.0877160000000003</v>
      </c>
      <c r="AB989" s="631">
        <v>80</v>
      </c>
      <c r="AC989" s="631">
        <v>7840</v>
      </c>
      <c r="AD989" s="631">
        <f t="shared" si="15"/>
        <v>29656.55616</v>
      </c>
    </row>
    <row r="990" spans="2:30" x14ac:dyDescent="0.15">
      <c r="B990" s="630">
        <v>17097006330</v>
      </c>
      <c r="C990" s="630">
        <v>17097004573</v>
      </c>
      <c r="D990" s="630">
        <v>17097004572</v>
      </c>
      <c r="E990" s="630" t="s">
        <v>533</v>
      </c>
      <c r="F990" s="630" t="s">
        <v>534</v>
      </c>
      <c r="G990" s="630" t="s">
        <v>373</v>
      </c>
      <c r="H990" s="630" t="s">
        <v>382</v>
      </c>
      <c r="I990" s="630"/>
      <c r="J990" s="630" t="s">
        <v>547</v>
      </c>
      <c r="K990" s="630"/>
      <c r="L990" s="630"/>
      <c r="M990" s="630"/>
      <c r="N990" s="630"/>
      <c r="O990" s="630"/>
      <c r="P990" s="630"/>
      <c r="Q990" s="630"/>
      <c r="R990" s="630"/>
      <c r="S990" s="630" t="s">
        <v>565</v>
      </c>
      <c r="T990" s="630"/>
      <c r="U990" s="630" t="s">
        <v>538</v>
      </c>
      <c r="V990" s="630">
        <v>2</v>
      </c>
      <c r="W990" s="630" t="s">
        <v>566</v>
      </c>
      <c r="X990" s="630" t="s">
        <v>541</v>
      </c>
      <c r="Y990" s="630" t="s">
        <v>549</v>
      </c>
      <c r="Z990" s="630">
        <v>0.41313299999999997</v>
      </c>
      <c r="AA990" s="630">
        <v>0.66487499999999999</v>
      </c>
      <c r="AB990" s="631">
        <v>0</v>
      </c>
      <c r="AC990" s="631">
        <v>0</v>
      </c>
      <c r="AD990" s="631">
        <f t="shared" si="15"/>
        <v>0</v>
      </c>
    </row>
    <row r="991" spans="2:30" x14ac:dyDescent="0.15">
      <c r="B991" s="630">
        <v>17043009085</v>
      </c>
      <c r="C991" s="630">
        <v>17043007293</v>
      </c>
      <c r="D991" s="630">
        <v>17043007296</v>
      </c>
      <c r="E991" s="630" t="s">
        <v>533</v>
      </c>
      <c r="F991" s="630" t="s">
        <v>534</v>
      </c>
      <c r="G991" s="630" t="s">
        <v>367</v>
      </c>
      <c r="H991" s="630" t="s">
        <v>382</v>
      </c>
      <c r="I991" s="630"/>
      <c r="J991" s="630"/>
      <c r="K991" s="630"/>
      <c r="L991" s="630"/>
      <c r="M991" s="630"/>
      <c r="N991" s="630"/>
      <c r="O991" s="630"/>
      <c r="P991" s="630"/>
      <c r="Q991" s="630"/>
      <c r="R991" s="630"/>
      <c r="S991" s="630"/>
      <c r="T991" s="630"/>
      <c r="U991" s="630" t="s">
        <v>559</v>
      </c>
      <c r="V991" s="630">
        <v>1</v>
      </c>
      <c r="W991" s="630" t="s">
        <v>560</v>
      </c>
      <c r="X991" s="630" t="s">
        <v>541</v>
      </c>
      <c r="Y991" s="630" t="s">
        <v>541</v>
      </c>
      <c r="Z991" s="630">
        <v>5.4470999999999999E-2</v>
      </c>
      <c r="AA991" s="630">
        <v>8.7662000000000004E-2</v>
      </c>
      <c r="AB991" s="631">
        <v>0</v>
      </c>
      <c r="AC991" s="631">
        <v>0</v>
      </c>
      <c r="AD991" s="631">
        <f t="shared" si="15"/>
        <v>0</v>
      </c>
    </row>
    <row r="992" spans="2:30" x14ac:dyDescent="0.15">
      <c r="B992" s="630">
        <v>17093002076</v>
      </c>
      <c r="C992" s="630">
        <v>17999022662</v>
      </c>
      <c r="D992" s="630">
        <v>17093001283</v>
      </c>
      <c r="E992" s="630" t="s">
        <v>533</v>
      </c>
      <c r="F992" s="630" t="s">
        <v>534</v>
      </c>
      <c r="G992" s="630" t="s">
        <v>371</v>
      </c>
      <c r="H992" s="630" t="s">
        <v>381</v>
      </c>
      <c r="I992" s="630"/>
      <c r="J992" s="630" t="s">
        <v>542</v>
      </c>
      <c r="K992" s="630" t="s">
        <v>382</v>
      </c>
      <c r="L992" s="630"/>
      <c r="M992" s="630"/>
      <c r="N992" s="630"/>
      <c r="O992" s="630"/>
      <c r="P992" s="630"/>
      <c r="Q992" s="630"/>
      <c r="R992" s="630"/>
      <c r="S992" s="630" t="s">
        <v>619</v>
      </c>
      <c r="T992" s="630"/>
      <c r="U992" s="630" t="s">
        <v>538</v>
      </c>
      <c r="V992" s="630">
        <v>2</v>
      </c>
      <c r="W992" s="630" t="s">
        <v>545</v>
      </c>
      <c r="X992" s="630" t="s">
        <v>580</v>
      </c>
      <c r="Y992" s="630" t="s">
        <v>549</v>
      </c>
      <c r="Z992" s="630">
        <v>0.184304</v>
      </c>
      <c r="AA992" s="630">
        <v>0.29660900000000001</v>
      </c>
      <c r="AB992" s="631">
        <v>344706</v>
      </c>
      <c r="AC992" s="631">
        <v>23187244</v>
      </c>
      <c r="AD992" s="631">
        <f t="shared" si="15"/>
        <v>4273501.8181759994</v>
      </c>
    </row>
    <row r="993" spans="2:30" x14ac:dyDescent="0.15">
      <c r="B993" s="630">
        <v>17043002124</v>
      </c>
      <c r="C993" s="630">
        <v>17043000635</v>
      </c>
      <c r="D993" s="630">
        <v>17043000612</v>
      </c>
      <c r="E993" s="630" t="s">
        <v>533</v>
      </c>
      <c r="F993" s="630" t="s">
        <v>534</v>
      </c>
      <c r="G993" s="630" t="s">
        <v>367</v>
      </c>
      <c r="H993" s="630" t="s">
        <v>382</v>
      </c>
      <c r="I993" s="630"/>
      <c r="J993" s="630" t="s">
        <v>547</v>
      </c>
      <c r="K993" s="630"/>
      <c r="L993" s="630"/>
      <c r="M993" s="630"/>
      <c r="N993" s="630"/>
      <c r="O993" s="630"/>
      <c r="P993" s="630"/>
      <c r="Q993" s="630"/>
      <c r="R993" s="630"/>
      <c r="S993" s="630" t="s">
        <v>583</v>
      </c>
      <c r="T993" s="630"/>
      <c r="U993" s="630" t="s">
        <v>538</v>
      </c>
      <c r="V993" s="630">
        <v>3</v>
      </c>
      <c r="W993" s="630" t="s">
        <v>588</v>
      </c>
      <c r="X993" s="630" t="s">
        <v>575</v>
      </c>
      <c r="Y993" s="630" t="s">
        <v>549</v>
      </c>
      <c r="Z993" s="630">
        <v>2.4489999999999998</v>
      </c>
      <c r="AA993" s="630">
        <v>3.9412910000000001</v>
      </c>
      <c r="AB993" s="631">
        <v>1830855</v>
      </c>
      <c r="AC993" s="631">
        <v>57776893</v>
      </c>
      <c r="AD993" s="631">
        <f t="shared" si="15"/>
        <v>141495610.95699999</v>
      </c>
    </row>
    <row r="994" spans="2:30" x14ac:dyDescent="0.15">
      <c r="B994" s="630">
        <v>17031002167</v>
      </c>
      <c r="C994" s="630">
        <v>17031001294</v>
      </c>
      <c r="D994" s="630">
        <v>17031001272</v>
      </c>
      <c r="E994" s="630" t="s">
        <v>533</v>
      </c>
      <c r="F994" s="630" t="s">
        <v>534</v>
      </c>
      <c r="G994" s="630" t="s">
        <v>365</v>
      </c>
      <c r="H994" s="630" t="s">
        <v>557</v>
      </c>
      <c r="I994" s="630"/>
      <c r="J994" s="630" t="s">
        <v>381</v>
      </c>
      <c r="K994" s="630" t="s">
        <v>535</v>
      </c>
      <c r="L994" s="630" t="s">
        <v>552</v>
      </c>
      <c r="M994" s="630" t="s">
        <v>551</v>
      </c>
      <c r="N994" s="630" t="s">
        <v>543</v>
      </c>
      <c r="O994" s="630" t="s">
        <v>382</v>
      </c>
      <c r="P994" s="630"/>
      <c r="Q994" s="630"/>
      <c r="R994" s="630"/>
      <c r="S994" s="630" t="s">
        <v>570</v>
      </c>
      <c r="T994" s="630"/>
      <c r="U994" s="630" t="s">
        <v>538</v>
      </c>
      <c r="V994" s="630">
        <v>2</v>
      </c>
      <c r="W994" s="630" t="s">
        <v>545</v>
      </c>
      <c r="X994" s="630" t="s">
        <v>575</v>
      </c>
      <c r="Y994" s="630" t="s">
        <v>540</v>
      </c>
      <c r="Z994" s="630">
        <v>0.88351500000000005</v>
      </c>
      <c r="AA994" s="630">
        <v>1.421883</v>
      </c>
      <c r="AB994" s="631">
        <v>1870890</v>
      </c>
      <c r="AC994" s="631">
        <v>61693531</v>
      </c>
      <c r="AD994" s="631">
        <f t="shared" si="15"/>
        <v>54507160.041465007</v>
      </c>
    </row>
    <row r="995" spans="2:30" x14ac:dyDescent="0.15">
      <c r="B995" s="630">
        <v>17031003013</v>
      </c>
      <c r="C995" s="630">
        <v>17031001023</v>
      </c>
      <c r="D995" s="630">
        <v>17031000946</v>
      </c>
      <c r="E995" s="630" t="s">
        <v>533</v>
      </c>
      <c r="F995" s="630" t="s">
        <v>534</v>
      </c>
      <c r="G995" s="630" t="s">
        <v>365</v>
      </c>
      <c r="H995" s="630" t="s">
        <v>543</v>
      </c>
      <c r="I995" s="630"/>
      <c r="J995" s="630" t="s">
        <v>542</v>
      </c>
      <c r="K995" s="630"/>
      <c r="L995" s="630"/>
      <c r="M995" s="630"/>
      <c r="N995" s="630"/>
      <c r="O995" s="630"/>
      <c r="P995" s="630"/>
      <c r="Q995" s="630"/>
      <c r="R995" s="630"/>
      <c r="S995" s="630" t="s">
        <v>630</v>
      </c>
      <c r="T995" s="630"/>
      <c r="U995" s="630" t="s">
        <v>538</v>
      </c>
      <c r="V995" s="630">
        <v>4</v>
      </c>
      <c r="W995" s="630" t="s">
        <v>545</v>
      </c>
      <c r="X995" s="630" t="s">
        <v>580</v>
      </c>
      <c r="Y995" s="630" t="s">
        <v>549</v>
      </c>
      <c r="Z995" s="630">
        <v>0.96582900000000005</v>
      </c>
      <c r="AA995" s="630">
        <v>1.5543530000000001</v>
      </c>
      <c r="AB995" s="631">
        <v>2617438</v>
      </c>
      <c r="AC995" s="631">
        <v>69406708</v>
      </c>
      <c r="AD995" s="631">
        <f t="shared" si="15"/>
        <v>67035011.380932003</v>
      </c>
    </row>
    <row r="996" spans="2:30" x14ac:dyDescent="0.15">
      <c r="B996" s="630">
        <v>17197003218</v>
      </c>
      <c r="C996" s="630">
        <v>17197001484</v>
      </c>
      <c r="D996" s="630">
        <v>17197001485</v>
      </c>
      <c r="E996" s="630" t="s">
        <v>533</v>
      </c>
      <c r="F996" s="630" t="s">
        <v>534</v>
      </c>
      <c r="G996" s="630" t="s">
        <v>377</v>
      </c>
      <c r="H996" s="630" t="s">
        <v>547</v>
      </c>
      <c r="I996" s="630"/>
      <c r="J996" s="630" t="s">
        <v>551</v>
      </c>
      <c r="K996" s="630" t="s">
        <v>615</v>
      </c>
      <c r="L996" s="630"/>
      <c r="M996" s="630"/>
      <c r="N996" s="630"/>
      <c r="O996" s="630"/>
      <c r="P996" s="630"/>
      <c r="Q996" s="630"/>
      <c r="R996" s="630"/>
      <c r="S996" s="630" t="s">
        <v>581</v>
      </c>
      <c r="T996" s="630"/>
      <c r="U996" s="630" t="s">
        <v>538</v>
      </c>
      <c r="V996" s="630">
        <v>1</v>
      </c>
      <c r="W996" s="630" t="s">
        <v>582</v>
      </c>
      <c r="X996" s="630" t="s">
        <v>540</v>
      </c>
      <c r="Y996" s="630" t="s">
        <v>554</v>
      </c>
      <c r="Z996" s="630">
        <v>0.17091899999999999</v>
      </c>
      <c r="AA996" s="630">
        <v>0.27506900000000001</v>
      </c>
      <c r="AB996" s="631">
        <v>91201</v>
      </c>
      <c r="AC996" s="631">
        <v>8934644</v>
      </c>
      <c r="AD996" s="631">
        <f t="shared" si="15"/>
        <v>1527100.417836</v>
      </c>
    </row>
    <row r="997" spans="2:30" x14ac:dyDescent="0.15">
      <c r="B997" s="630">
        <v>17031003600</v>
      </c>
      <c r="C997" s="630">
        <v>17031000966</v>
      </c>
      <c r="D997" s="630">
        <v>17031007116</v>
      </c>
      <c r="E997" s="630" t="s">
        <v>533</v>
      </c>
      <c r="F997" s="630" t="s">
        <v>534</v>
      </c>
      <c r="G997" s="630" t="s">
        <v>365</v>
      </c>
      <c r="H997" s="630" t="s">
        <v>571</v>
      </c>
      <c r="I997" s="630"/>
      <c r="J997" s="630" t="s">
        <v>381</v>
      </c>
      <c r="K997" s="630" t="s">
        <v>535</v>
      </c>
      <c r="L997" s="630" t="s">
        <v>552</v>
      </c>
      <c r="M997" s="630" t="s">
        <v>572</v>
      </c>
      <c r="N997" s="630" t="s">
        <v>551</v>
      </c>
      <c r="O997" s="630" t="s">
        <v>555</v>
      </c>
      <c r="P997" s="630" t="s">
        <v>543</v>
      </c>
      <c r="Q997" s="630" t="s">
        <v>382</v>
      </c>
      <c r="R997" s="630" t="s">
        <v>563</v>
      </c>
      <c r="S997" s="630" t="s">
        <v>605</v>
      </c>
      <c r="T997" s="630" t="s">
        <v>574</v>
      </c>
      <c r="U997" s="630" t="s">
        <v>538</v>
      </c>
      <c r="V997" s="630">
        <v>2</v>
      </c>
      <c r="W997" s="630" t="s">
        <v>545</v>
      </c>
      <c r="X997" s="630" t="s">
        <v>575</v>
      </c>
      <c r="Y997" s="630" t="s">
        <v>554</v>
      </c>
      <c r="Z997" s="630">
        <v>0.25418099999999999</v>
      </c>
      <c r="AA997" s="630">
        <v>0.40906599999999999</v>
      </c>
      <c r="AB997" s="631">
        <v>272599</v>
      </c>
      <c r="AC997" s="631">
        <v>14304613</v>
      </c>
      <c r="AD997" s="631">
        <f t="shared" si="15"/>
        <v>3635960.8369529997</v>
      </c>
    </row>
    <row r="998" spans="2:30" x14ac:dyDescent="0.15">
      <c r="B998" s="630">
        <v>17031003930</v>
      </c>
      <c r="C998" s="630">
        <v>17031001129</v>
      </c>
      <c r="D998" s="630">
        <v>17031001101</v>
      </c>
      <c r="E998" s="630" t="s">
        <v>533</v>
      </c>
      <c r="F998" s="630" t="s">
        <v>534</v>
      </c>
      <c r="G998" s="630" t="s">
        <v>365</v>
      </c>
      <c r="H998" s="630" t="s">
        <v>571</v>
      </c>
      <c r="I998" s="630"/>
      <c r="J998" s="630" t="s">
        <v>552</v>
      </c>
      <c r="K998" s="630" t="s">
        <v>543</v>
      </c>
      <c r="L998" s="630"/>
      <c r="M998" s="630"/>
      <c r="N998" s="630"/>
      <c r="O998" s="630"/>
      <c r="P998" s="630"/>
      <c r="Q998" s="630"/>
      <c r="R998" s="630"/>
      <c r="S998" s="630"/>
      <c r="T998" s="630"/>
      <c r="U998" s="630" t="s">
        <v>538</v>
      </c>
      <c r="V998" s="630">
        <v>1</v>
      </c>
      <c r="W998" s="630" t="s">
        <v>545</v>
      </c>
      <c r="X998" s="630" t="s">
        <v>540</v>
      </c>
      <c r="Y998" s="630" t="s">
        <v>554</v>
      </c>
      <c r="Z998" s="630">
        <v>0.25048500000000001</v>
      </c>
      <c r="AA998" s="630">
        <v>0.40311799999999998</v>
      </c>
      <c r="AB998" s="631">
        <v>179397</v>
      </c>
      <c r="AC998" s="631">
        <v>9527870</v>
      </c>
      <c r="AD998" s="631">
        <f t="shared" si="15"/>
        <v>2386588.5169500001</v>
      </c>
    </row>
    <row r="999" spans="2:30" x14ac:dyDescent="0.15">
      <c r="B999" s="630">
        <v>17031003112</v>
      </c>
      <c r="C999" s="630">
        <v>17031000281</v>
      </c>
      <c r="D999" s="630">
        <v>17999019034</v>
      </c>
      <c r="E999" s="630" t="s">
        <v>533</v>
      </c>
      <c r="F999" s="630" t="s">
        <v>534</v>
      </c>
      <c r="G999" s="630" t="s">
        <v>365</v>
      </c>
      <c r="H999" s="630" t="s">
        <v>535</v>
      </c>
      <c r="I999" s="630"/>
      <c r="J999" s="630" t="s">
        <v>382</v>
      </c>
      <c r="K999" s="630" t="s">
        <v>536</v>
      </c>
      <c r="L999" s="630"/>
      <c r="M999" s="630"/>
      <c r="N999" s="630"/>
      <c r="O999" s="630"/>
      <c r="P999" s="630"/>
      <c r="Q999" s="630"/>
      <c r="R999" s="630"/>
      <c r="S999" s="630" t="s">
        <v>550</v>
      </c>
      <c r="T999" s="630"/>
      <c r="U999" s="630" t="s">
        <v>538</v>
      </c>
      <c r="V999" s="630">
        <v>1</v>
      </c>
      <c r="W999" s="630" t="s">
        <v>545</v>
      </c>
      <c r="X999" s="630" t="s">
        <v>540</v>
      </c>
      <c r="Y999" s="630" t="s">
        <v>549</v>
      </c>
      <c r="Z999" s="630">
        <v>5.4187200000000004</v>
      </c>
      <c r="AA999" s="630">
        <v>8.7206030000000005</v>
      </c>
      <c r="AB999" s="631">
        <v>36888</v>
      </c>
      <c r="AC999" s="631">
        <v>3477706</v>
      </c>
      <c r="AD999" s="631">
        <f t="shared" si="15"/>
        <v>18844715.05632</v>
      </c>
    </row>
    <row r="1000" spans="2:30" x14ac:dyDescent="0.15">
      <c r="B1000" s="630">
        <v>17031004056</v>
      </c>
      <c r="C1000" s="630">
        <v>17031004739</v>
      </c>
      <c r="D1000" s="630">
        <v>17031001151</v>
      </c>
      <c r="E1000" s="630" t="s">
        <v>533</v>
      </c>
      <c r="F1000" s="630" t="s">
        <v>534</v>
      </c>
      <c r="G1000" s="630" t="s">
        <v>365</v>
      </c>
      <c r="H1000" s="630" t="s">
        <v>543</v>
      </c>
      <c r="I1000" s="630"/>
      <c r="J1000" s="630" t="s">
        <v>542</v>
      </c>
      <c r="K1000" s="630" t="s">
        <v>552</v>
      </c>
      <c r="L1000" s="630" t="s">
        <v>557</v>
      </c>
      <c r="M1000" s="630" t="s">
        <v>661</v>
      </c>
      <c r="N1000" s="630"/>
      <c r="O1000" s="630"/>
      <c r="P1000" s="630"/>
      <c r="Q1000" s="630"/>
      <c r="R1000" s="630"/>
      <c r="S1000" s="630" t="s">
        <v>630</v>
      </c>
      <c r="T1000" s="630"/>
      <c r="U1000" s="630" t="s">
        <v>538</v>
      </c>
      <c r="V1000" s="630">
        <v>4</v>
      </c>
      <c r="W1000" s="630" t="s">
        <v>545</v>
      </c>
      <c r="X1000" s="630" t="s">
        <v>575</v>
      </c>
      <c r="Y1000" s="630" t="s">
        <v>540</v>
      </c>
      <c r="Z1000" s="630">
        <v>0.32247399999999998</v>
      </c>
      <c r="AA1000" s="630">
        <v>0.51897300000000002</v>
      </c>
      <c r="AB1000" s="631">
        <v>2791131</v>
      </c>
      <c r="AC1000" s="631">
        <v>78507378</v>
      </c>
      <c r="AD1000" s="631">
        <f t="shared" si="15"/>
        <v>25316588.213172</v>
      </c>
    </row>
    <row r="1001" spans="2:30" x14ac:dyDescent="0.15">
      <c r="B1001" s="630">
        <v>17031006264</v>
      </c>
      <c r="C1001" s="630">
        <v>17031001353</v>
      </c>
      <c r="D1001" s="630">
        <v>17031001376</v>
      </c>
      <c r="E1001" s="630" t="s">
        <v>533</v>
      </c>
      <c r="F1001" s="630" t="s">
        <v>534</v>
      </c>
      <c r="G1001" s="630" t="s">
        <v>365</v>
      </c>
      <c r="H1001" s="630" t="s">
        <v>551</v>
      </c>
      <c r="I1001" s="630"/>
      <c r="J1001" s="630" t="s">
        <v>382</v>
      </c>
      <c r="K1001" s="630"/>
      <c r="L1001" s="630"/>
      <c r="M1001" s="630"/>
      <c r="N1001" s="630"/>
      <c r="O1001" s="630"/>
      <c r="P1001" s="630"/>
      <c r="Q1001" s="630"/>
      <c r="R1001" s="630"/>
      <c r="S1001" s="630" t="s">
        <v>603</v>
      </c>
      <c r="T1001" s="630"/>
      <c r="U1001" s="630" t="s">
        <v>538</v>
      </c>
      <c r="V1001" s="630">
        <v>1</v>
      </c>
      <c r="W1001" s="630" t="s">
        <v>545</v>
      </c>
      <c r="X1001" s="630" t="s">
        <v>549</v>
      </c>
      <c r="Y1001" s="630" t="s">
        <v>541</v>
      </c>
      <c r="Z1001" s="630">
        <v>0.24614800000000001</v>
      </c>
      <c r="AA1001" s="630">
        <v>0.39613700000000002</v>
      </c>
      <c r="AB1001" s="631">
        <v>432157</v>
      </c>
      <c r="AC1001" s="631">
        <v>17505288</v>
      </c>
      <c r="AD1001" s="631">
        <f t="shared" si="15"/>
        <v>4308891.630624</v>
      </c>
    </row>
    <row r="1002" spans="2:30" x14ac:dyDescent="0.15">
      <c r="B1002" s="630">
        <v>17031006347</v>
      </c>
      <c r="C1002" s="630">
        <v>17031000512</v>
      </c>
      <c r="D1002" s="630">
        <v>17031000478</v>
      </c>
      <c r="E1002" s="630" t="s">
        <v>533</v>
      </c>
      <c r="F1002" s="630" t="s">
        <v>534</v>
      </c>
      <c r="G1002" s="630" t="s">
        <v>365</v>
      </c>
      <c r="H1002" s="630" t="s">
        <v>382</v>
      </c>
      <c r="I1002" s="630"/>
      <c r="J1002" s="630" t="s">
        <v>547</v>
      </c>
      <c r="K1002" s="630"/>
      <c r="L1002" s="630"/>
      <c r="M1002" s="630"/>
      <c r="N1002" s="630"/>
      <c r="O1002" s="630"/>
      <c r="P1002" s="630"/>
      <c r="Q1002" s="630"/>
      <c r="R1002" s="630"/>
      <c r="S1002" s="630" t="s">
        <v>608</v>
      </c>
      <c r="T1002" s="630"/>
      <c r="U1002" s="630" t="s">
        <v>538</v>
      </c>
      <c r="V1002" s="630">
        <v>4</v>
      </c>
      <c r="W1002" s="630" t="s">
        <v>566</v>
      </c>
      <c r="X1002" s="630" t="s">
        <v>541</v>
      </c>
      <c r="Y1002" s="630" t="s">
        <v>540</v>
      </c>
      <c r="Z1002" s="630">
        <v>0.35342099999999999</v>
      </c>
      <c r="AA1002" s="630">
        <v>0.56877800000000001</v>
      </c>
      <c r="AB1002" s="631">
        <v>0</v>
      </c>
      <c r="AC1002" s="631">
        <v>0</v>
      </c>
      <c r="AD1002" s="631">
        <f t="shared" si="15"/>
        <v>0</v>
      </c>
    </row>
    <row r="1003" spans="2:30" x14ac:dyDescent="0.15">
      <c r="B1003" s="630">
        <v>17031006411</v>
      </c>
      <c r="C1003" s="630">
        <v>17031004700</v>
      </c>
      <c r="D1003" s="630">
        <v>17031007053</v>
      </c>
      <c r="E1003" s="630" t="s">
        <v>533</v>
      </c>
      <c r="F1003" s="630" t="s">
        <v>534</v>
      </c>
      <c r="G1003" s="630" t="s">
        <v>365</v>
      </c>
      <c r="H1003" s="630" t="s">
        <v>547</v>
      </c>
      <c r="I1003" s="630"/>
      <c r="J1003" s="630"/>
      <c r="K1003" s="630"/>
      <c r="L1003" s="630"/>
      <c r="M1003" s="630"/>
      <c r="N1003" s="630"/>
      <c r="O1003" s="630"/>
      <c r="P1003" s="630"/>
      <c r="Q1003" s="630"/>
      <c r="R1003" s="630"/>
      <c r="S1003" s="630" t="s">
        <v>611</v>
      </c>
      <c r="T1003" s="630"/>
      <c r="U1003" s="630" t="s">
        <v>538</v>
      </c>
      <c r="V1003" s="630">
        <v>2</v>
      </c>
      <c r="W1003" s="630" t="s">
        <v>582</v>
      </c>
      <c r="X1003" s="630" t="s">
        <v>541</v>
      </c>
      <c r="Y1003" s="630" t="s">
        <v>540</v>
      </c>
      <c r="Z1003" s="630">
        <v>0.48569800000000002</v>
      </c>
      <c r="AA1003" s="630">
        <v>0.78165700000000005</v>
      </c>
      <c r="AB1003" s="631">
        <v>0</v>
      </c>
      <c r="AC1003" s="631">
        <v>0</v>
      </c>
      <c r="AD1003" s="631">
        <f t="shared" si="15"/>
        <v>0</v>
      </c>
    </row>
    <row r="1004" spans="2:30" x14ac:dyDescent="0.15">
      <c r="B1004" s="630">
        <v>17031006476</v>
      </c>
      <c r="C1004" s="630">
        <v>17031004721</v>
      </c>
      <c r="D1004" s="630">
        <v>17031001311</v>
      </c>
      <c r="E1004" s="630" t="s">
        <v>533</v>
      </c>
      <c r="F1004" s="630" t="s">
        <v>534</v>
      </c>
      <c r="G1004" s="630" t="s">
        <v>365</v>
      </c>
      <c r="H1004" s="630" t="s">
        <v>551</v>
      </c>
      <c r="I1004" s="630"/>
      <c r="J1004" s="630"/>
      <c r="K1004" s="630"/>
      <c r="L1004" s="630"/>
      <c r="M1004" s="630"/>
      <c r="N1004" s="630"/>
      <c r="O1004" s="630"/>
      <c r="P1004" s="630"/>
      <c r="Q1004" s="630"/>
      <c r="R1004" s="630"/>
      <c r="S1004" s="630" t="s">
        <v>600</v>
      </c>
      <c r="T1004" s="630"/>
      <c r="U1004" s="630" t="s">
        <v>538</v>
      </c>
      <c r="V1004" s="630">
        <v>2</v>
      </c>
      <c r="W1004" s="630" t="s">
        <v>545</v>
      </c>
      <c r="X1004" s="630" t="s">
        <v>575</v>
      </c>
      <c r="Y1004" s="630" t="s">
        <v>540</v>
      </c>
      <c r="Z1004" s="630">
        <v>0.46623300000000001</v>
      </c>
      <c r="AA1004" s="630">
        <v>0.75033099999999997</v>
      </c>
      <c r="AB1004" s="631">
        <v>463665</v>
      </c>
      <c r="AC1004" s="631">
        <v>9721522</v>
      </c>
      <c r="AD1004" s="631">
        <f t="shared" si="15"/>
        <v>4532494.366626</v>
      </c>
    </row>
    <row r="1005" spans="2:30" x14ac:dyDescent="0.15">
      <c r="B1005" s="630">
        <v>17031006512</v>
      </c>
      <c r="C1005" s="630">
        <v>17031001103</v>
      </c>
      <c r="D1005" s="630">
        <v>17031001073</v>
      </c>
      <c r="E1005" s="630" t="s">
        <v>533</v>
      </c>
      <c r="F1005" s="630" t="s">
        <v>534</v>
      </c>
      <c r="G1005" s="630" t="s">
        <v>365</v>
      </c>
      <c r="H1005" s="630" t="s">
        <v>535</v>
      </c>
      <c r="I1005" s="630"/>
      <c r="J1005" s="630"/>
      <c r="K1005" s="630"/>
      <c r="L1005" s="630"/>
      <c r="M1005" s="630"/>
      <c r="N1005" s="630"/>
      <c r="O1005" s="630"/>
      <c r="P1005" s="630"/>
      <c r="Q1005" s="630"/>
      <c r="R1005" s="630"/>
      <c r="S1005" s="630"/>
      <c r="T1005" s="630"/>
      <c r="U1005" s="630" t="s">
        <v>538</v>
      </c>
      <c r="V1005" s="630">
        <v>1</v>
      </c>
      <c r="W1005" s="630" t="s">
        <v>560</v>
      </c>
      <c r="X1005" s="630" t="s">
        <v>541</v>
      </c>
      <c r="Y1005" s="630" t="s">
        <v>541</v>
      </c>
      <c r="Z1005" s="630">
        <v>6.4049999999999996E-2</v>
      </c>
      <c r="AA1005" s="630">
        <v>0.103078</v>
      </c>
      <c r="AB1005" s="631">
        <v>5840</v>
      </c>
      <c r="AC1005" s="631">
        <v>552320</v>
      </c>
      <c r="AD1005" s="631">
        <f t="shared" si="15"/>
        <v>35376.095999999998</v>
      </c>
    </row>
    <row r="1006" spans="2:30" x14ac:dyDescent="0.15">
      <c r="B1006" s="630">
        <v>17197009271</v>
      </c>
      <c r="C1006" s="630">
        <v>17197007398</v>
      </c>
      <c r="D1006" s="630">
        <v>17197007397</v>
      </c>
      <c r="E1006" s="630" t="s">
        <v>533</v>
      </c>
      <c r="F1006" s="630" t="s">
        <v>534</v>
      </c>
      <c r="G1006" s="630" t="s">
        <v>377</v>
      </c>
      <c r="H1006" s="630" t="s">
        <v>547</v>
      </c>
      <c r="I1006" s="630"/>
      <c r="J1006" s="630" t="s">
        <v>551</v>
      </c>
      <c r="K1006" s="630" t="s">
        <v>615</v>
      </c>
      <c r="L1006" s="630" t="s">
        <v>535</v>
      </c>
      <c r="M1006" s="630"/>
      <c r="N1006" s="630"/>
      <c r="O1006" s="630"/>
      <c r="P1006" s="630"/>
      <c r="Q1006" s="630"/>
      <c r="R1006" s="630"/>
      <c r="S1006" s="630" t="s">
        <v>581</v>
      </c>
      <c r="T1006" s="630"/>
      <c r="U1006" s="630" t="s">
        <v>538</v>
      </c>
      <c r="V1006" s="630">
        <v>2</v>
      </c>
      <c r="W1006" s="630" t="s">
        <v>582</v>
      </c>
      <c r="X1006" s="630" t="s">
        <v>540</v>
      </c>
      <c r="Y1006" s="630" t="s">
        <v>540</v>
      </c>
      <c r="Z1006" s="630">
        <v>0.14177600000000001</v>
      </c>
      <c r="AA1006" s="630">
        <v>0.22816600000000001</v>
      </c>
      <c r="AB1006" s="631">
        <v>91201</v>
      </c>
      <c r="AC1006" s="631">
        <v>8934644</v>
      </c>
      <c r="AD1006" s="631">
        <f t="shared" si="15"/>
        <v>1266718.0877440001</v>
      </c>
    </row>
    <row r="1007" spans="2:30" x14ac:dyDescent="0.15">
      <c r="B1007" s="630">
        <v>17031009658</v>
      </c>
      <c r="C1007" s="630">
        <v>17031007747</v>
      </c>
      <c r="D1007" s="630">
        <v>17031000986</v>
      </c>
      <c r="E1007" s="630" t="s">
        <v>533</v>
      </c>
      <c r="F1007" s="630" t="s">
        <v>534</v>
      </c>
      <c r="G1007" s="630" t="s">
        <v>365</v>
      </c>
      <c r="H1007" s="630" t="s">
        <v>557</v>
      </c>
      <c r="I1007" s="630"/>
      <c r="J1007" s="630" t="s">
        <v>381</v>
      </c>
      <c r="K1007" s="630" t="s">
        <v>535</v>
      </c>
      <c r="L1007" s="630" t="s">
        <v>552</v>
      </c>
      <c r="M1007" s="630" t="s">
        <v>551</v>
      </c>
      <c r="N1007" s="630" t="s">
        <v>543</v>
      </c>
      <c r="O1007" s="630" t="s">
        <v>382</v>
      </c>
      <c r="P1007" s="630"/>
      <c r="Q1007" s="630"/>
      <c r="R1007" s="630"/>
      <c r="S1007" s="630" t="s">
        <v>570</v>
      </c>
      <c r="T1007" s="630"/>
      <c r="U1007" s="630" t="s">
        <v>538</v>
      </c>
      <c r="V1007" s="630">
        <v>2</v>
      </c>
      <c r="W1007" s="630" t="s">
        <v>545</v>
      </c>
      <c r="X1007" s="630" t="s">
        <v>575</v>
      </c>
      <c r="Y1007" s="630" t="s">
        <v>540</v>
      </c>
      <c r="Z1007" s="630">
        <v>0.45621899999999999</v>
      </c>
      <c r="AA1007" s="630">
        <v>0.73421400000000003</v>
      </c>
      <c r="AB1007" s="631">
        <v>1871730</v>
      </c>
      <c r="AC1007" s="631">
        <v>61772651</v>
      </c>
      <c r="AD1007" s="631">
        <f t="shared" si="15"/>
        <v>28181857.066569</v>
      </c>
    </row>
    <row r="1008" spans="2:30" x14ac:dyDescent="0.15">
      <c r="B1008" s="630">
        <v>17031001964</v>
      </c>
      <c r="C1008" s="630">
        <v>17031001459</v>
      </c>
      <c r="D1008" s="630">
        <v>17031001453</v>
      </c>
      <c r="E1008" s="630" t="s">
        <v>533</v>
      </c>
      <c r="F1008" s="630" t="s">
        <v>534</v>
      </c>
      <c r="G1008" s="630" t="s">
        <v>365</v>
      </c>
      <c r="H1008" s="630" t="s">
        <v>551</v>
      </c>
      <c r="I1008" s="630"/>
      <c r="J1008" s="630"/>
      <c r="K1008" s="630"/>
      <c r="L1008" s="630"/>
      <c r="M1008" s="630"/>
      <c r="N1008" s="630"/>
      <c r="O1008" s="630"/>
      <c r="P1008" s="630"/>
      <c r="Q1008" s="630"/>
      <c r="R1008" s="630"/>
      <c r="S1008" s="630" t="s">
        <v>628</v>
      </c>
      <c r="T1008" s="630"/>
      <c r="U1008" s="630" t="s">
        <v>538</v>
      </c>
      <c r="V1008" s="630">
        <v>1</v>
      </c>
      <c r="W1008" s="630" t="s">
        <v>560</v>
      </c>
      <c r="X1008" s="630" t="s">
        <v>541</v>
      </c>
      <c r="Y1008" s="630" t="s">
        <v>541</v>
      </c>
      <c r="Z1008" s="630">
        <v>0.23275499999999999</v>
      </c>
      <c r="AA1008" s="630">
        <v>0.374583</v>
      </c>
      <c r="AB1008" s="631">
        <v>0</v>
      </c>
      <c r="AC1008" s="631">
        <v>0</v>
      </c>
      <c r="AD1008" s="631">
        <f t="shared" si="15"/>
        <v>0</v>
      </c>
    </row>
    <row r="1009" spans="2:30" x14ac:dyDescent="0.15">
      <c r="B1009" s="630">
        <v>17093002020</v>
      </c>
      <c r="C1009" s="630">
        <v>17093001210</v>
      </c>
      <c r="D1009" s="630">
        <v>17093001126</v>
      </c>
      <c r="E1009" s="630" t="s">
        <v>533</v>
      </c>
      <c r="F1009" s="630" t="s">
        <v>534</v>
      </c>
      <c r="G1009" s="630" t="s">
        <v>371</v>
      </c>
      <c r="H1009" s="630" t="s">
        <v>381</v>
      </c>
      <c r="I1009" s="630"/>
      <c r="J1009" s="630" t="s">
        <v>542</v>
      </c>
      <c r="K1009" s="630" t="s">
        <v>382</v>
      </c>
      <c r="L1009" s="630"/>
      <c r="M1009" s="630"/>
      <c r="N1009" s="630"/>
      <c r="O1009" s="630"/>
      <c r="P1009" s="630"/>
      <c r="Q1009" s="630"/>
      <c r="R1009" s="630"/>
      <c r="S1009" s="630" t="s">
        <v>619</v>
      </c>
      <c r="T1009" s="630"/>
      <c r="U1009" s="630" t="s">
        <v>538</v>
      </c>
      <c r="V1009" s="630">
        <v>2</v>
      </c>
      <c r="W1009" s="630" t="s">
        <v>545</v>
      </c>
      <c r="X1009" s="630" t="s">
        <v>580</v>
      </c>
      <c r="Y1009" s="630" t="s">
        <v>549</v>
      </c>
      <c r="Z1009" s="630">
        <v>3.7656399999999999</v>
      </c>
      <c r="AA1009" s="630">
        <v>6.0602220000000004</v>
      </c>
      <c r="AB1009" s="631">
        <v>345346</v>
      </c>
      <c r="AC1009" s="631">
        <v>23246524</v>
      </c>
      <c r="AD1009" s="631">
        <f t="shared" si="15"/>
        <v>87538040.635360003</v>
      </c>
    </row>
    <row r="1010" spans="2:30" x14ac:dyDescent="0.15">
      <c r="B1010" s="630">
        <v>17031002329</v>
      </c>
      <c r="C1010" s="630">
        <v>17031001443</v>
      </c>
      <c r="D1010" s="630">
        <v>17031001429</v>
      </c>
      <c r="E1010" s="630" t="s">
        <v>533</v>
      </c>
      <c r="F1010" s="630" t="s">
        <v>534</v>
      </c>
      <c r="G1010" s="630" t="s">
        <v>365</v>
      </c>
      <c r="H1010" s="630" t="s">
        <v>382</v>
      </c>
      <c r="I1010" s="630"/>
      <c r="J1010" s="630" t="s">
        <v>551</v>
      </c>
      <c r="K1010" s="630" t="s">
        <v>555</v>
      </c>
      <c r="L1010" s="630" t="s">
        <v>552</v>
      </c>
      <c r="M1010" s="630"/>
      <c r="N1010" s="630"/>
      <c r="O1010" s="630"/>
      <c r="P1010" s="630"/>
      <c r="Q1010" s="630"/>
      <c r="R1010" s="630"/>
      <c r="S1010" s="630" t="s">
        <v>556</v>
      </c>
      <c r="T1010" s="630"/>
      <c r="U1010" s="630" t="s">
        <v>538</v>
      </c>
      <c r="V1010" s="630">
        <v>2</v>
      </c>
      <c r="W1010" s="630" t="s">
        <v>545</v>
      </c>
      <c r="X1010" s="630" t="s">
        <v>580</v>
      </c>
      <c r="Y1010" s="630" t="s">
        <v>540</v>
      </c>
      <c r="Z1010" s="630">
        <v>1.4964999999999999</v>
      </c>
      <c r="AA1010" s="630">
        <v>2.408388</v>
      </c>
      <c r="AB1010" s="631">
        <v>863416</v>
      </c>
      <c r="AC1010" s="631">
        <v>33596941</v>
      </c>
      <c r="AD1010" s="631">
        <f t="shared" si="15"/>
        <v>50277822.206500001</v>
      </c>
    </row>
    <row r="1011" spans="2:30" x14ac:dyDescent="0.15">
      <c r="B1011" s="630">
        <v>17043002394</v>
      </c>
      <c r="C1011" s="630">
        <v>17043004763</v>
      </c>
      <c r="D1011" s="630">
        <v>17043004764</v>
      </c>
      <c r="E1011" s="630" t="s">
        <v>533</v>
      </c>
      <c r="F1011" s="630" t="s">
        <v>534</v>
      </c>
      <c r="G1011" s="630" t="s">
        <v>367</v>
      </c>
      <c r="H1011" s="630" t="s">
        <v>535</v>
      </c>
      <c r="I1011" s="630"/>
      <c r="J1011" s="630" t="s">
        <v>536</v>
      </c>
      <c r="K1011" s="630" t="s">
        <v>382</v>
      </c>
      <c r="L1011" s="630"/>
      <c r="M1011" s="630"/>
      <c r="N1011" s="630"/>
      <c r="O1011" s="630"/>
      <c r="P1011" s="630"/>
      <c r="Q1011" s="630"/>
      <c r="R1011" s="630"/>
      <c r="S1011" s="630" t="s">
        <v>550</v>
      </c>
      <c r="T1011" s="630"/>
      <c r="U1011" s="630" t="s">
        <v>538</v>
      </c>
      <c r="V1011" s="630">
        <v>2</v>
      </c>
      <c r="W1011" s="630" t="s">
        <v>545</v>
      </c>
      <c r="X1011" s="630" t="s">
        <v>540</v>
      </c>
      <c r="Y1011" s="630" t="s">
        <v>540</v>
      </c>
      <c r="Z1011" s="630">
        <v>0.90288299999999999</v>
      </c>
      <c r="AA1011" s="630">
        <v>1.453052</v>
      </c>
      <c r="AB1011" s="631">
        <v>15471</v>
      </c>
      <c r="AC1011" s="631">
        <v>1527453</v>
      </c>
      <c r="AD1011" s="631">
        <f t="shared" si="15"/>
        <v>1379111.3469990001</v>
      </c>
    </row>
    <row r="1012" spans="2:30" x14ac:dyDescent="0.15">
      <c r="B1012" s="630">
        <v>17111002547</v>
      </c>
      <c r="C1012" s="630">
        <v>17111000081</v>
      </c>
      <c r="D1012" s="630">
        <v>17111000058</v>
      </c>
      <c r="E1012" s="630" t="s">
        <v>533</v>
      </c>
      <c r="F1012" s="630" t="s">
        <v>534</v>
      </c>
      <c r="G1012" s="630" t="s">
        <v>375</v>
      </c>
      <c r="H1012" s="630" t="s">
        <v>382</v>
      </c>
      <c r="I1012" s="630"/>
      <c r="J1012" s="630" t="s">
        <v>547</v>
      </c>
      <c r="K1012" s="630"/>
      <c r="L1012" s="630"/>
      <c r="M1012" s="630"/>
      <c r="N1012" s="630"/>
      <c r="O1012" s="630"/>
      <c r="P1012" s="630"/>
      <c r="Q1012" s="630"/>
      <c r="R1012" s="630"/>
      <c r="S1012" s="630" t="s">
        <v>376</v>
      </c>
      <c r="T1012" s="630"/>
      <c r="U1012" s="630" t="s">
        <v>538</v>
      </c>
      <c r="V1012" s="630">
        <v>1</v>
      </c>
      <c r="W1012" s="630" t="s">
        <v>562</v>
      </c>
      <c r="X1012" s="630" t="s">
        <v>541</v>
      </c>
      <c r="Y1012" s="630" t="s">
        <v>540</v>
      </c>
      <c r="Z1012" s="630">
        <v>4.6153230000000001</v>
      </c>
      <c r="AA1012" s="630">
        <v>7.4276580000000001</v>
      </c>
      <c r="AB1012" s="631">
        <v>0</v>
      </c>
      <c r="AC1012" s="631">
        <v>0</v>
      </c>
      <c r="AD1012" s="631">
        <f t="shared" si="15"/>
        <v>0</v>
      </c>
    </row>
    <row r="1013" spans="2:30" x14ac:dyDescent="0.15">
      <c r="B1013" s="630">
        <v>17111002567</v>
      </c>
      <c r="C1013" s="630">
        <v>17111004833</v>
      </c>
      <c r="D1013" s="630">
        <v>17111000187</v>
      </c>
      <c r="E1013" s="630" t="s">
        <v>533</v>
      </c>
      <c r="F1013" s="630" t="s">
        <v>534</v>
      </c>
      <c r="G1013" s="630" t="s">
        <v>375</v>
      </c>
      <c r="H1013" s="630" t="s">
        <v>382</v>
      </c>
      <c r="I1013" s="630"/>
      <c r="J1013" s="630" t="s">
        <v>547</v>
      </c>
      <c r="K1013" s="630"/>
      <c r="L1013" s="630"/>
      <c r="M1013" s="630"/>
      <c r="N1013" s="630"/>
      <c r="O1013" s="630"/>
      <c r="P1013" s="630"/>
      <c r="Q1013" s="630"/>
      <c r="R1013" s="630"/>
      <c r="S1013" s="630" t="s">
        <v>608</v>
      </c>
      <c r="T1013" s="630"/>
      <c r="U1013" s="630" t="s">
        <v>538</v>
      </c>
      <c r="V1013" s="630">
        <v>2</v>
      </c>
      <c r="W1013" s="630" t="s">
        <v>566</v>
      </c>
      <c r="X1013" s="630" t="s">
        <v>549</v>
      </c>
      <c r="Y1013" s="630" t="s">
        <v>549</v>
      </c>
      <c r="Z1013" s="630">
        <v>1.357677</v>
      </c>
      <c r="AA1013" s="630">
        <v>2.1849729999999998</v>
      </c>
      <c r="AB1013" s="631">
        <v>9672</v>
      </c>
      <c r="AC1013" s="631">
        <v>874093</v>
      </c>
      <c r="AD1013" s="631">
        <f t="shared" si="15"/>
        <v>1186735.961961</v>
      </c>
    </row>
    <row r="1014" spans="2:30" x14ac:dyDescent="0.15">
      <c r="B1014" s="630">
        <v>17031002597</v>
      </c>
      <c r="C1014" s="630">
        <v>17031004693</v>
      </c>
      <c r="D1014" s="630">
        <v>17031004694</v>
      </c>
      <c r="E1014" s="630" t="s">
        <v>533</v>
      </c>
      <c r="F1014" s="630" t="s">
        <v>534</v>
      </c>
      <c r="G1014" s="630" t="s">
        <v>365</v>
      </c>
      <c r="H1014" s="630" t="s">
        <v>547</v>
      </c>
      <c r="I1014" s="630"/>
      <c r="J1014" s="630" t="s">
        <v>577</v>
      </c>
      <c r="K1014" s="630" t="s">
        <v>551</v>
      </c>
      <c r="L1014" s="630" t="s">
        <v>615</v>
      </c>
      <c r="M1014" s="630"/>
      <c r="N1014" s="630"/>
      <c r="O1014" s="630"/>
      <c r="P1014" s="630"/>
      <c r="Q1014" s="630"/>
      <c r="R1014" s="630"/>
      <c r="S1014" s="630" t="s">
        <v>581</v>
      </c>
      <c r="T1014" s="630"/>
      <c r="U1014" s="630" t="s">
        <v>538</v>
      </c>
      <c r="V1014" s="630">
        <v>2</v>
      </c>
      <c r="W1014" s="630" t="s">
        <v>582</v>
      </c>
      <c r="X1014" s="630" t="s">
        <v>540</v>
      </c>
      <c r="Y1014" s="630" t="s">
        <v>540</v>
      </c>
      <c r="Z1014" s="630">
        <v>3.0581710000000002</v>
      </c>
      <c r="AA1014" s="630">
        <v>4.9216579999999999</v>
      </c>
      <c r="AB1014" s="631">
        <v>89629</v>
      </c>
      <c r="AC1014" s="631">
        <v>8779272</v>
      </c>
      <c r="AD1014" s="631">
        <f t="shared" si="15"/>
        <v>26848515.031512003</v>
      </c>
    </row>
    <row r="1015" spans="2:30" x14ac:dyDescent="0.15">
      <c r="B1015" s="630">
        <v>17031003535</v>
      </c>
      <c r="C1015" s="630">
        <v>17031001429</v>
      </c>
      <c r="D1015" s="630">
        <v>17031001427</v>
      </c>
      <c r="E1015" s="630" t="s">
        <v>533</v>
      </c>
      <c r="F1015" s="630" t="s">
        <v>534</v>
      </c>
      <c r="G1015" s="630" t="s">
        <v>365</v>
      </c>
      <c r="H1015" s="630" t="s">
        <v>382</v>
      </c>
      <c r="I1015" s="630"/>
      <c r="J1015" s="630" t="s">
        <v>551</v>
      </c>
      <c r="K1015" s="630" t="s">
        <v>555</v>
      </c>
      <c r="L1015" s="630" t="s">
        <v>552</v>
      </c>
      <c r="M1015" s="630"/>
      <c r="N1015" s="630"/>
      <c r="O1015" s="630"/>
      <c r="P1015" s="630"/>
      <c r="Q1015" s="630"/>
      <c r="R1015" s="630"/>
      <c r="S1015" s="630" t="s">
        <v>556</v>
      </c>
      <c r="T1015" s="630"/>
      <c r="U1015" s="630" t="s">
        <v>538</v>
      </c>
      <c r="V1015" s="630">
        <v>2</v>
      </c>
      <c r="W1015" s="630" t="s">
        <v>545</v>
      </c>
      <c r="X1015" s="630" t="s">
        <v>580</v>
      </c>
      <c r="Y1015" s="630" t="s">
        <v>554</v>
      </c>
      <c r="Z1015" s="630">
        <v>0.39536700000000002</v>
      </c>
      <c r="AA1015" s="630">
        <v>0.63628300000000004</v>
      </c>
      <c r="AB1015" s="631">
        <v>863896</v>
      </c>
      <c r="AC1015" s="631">
        <v>33677541</v>
      </c>
      <c r="AD1015" s="631">
        <f t="shared" si="15"/>
        <v>13314988.352547001</v>
      </c>
    </row>
    <row r="1016" spans="2:30" x14ac:dyDescent="0.15">
      <c r="B1016" s="630">
        <v>17031004836</v>
      </c>
      <c r="C1016" s="630">
        <v>17031001199</v>
      </c>
      <c r="D1016" s="630">
        <v>17031001213</v>
      </c>
      <c r="E1016" s="630" t="s">
        <v>533</v>
      </c>
      <c r="F1016" s="630" t="s">
        <v>534</v>
      </c>
      <c r="G1016" s="630" t="s">
        <v>365</v>
      </c>
      <c r="H1016" s="630" t="s">
        <v>577</v>
      </c>
      <c r="I1016" s="630"/>
      <c r="J1016" s="630"/>
      <c r="K1016" s="630"/>
      <c r="L1016" s="630"/>
      <c r="M1016" s="630"/>
      <c r="N1016" s="630"/>
      <c r="O1016" s="630"/>
      <c r="P1016" s="630"/>
      <c r="Q1016" s="630"/>
      <c r="R1016" s="630"/>
      <c r="S1016" s="630"/>
      <c r="T1016" s="630"/>
      <c r="U1016" s="630" t="s">
        <v>559</v>
      </c>
      <c r="V1016" s="630">
        <v>1</v>
      </c>
      <c r="W1016" s="630" t="s">
        <v>560</v>
      </c>
      <c r="X1016" s="630" t="s">
        <v>541</v>
      </c>
      <c r="Y1016" s="630" t="s">
        <v>541</v>
      </c>
      <c r="Z1016" s="630">
        <v>0.42548399999999997</v>
      </c>
      <c r="AA1016" s="630">
        <v>0.684751</v>
      </c>
      <c r="AB1016" s="631">
        <v>0</v>
      </c>
      <c r="AC1016" s="631">
        <v>0</v>
      </c>
      <c r="AD1016" s="631">
        <f t="shared" si="15"/>
        <v>0</v>
      </c>
    </row>
    <row r="1017" spans="2:30" x14ac:dyDescent="0.15">
      <c r="B1017" s="630">
        <v>17043005745</v>
      </c>
      <c r="C1017" s="630">
        <v>17043004782</v>
      </c>
      <c r="D1017" s="630">
        <v>17043000593</v>
      </c>
      <c r="E1017" s="630" t="s">
        <v>533</v>
      </c>
      <c r="F1017" s="630" t="s">
        <v>534</v>
      </c>
      <c r="G1017" s="630" t="s">
        <v>367</v>
      </c>
      <c r="H1017" s="630" t="s">
        <v>382</v>
      </c>
      <c r="I1017" s="630"/>
      <c r="J1017" s="630"/>
      <c r="K1017" s="630"/>
      <c r="L1017" s="630"/>
      <c r="M1017" s="630"/>
      <c r="N1017" s="630"/>
      <c r="O1017" s="630"/>
      <c r="P1017" s="630"/>
      <c r="Q1017" s="630"/>
      <c r="R1017" s="630"/>
      <c r="S1017" s="630" t="s">
        <v>635</v>
      </c>
      <c r="T1017" s="630" t="s">
        <v>587</v>
      </c>
      <c r="U1017" s="630" t="s">
        <v>559</v>
      </c>
      <c r="V1017" s="630">
        <v>1</v>
      </c>
      <c r="W1017" s="630" t="s">
        <v>560</v>
      </c>
      <c r="X1017" s="630" t="s">
        <v>541</v>
      </c>
      <c r="Y1017" s="630" t="s">
        <v>541</v>
      </c>
      <c r="Z1017" s="630">
        <v>2.7451E-2</v>
      </c>
      <c r="AA1017" s="630">
        <v>4.4178000000000002E-2</v>
      </c>
      <c r="AB1017" s="631">
        <v>0</v>
      </c>
      <c r="AC1017" s="631">
        <v>0</v>
      </c>
      <c r="AD1017" s="631">
        <f t="shared" si="15"/>
        <v>0</v>
      </c>
    </row>
    <row r="1018" spans="2:30" x14ac:dyDescent="0.15">
      <c r="B1018" s="630">
        <v>17031006481</v>
      </c>
      <c r="C1018" s="630">
        <v>17031001390</v>
      </c>
      <c r="D1018" s="630">
        <v>17031001388</v>
      </c>
      <c r="E1018" s="630" t="s">
        <v>533</v>
      </c>
      <c r="F1018" s="630" t="s">
        <v>534</v>
      </c>
      <c r="G1018" s="630" t="s">
        <v>365</v>
      </c>
      <c r="H1018" s="630" t="s">
        <v>557</v>
      </c>
      <c r="I1018" s="630"/>
      <c r="J1018" s="630" t="s">
        <v>552</v>
      </c>
      <c r="K1018" s="630"/>
      <c r="L1018" s="630"/>
      <c r="M1018" s="630"/>
      <c r="N1018" s="630"/>
      <c r="O1018" s="630"/>
      <c r="P1018" s="630"/>
      <c r="Q1018" s="630"/>
      <c r="R1018" s="630"/>
      <c r="S1018" s="630"/>
      <c r="T1018" s="630"/>
      <c r="U1018" s="630" t="s">
        <v>559</v>
      </c>
      <c r="V1018" s="630">
        <v>1</v>
      </c>
      <c r="W1018" s="630" t="s">
        <v>560</v>
      </c>
      <c r="X1018" s="630" t="s">
        <v>541</v>
      </c>
      <c r="Y1018" s="630" t="s">
        <v>541</v>
      </c>
      <c r="Z1018" s="630">
        <v>0.11287999999999999</v>
      </c>
      <c r="AA1018" s="630">
        <v>0.18166299999999999</v>
      </c>
      <c r="AB1018" s="631">
        <v>200</v>
      </c>
      <c r="AC1018" s="631">
        <v>16200</v>
      </c>
      <c r="AD1018" s="631">
        <f t="shared" si="15"/>
        <v>1828.6559999999999</v>
      </c>
    </row>
    <row r="1019" spans="2:30" x14ac:dyDescent="0.15">
      <c r="B1019" s="630">
        <v>17031009833</v>
      </c>
      <c r="C1019" s="630">
        <v>17031001558</v>
      </c>
      <c r="D1019" s="630">
        <v>17031007901</v>
      </c>
      <c r="E1019" s="630" t="s">
        <v>533</v>
      </c>
      <c r="F1019" s="630" t="s">
        <v>534</v>
      </c>
      <c r="G1019" s="630" t="s">
        <v>365</v>
      </c>
      <c r="H1019" s="630" t="s">
        <v>535</v>
      </c>
      <c r="I1019" s="630"/>
      <c r="J1019" s="630" t="s">
        <v>382</v>
      </c>
      <c r="K1019" s="630" t="s">
        <v>536</v>
      </c>
      <c r="L1019" s="630"/>
      <c r="M1019" s="630"/>
      <c r="N1019" s="630"/>
      <c r="O1019" s="630"/>
      <c r="P1019" s="630"/>
      <c r="Q1019" s="630"/>
      <c r="R1019" s="630"/>
      <c r="S1019" s="630"/>
      <c r="T1019" s="630"/>
      <c r="U1019" s="630" t="s">
        <v>538</v>
      </c>
      <c r="V1019" s="630">
        <v>1</v>
      </c>
      <c r="W1019" s="630" t="s">
        <v>560</v>
      </c>
      <c r="X1019" s="630" t="s">
        <v>554</v>
      </c>
      <c r="Y1019" s="630" t="s">
        <v>554</v>
      </c>
      <c r="Z1019" s="630">
        <v>0.18546899999999999</v>
      </c>
      <c r="AA1019" s="630">
        <v>0.298485</v>
      </c>
      <c r="AB1019" s="631">
        <v>0</v>
      </c>
      <c r="AC1019" s="631">
        <v>0</v>
      </c>
      <c r="AD1019" s="631">
        <f t="shared" si="15"/>
        <v>0</v>
      </c>
    </row>
    <row r="1020" spans="2:30" x14ac:dyDescent="0.15">
      <c r="B1020" s="630">
        <v>17031000053</v>
      </c>
      <c r="C1020" s="630">
        <v>17031001428</v>
      </c>
      <c r="D1020" s="630">
        <v>17031001429</v>
      </c>
      <c r="E1020" s="630" t="s">
        <v>533</v>
      </c>
      <c r="F1020" s="630" t="s">
        <v>534</v>
      </c>
      <c r="G1020" s="630" t="s">
        <v>365</v>
      </c>
      <c r="H1020" s="630" t="s">
        <v>382</v>
      </c>
      <c r="I1020" s="630"/>
      <c r="J1020" s="630" t="s">
        <v>551</v>
      </c>
      <c r="K1020" s="630" t="s">
        <v>555</v>
      </c>
      <c r="L1020" s="630"/>
      <c r="M1020" s="630"/>
      <c r="N1020" s="630"/>
      <c r="O1020" s="630"/>
      <c r="P1020" s="630"/>
      <c r="Q1020" s="630"/>
      <c r="R1020" s="630"/>
      <c r="S1020" s="630" t="s">
        <v>556</v>
      </c>
      <c r="T1020" s="630"/>
      <c r="U1020" s="630" t="s">
        <v>538</v>
      </c>
      <c r="V1020" s="630">
        <v>1</v>
      </c>
      <c r="W1020" s="630" t="s">
        <v>545</v>
      </c>
      <c r="X1020" s="630" t="s">
        <v>546</v>
      </c>
      <c r="Y1020" s="630" t="s">
        <v>540</v>
      </c>
      <c r="Z1020" s="630">
        <v>0.31333</v>
      </c>
      <c r="AA1020" s="630">
        <v>0.50425699999999996</v>
      </c>
      <c r="AB1020" s="631">
        <v>1280</v>
      </c>
      <c r="AC1020" s="631">
        <v>94600</v>
      </c>
      <c r="AD1020" s="631">
        <f t="shared" si="15"/>
        <v>29641.018</v>
      </c>
    </row>
    <row r="1021" spans="2:30" x14ac:dyDescent="0.15">
      <c r="B1021" s="630">
        <v>17031001120</v>
      </c>
      <c r="C1021" s="630">
        <v>17031000492</v>
      </c>
      <c r="D1021" s="630">
        <v>17031000485</v>
      </c>
      <c r="E1021" s="630" t="s">
        <v>533</v>
      </c>
      <c r="F1021" s="630" t="s">
        <v>534</v>
      </c>
      <c r="G1021" s="630" t="s">
        <v>365</v>
      </c>
      <c r="H1021" s="630" t="s">
        <v>552</v>
      </c>
      <c r="I1021" s="630"/>
      <c r="J1021" s="630" t="s">
        <v>563</v>
      </c>
      <c r="K1021" s="630"/>
      <c r="L1021" s="630"/>
      <c r="M1021" s="630"/>
      <c r="N1021" s="630"/>
      <c r="O1021" s="630"/>
      <c r="P1021" s="630"/>
      <c r="Q1021" s="630"/>
      <c r="R1021" s="630"/>
      <c r="S1021" s="630" t="s">
        <v>589</v>
      </c>
      <c r="T1021" s="630"/>
      <c r="U1021" s="630" t="s">
        <v>538</v>
      </c>
      <c r="V1021" s="630">
        <v>1</v>
      </c>
      <c r="W1021" s="630" t="s">
        <v>545</v>
      </c>
      <c r="X1021" s="630" t="s">
        <v>549</v>
      </c>
      <c r="Y1021" s="630" t="s">
        <v>554</v>
      </c>
      <c r="Z1021" s="630">
        <v>0.16896</v>
      </c>
      <c r="AA1021" s="630">
        <v>0.27191500000000002</v>
      </c>
      <c r="AB1021" s="631">
        <v>16046</v>
      </c>
      <c r="AC1021" s="631">
        <v>1537557</v>
      </c>
      <c r="AD1021" s="631">
        <f t="shared" si="15"/>
        <v>259785.63071999999</v>
      </c>
    </row>
    <row r="1022" spans="2:30" x14ac:dyDescent="0.15">
      <c r="B1022" s="630">
        <v>17031001962</v>
      </c>
      <c r="C1022" s="630">
        <v>17031004722</v>
      </c>
      <c r="D1022" s="630">
        <v>17031001266</v>
      </c>
      <c r="E1022" s="630" t="s">
        <v>533</v>
      </c>
      <c r="F1022" s="630" t="s">
        <v>534</v>
      </c>
      <c r="G1022" s="630" t="s">
        <v>365</v>
      </c>
      <c r="H1022" s="630" t="s">
        <v>547</v>
      </c>
      <c r="I1022" s="630"/>
      <c r="J1022" s="630"/>
      <c r="K1022" s="630"/>
      <c r="L1022" s="630"/>
      <c r="M1022" s="630"/>
      <c r="N1022" s="630"/>
      <c r="O1022" s="630"/>
      <c r="P1022" s="630"/>
      <c r="Q1022" s="630"/>
      <c r="R1022" s="630"/>
      <c r="S1022" s="630"/>
      <c r="T1022" s="630"/>
      <c r="U1022" s="630" t="s">
        <v>538</v>
      </c>
      <c r="V1022" s="630">
        <v>1</v>
      </c>
      <c r="W1022" s="630" t="s">
        <v>582</v>
      </c>
      <c r="X1022" s="630" t="s">
        <v>541</v>
      </c>
      <c r="Y1022" s="630" t="s">
        <v>541</v>
      </c>
      <c r="Z1022" s="630">
        <v>0.24418799999999999</v>
      </c>
      <c r="AA1022" s="630">
        <v>0.39298300000000003</v>
      </c>
      <c r="AB1022" s="631">
        <v>0</v>
      </c>
      <c r="AC1022" s="631">
        <v>0</v>
      </c>
      <c r="AD1022" s="631">
        <f t="shared" si="15"/>
        <v>0</v>
      </c>
    </row>
    <row r="1023" spans="2:30" x14ac:dyDescent="0.15">
      <c r="B1023" s="630">
        <v>17089002042</v>
      </c>
      <c r="C1023" s="630">
        <v>17089000509</v>
      </c>
      <c r="D1023" s="630">
        <v>17999020485</v>
      </c>
      <c r="E1023" s="630" t="s">
        <v>533</v>
      </c>
      <c r="F1023" s="630" t="s">
        <v>534</v>
      </c>
      <c r="G1023" s="630" t="s">
        <v>369</v>
      </c>
      <c r="H1023" s="630" t="s">
        <v>382</v>
      </c>
      <c r="I1023" s="630"/>
      <c r="J1023" s="630"/>
      <c r="K1023" s="630"/>
      <c r="L1023" s="630"/>
      <c r="M1023" s="630"/>
      <c r="N1023" s="630"/>
      <c r="O1023" s="630"/>
      <c r="P1023" s="630"/>
      <c r="Q1023" s="630"/>
      <c r="R1023" s="630"/>
      <c r="S1023" s="630" t="s">
        <v>583</v>
      </c>
      <c r="T1023" s="630"/>
      <c r="U1023" s="630" t="s">
        <v>538</v>
      </c>
      <c r="V1023" s="630">
        <v>2</v>
      </c>
      <c r="W1023" s="630" t="s">
        <v>588</v>
      </c>
      <c r="X1023" s="630" t="s">
        <v>575</v>
      </c>
      <c r="Y1023" s="630" t="s">
        <v>549</v>
      </c>
      <c r="Z1023" s="630">
        <v>0.39302500000000001</v>
      </c>
      <c r="AA1023" s="630">
        <v>0.63251400000000002</v>
      </c>
      <c r="AB1023" s="631">
        <v>1830185</v>
      </c>
      <c r="AC1023" s="631">
        <v>58575731</v>
      </c>
      <c r="AD1023" s="631">
        <f t="shared" si="15"/>
        <v>23021726.676275</v>
      </c>
    </row>
    <row r="1024" spans="2:30" x14ac:dyDescent="0.15">
      <c r="B1024" s="630">
        <v>17197002052</v>
      </c>
      <c r="C1024" s="630">
        <v>17197001700</v>
      </c>
      <c r="D1024" s="630">
        <v>17197001626</v>
      </c>
      <c r="E1024" s="630" t="s">
        <v>533</v>
      </c>
      <c r="F1024" s="630" t="s">
        <v>534</v>
      </c>
      <c r="G1024" s="630" t="s">
        <v>377</v>
      </c>
      <c r="H1024" s="630" t="s">
        <v>535</v>
      </c>
      <c r="I1024" s="630"/>
      <c r="J1024" s="630" t="s">
        <v>542</v>
      </c>
      <c r="K1024" s="630" t="s">
        <v>543</v>
      </c>
      <c r="L1024" s="630"/>
      <c r="M1024" s="630"/>
      <c r="N1024" s="630"/>
      <c r="O1024" s="630"/>
      <c r="P1024" s="630"/>
      <c r="Q1024" s="630"/>
      <c r="R1024" s="630"/>
      <c r="S1024" s="630" t="s">
        <v>544</v>
      </c>
      <c r="T1024" s="630"/>
      <c r="U1024" s="630" t="s">
        <v>538</v>
      </c>
      <c r="V1024" s="630">
        <v>1</v>
      </c>
      <c r="W1024" s="630" t="s">
        <v>545</v>
      </c>
      <c r="X1024" s="630" t="s">
        <v>546</v>
      </c>
      <c r="Y1024" s="630" t="s">
        <v>549</v>
      </c>
      <c r="Z1024" s="630">
        <v>6.7242449999999998</v>
      </c>
      <c r="AA1024" s="630">
        <v>10.821645</v>
      </c>
      <c r="AB1024" s="631">
        <v>436246</v>
      </c>
      <c r="AC1024" s="631">
        <v>24014023</v>
      </c>
      <c r="AD1024" s="631">
        <f t="shared" si="15"/>
        <v>161476174.08763498</v>
      </c>
    </row>
    <row r="1025" spans="2:30" x14ac:dyDescent="0.15">
      <c r="B1025" s="630">
        <v>17031002218</v>
      </c>
      <c r="C1025" s="630">
        <v>17031004589</v>
      </c>
      <c r="D1025" s="630">
        <v>17031000259</v>
      </c>
      <c r="E1025" s="630" t="s">
        <v>533</v>
      </c>
      <c r="F1025" s="630" t="s">
        <v>534</v>
      </c>
      <c r="G1025" s="630" t="s">
        <v>365</v>
      </c>
      <c r="H1025" s="630" t="s">
        <v>382</v>
      </c>
      <c r="I1025" s="630"/>
      <c r="J1025" s="630" t="s">
        <v>535</v>
      </c>
      <c r="K1025" s="630" t="s">
        <v>552</v>
      </c>
      <c r="L1025" s="630"/>
      <c r="M1025" s="630"/>
      <c r="N1025" s="630"/>
      <c r="O1025" s="630"/>
      <c r="P1025" s="630"/>
      <c r="Q1025" s="630"/>
      <c r="R1025" s="630"/>
      <c r="S1025" s="630" t="s">
        <v>586</v>
      </c>
      <c r="T1025" s="630"/>
      <c r="U1025" s="630" t="s">
        <v>538</v>
      </c>
      <c r="V1025" s="630">
        <v>2</v>
      </c>
      <c r="W1025" s="630" t="s">
        <v>582</v>
      </c>
      <c r="X1025" s="630" t="s">
        <v>580</v>
      </c>
      <c r="Y1025" s="630" t="s">
        <v>549</v>
      </c>
      <c r="Z1025" s="630">
        <v>1.0306690000000001</v>
      </c>
      <c r="AA1025" s="630">
        <v>1.6587050000000001</v>
      </c>
      <c r="AB1025" s="631">
        <v>594404</v>
      </c>
      <c r="AC1025" s="631">
        <v>40673041</v>
      </c>
      <c r="AD1025" s="631">
        <f t="shared" si="15"/>
        <v>41920442.494429</v>
      </c>
    </row>
    <row r="1026" spans="2:30" x14ac:dyDescent="0.15">
      <c r="B1026" s="630">
        <v>17031002344</v>
      </c>
      <c r="C1026" s="630">
        <v>17031000528</v>
      </c>
      <c r="D1026" s="630">
        <v>17031004648</v>
      </c>
      <c r="E1026" s="630" t="s">
        <v>533</v>
      </c>
      <c r="F1026" s="630" t="s">
        <v>534</v>
      </c>
      <c r="G1026" s="630" t="s">
        <v>365</v>
      </c>
      <c r="H1026" s="630" t="s">
        <v>382</v>
      </c>
      <c r="I1026" s="630"/>
      <c r="J1026" s="630"/>
      <c r="K1026" s="630"/>
      <c r="L1026" s="630"/>
      <c r="M1026" s="630"/>
      <c r="N1026" s="630"/>
      <c r="O1026" s="630"/>
      <c r="P1026" s="630"/>
      <c r="Q1026" s="630"/>
      <c r="R1026" s="630"/>
      <c r="S1026" s="630" t="s">
        <v>650</v>
      </c>
      <c r="T1026" s="630" t="s">
        <v>626</v>
      </c>
      <c r="U1026" s="630" t="s">
        <v>559</v>
      </c>
      <c r="V1026" s="630">
        <v>1</v>
      </c>
      <c r="W1026" s="630" t="s">
        <v>539</v>
      </c>
      <c r="X1026" s="630" t="s">
        <v>541</v>
      </c>
      <c r="Y1026" s="630" t="s">
        <v>541</v>
      </c>
      <c r="Z1026" s="630">
        <v>0.63317299999999999</v>
      </c>
      <c r="AA1026" s="630">
        <v>1.018994</v>
      </c>
      <c r="AB1026" s="631">
        <v>4354</v>
      </c>
      <c r="AC1026" s="631">
        <v>376422</v>
      </c>
      <c r="AD1026" s="631">
        <f t="shared" si="15"/>
        <v>238340.24700599999</v>
      </c>
    </row>
    <row r="1027" spans="2:30" x14ac:dyDescent="0.15">
      <c r="B1027" s="630">
        <v>17031002353</v>
      </c>
      <c r="C1027" s="630">
        <v>17031000413</v>
      </c>
      <c r="D1027" s="630">
        <v>17999020085</v>
      </c>
      <c r="E1027" s="630" t="s">
        <v>533</v>
      </c>
      <c r="F1027" s="630" t="s">
        <v>534</v>
      </c>
      <c r="G1027" s="630" t="s">
        <v>365</v>
      </c>
      <c r="H1027" s="630" t="s">
        <v>382</v>
      </c>
      <c r="I1027" s="630"/>
      <c r="J1027" s="630"/>
      <c r="K1027" s="630"/>
      <c r="L1027" s="630"/>
      <c r="M1027" s="630"/>
      <c r="N1027" s="630"/>
      <c r="O1027" s="630"/>
      <c r="P1027" s="630"/>
      <c r="Q1027" s="630"/>
      <c r="R1027" s="630"/>
      <c r="S1027" s="630" t="s">
        <v>586</v>
      </c>
      <c r="T1027" s="630"/>
      <c r="U1027" s="630" t="s">
        <v>538</v>
      </c>
      <c r="V1027" s="630">
        <v>2</v>
      </c>
      <c r="W1027" s="630" t="s">
        <v>582</v>
      </c>
      <c r="X1027" s="630" t="s">
        <v>549</v>
      </c>
      <c r="Y1027" s="630" t="s">
        <v>549</v>
      </c>
      <c r="Z1027" s="630">
        <v>1.0697989999999999</v>
      </c>
      <c r="AA1027" s="630">
        <v>1.721678</v>
      </c>
      <c r="AB1027" s="631">
        <v>88508</v>
      </c>
      <c r="AC1027" s="631">
        <v>9870362</v>
      </c>
      <c r="AD1027" s="631">
        <f t="shared" si="15"/>
        <v>10559303.397237999</v>
      </c>
    </row>
    <row r="1028" spans="2:30" x14ac:dyDescent="0.15">
      <c r="B1028" s="630">
        <v>17031003687</v>
      </c>
      <c r="C1028" s="630">
        <v>17031001017</v>
      </c>
      <c r="D1028" s="630">
        <v>17031001006</v>
      </c>
      <c r="E1028" s="630" t="s">
        <v>533</v>
      </c>
      <c r="F1028" s="630" t="s">
        <v>534</v>
      </c>
      <c r="G1028" s="630" t="s">
        <v>365</v>
      </c>
      <c r="H1028" s="630" t="s">
        <v>547</v>
      </c>
      <c r="I1028" s="630"/>
      <c r="J1028" s="630" t="s">
        <v>543</v>
      </c>
      <c r="K1028" s="630" t="s">
        <v>382</v>
      </c>
      <c r="L1028" s="630"/>
      <c r="M1028" s="630"/>
      <c r="N1028" s="630"/>
      <c r="O1028" s="630"/>
      <c r="P1028" s="630"/>
      <c r="Q1028" s="630"/>
      <c r="R1028" s="630"/>
      <c r="S1028" s="630" t="s">
        <v>602</v>
      </c>
      <c r="T1028" s="630"/>
      <c r="U1028" s="630" t="s">
        <v>538</v>
      </c>
      <c r="V1028" s="630">
        <v>2</v>
      </c>
      <c r="W1028" s="630" t="s">
        <v>582</v>
      </c>
      <c r="X1028" s="630" t="s">
        <v>541</v>
      </c>
      <c r="Y1028" s="630" t="s">
        <v>554</v>
      </c>
      <c r="Z1028" s="630">
        <v>1.148112</v>
      </c>
      <c r="AA1028" s="630">
        <v>1.8477110000000001</v>
      </c>
      <c r="AB1028" s="631">
        <v>0</v>
      </c>
      <c r="AC1028" s="631">
        <v>0</v>
      </c>
      <c r="AD1028" s="631">
        <f t="shared" si="15"/>
        <v>0</v>
      </c>
    </row>
    <row r="1029" spans="2:30" x14ac:dyDescent="0.15">
      <c r="B1029" s="630">
        <v>17031003826</v>
      </c>
      <c r="C1029" s="630">
        <v>17031000638</v>
      </c>
      <c r="D1029" s="630">
        <v>17031000648</v>
      </c>
      <c r="E1029" s="630" t="s">
        <v>533</v>
      </c>
      <c r="F1029" s="630" t="s">
        <v>534</v>
      </c>
      <c r="G1029" s="630" t="s">
        <v>365</v>
      </c>
      <c r="H1029" s="630" t="s">
        <v>543</v>
      </c>
      <c r="I1029" s="630"/>
      <c r="J1029" s="630"/>
      <c r="K1029" s="630"/>
      <c r="L1029" s="630"/>
      <c r="M1029" s="630"/>
      <c r="N1029" s="630"/>
      <c r="O1029" s="630"/>
      <c r="P1029" s="630"/>
      <c r="Q1029" s="630"/>
      <c r="R1029" s="630"/>
      <c r="S1029" s="630" t="s">
        <v>639</v>
      </c>
      <c r="T1029" s="630"/>
      <c r="U1029" s="630" t="s">
        <v>538</v>
      </c>
      <c r="V1029" s="630">
        <v>1</v>
      </c>
      <c r="W1029" s="630" t="s">
        <v>560</v>
      </c>
      <c r="X1029" s="630" t="s">
        <v>541</v>
      </c>
      <c r="Y1029" s="630" t="s">
        <v>541</v>
      </c>
      <c r="Z1029" s="630">
        <v>0.17707100000000001</v>
      </c>
      <c r="AA1029" s="630">
        <v>0.28496899999999997</v>
      </c>
      <c r="AB1029" s="631">
        <v>0</v>
      </c>
      <c r="AC1029" s="631">
        <v>0</v>
      </c>
      <c r="AD1029" s="631">
        <f t="shared" si="15"/>
        <v>0</v>
      </c>
    </row>
    <row r="1030" spans="2:30" x14ac:dyDescent="0.15">
      <c r="B1030" s="630">
        <v>17043003893</v>
      </c>
      <c r="C1030" s="630">
        <v>17043000363</v>
      </c>
      <c r="D1030" s="630">
        <v>17043004773</v>
      </c>
      <c r="E1030" s="630" t="s">
        <v>533</v>
      </c>
      <c r="F1030" s="630" t="s">
        <v>534</v>
      </c>
      <c r="G1030" s="630" t="s">
        <v>367</v>
      </c>
      <c r="H1030" s="630" t="s">
        <v>382</v>
      </c>
      <c r="I1030" s="630"/>
      <c r="J1030" s="630" t="s">
        <v>552</v>
      </c>
      <c r="K1030" s="630"/>
      <c r="L1030" s="630"/>
      <c r="M1030" s="630"/>
      <c r="N1030" s="630"/>
      <c r="O1030" s="630"/>
      <c r="P1030" s="630"/>
      <c r="Q1030" s="630"/>
      <c r="R1030" s="630"/>
      <c r="S1030" s="630" t="s">
        <v>586</v>
      </c>
      <c r="T1030" s="630"/>
      <c r="U1030" s="630" t="s">
        <v>538</v>
      </c>
      <c r="V1030" s="630">
        <v>2</v>
      </c>
      <c r="W1030" s="630" t="s">
        <v>582</v>
      </c>
      <c r="X1030" s="630" t="s">
        <v>580</v>
      </c>
      <c r="Y1030" s="630" t="s">
        <v>549</v>
      </c>
      <c r="Z1030" s="630">
        <v>0.145005</v>
      </c>
      <c r="AA1030" s="630">
        <v>0.23336299999999999</v>
      </c>
      <c r="AB1030" s="631">
        <v>605882</v>
      </c>
      <c r="AC1030" s="631">
        <v>41727974</v>
      </c>
      <c r="AD1030" s="631">
        <f t="shared" ref="AD1030:AD1093" si="16">AC1030*Z1030</f>
        <v>6050764.8698699996</v>
      </c>
    </row>
    <row r="1031" spans="2:30" x14ac:dyDescent="0.15">
      <c r="B1031" s="630">
        <v>17031003918</v>
      </c>
      <c r="C1031" s="630">
        <v>17031000540</v>
      </c>
      <c r="D1031" s="630">
        <v>17031000526</v>
      </c>
      <c r="E1031" s="630" t="s">
        <v>533</v>
      </c>
      <c r="F1031" s="630" t="s">
        <v>534</v>
      </c>
      <c r="G1031" s="630" t="s">
        <v>365</v>
      </c>
      <c r="H1031" s="630" t="s">
        <v>557</v>
      </c>
      <c r="I1031" s="630"/>
      <c r="J1031" s="630" t="s">
        <v>535</v>
      </c>
      <c r="K1031" s="630" t="s">
        <v>552</v>
      </c>
      <c r="L1031" s="630" t="s">
        <v>543</v>
      </c>
      <c r="M1031" s="630" t="s">
        <v>382</v>
      </c>
      <c r="N1031" s="630"/>
      <c r="O1031" s="630"/>
      <c r="P1031" s="630"/>
      <c r="Q1031" s="630"/>
      <c r="R1031" s="630"/>
      <c r="S1031" s="630" t="s">
        <v>570</v>
      </c>
      <c r="T1031" s="630"/>
      <c r="U1031" s="630" t="s">
        <v>538</v>
      </c>
      <c r="V1031" s="630">
        <v>2</v>
      </c>
      <c r="W1031" s="630" t="s">
        <v>545</v>
      </c>
      <c r="X1031" s="630" t="s">
        <v>546</v>
      </c>
      <c r="Y1031" s="630" t="s">
        <v>540</v>
      </c>
      <c r="Z1031" s="630">
        <v>0.37395800000000001</v>
      </c>
      <c r="AA1031" s="630">
        <v>0.60182899999999995</v>
      </c>
      <c r="AB1031" s="631">
        <v>943551</v>
      </c>
      <c r="AC1031" s="631">
        <v>50452075</v>
      </c>
      <c r="AD1031" s="631">
        <f t="shared" si="16"/>
        <v>18866957.062850002</v>
      </c>
    </row>
    <row r="1032" spans="2:30" x14ac:dyDescent="0.15">
      <c r="B1032" s="630">
        <v>17031004061</v>
      </c>
      <c r="C1032" s="630">
        <v>17031006853</v>
      </c>
      <c r="D1032" s="630">
        <v>17031000823</v>
      </c>
      <c r="E1032" s="630" t="s">
        <v>533</v>
      </c>
      <c r="F1032" s="630" t="s">
        <v>534</v>
      </c>
      <c r="G1032" s="630" t="s">
        <v>365</v>
      </c>
      <c r="H1032" s="630" t="s">
        <v>543</v>
      </c>
      <c r="I1032" s="630"/>
      <c r="J1032" s="630" t="s">
        <v>542</v>
      </c>
      <c r="K1032" s="630"/>
      <c r="L1032" s="630"/>
      <c r="M1032" s="630"/>
      <c r="N1032" s="630"/>
      <c r="O1032" s="630"/>
      <c r="P1032" s="630"/>
      <c r="Q1032" s="630"/>
      <c r="R1032" s="630"/>
      <c r="S1032" s="630" t="s">
        <v>630</v>
      </c>
      <c r="T1032" s="630"/>
      <c r="U1032" s="630" t="s">
        <v>538</v>
      </c>
      <c r="V1032" s="630">
        <v>2</v>
      </c>
      <c r="W1032" s="630" t="s">
        <v>545</v>
      </c>
      <c r="X1032" s="630" t="s">
        <v>549</v>
      </c>
      <c r="Y1032" s="630" t="s">
        <v>540</v>
      </c>
      <c r="Z1032" s="630">
        <v>0.57260900000000003</v>
      </c>
      <c r="AA1032" s="630">
        <v>0.92152599999999996</v>
      </c>
      <c r="AB1032" s="631">
        <v>2617438</v>
      </c>
      <c r="AC1032" s="631">
        <v>69406708</v>
      </c>
      <c r="AD1032" s="631">
        <f t="shared" si="16"/>
        <v>39742905.661172003</v>
      </c>
    </row>
    <row r="1033" spans="2:30" x14ac:dyDescent="0.15">
      <c r="B1033" s="630">
        <v>17197004699</v>
      </c>
      <c r="C1033" s="630">
        <v>17197004798</v>
      </c>
      <c r="D1033" s="630">
        <v>17197007163</v>
      </c>
      <c r="E1033" s="630" t="s">
        <v>533</v>
      </c>
      <c r="F1033" s="630" t="s">
        <v>534</v>
      </c>
      <c r="G1033" s="630" t="s">
        <v>377</v>
      </c>
      <c r="H1033" s="630" t="s">
        <v>535</v>
      </c>
      <c r="I1033" s="630"/>
      <c r="J1033" s="630"/>
      <c r="K1033" s="630"/>
      <c r="L1033" s="630"/>
      <c r="M1033" s="630"/>
      <c r="N1033" s="630"/>
      <c r="O1033" s="630"/>
      <c r="P1033" s="630"/>
      <c r="Q1033" s="630"/>
      <c r="R1033" s="630"/>
      <c r="S1033" s="630" t="s">
        <v>681</v>
      </c>
      <c r="T1033" s="630"/>
      <c r="U1033" s="630" t="s">
        <v>559</v>
      </c>
      <c r="V1033" s="630">
        <v>1</v>
      </c>
      <c r="W1033" s="630" t="s">
        <v>560</v>
      </c>
      <c r="X1033" s="630" t="s">
        <v>541</v>
      </c>
      <c r="Y1033" s="630" t="s">
        <v>541</v>
      </c>
      <c r="Z1033" s="630">
        <v>2.9039380000000001</v>
      </c>
      <c r="AA1033" s="630">
        <v>4.6734439999999999</v>
      </c>
      <c r="AB1033" s="631">
        <v>0</v>
      </c>
      <c r="AC1033" s="631">
        <v>0</v>
      </c>
      <c r="AD1033" s="631">
        <f t="shared" si="16"/>
        <v>0</v>
      </c>
    </row>
    <row r="1034" spans="2:30" x14ac:dyDescent="0.15">
      <c r="B1034" s="630">
        <v>17031006154</v>
      </c>
      <c r="C1034" s="630">
        <v>17031001106</v>
      </c>
      <c r="D1034" s="630">
        <v>17031001141</v>
      </c>
      <c r="E1034" s="630" t="s">
        <v>533</v>
      </c>
      <c r="F1034" s="630" t="s">
        <v>534</v>
      </c>
      <c r="G1034" s="630" t="s">
        <v>365</v>
      </c>
      <c r="H1034" s="630" t="s">
        <v>543</v>
      </c>
      <c r="I1034" s="630"/>
      <c r="J1034" s="630"/>
      <c r="K1034" s="630"/>
      <c r="L1034" s="630"/>
      <c r="M1034" s="630"/>
      <c r="N1034" s="630"/>
      <c r="O1034" s="630"/>
      <c r="P1034" s="630"/>
      <c r="Q1034" s="630"/>
      <c r="R1034" s="630"/>
      <c r="S1034" s="630" t="s">
        <v>604</v>
      </c>
      <c r="T1034" s="630" t="s">
        <v>623</v>
      </c>
      <c r="U1034" s="630" t="s">
        <v>538</v>
      </c>
      <c r="V1034" s="630">
        <v>1</v>
      </c>
      <c r="W1034" s="630" t="s">
        <v>545</v>
      </c>
      <c r="X1034" s="630" t="s">
        <v>546</v>
      </c>
      <c r="Y1034" s="630" t="s">
        <v>540</v>
      </c>
      <c r="Z1034" s="630">
        <v>0.91504799999999997</v>
      </c>
      <c r="AA1034" s="630">
        <v>1.472629</v>
      </c>
      <c r="AB1034" s="631">
        <v>10277</v>
      </c>
      <c r="AC1034" s="631">
        <v>921789</v>
      </c>
      <c r="AD1034" s="631">
        <f t="shared" si="16"/>
        <v>843481.18087199994</v>
      </c>
    </row>
    <row r="1035" spans="2:30" x14ac:dyDescent="0.15">
      <c r="B1035" s="630">
        <v>17031006272</v>
      </c>
      <c r="C1035" s="630">
        <v>17031001402</v>
      </c>
      <c r="D1035" s="630">
        <v>17031004744</v>
      </c>
      <c r="E1035" s="630" t="s">
        <v>533</v>
      </c>
      <c r="F1035" s="630" t="s">
        <v>534</v>
      </c>
      <c r="G1035" s="630" t="s">
        <v>365</v>
      </c>
      <c r="H1035" s="630" t="s">
        <v>557</v>
      </c>
      <c r="I1035" s="630"/>
      <c r="J1035" s="630" t="s">
        <v>552</v>
      </c>
      <c r="K1035" s="630"/>
      <c r="L1035" s="630"/>
      <c r="M1035" s="630"/>
      <c r="N1035" s="630"/>
      <c r="O1035" s="630"/>
      <c r="P1035" s="630"/>
      <c r="Q1035" s="630"/>
      <c r="R1035" s="630"/>
      <c r="S1035" s="630" t="s">
        <v>634</v>
      </c>
      <c r="T1035" s="630"/>
      <c r="U1035" s="630" t="s">
        <v>559</v>
      </c>
      <c r="V1035" s="630">
        <v>1</v>
      </c>
      <c r="W1035" s="630" t="s">
        <v>560</v>
      </c>
      <c r="X1035" s="630" t="s">
        <v>541</v>
      </c>
      <c r="Y1035" s="630" t="s">
        <v>541</v>
      </c>
      <c r="Z1035" s="630">
        <v>0.23583499999999999</v>
      </c>
      <c r="AA1035" s="630">
        <v>0.37953999999999999</v>
      </c>
      <c r="AB1035" s="631">
        <v>0</v>
      </c>
      <c r="AC1035" s="631">
        <v>0</v>
      </c>
      <c r="AD1035" s="631">
        <f t="shared" si="16"/>
        <v>0</v>
      </c>
    </row>
    <row r="1036" spans="2:30" x14ac:dyDescent="0.15">
      <c r="B1036" s="630">
        <v>17031006298</v>
      </c>
      <c r="C1036" s="630">
        <v>17031001403</v>
      </c>
      <c r="D1036" s="630">
        <v>17031001390</v>
      </c>
      <c r="E1036" s="630" t="s">
        <v>533</v>
      </c>
      <c r="F1036" s="630" t="s">
        <v>534</v>
      </c>
      <c r="G1036" s="630" t="s">
        <v>365</v>
      </c>
      <c r="H1036" s="630" t="s">
        <v>557</v>
      </c>
      <c r="I1036" s="630"/>
      <c r="J1036" s="630" t="s">
        <v>552</v>
      </c>
      <c r="K1036" s="630"/>
      <c r="L1036" s="630"/>
      <c r="M1036" s="630"/>
      <c r="N1036" s="630"/>
      <c r="O1036" s="630"/>
      <c r="P1036" s="630"/>
      <c r="Q1036" s="630"/>
      <c r="R1036" s="630"/>
      <c r="S1036" s="630" t="s">
        <v>567</v>
      </c>
      <c r="T1036" s="630"/>
      <c r="U1036" s="630" t="s">
        <v>559</v>
      </c>
      <c r="V1036" s="630">
        <v>1</v>
      </c>
      <c r="W1036" s="630" t="s">
        <v>560</v>
      </c>
      <c r="X1036" s="630" t="s">
        <v>541</v>
      </c>
      <c r="Y1036" s="630" t="s">
        <v>541</v>
      </c>
      <c r="Z1036" s="630">
        <v>0.39464100000000002</v>
      </c>
      <c r="AA1036" s="630">
        <v>0.63511499999999999</v>
      </c>
      <c r="AB1036" s="631">
        <v>484</v>
      </c>
      <c r="AC1036" s="631">
        <v>44972</v>
      </c>
      <c r="AD1036" s="631">
        <f t="shared" si="16"/>
        <v>17747.795052000001</v>
      </c>
    </row>
    <row r="1037" spans="2:30" x14ac:dyDescent="0.15">
      <c r="B1037" s="630">
        <v>17097006327</v>
      </c>
      <c r="C1037" s="630">
        <v>17097000030</v>
      </c>
      <c r="D1037" s="630">
        <v>17097004564</v>
      </c>
      <c r="E1037" s="630" t="s">
        <v>533</v>
      </c>
      <c r="F1037" s="630" t="s">
        <v>534</v>
      </c>
      <c r="G1037" s="630" t="s">
        <v>373</v>
      </c>
      <c r="H1037" s="630" t="s">
        <v>382</v>
      </c>
      <c r="I1037" s="630"/>
      <c r="J1037" s="630" t="s">
        <v>535</v>
      </c>
      <c r="K1037" s="630" t="s">
        <v>547</v>
      </c>
      <c r="L1037" s="630"/>
      <c r="M1037" s="630"/>
      <c r="N1037" s="630"/>
      <c r="O1037" s="630"/>
      <c r="P1037" s="630"/>
      <c r="Q1037" s="630"/>
      <c r="R1037" s="630"/>
      <c r="S1037" s="630" t="s">
        <v>565</v>
      </c>
      <c r="T1037" s="630"/>
      <c r="U1037" s="630" t="s">
        <v>538</v>
      </c>
      <c r="V1037" s="630">
        <v>2</v>
      </c>
      <c r="W1037" s="630" t="s">
        <v>566</v>
      </c>
      <c r="X1037" s="630" t="s">
        <v>540</v>
      </c>
      <c r="Y1037" s="630" t="s">
        <v>549</v>
      </c>
      <c r="Z1037" s="630">
        <v>0.105075</v>
      </c>
      <c r="AA1037" s="630">
        <v>0.169103</v>
      </c>
      <c r="AB1037" s="631">
        <v>3700</v>
      </c>
      <c r="AC1037" s="631">
        <v>348616</v>
      </c>
      <c r="AD1037" s="631">
        <f t="shared" si="16"/>
        <v>36630.826200000003</v>
      </c>
    </row>
    <row r="1038" spans="2:30" x14ac:dyDescent="0.15">
      <c r="B1038" s="630">
        <v>17031009606</v>
      </c>
      <c r="C1038" s="630">
        <v>17031007694</v>
      </c>
      <c r="D1038" s="630">
        <v>17031001197</v>
      </c>
      <c r="E1038" s="630" t="s">
        <v>533</v>
      </c>
      <c r="F1038" s="630" t="s">
        <v>534</v>
      </c>
      <c r="G1038" s="630" t="s">
        <v>365</v>
      </c>
      <c r="H1038" s="630" t="s">
        <v>535</v>
      </c>
      <c r="I1038" s="630"/>
      <c r="J1038" s="630" t="s">
        <v>542</v>
      </c>
      <c r="K1038" s="630" t="s">
        <v>572</v>
      </c>
      <c r="L1038" s="630" t="s">
        <v>547</v>
      </c>
      <c r="M1038" s="630" t="s">
        <v>382</v>
      </c>
      <c r="N1038" s="630"/>
      <c r="O1038" s="630"/>
      <c r="P1038" s="630"/>
      <c r="Q1038" s="630"/>
      <c r="R1038" s="630"/>
      <c r="S1038" s="630" t="s">
        <v>601</v>
      </c>
      <c r="T1038" s="630"/>
      <c r="U1038" s="630" t="s">
        <v>538</v>
      </c>
      <c r="V1038" s="630">
        <v>2</v>
      </c>
      <c r="W1038" s="630" t="s">
        <v>545</v>
      </c>
      <c r="X1038" s="630" t="s">
        <v>540</v>
      </c>
      <c r="Y1038" s="630" t="s">
        <v>549</v>
      </c>
      <c r="Z1038" s="630">
        <v>0.18424199999999999</v>
      </c>
      <c r="AA1038" s="630">
        <v>0.29651</v>
      </c>
      <c r="AB1038" s="631">
        <v>46240</v>
      </c>
      <c r="AC1038" s="631">
        <v>1585480</v>
      </c>
      <c r="AD1038" s="631">
        <f t="shared" si="16"/>
        <v>292112.00615999999</v>
      </c>
    </row>
    <row r="1039" spans="2:30" x14ac:dyDescent="0.15">
      <c r="B1039" s="630">
        <v>17031009673</v>
      </c>
      <c r="C1039" s="630">
        <v>17031000256</v>
      </c>
      <c r="D1039" s="630">
        <v>17031007756</v>
      </c>
      <c r="E1039" s="630" t="s">
        <v>533</v>
      </c>
      <c r="F1039" s="630" t="s">
        <v>534</v>
      </c>
      <c r="G1039" s="630" t="s">
        <v>365</v>
      </c>
      <c r="H1039" s="630" t="s">
        <v>552</v>
      </c>
      <c r="I1039" s="630"/>
      <c r="J1039" s="630" t="s">
        <v>382</v>
      </c>
      <c r="K1039" s="630"/>
      <c r="L1039" s="630"/>
      <c r="M1039" s="630"/>
      <c r="N1039" s="630"/>
      <c r="O1039" s="630"/>
      <c r="P1039" s="630"/>
      <c r="Q1039" s="630"/>
      <c r="R1039" s="630"/>
      <c r="S1039" s="630" t="s">
        <v>564</v>
      </c>
      <c r="T1039" s="630"/>
      <c r="U1039" s="630" t="s">
        <v>538</v>
      </c>
      <c r="V1039" s="630">
        <v>2</v>
      </c>
      <c r="W1039" s="630" t="s">
        <v>545</v>
      </c>
      <c r="X1039" s="630" t="s">
        <v>549</v>
      </c>
      <c r="Y1039" s="630" t="s">
        <v>554</v>
      </c>
      <c r="Z1039" s="630">
        <v>0.43207899999999999</v>
      </c>
      <c r="AA1039" s="630">
        <v>0.69536500000000001</v>
      </c>
      <c r="AB1039" s="631">
        <v>502181</v>
      </c>
      <c r="AC1039" s="631">
        <v>30395312</v>
      </c>
      <c r="AD1039" s="631">
        <f t="shared" si="16"/>
        <v>13133176.013648</v>
      </c>
    </row>
    <row r="1040" spans="2:30" x14ac:dyDescent="0.15">
      <c r="B1040" s="630">
        <v>17197002053</v>
      </c>
      <c r="C1040" s="630">
        <v>17999025841</v>
      </c>
      <c r="D1040" s="630">
        <v>17197001700</v>
      </c>
      <c r="E1040" s="630" t="s">
        <v>533</v>
      </c>
      <c r="F1040" s="630" t="s">
        <v>534</v>
      </c>
      <c r="G1040" s="630" t="s">
        <v>377</v>
      </c>
      <c r="H1040" s="630" t="s">
        <v>535</v>
      </c>
      <c r="I1040" s="630"/>
      <c r="J1040" s="630" t="s">
        <v>542</v>
      </c>
      <c r="K1040" s="630" t="s">
        <v>543</v>
      </c>
      <c r="L1040" s="630"/>
      <c r="M1040" s="630"/>
      <c r="N1040" s="630"/>
      <c r="O1040" s="630"/>
      <c r="P1040" s="630"/>
      <c r="Q1040" s="630"/>
      <c r="R1040" s="630"/>
      <c r="S1040" s="630" t="s">
        <v>544</v>
      </c>
      <c r="T1040" s="630"/>
      <c r="U1040" s="630" t="s">
        <v>538</v>
      </c>
      <c r="V1040" s="630">
        <v>1</v>
      </c>
      <c r="W1040" s="630" t="s">
        <v>545</v>
      </c>
      <c r="X1040" s="630" t="s">
        <v>546</v>
      </c>
      <c r="Y1040" s="630" t="s">
        <v>549</v>
      </c>
      <c r="Z1040" s="630">
        <v>3.4634149999999999</v>
      </c>
      <c r="AA1040" s="630">
        <v>5.5738370000000002</v>
      </c>
      <c r="AB1040" s="631">
        <v>436246</v>
      </c>
      <c r="AC1040" s="631">
        <v>24014023</v>
      </c>
      <c r="AD1040" s="631">
        <f t="shared" si="16"/>
        <v>83170527.468545005</v>
      </c>
    </row>
    <row r="1041" spans="2:30" x14ac:dyDescent="0.15">
      <c r="B1041" s="630">
        <v>17031002175</v>
      </c>
      <c r="C1041" s="630">
        <v>17031001366</v>
      </c>
      <c r="D1041" s="630">
        <v>17031001355</v>
      </c>
      <c r="E1041" s="630" t="s">
        <v>533</v>
      </c>
      <c r="F1041" s="630" t="s">
        <v>534</v>
      </c>
      <c r="G1041" s="630" t="s">
        <v>365</v>
      </c>
      <c r="H1041" s="630" t="s">
        <v>557</v>
      </c>
      <c r="I1041" s="630"/>
      <c r="J1041" s="630" t="s">
        <v>535</v>
      </c>
      <c r="K1041" s="630" t="s">
        <v>569</v>
      </c>
      <c r="L1041" s="630" t="s">
        <v>552</v>
      </c>
      <c r="M1041" s="630" t="s">
        <v>551</v>
      </c>
      <c r="N1041" s="630" t="s">
        <v>543</v>
      </c>
      <c r="O1041" s="630" t="s">
        <v>382</v>
      </c>
      <c r="P1041" s="630" t="s">
        <v>381</v>
      </c>
      <c r="Q1041" s="630" t="s">
        <v>615</v>
      </c>
      <c r="R1041" s="630"/>
      <c r="S1041" s="630" t="s">
        <v>570</v>
      </c>
      <c r="T1041" s="630" t="s">
        <v>600</v>
      </c>
      <c r="U1041" s="630" t="s">
        <v>538</v>
      </c>
      <c r="V1041" s="630">
        <v>2</v>
      </c>
      <c r="W1041" s="630" t="s">
        <v>545</v>
      </c>
      <c r="X1041" s="630" t="s">
        <v>546</v>
      </c>
      <c r="Y1041" s="630" t="s">
        <v>554</v>
      </c>
      <c r="Z1041" s="630">
        <v>0.52929599999999999</v>
      </c>
      <c r="AA1041" s="630">
        <v>0.85182000000000002</v>
      </c>
      <c r="AB1041" s="631">
        <v>1188887</v>
      </c>
      <c r="AC1041" s="631">
        <v>39868985</v>
      </c>
      <c r="AD1041" s="631">
        <f t="shared" si="16"/>
        <v>21102494.284559999</v>
      </c>
    </row>
    <row r="1042" spans="2:30" x14ac:dyDescent="0.15">
      <c r="B1042" s="630">
        <v>17031002367</v>
      </c>
      <c r="C1042" s="630">
        <v>17031004708</v>
      </c>
      <c r="D1042" s="630">
        <v>17031001564</v>
      </c>
      <c r="E1042" s="630" t="s">
        <v>533</v>
      </c>
      <c r="F1042" s="630" t="s">
        <v>534</v>
      </c>
      <c r="G1042" s="630" t="s">
        <v>365</v>
      </c>
      <c r="H1042" s="630" t="s">
        <v>535</v>
      </c>
      <c r="I1042" s="630"/>
      <c r="J1042" s="630" t="s">
        <v>382</v>
      </c>
      <c r="K1042" s="630" t="s">
        <v>536</v>
      </c>
      <c r="L1042" s="630"/>
      <c r="M1042" s="630"/>
      <c r="N1042" s="630"/>
      <c r="O1042" s="630"/>
      <c r="P1042" s="630"/>
      <c r="Q1042" s="630"/>
      <c r="R1042" s="630"/>
      <c r="S1042" s="630" t="s">
        <v>537</v>
      </c>
      <c r="T1042" s="630"/>
      <c r="U1042" s="630" t="s">
        <v>538</v>
      </c>
      <c r="V1042" s="630">
        <v>2</v>
      </c>
      <c r="W1042" s="630" t="s">
        <v>582</v>
      </c>
      <c r="X1042" s="630" t="s">
        <v>540</v>
      </c>
      <c r="Y1042" s="630" t="s">
        <v>549</v>
      </c>
      <c r="Z1042" s="630">
        <v>1.3152429999999999</v>
      </c>
      <c r="AA1042" s="630">
        <v>2.1166830000000001</v>
      </c>
      <c r="AB1042" s="631">
        <v>30651</v>
      </c>
      <c r="AC1042" s="631">
        <v>2787674</v>
      </c>
      <c r="AD1042" s="631">
        <f t="shared" si="16"/>
        <v>3666468.7147820001</v>
      </c>
    </row>
    <row r="1043" spans="2:30" x14ac:dyDescent="0.15">
      <c r="B1043" s="630">
        <v>17197002592</v>
      </c>
      <c r="C1043" s="630">
        <v>17197008298</v>
      </c>
      <c r="D1043" s="630">
        <v>17197001447</v>
      </c>
      <c r="E1043" s="630" t="s">
        <v>533</v>
      </c>
      <c r="F1043" s="630" t="s">
        <v>534</v>
      </c>
      <c r="G1043" s="630" t="s">
        <v>377</v>
      </c>
      <c r="H1043" s="630" t="s">
        <v>535</v>
      </c>
      <c r="I1043" s="630"/>
      <c r="J1043" s="630" t="s">
        <v>382</v>
      </c>
      <c r="K1043" s="630" t="s">
        <v>536</v>
      </c>
      <c r="L1043" s="630"/>
      <c r="M1043" s="630"/>
      <c r="N1043" s="630"/>
      <c r="O1043" s="630"/>
      <c r="P1043" s="630"/>
      <c r="Q1043" s="630"/>
      <c r="R1043" s="630"/>
      <c r="S1043" s="630" t="s">
        <v>550</v>
      </c>
      <c r="T1043" s="630"/>
      <c r="U1043" s="630" t="s">
        <v>538</v>
      </c>
      <c r="V1043" s="630">
        <v>2</v>
      </c>
      <c r="W1043" s="630" t="s">
        <v>545</v>
      </c>
      <c r="X1043" s="630" t="s">
        <v>540</v>
      </c>
      <c r="Y1043" s="630" t="s">
        <v>541</v>
      </c>
      <c r="Z1043" s="630">
        <v>1.01607</v>
      </c>
      <c r="AA1043" s="630">
        <v>1.6352089999999999</v>
      </c>
      <c r="AB1043" s="631">
        <v>32625</v>
      </c>
      <c r="AC1043" s="631">
        <v>3073584</v>
      </c>
      <c r="AD1043" s="631">
        <f t="shared" si="16"/>
        <v>3122976.4948800001</v>
      </c>
    </row>
    <row r="1044" spans="2:30" x14ac:dyDescent="0.15">
      <c r="B1044" s="630">
        <v>17043003512</v>
      </c>
      <c r="C1044" s="630">
        <v>17043004774</v>
      </c>
      <c r="D1044" s="630">
        <v>17043000404</v>
      </c>
      <c r="E1044" s="630" t="s">
        <v>533</v>
      </c>
      <c r="F1044" s="630" t="s">
        <v>534</v>
      </c>
      <c r="G1044" s="630" t="s">
        <v>367</v>
      </c>
      <c r="H1044" s="630" t="s">
        <v>552</v>
      </c>
      <c r="I1044" s="630"/>
      <c r="J1044" s="630" t="s">
        <v>551</v>
      </c>
      <c r="K1044" s="630" t="s">
        <v>547</v>
      </c>
      <c r="L1044" s="630" t="s">
        <v>382</v>
      </c>
      <c r="M1044" s="630" t="s">
        <v>563</v>
      </c>
      <c r="N1044" s="630"/>
      <c r="O1044" s="630"/>
      <c r="P1044" s="630"/>
      <c r="Q1044" s="630"/>
      <c r="R1044" s="630"/>
      <c r="S1044" s="630" t="s">
        <v>589</v>
      </c>
      <c r="T1044" s="630" t="s">
        <v>632</v>
      </c>
      <c r="U1044" s="630" t="s">
        <v>538</v>
      </c>
      <c r="V1044" s="630">
        <v>2</v>
      </c>
      <c r="W1044" s="630" t="s">
        <v>545</v>
      </c>
      <c r="X1044" s="630" t="s">
        <v>549</v>
      </c>
      <c r="Y1044" s="630" t="s">
        <v>549</v>
      </c>
      <c r="Z1044" s="630">
        <v>0.42605599999999999</v>
      </c>
      <c r="AA1044" s="630">
        <v>0.68567199999999995</v>
      </c>
      <c r="AB1044" s="631">
        <v>519393</v>
      </c>
      <c r="AC1044" s="631">
        <v>31033524</v>
      </c>
      <c r="AD1044" s="631">
        <f t="shared" si="16"/>
        <v>13222019.101344001</v>
      </c>
    </row>
    <row r="1045" spans="2:30" x14ac:dyDescent="0.15">
      <c r="B1045" s="630">
        <v>17031003668</v>
      </c>
      <c r="C1045" s="630">
        <v>17031001158</v>
      </c>
      <c r="D1045" s="630">
        <v>17031004707</v>
      </c>
      <c r="E1045" s="630" t="s">
        <v>533</v>
      </c>
      <c r="F1045" s="630" t="s">
        <v>534</v>
      </c>
      <c r="G1045" s="630" t="s">
        <v>365</v>
      </c>
      <c r="H1045" s="630" t="s">
        <v>547</v>
      </c>
      <c r="I1045" s="630"/>
      <c r="J1045" s="630" t="s">
        <v>577</v>
      </c>
      <c r="K1045" s="630"/>
      <c r="L1045" s="630"/>
      <c r="M1045" s="630"/>
      <c r="N1045" s="630"/>
      <c r="O1045" s="630"/>
      <c r="P1045" s="630"/>
      <c r="Q1045" s="630"/>
      <c r="R1045" s="630"/>
      <c r="S1045" s="630" t="s">
        <v>581</v>
      </c>
      <c r="T1045" s="630"/>
      <c r="U1045" s="630" t="s">
        <v>538</v>
      </c>
      <c r="V1045" s="630">
        <v>2</v>
      </c>
      <c r="W1045" s="630" t="s">
        <v>582</v>
      </c>
      <c r="X1045" s="630" t="s">
        <v>541</v>
      </c>
      <c r="Y1045" s="630" t="s">
        <v>540</v>
      </c>
      <c r="Z1045" s="630">
        <v>1.0891470000000001</v>
      </c>
      <c r="AA1045" s="630">
        <v>1.7528159999999999</v>
      </c>
      <c r="AB1045" s="631">
        <v>0</v>
      </c>
      <c r="AC1045" s="631">
        <v>0</v>
      </c>
      <c r="AD1045" s="631">
        <f t="shared" si="16"/>
        <v>0</v>
      </c>
    </row>
    <row r="1046" spans="2:30" x14ac:dyDescent="0.15">
      <c r="B1046" s="630">
        <v>17031004214</v>
      </c>
      <c r="C1046" s="630">
        <v>17031000327</v>
      </c>
      <c r="D1046" s="630">
        <v>17031000334</v>
      </c>
      <c r="E1046" s="630" t="s">
        <v>533</v>
      </c>
      <c r="F1046" s="630" t="s">
        <v>534</v>
      </c>
      <c r="G1046" s="630" t="s">
        <v>365</v>
      </c>
      <c r="H1046" s="630" t="s">
        <v>590</v>
      </c>
      <c r="I1046" s="630"/>
      <c r="J1046" s="630"/>
      <c r="K1046" s="630"/>
      <c r="L1046" s="630"/>
      <c r="M1046" s="630"/>
      <c r="N1046" s="630"/>
      <c r="O1046" s="630"/>
      <c r="P1046" s="630"/>
      <c r="Q1046" s="630"/>
      <c r="R1046" s="630"/>
      <c r="S1046" s="630"/>
      <c r="T1046" s="630"/>
      <c r="U1046" s="630" t="s">
        <v>559</v>
      </c>
      <c r="V1046" s="630">
        <v>1</v>
      </c>
      <c r="W1046" s="630" t="s">
        <v>560</v>
      </c>
      <c r="X1046" s="630" t="s">
        <v>541</v>
      </c>
      <c r="Y1046" s="630" t="s">
        <v>541</v>
      </c>
      <c r="Z1046" s="630">
        <v>0.126133</v>
      </c>
      <c r="AA1046" s="630">
        <v>0.20299200000000001</v>
      </c>
      <c r="AB1046" s="631">
        <v>0</v>
      </c>
      <c r="AC1046" s="631">
        <v>0</v>
      </c>
      <c r="AD1046" s="631">
        <f t="shared" si="16"/>
        <v>0</v>
      </c>
    </row>
    <row r="1047" spans="2:30" x14ac:dyDescent="0.15">
      <c r="B1047" s="630">
        <v>17031005338</v>
      </c>
      <c r="C1047" s="630">
        <v>17031000327</v>
      </c>
      <c r="D1047" s="630">
        <v>17031000325</v>
      </c>
      <c r="E1047" s="630" t="s">
        <v>533</v>
      </c>
      <c r="F1047" s="630" t="s">
        <v>534</v>
      </c>
      <c r="G1047" s="630" t="s">
        <v>365</v>
      </c>
      <c r="H1047" s="630" t="s">
        <v>590</v>
      </c>
      <c r="I1047" s="630"/>
      <c r="J1047" s="630"/>
      <c r="K1047" s="630"/>
      <c r="L1047" s="630"/>
      <c r="M1047" s="630"/>
      <c r="N1047" s="630"/>
      <c r="O1047" s="630"/>
      <c r="P1047" s="630"/>
      <c r="Q1047" s="630"/>
      <c r="R1047" s="630"/>
      <c r="S1047" s="630"/>
      <c r="T1047" s="630"/>
      <c r="U1047" s="630" t="s">
        <v>559</v>
      </c>
      <c r="V1047" s="630">
        <v>1</v>
      </c>
      <c r="W1047" s="630" t="s">
        <v>560</v>
      </c>
      <c r="X1047" s="630" t="s">
        <v>541</v>
      </c>
      <c r="Y1047" s="630" t="s">
        <v>541</v>
      </c>
      <c r="Z1047" s="630">
        <v>6.4187999999999995E-2</v>
      </c>
      <c r="AA1047" s="630">
        <v>0.1033</v>
      </c>
      <c r="AB1047" s="631">
        <v>0</v>
      </c>
      <c r="AC1047" s="631">
        <v>0</v>
      </c>
      <c r="AD1047" s="631">
        <f t="shared" si="16"/>
        <v>0</v>
      </c>
    </row>
    <row r="1048" spans="2:30" x14ac:dyDescent="0.15">
      <c r="B1048" s="630">
        <v>17197006546</v>
      </c>
      <c r="C1048" s="630">
        <v>17197004800</v>
      </c>
      <c r="D1048" s="630">
        <v>17197001468</v>
      </c>
      <c r="E1048" s="630" t="s">
        <v>533</v>
      </c>
      <c r="F1048" s="630" t="s">
        <v>534</v>
      </c>
      <c r="G1048" s="630" t="s">
        <v>377</v>
      </c>
      <c r="H1048" s="630" t="s">
        <v>535</v>
      </c>
      <c r="I1048" s="630"/>
      <c r="J1048" s="630"/>
      <c r="K1048" s="630"/>
      <c r="L1048" s="630"/>
      <c r="M1048" s="630"/>
      <c r="N1048" s="630"/>
      <c r="O1048" s="630"/>
      <c r="P1048" s="630"/>
      <c r="Q1048" s="630"/>
      <c r="R1048" s="630"/>
      <c r="S1048" s="630"/>
      <c r="T1048" s="630" t="s">
        <v>596</v>
      </c>
      <c r="U1048" s="630" t="s">
        <v>559</v>
      </c>
      <c r="V1048" s="630">
        <v>1</v>
      </c>
      <c r="W1048" s="630" t="s">
        <v>560</v>
      </c>
      <c r="X1048" s="630" t="s">
        <v>541</v>
      </c>
      <c r="Y1048" s="630" t="s">
        <v>541</v>
      </c>
      <c r="Z1048" s="630">
        <v>0.18116399999999999</v>
      </c>
      <c r="AA1048" s="630">
        <v>0.29155599999999998</v>
      </c>
      <c r="AB1048" s="631">
        <v>0</v>
      </c>
      <c r="AC1048" s="631">
        <v>0</v>
      </c>
      <c r="AD1048" s="631">
        <f t="shared" si="16"/>
        <v>0</v>
      </c>
    </row>
    <row r="1049" spans="2:30" x14ac:dyDescent="0.15">
      <c r="B1049" s="630">
        <v>17031009846</v>
      </c>
      <c r="C1049" s="630">
        <v>17031007918</v>
      </c>
      <c r="D1049" s="630">
        <v>17031000801</v>
      </c>
      <c r="E1049" s="630" t="s">
        <v>533</v>
      </c>
      <c r="F1049" s="630" t="s">
        <v>534</v>
      </c>
      <c r="G1049" s="630" t="s">
        <v>365</v>
      </c>
      <c r="H1049" s="630" t="s">
        <v>543</v>
      </c>
      <c r="I1049" s="630"/>
      <c r="J1049" s="630" t="s">
        <v>382</v>
      </c>
      <c r="K1049" s="630"/>
      <c r="L1049" s="630"/>
      <c r="M1049" s="630"/>
      <c r="N1049" s="630"/>
      <c r="O1049" s="630"/>
      <c r="P1049" s="630"/>
      <c r="Q1049" s="630"/>
      <c r="R1049" s="630"/>
      <c r="S1049" s="630" t="s">
        <v>639</v>
      </c>
      <c r="T1049" s="630"/>
      <c r="U1049" s="630" t="s">
        <v>538</v>
      </c>
      <c r="V1049" s="630">
        <v>2</v>
      </c>
      <c r="W1049" s="630" t="s">
        <v>560</v>
      </c>
      <c r="X1049" s="630" t="s">
        <v>549</v>
      </c>
      <c r="Y1049" s="630" t="s">
        <v>541</v>
      </c>
      <c r="Z1049" s="630">
        <v>3.8894999999999999E-2</v>
      </c>
      <c r="AA1049" s="630">
        <v>6.2594999999999998E-2</v>
      </c>
      <c r="AB1049" s="631">
        <v>2734673</v>
      </c>
      <c r="AC1049" s="631">
        <v>73793319</v>
      </c>
      <c r="AD1049" s="631">
        <f t="shared" si="16"/>
        <v>2870191.1425049999</v>
      </c>
    </row>
    <row r="1050" spans="2:30" x14ac:dyDescent="0.15">
      <c r="B1050" s="630">
        <v>17031002224</v>
      </c>
      <c r="C1050" s="630">
        <v>17031000539</v>
      </c>
      <c r="D1050" s="630">
        <v>17031000533</v>
      </c>
      <c r="E1050" s="630" t="s">
        <v>533</v>
      </c>
      <c r="F1050" s="630" t="s">
        <v>534</v>
      </c>
      <c r="G1050" s="630" t="s">
        <v>365</v>
      </c>
      <c r="H1050" s="630" t="s">
        <v>382</v>
      </c>
      <c r="I1050" s="630"/>
      <c r="J1050" s="630"/>
      <c r="K1050" s="630"/>
      <c r="L1050" s="630"/>
      <c r="M1050" s="630"/>
      <c r="N1050" s="630"/>
      <c r="O1050" s="630"/>
      <c r="P1050" s="630"/>
      <c r="Q1050" s="630"/>
      <c r="R1050" s="630"/>
      <c r="S1050" s="630"/>
      <c r="T1050" s="630" t="s">
        <v>626</v>
      </c>
      <c r="U1050" s="630" t="s">
        <v>559</v>
      </c>
      <c r="V1050" s="630">
        <v>1</v>
      </c>
      <c r="W1050" s="630" t="s">
        <v>539</v>
      </c>
      <c r="X1050" s="630" t="s">
        <v>541</v>
      </c>
      <c r="Y1050" s="630" t="s">
        <v>541</v>
      </c>
      <c r="Z1050" s="630">
        <v>1.381202</v>
      </c>
      <c r="AA1050" s="630">
        <v>2.2228340000000002</v>
      </c>
      <c r="AB1050" s="631">
        <v>0</v>
      </c>
      <c r="AC1050" s="631">
        <v>0</v>
      </c>
      <c r="AD1050" s="631">
        <f t="shared" si="16"/>
        <v>0</v>
      </c>
    </row>
    <row r="1051" spans="2:30" x14ac:dyDescent="0.15">
      <c r="B1051" s="630">
        <v>17031002291</v>
      </c>
      <c r="C1051" s="630">
        <v>17031004726</v>
      </c>
      <c r="D1051" s="630">
        <v>17031001167</v>
      </c>
      <c r="E1051" s="630" t="s">
        <v>533</v>
      </c>
      <c r="F1051" s="630" t="s">
        <v>534</v>
      </c>
      <c r="G1051" s="630" t="s">
        <v>365</v>
      </c>
      <c r="H1051" s="630" t="s">
        <v>547</v>
      </c>
      <c r="I1051" s="630"/>
      <c r="J1051" s="630"/>
      <c r="K1051" s="630"/>
      <c r="L1051" s="630"/>
      <c r="M1051" s="630"/>
      <c r="N1051" s="630"/>
      <c r="O1051" s="630"/>
      <c r="P1051" s="630"/>
      <c r="Q1051" s="630"/>
      <c r="R1051" s="630"/>
      <c r="S1051" s="630"/>
      <c r="T1051" s="630"/>
      <c r="U1051" s="630" t="s">
        <v>538</v>
      </c>
      <c r="V1051" s="630">
        <v>1</v>
      </c>
      <c r="W1051" s="630" t="s">
        <v>582</v>
      </c>
      <c r="X1051" s="630" t="s">
        <v>541</v>
      </c>
      <c r="Y1051" s="630" t="s">
        <v>541</v>
      </c>
      <c r="Z1051" s="630">
        <v>0.43305700000000003</v>
      </c>
      <c r="AA1051" s="630">
        <v>0.69693899999999998</v>
      </c>
      <c r="AB1051" s="631">
        <v>0</v>
      </c>
      <c r="AC1051" s="631">
        <v>0</v>
      </c>
      <c r="AD1051" s="631">
        <f t="shared" si="16"/>
        <v>0</v>
      </c>
    </row>
    <row r="1052" spans="2:30" x14ac:dyDescent="0.15">
      <c r="B1052" s="630">
        <v>17031002294</v>
      </c>
      <c r="C1052" s="630">
        <v>17031001370</v>
      </c>
      <c r="D1052" s="630">
        <v>17031001295</v>
      </c>
      <c r="E1052" s="630" t="s">
        <v>533</v>
      </c>
      <c r="F1052" s="630" t="s">
        <v>534</v>
      </c>
      <c r="G1052" s="630" t="s">
        <v>365</v>
      </c>
      <c r="H1052" s="630" t="s">
        <v>535</v>
      </c>
      <c r="I1052" s="630"/>
      <c r="J1052" s="630" t="s">
        <v>542</v>
      </c>
      <c r="K1052" s="630" t="s">
        <v>543</v>
      </c>
      <c r="L1052" s="630"/>
      <c r="M1052" s="630"/>
      <c r="N1052" s="630"/>
      <c r="O1052" s="630"/>
      <c r="P1052" s="630"/>
      <c r="Q1052" s="630"/>
      <c r="R1052" s="630"/>
      <c r="S1052" s="630" t="s">
        <v>544</v>
      </c>
      <c r="T1052" s="630"/>
      <c r="U1052" s="630" t="s">
        <v>538</v>
      </c>
      <c r="V1052" s="630">
        <v>2</v>
      </c>
      <c r="W1052" s="630" t="s">
        <v>545</v>
      </c>
      <c r="X1052" s="630" t="s">
        <v>546</v>
      </c>
      <c r="Y1052" s="630" t="s">
        <v>549</v>
      </c>
      <c r="Z1052" s="630">
        <v>1.3840159999999999</v>
      </c>
      <c r="AA1052" s="630">
        <v>2.2273619999999998</v>
      </c>
      <c r="AB1052" s="631">
        <v>22170</v>
      </c>
      <c r="AC1052" s="631">
        <v>2065148</v>
      </c>
      <c r="AD1052" s="631">
        <f t="shared" si="16"/>
        <v>2858197.8743679998</v>
      </c>
    </row>
    <row r="1053" spans="2:30" x14ac:dyDescent="0.15">
      <c r="B1053" s="630">
        <v>17031002303</v>
      </c>
      <c r="C1053" s="630">
        <v>17031001394</v>
      </c>
      <c r="D1053" s="630">
        <v>17031001397</v>
      </c>
      <c r="E1053" s="630" t="s">
        <v>533</v>
      </c>
      <c r="F1053" s="630" t="s">
        <v>534</v>
      </c>
      <c r="G1053" s="630" t="s">
        <v>365</v>
      </c>
      <c r="H1053" s="630" t="s">
        <v>551</v>
      </c>
      <c r="I1053" s="630"/>
      <c r="J1053" s="630"/>
      <c r="K1053" s="630"/>
      <c r="L1053" s="630"/>
      <c r="M1053" s="630"/>
      <c r="N1053" s="630"/>
      <c r="O1053" s="630"/>
      <c r="P1053" s="630"/>
      <c r="Q1053" s="630"/>
      <c r="R1053" s="630"/>
      <c r="S1053" s="630" t="s">
        <v>603</v>
      </c>
      <c r="T1053" s="630"/>
      <c r="U1053" s="630" t="s">
        <v>538</v>
      </c>
      <c r="V1053" s="630">
        <v>2</v>
      </c>
      <c r="W1053" s="630" t="s">
        <v>545</v>
      </c>
      <c r="X1053" s="630" t="s">
        <v>575</v>
      </c>
      <c r="Y1053" s="630" t="s">
        <v>554</v>
      </c>
      <c r="Z1053" s="630">
        <v>1.093845</v>
      </c>
      <c r="AA1053" s="630">
        <v>1.7603770000000001</v>
      </c>
      <c r="AB1053" s="631">
        <v>1464997</v>
      </c>
      <c r="AC1053" s="631">
        <v>50040672</v>
      </c>
      <c r="AD1053" s="631">
        <f t="shared" si="16"/>
        <v>54736738.863839999</v>
      </c>
    </row>
    <row r="1054" spans="2:30" x14ac:dyDescent="0.15">
      <c r="B1054" s="630">
        <v>17031003298</v>
      </c>
      <c r="C1054" s="630">
        <v>17031001266</v>
      </c>
      <c r="D1054" s="630">
        <v>17031004723</v>
      </c>
      <c r="E1054" s="630" t="s">
        <v>533</v>
      </c>
      <c r="F1054" s="630" t="s">
        <v>534</v>
      </c>
      <c r="G1054" s="630" t="s">
        <v>365</v>
      </c>
      <c r="H1054" s="630" t="s">
        <v>547</v>
      </c>
      <c r="I1054" s="630"/>
      <c r="J1054" s="630"/>
      <c r="K1054" s="630"/>
      <c r="L1054" s="630"/>
      <c r="M1054" s="630"/>
      <c r="N1054" s="630"/>
      <c r="O1054" s="630"/>
      <c r="P1054" s="630"/>
      <c r="Q1054" s="630"/>
      <c r="R1054" s="630"/>
      <c r="S1054" s="630"/>
      <c r="T1054" s="630"/>
      <c r="U1054" s="630" t="s">
        <v>538</v>
      </c>
      <c r="V1054" s="630">
        <v>1</v>
      </c>
      <c r="W1054" s="630" t="s">
        <v>582</v>
      </c>
      <c r="X1054" s="630" t="s">
        <v>541</v>
      </c>
      <c r="Y1054" s="630" t="s">
        <v>541</v>
      </c>
      <c r="Z1054" s="630">
        <v>0.379774</v>
      </c>
      <c r="AA1054" s="630">
        <v>0.61118799999999995</v>
      </c>
      <c r="AB1054" s="631">
        <v>0</v>
      </c>
      <c r="AC1054" s="631">
        <v>0</v>
      </c>
      <c r="AD1054" s="631">
        <f t="shared" si="16"/>
        <v>0</v>
      </c>
    </row>
    <row r="1055" spans="2:30" x14ac:dyDescent="0.15">
      <c r="B1055" s="630">
        <v>17031006349</v>
      </c>
      <c r="C1055" s="630">
        <v>17031004593</v>
      </c>
      <c r="D1055" s="630">
        <v>17031004592</v>
      </c>
      <c r="E1055" s="630" t="s">
        <v>533</v>
      </c>
      <c r="F1055" s="630" t="s">
        <v>534</v>
      </c>
      <c r="G1055" s="630" t="s">
        <v>365</v>
      </c>
      <c r="H1055" s="630" t="s">
        <v>535</v>
      </c>
      <c r="I1055" s="630"/>
      <c r="J1055" s="630" t="s">
        <v>547</v>
      </c>
      <c r="K1055" s="630" t="s">
        <v>551</v>
      </c>
      <c r="L1055" s="630"/>
      <c r="M1055" s="630"/>
      <c r="N1055" s="630"/>
      <c r="O1055" s="630"/>
      <c r="P1055" s="630"/>
      <c r="Q1055" s="630"/>
      <c r="R1055" s="630"/>
      <c r="S1055" s="630" t="s">
        <v>548</v>
      </c>
      <c r="T1055" s="630" t="s">
        <v>671</v>
      </c>
      <c r="U1055" s="630" t="s">
        <v>538</v>
      </c>
      <c r="V1055" s="630">
        <v>2</v>
      </c>
      <c r="W1055" s="630" t="s">
        <v>545</v>
      </c>
      <c r="X1055" s="630" t="s">
        <v>546</v>
      </c>
      <c r="Y1055" s="630" t="s">
        <v>549</v>
      </c>
      <c r="Z1055" s="630">
        <v>0.51984699999999995</v>
      </c>
      <c r="AA1055" s="630">
        <v>0.83661399999999997</v>
      </c>
      <c r="AB1055" s="631">
        <v>805460</v>
      </c>
      <c r="AC1055" s="631">
        <v>39336999</v>
      </c>
      <c r="AD1055" s="631">
        <f t="shared" si="16"/>
        <v>20449220.919152997</v>
      </c>
    </row>
    <row r="1056" spans="2:30" x14ac:dyDescent="0.15">
      <c r="B1056" s="630">
        <v>17031006441</v>
      </c>
      <c r="C1056" s="630">
        <v>17031004737</v>
      </c>
      <c r="D1056" s="630">
        <v>17031004738</v>
      </c>
      <c r="E1056" s="630" t="s">
        <v>533</v>
      </c>
      <c r="F1056" s="630" t="s">
        <v>534</v>
      </c>
      <c r="G1056" s="630" t="s">
        <v>365</v>
      </c>
      <c r="H1056" s="630" t="s">
        <v>543</v>
      </c>
      <c r="I1056" s="630"/>
      <c r="J1056" s="630"/>
      <c r="K1056" s="630"/>
      <c r="L1056" s="630"/>
      <c r="M1056" s="630"/>
      <c r="N1056" s="630"/>
      <c r="O1056" s="630"/>
      <c r="P1056" s="630"/>
      <c r="Q1056" s="630"/>
      <c r="R1056" s="630"/>
      <c r="S1056" s="630" t="s">
        <v>604</v>
      </c>
      <c r="T1056" s="630"/>
      <c r="U1056" s="630" t="s">
        <v>538</v>
      </c>
      <c r="V1056" s="630">
        <v>1</v>
      </c>
      <c r="W1056" s="630" t="s">
        <v>545</v>
      </c>
      <c r="X1056" s="630" t="s">
        <v>546</v>
      </c>
      <c r="Y1056" s="630" t="s">
        <v>554</v>
      </c>
      <c r="Z1056" s="630">
        <v>0.23055700000000001</v>
      </c>
      <c r="AA1056" s="630">
        <v>0.37104700000000002</v>
      </c>
      <c r="AB1056" s="631">
        <v>10277</v>
      </c>
      <c r="AC1056" s="631">
        <v>921789</v>
      </c>
      <c r="AD1056" s="631">
        <f t="shared" si="16"/>
        <v>212524.90647300001</v>
      </c>
    </row>
    <row r="1057" spans="2:30" x14ac:dyDescent="0.15">
      <c r="B1057" s="630">
        <v>17031006495</v>
      </c>
      <c r="C1057" s="630">
        <v>17031004752</v>
      </c>
      <c r="D1057" s="630">
        <v>17999099921</v>
      </c>
      <c r="E1057" s="630" t="s">
        <v>533</v>
      </c>
      <c r="F1057" s="630" t="s">
        <v>534</v>
      </c>
      <c r="G1057" s="630" t="s">
        <v>365</v>
      </c>
      <c r="H1057" s="630" t="s">
        <v>547</v>
      </c>
      <c r="I1057" s="630"/>
      <c r="J1057" s="630"/>
      <c r="K1057" s="630"/>
      <c r="L1057" s="630"/>
      <c r="M1057" s="630"/>
      <c r="N1057" s="630"/>
      <c r="O1057" s="630"/>
      <c r="P1057" s="630"/>
      <c r="Q1057" s="630"/>
      <c r="R1057" s="630"/>
      <c r="S1057" s="630"/>
      <c r="T1057" s="630"/>
      <c r="U1057" s="630" t="s">
        <v>538</v>
      </c>
      <c r="V1057" s="630">
        <v>2</v>
      </c>
      <c r="W1057" s="630" t="s">
        <v>545</v>
      </c>
      <c r="X1057" s="630" t="s">
        <v>541</v>
      </c>
      <c r="Y1057" s="630" t="s">
        <v>540</v>
      </c>
      <c r="Z1057" s="630">
        <v>1.442715</v>
      </c>
      <c r="AA1057" s="630">
        <v>2.3218290000000001</v>
      </c>
      <c r="AB1057" s="631">
        <v>0</v>
      </c>
      <c r="AC1057" s="631">
        <v>0</v>
      </c>
      <c r="AD1057" s="631">
        <f t="shared" si="16"/>
        <v>0</v>
      </c>
    </row>
    <row r="1058" spans="2:30" x14ac:dyDescent="0.15">
      <c r="B1058" s="630">
        <v>17031009183</v>
      </c>
      <c r="C1058" s="630">
        <v>17031007086</v>
      </c>
      <c r="D1058" s="630">
        <v>17031000749</v>
      </c>
      <c r="E1058" s="630" t="s">
        <v>533</v>
      </c>
      <c r="F1058" s="630" t="s">
        <v>534</v>
      </c>
      <c r="G1058" s="630" t="s">
        <v>365</v>
      </c>
      <c r="H1058" s="630" t="s">
        <v>535</v>
      </c>
      <c r="I1058" s="630"/>
      <c r="J1058" s="630" t="s">
        <v>571</v>
      </c>
      <c r="K1058" s="630"/>
      <c r="L1058" s="630"/>
      <c r="M1058" s="630"/>
      <c r="N1058" s="630"/>
      <c r="O1058" s="630"/>
      <c r="P1058" s="630"/>
      <c r="Q1058" s="630"/>
      <c r="R1058" s="630"/>
      <c r="S1058" s="630"/>
      <c r="T1058" s="630"/>
      <c r="U1058" s="630" t="s">
        <v>559</v>
      </c>
      <c r="V1058" s="630">
        <v>1</v>
      </c>
      <c r="W1058" s="630" t="s">
        <v>560</v>
      </c>
      <c r="X1058" s="630" t="s">
        <v>541</v>
      </c>
      <c r="Y1058" s="630" t="s">
        <v>541</v>
      </c>
      <c r="Z1058" s="630">
        <v>5.0518E-2</v>
      </c>
      <c r="AA1058" s="630">
        <v>8.1299999999999997E-2</v>
      </c>
      <c r="AB1058" s="631">
        <v>0</v>
      </c>
      <c r="AC1058" s="631">
        <v>0</v>
      </c>
      <c r="AD1058" s="631">
        <f t="shared" si="16"/>
        <v>0</v>
      </c>
    </row>
    <row r="1059" spans="2:30" x14ac:dyDescent="0.15">
      <c r="B1059" s="630">
        <v>17031001945</v>
      </c>
      <c r="C1059" s="630">
        <v>17031000917</v>
      </c>
      <c r="D1059" s="630">
        <v>17031000914</v>
      </c>
      <c r="E1059" s="630" t="s">
        <v>533</v>
      </c>
      <c r="F1059" s="630" t="s">
        <v>534</v>
      </c>
      <c r="G1059" s="630" t="s">
        <v>365</v>
      </c>
      <c r="H1059" s="630" t="s">
        <v>557</v>
      </c>
      <c r="I1059" s="630"/>
      <c r="J1059" s="630" t="s">
        <v>381</v>
      </c>
      <c r="K1059" s="630" t="s">
        <v>535</v>
      </c>
      <c r="L1059" s="630" t="s">
        <v>552</v>
      </c>
      <c r="M1059" s="630" t="s">
        <v>551</v>
      </c>
      <c r="N1059" s="630" t="s">
        <v>543</v>
      </c>
      <c r="O1059" s="630" t="s">
        <v>382</v>
      </c>
      <c r="P1059" s="630"/>
      <c r="Q1059" s="630"/>
      <c r="R1059" s="630"/>
      <c r="S1059" s="630" t="s">
        <v>570</v>
      </c>
      <c r="T1059" s="630"/>
      <c r="U1059" s="630" t="s">
        <v>538</v>
      </c>
      <c r="V1059" s="630">
        <v>2</v>
      </c>
      <c r="W1059" s="630" t="s">
        <v>545</v>
      </c>
      <c r="X1059" s="630" t="s">
        <v>575</v>
      </c>
      <c r="Y1059" s="630" t="s">
        <v>554</v>
      </c>
      <c r="Z1059" s="630">
        <v>0.24359800000000001</v>
      </c>
      <c r="AA1059" s="630">
        <v>0.39203399999999999</v>
      </c>
      <c r="AB1059" s="631">
        <v>1438666</v>
      </c>
      <c r="AC1059" s="631">
        <v>72182501</v>
      </c>
      <c r="AD1059" s="631">
        <f t="shared" si="16"/>
        <v>17583512.878598001</v>
      </c>
    </row>
    <row r="1060" spans="2:30" x14ac:dyDescent="0.15">
      <c r="B1060" s="630">
        <v>17097002141</v>
      </c>
      <c r="C1060" s="630">
        <v>17097007529</v>
      </c>
      <c r="D1060" s="630">
        <v>99999017007</v>
      </c>
      <c r="E1060" s="630" t="s">
        <v>533</v>
      </c>
      <c r="F1060" s="630" t="s">
        <v>534</v>
      </c>
      <c r="G1060" s="630" t="s">
        <v>373</v>
      </c>
      <c r="H1060" s="630" t="s">
        <v>382</v>
      </c>
      <c r="I1060" s="630"/>
      <c r="J1060" s="630"/>
      <c r="K1060" s="630"/>
      <c r="L1060" s="630"/>
      <c r="M1060" s="630"/>
      <c r="N1060" s="630"/>
      <c r="O1060" s="630"/>
      <c r="P1060" s="630"/>
      <c r="Q1060" s="630"/>
      <c r="R1060" s="630"/>
      <c r="S1060" s="630" t="s">
        <v>586</v>
      </c>
      <c r="T1060" s="630"/>
      <c r="U1060" s="630" t="s">
        <v>538</v>
      </c>
      <c r="V1060" s="630">
        <v>1</v>
      </c>
      <c r="W1060" s="630" t="s">
        <v>582</v>
      </c>
      <c r="X1060" s="630" t="s">
        <v>549</v>
      </c>
      <c r="Y1060" s="630" t="s">
        <v>549</v>
      </c>
      <c r="Z1060" s="630">
        <v>6.8191300000000004</v>
      </c>
      <c r="AA1060" s="630">
        <v>10.974348000000001</v>
      </c>
      <c r="AB1060" s="631">
        <v>83089</v>
      </c>
      <c r="AC1060" s="631">
        <v>9284627</v>
      </c>
      <c r="AD1060" s="631">
        <f t="shared" si="16"/>
        <v>63313078.514510006</v>
      </c>
    </row>
    <row r="1061" spans="2:30" x14ac:dyDescent="0.15">
      <c r="B1061" s="630">
        <v>17197002273</v>
      </c>
      <c r="C1061" s="630">
        <v>17197004804</v>
      </c>
      <c r="D1061" s="630">
        <v>17197001473</v>
      </c>
      <c r="E1061" s="630" t="s">
        <v>533</v>
      </c>
      <c r="F1061" s="630" t="s">
        <v>534</v>
      </c>
      <c r="G1061" s="630" t="s">
        <v>377</v>
      </c>
      <c r="H1061" s="630" t="s">
        <v>535</v>
      </c>
      <c r="I1061" s="630"/>
      <c r="J1061" s="630" t="s">
        <v>542</v>
      </c>
      <c r="K1061" s="630" t="s">
        <v>547</v>
      </c>
      <c r="L1061" s="630" t="s">
        <v>382</v>
      </c>
      <c r="M1061" s="630"/>
      <c r="N1061" s="630"/>
      <c r="O1061" s="630"/>
      <c r="P1061" s="630"/>
      <c r="Q1061" s="630"/>
      <c r="R1061" s="630"/>
      <c r="S1061" s="630" t="s">
        <v>601</v>
      </c>
      <c r="T1061" s="630"/>
      <c r="U1061" s="630" t="s">
        <v>538</v>
      </c>
      <c r="V1061" s="630">
        <v>2</v>
      </c>
      <c r="W1061" s="630" t="s">
        <v>539</v>
      </c>
      <c r="X1061" s="630" t="s">
        <v>540</v>
      </c>
      <c r="Y1061" s="630" t="s">
        <v>554</v>
      </c>
      <c r="Z1061" s="630">
        <v>0.25960499999999997</v>
      </c>
      <c r="AA1061" s="630">
        <v>0.41779500000000003</v>
      </c>
      <c r="AB1061" s="631">
        <v>7240</v>
      </c>
      <c r="AC1061" s="631">
        <v>666360</v>
      </c>
      <c r="AD1061" s="631">
        <f t="shared" si="16"/>
        <v>172990.3878</v>
      </c>
    </row>
    <row r="1062" spans="2:30" x14ac:dyDescent="0.15">
      <c r="B1062" s="630">
        <v>17031002300</v>
      </c>
      <c r="C1062" s="630">
        <v>17031001382</v>
      </c>
      <c r="D1062" s="630">
        <v>17031001376</v>
      </c>
      <c r="E1062" s="630" t="s">
        <v>533</v>
      </c>
      <c r="F1062" s="630" t="s">
        <v>534</v>
      </c>
      <c r="G1062" s="630" t="s">
        <v>365</v>
      </c>
      <c r="H1062" s="630" t="s">
        <v>382</v>
      </c>
      <c r="I1062" s="630"/>
      <c r="J1062" s="630" t="s">
        <v>542</v>
      </c>
      <c r="K1062" s="630" t="s">
        <v>551</v>
      </c>
      <c r="L1062" s="630" t="s">
        <v>555</v>
      </c>
      <c r="M1062" s="630" t="s">
        <v>552</v>
      </c>
      <c r="N1062" s="630"/>
      <c r="O1062" s="630"/>
      <c r="P1062" s="630"/>
      <c r="Q1062" s="630"/>
      <c r="R1062" s="630"/>
      <c r="S1062" s="630" t="s">
        <v>556</v>
      </c>
      <c r="T1062" s="630"/>
      <c r="U1062" s="630" t="s">
        <v>538</v>
      </c>
      <c r="V1062" s="630">
        <v>2</v>
      </c>
      <c r="W1062" s="630" t="s">
        <v>545</v>
      </c>
      <c r="X1062" s="630" t="s">
        <v>546</v>
      </c>
      <c r="Y1062" s="630" t="s">
        <v>540</v>
      </c>
      <c r="Z1062" s="630">
        <v>0.219865</v>
      </c>
      <c r="AA1062" s="630">
        <v>0.35383900000000001</v>
      </c>
      <c r="AB1062" s="631">
        <v>759364</v>
      </c>
      <c r="AC1062" s="631">
        <v>32851363</v>
      </c>
      <c r="AD1062" s="631">
        <f t="shared" si="16"/>
        <v>7222864.9259949997</v>
      </c>
    </row>
    <row r="1063" spans="2:30" x14ac:dyDescent="0.15">
      <c r="B1063" s="630">
        <v>17043002335</v>
      </c>
      <c r="C1063" s="630">
        <v>17043000404</v>
      </c>
      <c r="D1063" s="630">
        <v>17043004636</v>
      </c>
      <c r="E1063" s="630" t="s">
        <v>533</v>
      </c>
      <c r="F1063" s="630" t="s">
        <v>534</v>
      </c>
      <c r="G1063" s="630" t="s">
        <v>367</v>
      </c>
      <c r="H1063" s="630" t="s">
        <v>552</v>
      </c>
      <c r="I1063" s="630"/>
      <c r="J1063" s="630" t="s">
        <v>547</v>
      </c>
      <c r="K1063" s="630"/>
      <c r="L1063" s="630"/>
      <c r="M1063" s="630"/>
      <c r="N1063" s="630"/>
      <c r="O1063" s="630"/>
      <c r="P1063" s="630"/>
      <c r="Q1063" s="630"/>
      <c r="R1063" s="630"/>
      <c r="S1063" s="630" t="s">
        <v>589</v>
      </c>
      <c r="T1063" s="630" t="s">
        <v>632</v>
      </c>
      <c r="U1063" s="630" t="s">
        <v>538</v>
      </c>
      <c r="V1063" s="630">
        <v>2</v>
      </c>
      <c r="W1063" s="630" t="s">
        <v>545</v>
      </c>
      <c r="X1063" s="630" t="s">
        <v>540</v>
      </c>
      <c r="Y1063" s="630" t="s">
        <v>549</v>
      </c>
      <c r="Z1063" s="630">
        <v>0.123207</v>
      </c>
      <c r="AA1063" s="630">
        <v>0.19828200000000001</v>
      </c>
      <c r="AB1063" s="631">
        <v>74183</v>
      </c>
      <c r="AC1063" s="631">
        <v>7767504</v>
      </c>
      <c r="AD1063" s="631">
        <f t="shared" si="16"/>
        <v>957010.86532799993</v>
      </c>
    </row>
    <row r="1064" spans="2:30" x14ac:dyDescent="0.15">
      <c r="B1064" s="630">
        <v>17031002372</v>
      </c>
      <c r="C1064" s="630">
        <v>17031004656</v>
      </c>
      <c r="D1064" s="630">
        <v>17031004657</v>
      </c>
      <c r="E1064" s="630" t="s">
        <v>533</v>
      </c>
      <c r="F1064" s="630" t="s">
        <v>534</v>
      </c>
      <c r="G1064" s="630" t="s">
        <v>365</v>
      </c>
      <c r="H1064" s="630" t="s">
        <v>381</v>
      </c>
      <c r="I1064" s="630"/>
      <c r="J1064" s="630" t="s">
        <v>542</v>
      </c>
      <c r="K1064" s="630" t="s">
        <v>547</v>
      </c>
      <c r="L1064" s="630" t="s">
        <v>382</v>
      </c>
      <c r="M1064" s="630"/>
      <c r="N1064" s="630"/>
      <c r="O1064" s="630"/>
      <c r="P1064" s="630"/>
      <c r="Q1064" s="630"/>
      <c r="R1064" s="630"/>
      <c r="S1064" s="630" t="s">
        <v>579</v>
      </c>
      <c r="T1064" s="630"/>
      <c r="U1064" s="630" t="s">
        <v>538</v>
      </c>
      <c r="V1064" s="630">
        <v>3</v>
      </c>
      <c r="W1064" s="630" t="s">
        <v>545</v>
      </c>
      <c r="X1064" s="630" t="s">
        <v>580</v>
      </c>
      <c r="Y1064" s="630" t="s">
        <v>549</v>
      </c>
      <c r="Z1064" s="630">
        <v>1.2248509999999999</v>
      </c>
      <c r="AA1064" s="630">
        <v>1.9712099999999999</v>
      </c>
      <c r="AB1064" s="631">
        <v>1180642</v>
      </c>
      <c r="AC1064" s="631">
        <v>46493460</v>
      </c>
      <c r="AD1064" s="631">
        <f t="shared" si="16"/>
        <v>56947560.974459998</v>
      </c>
    </row>
    <row r="1065" spans="2:30" x14ac:dyDescent="0.15">
      <c r="B1065" s="630">
        <v>17031004020</v>
      </c>
      <c r="C1065" s="630">
        <v>17031000810</v>
      </c>
      <c r="D1065" s="630">
        <v>17031000787</v>
      </c>
      <c r="E1065" s="630" t="s">
        <v>533</v>
      </c>
      <c r="F1065" s="630" t="s">
        <v>534</v>
      </c>
      <c r="G1065" s="630" t="s">
        <v>365</v>
      </c>
      <c r="H1065" s="630" t="s">
        <v>547</v>
      </c>
      <c r="I1065" s="630"/>
      <c r="J1065" s="630"/>
      <c r="K1065" s="630"/>
      <c r="L1065" s="630"/>
      <c r="M1065" s="630"/>
      <c r="N1065" s="630"/>
      <c r="O1065" s="630"/>
      <c r="P1065" s="630"/>
      <c r="Q1065" s="630"/>
      <c r="R1065" s="630"/>
      <c r="S1065" s="630" t="s">
        <v>602</v>
      </c>
      <c r="T1065" s="630"/>
      <c r="U1065" s="630" t="s">
        <v>538</v>
      </c>
      <c r="V1065" s="630">
        <v>2</v>
      </c>
      <c r="W1065" s="630" t="s">
        <v>545</v>
      </c>
      <c r="X1065" s="630" t="s">
        <v>541</v>
      </c>
      <c r="Y1065" s="630" t="s">
        <v>540</v>
      </c>
      <c r="Z1065" s="630">
        <v>0.39506599999999997</v>
      </c>
      <c r="AA1065" s="630">
        <v>0.635799</v>
      </c>
      <c r="AB1065" s="631">
        <v>0</v>
      </c>
      <c r="AC1065" s="631">
        <v>0</v>
      </c>
      <c r="AD1065" s="631">
        <f t="shared" si="16"/>
        <v>0</v>
      </c>
    </row>
    <row r="1066" spans="2:30" x14ac:dyDescent="0.15">
      <c r="B1066" s="630">
        <v>17031004679</v>
      </c>
      <c r="C1066" s="630">
        <v>17031001208</v>
      </c>
      <c r="D1066" s="630">
        <v>17031001172</v>
      </c>
      <c r="E1066" s="630" t="s">
        <v>533</v>
      </c>
      <c r="F1066" s="630" t="s">
        <v>534</v>
      </c>
      <c r="G1066" s="630" t="s">
        <v>365</v>
      </c>
      <c r="H1066" s="630" t="s">
        <v>627</v>
      </c>
      <c r="I1066" s="630"/>
      <c r="J1066" s="630"/>
      <c r="K1066" s="630"/>
      <c r="L1066" s="630"/>
      <c r="M1066" s="630"/>
      <c r="N1066" s="630"/>
      <c r="O1066" s="630"/>
      <c r="P1066" s="630"/>
      <c r="Q1066" s="630"/>
      <c r="R1066" s="630"/>
      <c r="S1066" s="630"/>
      <c r="T1066" s="630"/>
      <c r="U1066" s="630" t="s">
        <v>538</v>
      </c>
      <c r="V1066" s="630">
        <v>1</v>
      </c>
      <c r="W1066" s="630" t="s">
        <v>545</v>
      </c>
      <c r="X1066" s="630" t="s">
        <v>541</v>
      </c>
      <c r="Y1066" s="630" t="s">
        <v>554</v>
      </c>
      <c r="Z1066" s="630">
        <v>5.9547999999999997E-2</v>
      </c>
      <c r="AA1066" s="630">
        <v>9.5834000000000003E-2</v>
      </c>
      <c r="AB1066" s="631">
        <v>0</v>
      </c>
      <c r="AC1066" s="631">
        <v>0</v>
      </c>
      <c r="AD1066" s="631">
        <f t="shared" si="16"/>
        <v>0</v>
      </c>
    </row>
    <row r="1067" spans="2:30" x14ac:dyDescent="0.15">
      <c r="B1067" s="630">
        <v>17031005057</v>
      </c>
      <c r="C1067" s="630">
        <v>17031001551</v>
      </c>
      <c r="D1067" s="630">
        <v>17031001547</v>
      </c>
      <c r="E1067" s="630" t="s">
        <v>533</v>
      </c>
      <c r="F1067" s="630" t="s">
        <v>534</v>
      </c>
      <c r="G1067" s="630" t="s">
        <v>365</v>
      </c>
      <c r="H1067" s="630" t="s">
        <v>382</v>
      </c>
      <c r="I1067" s="630"/>
      <c r="J1067" s="630"/>
      <c r="K1067" s="630"/>
      <c r="L1067" s="630"/>
      <c r="M1067" s="630"/>
      <c r="N1067" s="630"/>
      <c r="O1067" s="630"/>
      <c r="P1067" s="630"/>
      <c r="Q1067" s="630"/>
      <c r="R1067" s="630"/>
      <c r="S1067" s="630" t="s">
        <v>576</v>
      </c>
      <c r="T1067" s="630"/>
      <c r="U1067" s="630" t="s">
        <v>559</v>
      </c>
      <c r="V1067" s="630">
        <v>1</v>
      </c>
      <c r="W1067" s="630" t="s">
        <v>560</v>
      </c>
      <c r="X1067" s="630" t="s">
        <v>541</v>
      </c>
      <c r="Y1067" s="630" t="s">
        <v>541</v>
      </c>
      <c r="Z1067" s="630">
        <v>6.3673999999999994E-2</v>
      </c>
      <c r="AA1067" s="630">
        <v>0.102474</v>
      </c>
      <c r="AB1067" s="631">
        <v>0</v>
      </c>
      <c r="AC1067" s="631">
        <v>0</v>
      </c>
      <c r="AD1067" s="631">
        <f t="shared" si="16"/>
        <v>0</v>
      </c>
    </row>
    <row r="1068" spans="2:30" x14ac:dyDescent="0.15">
      <c r="B1068" s="630">
        <v>17031005641</v>
      </c>
      <c r="C1068" s="630">
        <v>17031001319</v>
      </c>
      <c r="D1068" s="630">
        <v>17031001333</v>
      </c>
      <c r="E1068" s="630" t="s">
        <v>533</v>
      </c>
      <c r="F1068" s="630" t="s">
        <v>534</v>
      </c>
      <c r="G1068" s="630" t="s">
        <v>365</v>
      </c>
      <c r="H1068" s="630" t="s">
        <v>615</v>
      </c>
      <c r="I1068" s="630"/>
      <c r="J1068" s="630" t="s">
        <v>577</v>
      </c>
      <c r="K1068" s="630" t="s">
        <v>551</v>
      </c>
      <c r="L1068" s="630"/>
      <c r="M1068" s="630"/>
      <c r="N1068" s="630"/>
      <c r="O1068" s="630"/>
      <c r="P1068" s="630"/>
      <c r="Q1068" s="630"/>
      <c r="R1068" s="630"/>
      <c r="S1068" s="630"/>
      <c r="T1068" s="630"/>
      <c r="U1068" s="630" t="s">
        <v>559</v>
      </c>
      <c r="V1068" s="630">
        <v>1</v>
      </c>
      <c r="W1068" s="630" t="s">
        <v>560</v>
      </c>
      <c r="X1068" s="630" t="s">
        <v>541</v>
      </c>
      <c r="Y1068" s="630" t="s">
        <v>541</v>
      </c>
      <c r="Z1068" s="630">
        <v>1.0292889999999999</v>
      </c>
      <c r="AA1068" s="630">
        <v>1.6564829999999999</v>
      </c>
      <c r="AB1068" s="631">
        <v>89629</v>
      </c>
      <c r="AC1068" s="631">
        <v>8779272</v>
      </c>
      <c r="AD1068" s="631">
        <f t="shared" si="16"/>
        <v>9036408.097608</v>
      </c>
    </row>
    <row r="1069" spans="2:30" x14ac:dyDescent="0.15">
      <c r="B1069" s="630">
        <v>17031006180</v>
      </c>
      <c r="C1069" s="630">
        <v>17031001084</v>
      </c>
      <c r="D1069" s="630">
        <v>17031001099</v>
      </c>
      <c r="E1069" s="630" t="s">
        <v>533</v>
      </c>
      <c r="F1069" s="630" t="s">
        <v>534</v>
      </c>
      <c r="G1069" s="630" t="s">
        <v>365</v>
      </c>
      <c r="H1069" s="630" t="s">
        <v>571</v>
      </c>
      <c r="I1069" s="630"/>
      <c r="J1069" s="630" t="s">
        <v>572</v>
      </c>
      <c r="K1069" s="630" t="s">
        <v>543</v>
      </c>
      <c r="L1069" s="630"/>
      <c r="M1069" s="630"/>
      <c r="N1069" s="630"/>
      <c r="O1069" s="630"/>
      <c r="P1069" s="630"/>
      <c r="Q1069" s="630"/>
      <c r="R1069" s="630"/>
      <c r="S1069" s="630"/>
      <c r="T1069" s="630"/>
      <c r="U1069" s="630" t="s">
        <v>538</v>
      </c>
      <c r="V1069" s="630">
        <v>1</v>
      </c>
      <c r="W1069" s="630" t="s">
        <v>560</v>
      </c>
      <c r="X1069" s="630" t="s">
        <v>541</v>
      </c>
      <c r="Y1069" s="630" t="s">
        <v>541</v>
      </c>
      <c r="Z1069" s="630">
        <v>0.62182199999999999</v>
      </c>
      <c r="AA1069" s="630">
        <v>1.0007280000000001</v>
      </c>
      <c r="AB1069" s="631">
        <v>26360</v>
      </c>
      <c r="AC1069" s="631">
        <v>2478784</v>
      </c>
      <c r="AD1069" s="631">
        <f t="shared" si="16"/>
        <v>1541362.424448</v>
      </c>
    </row>
    <row r="1070" spans="2:30" x14ac:dyDescent="0.15">
      <c r="B1070" s="630">
        <v>17031003625</v>
      </c>
      <c r="C1070" s="630">
        <v>17031000772</v>
      </c>
      <c r="D1070" s="630">
        <v>17031004717</v>
      </c>
      <c r="E1070" s="630" t="s">
        <v>533</v>
      </c>
      <c r="F1070" s="630" t="s">
        <v>534</v>
      </c>
      <c r="G1070" s="630" t="s">
        <v>365</v>
      </c>
      <c r="H1070" s="630" t="s">
        <v>551</v>
      </c>
      <c r="I1070" s="630"/>
      <c r="J1070" s="630"/>
      <c r="K1070" s="630"/>
      <c r="L1070" s="630"/>
      <c r="M1070" s="630"/>
      <c r="N1070" s="630"/>
      <c r="O1070" s="630"/>
      <c r="P1070" s="630"/>
      <c r="Q1070" s="630"/>
      <c r="R1070" s="630"/>
      <c r="S1070" s="630" t="s">
        <v>600</v>
      </c>
      <c r="T1070" s="630"/>
      <c r="U1070" s="630" t="s">
        <v>538</v>
      </c>
      <c r="V1070" s="630">
        <v>2</v>
      </c>
      <c r="W1070" s="630" t="s">
        <v>582</v>
      </c>
      <c r="X1070" s="630" t="s">
        <v>549</v>
      </c>
      <c r="Y1070" s="630" t="s">
        <v>540</v>
      </c>
      <c r="Z1070" s="630">
        <v>1.854956</v>
      </c>
      <c r="AA1070" s="630">
        <v>2.9852690000000002</v>
      </c>
      <c r="AB1070" s="631">
        <v>168553</v>
      </c>
      <c r="AC1070" s="631">
        <v>5157762</v>
      </c>
      <c r="AD1070" s="631">
        <f t="shared" si="16"/>
        <v>9567421.5684719998</v>
      </c>
    </row>
    <row r="1071" spans="2:30" x14ac:dyDescent="0.15">
      <c r="B1071" s="630">
        <v>17031004213</v>
      </c>
      <c r="C1071" s="630">
        <v>17031000319</v>
      </c>
      <c r="D1071" s="630">
        <v>17031000327</v>
      </c>
      <c r="E1071" s="630" t="s">
        <v>533</v>
      </c>
      <c r="F1071" s="630" t="s">
        <v>534</v>
      </c>
      <c r="G1071" s="630" t="s">
        <v>365</v>
      </c>
      <c r="H1071" s="630" t="s">
        <v>590</v>
      </c>
      <c r="I1071" s="630"/>
      <c r="J1071" s="630"/>
      <c r="K1071" s="630"/>
      <c r="L1071" s="630"/>
      <c r="M1071" s="630"/>
      <c r="N1071" s="630"/>
      <c r="O1071" s="630"/>
      <c r="P1071" s="630"/>
      <c r="Q1071" s="630"/>
      <c r="R1071" s="630"/>
      <c r="S1071" s="630"/>
      <c r="T1071" s="630"/>
      <c r="U1071" s="630" t="s">
        <v>559</v>
      </c>
      <c r="V1071" s="630">
        <v>1</v>
      </c>
      <c r="W1071" s="630" t="s">
        <v>560</v>
      </c>
      <c r="X1071" s="630" t="s">
        <v>541</v>
      </c>
      <c r="Y1071" s="630" t="s">
        <v>541</v>
      </c>
      <c r="Z1071" s="630">
        <v>0.24935199999999999</v>
      </c>
      <c r="AA1071" s="630">
        <v>0.40129399999999998</v>
      </c>
      <c r="AB1071" s="631">
        <v>0</v>
      </c>
      <c r="AC1071" s="631">
        <v>0</v>
      </c>
      <c r="AD1071" s="631">
        <f t="shared" si="16"/>
        <v>0</v>
      </c>
    </row>
    <row r="1072" spans="2:30" x14ac:dyDescent="0.15">
      <c r="B1072" s="630">
        <v>17031002085</v>
      </c>
      <c r="C1072" s="630">
        <v>17031004591</v>
      </c>
      <c r="D1072" s="630">
        <v>17031004590</v>
      </c>
      <c r="E1072" s="630" t="s">
        <v>533</v>
      </c>
      <c r="F1072" s="630" t="s">
        <v>534</v>
      </c>
      <c r="G1072" s="630" t="s">
        <v>365</v>
      </c>
      <c r="H1072" s="630" t="s">
        <v>535</v>
      </c>
      <c r="I1072" s="630"/>
      <c r="J1072" s="630" t="s">
        <v>547</v>
      </c>
      <c r="K1072" s="630" t="s">
        <v>551</v>
      </c>
      <c r="L1072" s="630"/>
      <c r="M1072" s="630"/>
      <c r="N1072" s="630"/>
      <c r="O1072" s="630"/>
      <c r="P1072" s="630"/>
      <c r="Q1072" s="630"/>
      <c r="R1072" s="630"/>
      <c r="S1072" s="630" t="s">
        <v>548</v>
      </c>
      <c r="T1072" s="630"/>
      <c r="U1072" s="630" t="s">
        <v>538</v>
      </c>
      <c r="V1072" s="630">
        <v>2</v>
      </c>
      <c r="W1072" s="630" t="s">
        <v>545</v>
      </c>
      <c r="X1072" s="630" t="s">
        <v>546</v>
      </c>
      <c r="Y1072" s="630" t="s">
        <v>549</v>
      </c>
      <c r="Z1072" s="630">
        <v>3.0520719999999999</v>
      </c>
      <c r="AA1072" s="630">
        <v>4.9118430000000002</v>
      </c>
      <c r="AB1072" s="631">
        <v>805460</v>
      </c>
      <c r="AC1072" s="631">
        <v>39336999</v>
      </c>
      <c r="AD1072" s="631">
        <f t="shared" si="16"/>
        <v>120059353.211928</v>
      </c>
    </row>
    <row r="1073" spans="2:30" x14ac:dyDescent="0.15">
      <c r="B1073" s="630">
        <v>17031002122</v>
      </c>
      <c r="C1073" s="630">
        <v>17031004608</v>
      </c>
      <c r="D1073" s="630">
        <v>17031004607</v>
      </c>
      <c r="E1073" s="630" t="s">
        <v>533</v>
      </c>
      <c r="F1073" s="630" t="s">
        <v>534</v>
      </c>
      <c r="G1073" s="630" t="s">
        <v>365</v>
      </c>
      <c r="H1073" s="630" t="s">
        <v>382</v>
      </c>
      <c r="I1073" s="630"/>
      <c r="J1073" s="630" t="s">
        <v>547</v>
      </c>
      <c r="K1073" s="630"/>
      <c r="L1073" s="630"/>
      <c r="M1073" s="630"/>
      <c r="N1073" s="630"/>
      <c r="O1073" s="630"/>
      <c r="P1073" s="630"/>
      <c r="Q1073" s="630"/>
      <c r="R1073" s="630"/>
      <c r="S1073" s="630" t="s">
        <v>608</v>
      </c>
      <c r="T1073" s="630"/>
      <c r="U1073" s="630" t="s">
        <v>538</v>
      </c>
      <c r="V1073" s="630">
        <v>3</v>
      </c>
      <c r="W1073" s="630" t="s">
        <v>566</v>
      </c>
      <c r="X1073" s="630" t="s">
        <v>554</v>
      </c>
      <c r="Y1073" s="630" t="s">
        <v>549</v>
      </c>
      <c r="Z1073" s="630">
        <v>1.2220299999999999</v>
      </c>
      <c r="AA1073" s="630">
        <v>1.9666710000000001</v>
      </c>
      <c r="AB1073" s="631">
        <v>0</v>
      </c>
      <c r="AC1073" s="631">
        <v>0</v>
      </c>
      <c r="AD1073" s="631">
        <f t="shared" si="16"/>
        <v>0</v>
      </c>
    </row>
    <row r="1074" spans="2:30" x14ac:dyDescent="0.15">
      <c r="B1074" s="630">
        <v>17031002351</v>
      </c>
      <c r="C1074" s="630">
        <v>17031000567</v>
      </c>
      <c r="D1074" s="630">
        <v>17031000562</v>
      </c>
      <c r="E1074" s="630" t="s">
        <v>533</v>
      </c>
      <c r="F1074" s="630" t="s">
        <v>534</v>
      </c>
      <c r="G1074" s="630" t="s">
        <v>365</v>
      </c>
      <c r="H1074" s="630" t="s">
        <v>552</v>
      </c>
      <c r="I1074" s="630"/>
      <c r="J1074" s="630" t="s">
        <v>542</v>
      </c>
      <c r="K1074" s="630" t="s">
        <v>547</v>
      </c>
      <c r="L1074" s="630"/>
      <c r="M1074" s="630"/>
      <c r="N1074" s="630"/>
      <c r="O1074" s="630"/>
      <c r="P1074" s="630"/>
      <c r="Q1074" s="630"/>
      <c r="R1074" s="630"/>
      <c r="S1074" s="630" t="s">
        <v>564</v>
      </c>
      <c r="T1074" s="630"/>
      <c r="U1074" s="630" t="s">
        <v>538</v>
      </c>
      <c r="V1074" s="630">
        <v>3</v>
      </c>
      <c r="W1074" s="630" t="s">
        <v>545</v>
      </c>
      <c r="X1074" s="630" t="s">
        <v>541</v>
      </c>
      <c r="Y1074" s="630" t="s">
        <v>541</v>
      </c>
      <c r="Z1074" s="630">
        <v>7.4693999999999997E-2</v>
      </c>
      <c r="AA1074" s="630">
        <v>0.120209</v>
      </c>
      <c r="AB1074" s="631">
        <v>26416</v>
      </c>
      <c r="AC1074" s="631">
        <v>1321473</v>
      </c>
      <c r="AD1074" s="631">
        <f t="shared" si="16"/>
        <v>98706.104261999993</v>
      </c>
    </row>
    <row r="1075" spans="2:30" x14ac:dyDescent="0.15">
      <c r="B1075" s="630">
        <v>17031002370</v>
      </c>
      <c r="C1075" s="630">
        <v>17031004709</v>
      </c>
      <c r="D1075" s="630">
        <v>17031001578</v>
      </c>
      <c r="E1075" s="630" t="s">
        <v>533</v>
      </c>
      <c r="F1075" s="630" t="s">
        <v>534</v>
      </c>
      <c r="G1075" s="630" t="s">
        <v>365</v>
      </c>
      <c r="H1075" s="630" t="s">
        <v>382</v>
      </c>
      <c r="I1075" s="630"/>
      <c r="J1075" s="630" t="s">
        <v>551</v>
      </c>
      <c r="K1075" s="630" t="s">
        <v>555</v>
      </c>
      <c r="L1075" s="630"/>
      <c r="M1075" s="630"/>
      <c r="N1075" s="630"/>
      <c r="O1075" s="630"/>
      <c r="P1075" s="630"/>
      <c r="Q1075" s="630"/>
      <c r="R1075" s="630"/>
      <c r="S1075" s="630" t="s">
        <v>556</v>
      </c>
      <c r="T1075" s="630"/>
      <c r="U1075" s="630" t="s">
        <v>538</v>
      </c>
      <c r="V1075" s="630">
        <v>2</v>
      </c>
      <c r="W1075" s="630" t="s">
        <v>545</v>
      </c>
      <c r="X1075" s="630" t="s">
        <v>580</v>
      </c>
      <c r="Y1075" s="630" t="s">
        <v>540</v>
      </c>
      <c r="Z1075" s="630">
        <v>0.74214199999999997</v>
      </c>
      <c r="AA1075" s="630">
        <v>1.194364</v>
      </c>
      <c r="AB1075" s="631">
        <v>865530</v>
      </c>
      <c r="AC1075" s="631">
        <v>33874541</v>
      </c>
      <c r="AD1075" s="631">
        <f t="shared" si="16"/>
        <v>25139719.606821999</v>
      </c>
    </row>
    <row r="1076" spans="2:30" x14ac:dyDescent="0.15">
      <c r="B1076" s="630">
        <v>17043002400</v>
      </c>
      <c r="C1076" s="630">
        <v>17043000384</v>
      </c>
      <c r="D1076" s="630">
        <v>17043000383</v>
      </c>
      <c r="E1076" s="630" t="s">
        <v>533</v>
      </c>
      <c r="F1076" s="630" t="s">
        <v>534</v>
      </c>
      <c r="G1076" s="630" t="s">
        <v>367</v>
      </c>
      <c r="H1076" s="630" t="s">
        <v>638</v>
      </c>
      <c r="I1076" s="630"/>
      <c r="J1076" s="630"/>
      <c r="K1076" s="630"/>
      <c r="L1076" s="630"/>
      <c r="M1076" s="630"/>
      <c r="N1076" s="630"/>
      <c r="O1076" s="630"/>
      <c r="P1076" s="630"/>
      <c r="Q1076" s="630"/>
      <c r="R1076" s="630"/>
      <c r="S1076" s="630"/>
      <c r="T1076" s="630"/>
      <c r="U1076" s="630" t="s">
        <v>559</v>
      </c>
      <c r="V1076" s="630">
        <v>1</v>
      </c>
      <c r="W1076" s="630" t="s">
        <v>560</v>
      </c>
      <c r="X1076" s="630" t="s">
        <v>541</v>
      </c>
      <c r="Y1076" s="630" t="s">
        <v>541</v>
      </c>
      <c r="Z1076" s="630">
        <v>0.21859200000000001</v>
      </c>
      <c r="AA1076" s="630">
        <v>0.35179100000000002</v>
      </c>
      <c r="AB1076" s="631">
        <v>0</v>
      </c>
      <c r="AC1076" s="631">
        <v>0</v>
      </c>
      <c r="AD1076" s="631">
        <f t="shared" si="16"/>
        <v>0</v>
      </c>
    </row>
    <row r="1077" spans="2:30" x14ac:dyDescent="0.15">
      <c r="B1077" s="630">
        <v>17197006551</v>
      </c>
      <c r="C1077" s="630">
        <v>17197004512</v>
      </c>
      <c r="D1077" s="630">
        <v>17197004513</v>
      </c>
      <c r="E1077" s="630" t="s">
        <v>533</v>
      </c>
      <c r="F1077" s="630" t="s">
        <v>534</v>
      </c>
      <c r="G1077" s="630" t="s">
        <v>377</v>
      </c>
      <c r="H1077" s="630" t="s">
        <v>381</v>
      </c>
      <c r="I1077" s="630"/>
      <c r="J1077" s="630" t="s">
        <v>382</v>
      </c>
      <c r="K1077" s="630"/>
      <c r="L1077" s="630"/>
      <c r="M1077" s="630"/>
      <c r="N1077" s="630"/>
      <c r="O1077" s="630"/>
      <c r="P1077" s="630"/>
      <c r="Q1077" s="630"/>
      <c r="R1077" s="630"/>
      <c r="S1077" s="630" t="s">
        <v>651</v>
      </c>
      <c r="T1077" s="630"/>
      <c r="U1077" s="630" t="s">
        <v>559</v>
      </c>
      <c r="V1077" s="630">
        <v>1</v>
      </c>
      <c r="W1077" s="630" t="s">
        <v>539</v>
      </c>
      <c r="X1077" s="630" t="s">
        <v>541</v>
      </c>
      <c r="Y1077" s="630" t="s">
        <v>541</v>
      </c>
      <c r="Z1077" s="630">
        <v>0.22836999999999999</v>
      </c>
      <c r="AA1077" s="630">
        <v>0.36752600000000002</v>
      </c>
      <c r="AB1077" s="631">
        <v>890480</v>
      </c>
      <c r="AC1077" s="631">
        <v>13574960</v>
      </c>
      <c r="AD1077" s="631">
        <f t="shared" si="16"/>
        <v>3100113.6151999999</v>
      </c>
    </row>
    <row r="1078" spans="2:30" x14ac:dyDescent="0.15">
      <c r="B1078" s="630">
        <v>17031007052</v>
      </c>
      <c r="C1078" s="630">
        <v>17031005597</v>
      </c>
      <c r="D1078" s="630">
        <v>99999114312</v>
      </c>
      <c r="E1078" s="630" t="s">
        <v>533</v>
      </c>
      <c r="F1078" s="630" t="s">
        <v>534</v>
      </c>
      <c r="G1078" s="630" t="s">
        <v>365</v>
      </c>
      <c r="H1078" s="630" t="s">
        <v>535</v>
      </c>
      <c r="I1078" s="630"/>
      <c r="J1078" s="630"/>
      <c r="K1078" s="630"/>
      <c r="L1078" s="630"/>
      <c r="M1078" s="630"/>
      <c r="N1078" s="630"/>
      <c r="O1078" s="630"/>
      <c r="P1078" s="630"/>
      <c r="Q1078" s="630"/>
      <c r="R1078" s="630"/>
      <c r="S1078" s="630"/>
      <c r="T1078" s="630" t="s">
        <v>645</v>
      </c>
      <c r="U1078" s="630" t="s">
        <v>559</v>
      </c>
      <c r="V1078" s="630">
        <v>1</v>
      </c>
      <c r="W1078" s="630" t="s">
        <v>560</v>
      </c>
      <c r="X1078" s="630" t="s">
        <v>541</v>
      </c>
      <c r="Y1078" s="630" t="s">
        <v>541</v>
      </c>
      <c r="Z1078" s="630">
        <v>2.427E-2</v>
      </c>
      <c r="AA1078" s="630">
        <v>3.9058000000000002E-2</v>
      </c>
      <c r="AB1078" s="631">
        <v>0</v>
      </c>
      <c r="AC1078" s="631">
        <v>0</v>
      </c>
      <c r="AD1078" s="631">
        <f t="shared" si="16"/>
        <v>0</v>
      </c>
    </row>
    <row r="1079" spans="2:30" x14ac:dyDescent="0.15">
      <c r="B1079" s="630">
        <v>17043009156</v>
      </c>
      <c r="C1079" s="630">
        <v>17043007362</v>
      </c>
      <c r="D1079" s="630">
        <v>17043007360</v>
      </c>
      <c r="E1079" s="630" t="s">
        <v>533</v>
      </c>
      <c r="F1079" s="630" t="s">
        <v>534</v>
      </c>
      <c r="G1079" s="630" t="s">
        <v>367</v>
      </c>
      <c r="H1079" s="630" t="s">
        <v>382</v>
      </c>
      <c r="I1079" s="630"/>
      <c r="J1079" s="630"/>
      <c r="K1079" s="630"/>
      <c r="L1079" s="630"/>
      <c r="M1079" s="630"/>
      <c r="N1079" s="630"/>
      <c r="O1079" s="630"/>
      <c r="P1079" s="630"/>
      <c r="Q1079" s="630"/>
      <c r="R1079" s="630"/>
      <c r="S1079" s="630" t="s">
        <v>561</v>
      </c>
      <c r="T1079" s="630"/>
      <c r="U1079" s="630" t="s">
        <v>538</v>
      </c>
      <c r="V1079" s="630">
        <v>1</v>
      </c>
      <c r="W1079" s="630" t="s">
        <v>562</v>
      </c>
      <c r="X1079" s="630" t="s">
        <v>541</v>
      </c>
      <c r="Y1079" s="630" t="s">
        <v>540</v>
      </c>
      <c r="Z1079" s="630">
        <v>0.20141300000000001</v>
      </c>
      <c r="AA1079" s="630">
        <v>0.32414300000000001</v>
      </c>
      <c r="AB1079" s="631">
        <v>16124</v>
      </c>
      <c r="AC1079" s="631">
        <v>373440</v>
      </c>
      <c r="AD1079" s="631">
        <f t="shared" si="16"/>
        <v>75215.670720000009</v>
      </c>
    </row>
    <row r="1080" spans="2:30" x14ac:dyDescent="0.15">
      <c r="B1080" s="630">
        <v>17097009344</v>
      </c>
      <c r="C1080" s="630">
        <v>17097007468</v>
      </c>
      <c r="D1080" s="630">
        <v>17097007465</v>
      </c>
      <c r="E1080" s="630" t="s">
        <v>533</v>
      </c>
      <c r="F1080" s="630" t="s">
        <v>534</v>
      </c>
      <c r="G1080" s="630" t="s">
        <v>373</v>
      </c>
      <c r="H1080" s="630" t="s">
        <v>382</v>
      </c>
      <c r="I1080" s="630"/>
      <c r="J1080" s="630" t="s">
        <v>547</v>
      </c>
      <c r="K1080" s="630"/>
      <c r="L1080" s="630"/>
      <c r="M1080" s="630"/>
      <c r="N1080" s="630"/>
      <c r="O1080" s="630"/>
      <c r="P1080" s="630"/>
      <c r="Q1080" s="630"/>
      <c r="R1080" s="630"/>
      <c r="S1080" s="630" t="s">
        <v>608</v>
      </c>
      <c r="T1080" s="630"/>
      <c r="U1080" s="630" t="s">
        <v>538</v>
      </c>
      <c r="V1080" s="630">
        <v>2</v>
      </c>
      <c r="W1080" s="630" t="s">
        <v>566</v>
      </c>
      <c r="X1080" s="630" t="s">
        <v>549</v>
      </c>
      <c r="Y1080" s="630" t="s">
        <v>549</v>
      </c>
      <c r="Z1080" s="630">
        <v>0.39132800000000001</v>
      </c>
      <c r="AA1080" s="630">
        <v>0.62978299999999998</v>
      </c>
      <c r="AB1080" s="631">
        <v>9672</v>
      </c>
      <c r="AC1080" s="631">
        <v>874093</v>
      </c>
      <c r="AD1080" s="631">
        <f t="shared" si="16"/>
        <v>342057.065504</v>
      </c>
    </row>
    <row r="1081" spans="2:30" x14ac:dyDescent="0.15">
      <c r="B1081" s="630">
        <v>17031010242</v>
      </c>
      <c r="C1081" s="630">
        <v>17031000303</v>
      </c>
      <c r="D1081" s="630">
        <v>17031007571</v>
      </c>
      <c r="E1081" s="630" t="s">
        <v>533</v>
      </c>
      <c r="F1081" s="630" t="s">
        <v>534</v>
      </c>
      <c r="G1081" s="630" t="s">
        <v>365</v>
      </c>
      <c r="H1081" s="630" t="s">
        <v>382</v>
      </c>
      <c r="I1081" s="630"/>
      <c r="J1081" s="630" t="s">
        <v>552</v>
      </c>
      <c r="K1081" s="630"/>
      <c r="L1081" s="630"/>
      <c r="M1081" s="630"/>
      <c r="N1081" s="630"/>
      <c r="O1081" s="630"/>
      <c r="P1081" s="630"/>
      <c r="Q1081" s="630"/>
      <c r="R1081" s="630"/>
      <c r="S1081" s="630" t="s">
        <v>586</v>
      </c>
      <c r="T1081" s="630"/>
      <c r="U1081" s="630" t="s">
        <v>538</v>
      </c>
      <c r="V1081" s="630">
        <v>2</v>
      </c>
      <c r="W1081" s="630" t="s">
        <v>582</v>
      </c>
      <c r="X1081" s="630" t="s">
        <v>580</v>
      </c>
      <c r="Y1081" s="630" t="s">
        <v>549</v>
      </c>
      <c r="Z1081" s="630">
        <v>0.57126399999999999</v>
      </c>
      <c r="AA1081" s="630">
        <v>0.91936200000000001</v>
      </c>
      <c r="AB1081" s="631">
        <v>594108</v>
      </c>
      <c r="AC1081" s="631">
        <v>40644169</v>
      </c>
      <c r="AD1081" s="631">
        <f t="shared" si="16"/>
        <v>23218550.559615999</v>
      </c>
    </row>
    <row r="1082" spans="2:30" x14ac:dyDescent="0.15">
      <c r="B1082" s="630">
        <v>17031004207</v>
      </c>
      <c r="C1082" s="630">
        <v>17031000326</v>
      </c>
      <c r="D1082" s="630">
        <v>17031000332</v>
      </c>
      <c r="E1082" s="630" t="s">
        <v>533</v>
      </c>
      <c r="F1082" s="630" t="s">
        <v>534</v>
      </c>
      <c r="G1082" s="630" t="s">
        <v>365</v>
      </c>
      <c r="H1082" s="630" t="s">
        <v>590</v>
      </c>
      <c r="I1082" s="630"/>
      <c r="J1082" s="630"/>
      <c r="K1082" s="630"/>
      <c r="L1082" s="630"/>
      <c r="M1082" s="630"/>
      <c r="N1082" s="630"/>
      <c r="O1082" s="630"/>
      <c r="P1082" s="630"/>
      <c r="Q1082" s="630"/>
      <c r="R1082" s="630"/>
      <c r="S1082" s="630"/>
      <c r="T1082" s="630"/>
      <c r="U1082" s="630" t="s">
        <v>559</v>
      </c>
      <c r="V1082" s="630">
        <v>1</v>
      </c>
      <c r="W1082" s="630" t="s">
        <v>560</v>
      </c>
      <c r="X1082" s="630" t="s">
        <v>541</v>
      </c>
      <c r="Y1082" s="630" t="s">
        <v>541</v>
      </c>
      <c r="Z1082" s="630">
        <v>0.14003499999999999</v>
      </c>
      <c r="AA1082" s="630">
        <v>0.22536500000000001</v>
      </c>
      <c r="AB1082" s="631">
        <v>0</v>
      </c>
      <c r="AC1082" s="631">
        <v>0</v>
      </c>
      <c r="AD1082" s="631">
        <f t="shared" si="16"/>
        <v>0</v>
      </c>
    </row>
    <row r="1083" spans="2:30" x14ac:dyDescent="0.15">
      <c r="B1083" s="630">
        <v>17031002088</v>
      </c>
      <c r="C1083" s="630">
        <v>17031004590</v>
      </c>
      <c r="D1083" s="630">
        <v>17031004604</v>
      </c>
      <c r="E1083" s="630" t="s">
        <v>533</v>
      </c>
      <c r="F1083" s="630" t="s">
        <v>534</v>
      </c>
      <c r="G1083" s="630" t="s">
        <v>365</v>
      </c>
      <c r="H1083" s="630" t="s">
        <v>535</v>
      </c>
      <c r="I1083" s="630"/>
      <c r="J1083" s="630" t="s">
        <v>547</v>
      </c>
      <c r="K1083" s="630"/>
      <c r="L1083" s="630"/>
      <c r="M1083" s="630"/>
      <c r="N1083" s="630"/>
      <c r="O1083" s="630"/>
      <c r="P1083" s="630"/>
      <c r="Q1083" s="630"/>
      <c r="R1083" s="630"/>
      <c r="S1083" s="630" t="s">
        <v>548</v>
      </c>
      <c r="T1083" s="630"/>
      <c r="U1083" s="630" t="s">
        <v>538</v>
      </c>
      <c r="V1083" s="630">
        <v>1</v>
      </c>
      <c r="W1083" s="630" t="s">
        <v>545</v>
      </c>
      <c r="X1083" s="630" t="s">
        <v>546</v>
      </c>
      <c r="Y1083" s="630" t="s">
        <v>549</v>
      </c>
      <c r="Z1083" s="630">
        <v>0.62129599999999996</v>
      </c>
      <c r="AA1083" s="630">
        <v>0.99987999999999999</v>
      </c>
      <c r="AB1083" s="631">
        <v>805460</v>
      </c>
      <c r="AC1083" s="631">
        <v>39336999</v>
      </c>
      <c r="AD1083" s="631">
        <f t="shared" si="16"/>
        <v>24439920.130703997</v>
      </c>
    </row>
    <row r="1084" spans="2:30" x14ac:dyDescent="0.15">
      <c r="B1084" s="630">
        <v>17031002195</v>
      </c>
      <c r="C1084" s="630">
        <v>17031004598</v>
      </c>
      <c r="D1084" s="630">
        <v>17031004597</v>
      </c>
      <c r="E1084" s="630" t="s">
        <v>533</v>
      </c>
      <c r="F1084" s="630" t="s">
        <v>534</v>
      </c>
      <c r="G1084" s="630" t="s">
        <v>365</v>
      </c>
      <c r="H1084" s="630" t="s">
        <v>382</v>
      </c>
      <c r="I1084" s="630"/>
      <c r="J1084" s="630" t="s">
        <v>535</v>
      </c>
      <c r="K1084" s="630" t="s">
        <v>547</v>
      </c>
      <c r="L1084" s="630"/>
      <c r="M1084" s="630"/>
      <c r="N1084" s="630"/>
      <c r="O1084" s="630"/>
      <c r="P1084" s="630"/>
      <c r="Q1084" s="630"/>
      <c r="R1084" s="630"/>
      <c r="S1084" s="630" t="s">
        <v>608</v>
      </c>
      <c r="T1084" s="630"/>
      <c r="U1084" s="630" t="s">
        <v>538</v>
      </c>
      <c r="V1084" s="630">
        <v>3</v>
      </c>
      <c r="W1084" s="630" t="s">
        <v>566</v>
      </c>
      <c r="X1084" s="630" t="s">
        <v>549</v>
      </c>
      <c r="Y1084" s="630" t="s">
        <v>549</v>
      </c>
      <c r="Z1084" s="630">
        <v>4.5846590000000003</v>
      </c>
      <c r="AA1084" s="630">
        <v>7.3783079999999996</v>
      </c>
      <c r="AB1084" s="631">
        <v>8866</v>
      </c>
      <c r="AC1084" s="631">
        <v>836957</v>
      </c>
      <c r="AD1084" s="631">
        <f t="shared" si="16"/>
        <v>3837162.4426630004</v>
      </c>
    </row>
    <row r="1085" spans="2:30" x14ac:dyDescent="0.15">
      <c r="B1085" s="630">
        <v>17031002196</v>
      </c>
      <c r="C1085" s="630">
        <v>17031000331</v>
      </c>
      <c r="D1085" s="630">
        <v>17031000323</v>
      </c>
      <c r="E1085" s="630" t="s">
        <v>533</v>
      </c>
      <c r="F1085" s="630" t="s">
        <v>534</v>
      </c>
      <c r="G1085" s="630" t="s">
        <v>365</v>
      </c>
      <c r="H1085" s="630" t="s">
        <v>552</v>
      </c>
      <c r="I1085" s="630"/>
      <c r="J1085" s="630" t="s">
        <v>547</v>
      </c>
      <c r="K1085" s="630"/>
      <c r="L1085" s="630"/>
      <c r="M1085" s="630"/>
      <c r="N1085" s="630"/>
      <c r="O1085" s="630"/>
      <c r="P1085" s="630"/>
      <c r="Q1085" s="630"/>
      <c r="R1085" s="630"/>
      <c r="S1085" s="630" t="s">
        <v>589</v>
      </c>
      <c r="T1085" s="630"/>
      <c r="U1085" s="630" t="s">
        <v>538</v>
      </c>
      <c r="V1085" s="630">
        <v>2</v>
      </c>
      <c r="W1085" s="630" t="s">
        <v>545</v>
      </c>
      <c r="X1085" s="630" t="s">
        <v>540</v>
      </c>
      <c r="Y1085" s="630" t="s">
        <v>549</v>
      </c>
      <c r="Z1085" s="630">
        <v>0.33243800000000001</v>
      </c>
      <c r="AA1085" s="630">
        <v>0.53500899999999996</v>
      </c>
      <c r="AB1085" s="631">
        <v>73903</v>
      </c>
      <c r="AC1085" s="631">
        <v>7739424</v>
      </c>
      <c r="AD1085" s="631">
        <f t="shared" si="16"/>
        <v>2572878.6357120001</v>
      </c>
    </row>
    <row r="1086" spans="2:30" x14ac:dyDescent="0.15">
      <c r="B1086" s="630">
        <v>17031003695</v>
      </c>
      <c r="C1086" s="630">
        <v>17031004577</v>
      </c>
      <c r="D1086" s="630">
        <v>17031004576</v>
      </c>
      <c r="E1086" s="630" t="s">
        <v>533</v>
      </c>
      <c r="F1086" s="630" t="s">
        <v>534</v>
      </c>
      <c r="G1086" s="630" t="s">
        <v>365</v>
      </c>
      <c r="H1086" s="630" t="s">
        <v>382</v>
      </c>
      <c r="I1086" s="630"/>
      <c r="J1086" s="630" t="s">
        <v>547</v>
      </c>
      <c r="K1086" s="630"/>
      <c r="L1086" s="630"/>
      <c r="M1086" s="630"/>
      <c r="N1086" s="630"/>
      <c r="O1086" s="630"/>
      <c r="P1086" s="630"/>
      <c r="Q1086" s="630"/>
      <c r="R1086" s="630"/>
      <c r="S1086" s="630" t="s">
        <v>565</v>
      </c>
      <c r="T1086" s="630"/>
      <c r="U1086" s="630" t="s">
        <v>538</v>
      </c>
      <c r="V1086" s="630">
        <v>2</v>
      </c>
      <c r="W1086" s="630" t="s">
        <v>566</v>
      </c>
      <c r="X1086" s="630" t="s">
        <v>541</v>
      </c>
      <c r="Y1086" s="630" t="s">
        <v>549</v>
      </c>
      <c r="Z1086" s="630">
        <v>0.86067099999999996</v>
      </c>
      <c r="AA1086" s="630">
        <v>1.385119</v>
      </c>
      <c r="AB1086" s="631">
        <v>0</v>
      </c>
      <c r="AC1086" s="631">
        <v>0</v>
      </c>
      <c r="AD1086" s="631">
        <f t="shared" si="16"/>
        <v>0</v>
      </c>
    </row>
    <row r="1087" spans="2:30" x14ac:dyDescent="0.15">
      <c r="B1087" s="630">
        <v>17031003836</v>
      </c>
      <c r="C1087" s="630">
        <v>17031000873</v>
      </c>
      <c r="D1087" s="630">
        <v>17031000851</v>
      </c>
      <c r="E1087" s="630" t="s">
        <v>533</v>
      </c>
      <c r="F1087" s="630" t="s">
        <v>534</v>
      </c>
      <c r="G1087" s="630" t="s">
        <v>365</v>
      </c>
      <c r="H1087" s="630" t="s">
        <v>571</v>
      </c>
      <c r="I1087" s="630"/>
      <c r="J1087" s="630" t="s">
        <v>381</v>
      </c>
      <c r="K1087" s="630" t="s">
        <v>382</v>
      </c>
      <c r="L1087" s="630"/>
      <c r="M1087" s="630"/>
      <c r="N1087" s="630"/>
      <c r="O1087" s="630"/>
      <c r="P1087" s="630"/>
      <c r="Q1087" s="630"/>
      <c r="R1087" s="630"/>
      <c r="S1087" s="630" t="s">
        <v>654</v>
      </c>
      <c r="T1087" s="630"/>
      <c r="U1087" s="630" t="s">
        <v>559</v>
      </c>
      <c r="V1087" s="630">
        <v>1</v>
      </c>
      <c r="W1087" s="630" t="s">
        <v>560</v>
      </c>
      <c r="X1087" s="630" t="s">
        <v>541</v>
      </c>
      <c r="Y1087" s="630" t="s">
        <v>541</v>
      </c>
      <c r="Z1087" s="630">
        <v>1.499091</v>
      </c>
      <c r="AA1087" s="630">
        <v>2.4125570000000001</v>
      </c>
      <c r="AB1087" s="631">
        <v>0</v>
      </c>
      <c r="AC1087" s="631">
        <v>0</v>
      </c>
      <c r="AD1087" s="631">
        <f t="shared" si="16"/>
        <v>0</v>
      </c>
    </row>
    <row r="1088" spans="2:30" x14ac:dyDescent="0.15">
      <c r="B1088" s="630">
        <v>17031003929</v>
      </c>
      <c r="C1088" s="630">
        <v>17031001137</v>
      </c>
      <c r="D1088" s="630">
        <v>17031001115</v>
      </c>
      <c r="E1088" s="630" t="s">
        <v>533</v>
      </c>
      <c r="F1088" s="630" t="s">
        <v>534</v>
      </c>
      <c r="G1088" s="630" t="s">
        <v>365</v>
      </c>
      <c r="H1088" s="630" t="s">
        <v>571</v>
      </c>
      <c r="I1088" s="630"/>
      <c r="J1088" s="630"/>
      <c r="K1088" s="630"/>
      <c r="L1088" s="630"/>
      <c r="M1088" s="630"/>
      <c r="N1088" s="630"/>
      <c r="O1088" s="630"/>
      <c r="P1088" s="630"/>
      <c r="Q1088" s="630"/>
      <c r="R1088" s="630"/>
      <c r="S1088" s="630" t="s">
        <v>573</v>
      </c>
      <c r="T1088" s="630"/>
      <c r="U1088" s="630" t="s">
        <v>538</v>
      </c>
      <c r="V1088" s="630">
        <v>2</v>
      </c>
      <c r="W1088" s="630" t="s">
        <v>545</v>
      </c>
      <c r="X1088" s="630" t="s">
        <v>546</v>
      </c>
      <c r="Y1088" s="630" t="s">
        <v>541</v>
      </c>
      <c r="Z1088" s="630">
        <v>0.49542199999999997</v>
      </c>
      <c r="AA1088" s="630">
        <v>0.79730699999999999</v>
      </c>
      <c r="AB1088" s="631">
        <v>0</v>
      </c>
      <c r="AC1088" s="631">
        <v>0</v>
      </c>
      <c r="AD1088" s="631">
        <f t="shared" si="16"/>
        <v>0</v>
      </c>
    </row>
    <row r="1089" spans="2:30" x14ac:dyDescent="0.15">
      <c r="B1089" s="630">
        <v>17031005330</v>
      </c>
      <c r="C1089" s="630">
        <v>17031001547</v>
      </c>
      <c r="D1089" s="630">
        <v>17031001548</v>
      </c>
      <c r="E1089" s="630" t="s">
        <v>533</v>
      </c>
      <c r="F1089" s="630" t="s">
        <v>534</v>
      </c>
      <c r="G1089" s="630" t="s">
        <v>365</v>
      </c>
      <c r="H1089" s="630" t="s">
        <v>382</v>
      </c>
      <c r="I1089" s="630"/>
      <c r="J1089" s="630"/>
      <c r="K1089" s="630"/>
      <c r="L1089" s="630"/>
      <c r="M1089" s="630"/>
      <c r="N1089" s="630"/>
      <c r="O1089" s="630"/>
      <c r="P1089" s="630"/>
      <c r="Q1089" s="630"/>
      <c r="R1089" s="630"/>
      <c r="S1089" s="630" t="s">
        <v>576</v>
      </c>
      <c r="T1089" s="630"/>
      <c r="U1089" s="630" t="s">
        <v>559</v>
      </c>
      <c r="V1089" s="630">
        <v>1</v>
      </c>
      <c r="W1089" s="630" t="s">
        <v>560</v>
      </c>
      <c r="X1089" s="630" t="s">
        <v>541</v>
      </c>
      <c r="Y1089" s="630" t="s">
        <v>541</v>
      </c>
      <c r="Z1089" s="630">
        <v>0.195934</v>
      </c>
      <c r="AA1089" s="630">
        <v>0.315326</v>
      </c>
      <c r="AB1089" s="631">
        <v>0</v>
      </c>
      <c r="AC1089" s="631">
        <v>0</v>
      </c>
      <c r="AD1089" s="631">
        <f t="shared" si="16"/>
        <v>0</v>
      </c>
    </row>
    <row r="1090" spans="2:30" x14ac:dyDescent="0.15">
      <c r="B1090" s="630">
        <v>17197006247</v>
      </c>
      <c r="C1090" s="630">
        <v>17197004806</v>
      </c>
      <c r="D1090" s="630">
        <v>17197001462</v>
      </c>
      <c r="E1090" s="630" t="s">
        <v>533</v>
      </c>
      <c r="F1090" s="630" t="s">
        <v>534</v>
      </c>
      <c r="G1090" s="630" t="s">
        <v>377</v>
      </c>
      <c r="H1090" s="630" t="s">
        <v>535</v>
      </c>
      <c r="I1090" s="630"/>
      <c r="J1090" s="630" t="s">
        <v>382</v>
      </c>
      <c r="K1090" s="630"/>
      <c r="L1090" s="630"/>
      <c r="M1090" s="630"/>
      <c r="N1090" s="630"/>
      <c r="O1090" s="630"/>
      <c r="P1090" s="630"/>
      <c r="Q1090" s="630"/>
      <c r="R1090" s="630"/>
      <c r="S1090" s="630"/>
      <c r="T1090" s="630"/>
      <c r="U1090" s="630" t="s">
        <v>538</v>
      </c>
      <c r="V1090" s="630">
        <v>1</v>
      </c>
      <c r="W1090" s="630" t="s">
        <v>560</v>
      </c>
      <c r="X1090" s="630" t="s">
        <v>541</v>
      </c>
      <c r="Y1090" s="630" t="s">
        <v>541</v>
      </c>
      <c r="Z1090" s="630">
        <v>0.65845799999999999</v>
      </c>
      <c r="AA1090" s="630">
        <v>1.059687</v>
      </c>
      <c r="AB1090" s="631">
        <v>1348</v>
      </c>
      <c r="AC1090" s="631">
        <v>163716</v>
      </c>
      <c r="AD1090" s="631">
        <f t="shared" si="16"/>
        <v>107800.10992799999</v>
      </c>
    </row>
    <row r="1091" spans="2:30" x14ac:dyDescent="0.15">
      <c r="B1091" s="630">
        <v>17043009169</v>
      </c>
      <c r="C1091" s="630">
        <v>17043007313</v>
      </c>
      <c r="D1091" s="630">
        <v>17043007379</v>
      </c>
      <c r="E1091" s="630" t="s">
        <v>533</v>
      </c>
      <c r="F1091" s="630" t="s">
        <v>534</v>
      </c>
      <c r="G1091" s="630" t="s">
        <v>367</v>
      </c>
      <c r="H1091" s="630" t="s">
        <v>535</v>
      </c>
      <c r="I1091" s="630"/>
      <c r="J1091" s="630"/>
      <c r="K1091" s="630"/>
      <c r="L1091" s="630"/>
      <c r="M1091" s="630"/>
      <c r="N1091" s="630"/>
      <c r="O1091" s="630"/>
      <c r="P1091" s="630"/>
      <c r="Q1091" s="630"/>
      <c r="R1091" s="630"/>
      <c r="S1091" s="630" t="s">
        <v>624</v>
      </c>
      <c r="T1091" s="630"/>
      <c r="U1091" s="630" t="s">
        <v>538</v>
      </c>
      <c r="V1091" s="630">
        <v>1</v>
      </c>
      <c r="W1091" s="630" t="s">
        <v>582</v>
      </c>
      <c r="X1091" s="630" t="s">
        <v>554</v>
      </c>
      <c r="Y1091" s="630" t="s">
        <v>540</v>
      </c>
      <c r="Z1091" s="630">
        <v>0.43659199999999998</v>
      </c>
      <c r="AA1091" s="630">
        <v>0.70262899999999995</v>
      </c>
      <c r="AB1091" s="631">
        <v>440</v>
      </c>
      <c r="AC1091" s="631">
        <v>36560</v>
      </c>
      <c r="AD1091" s="631">
        <f t="shared" si="16"/>
        <v>15961.803519999999</v>
      </c>
    </row>
    <row r="1092" spans="2:30" x14ac:dyDescent="0.15">
      <c r="B1092" s="630">
        <v>17031009615</v>
      </c>
      <c r="C1092" s="630">
        <v>17031007703</v>
      </c>
      <c r="D1092" s="630">
        <v>17031007706</v>
      </c>
      <c r="E1092" s="630" t="s">
        <v>533</v>
      </c>
      <c r="F1092" s="630" t="s">
        <v>534</v>
      </c>
      <c r="G1092" s="630" t="s">
        <v>365</v>
      </c>
      <c r="H1092" s="630" t="s">
        <v>535</v>
      </c>
      <c r="I1092" s="630"/>
      <c r="J1092" s="630" t="s">
        <v>542</v>
      </c>
      <c r="K1092" s="630" t="s">
        <v>572</v>
      </c>
      <c r="L1092" s="630" t="s">
        <v>547</v>
      </c>
      <c r="M1092" s="630" t="s">
        <v>382</v>
      </c>
      <c r="N1092" s="630"/>
      <c r="O1092" s="630"/>
      <c r="P1092" s="630"/>
      <c r="Q1092" s="630"/>
      <c r="R1092" s="630"/>
      <c r="S1092" s="630" t="s">
        <v>601</v>
      </c>
      <c r="T1092" s="630"/>
      <c r="U1092" s="630" t="s">
        <v>538</v>
      </c>
      <c r="V1092" s="630">
        <v>2</v>
      </c>
      <c r="W1092" s="630" t="s">
        <v>545</v>
      </c>
      <c r="X1092" s="630" t="s">
        <v>540</v>
      </c>
      <c r="Y1092" s="630" t="s">
        <v>549</v>
      </c>
      <c r="Z1092" s="630">
        <v>0.56725599999999998</v>
      </c>
      <c r="AA1092" s="630">
        <v>0.91291199999999995</v>
      </c>
      <c r="AB1092" s="631">
        <v>48760</v>
      </c>
      <c r="AC1092" s="631">
        <v>1832520</v>
      </c>
      <c r="AD1092" s="631">
        <f t="shared" si="16"/>
        <v>1039507.9651199999</v>
      </c>
    </row>
    <row r="1093" spans="2:30" x14ac:dyDescent="0.15">
      <c r="B1093" s="630">
        <v>17197006539</v>
      </c>
      <c r="C1093" s="630">
        <v>17197001485</v>
      </c>
      <c r="D1093" s="630">
        <v>17197001486</v>
      </c>
      <c r="E1093" s="630" t="s">
        <v>533</v>
      </c>
      <c r="F1093" s="630" t="s">
        <v>534</v>
      </c>
      <c r="G1093" s="630" t="s">
        <v>377</v>
      </c>
      <c r="H1093" s="630" t="s">
        <v>547</v>
      </c>
      <c r="I1093" s="630"/>
      <c r="J1093" s="630" t="s">
        <v>551</v>
      </c>
      <c r="K1093" s="630" t="s">
        <v>615</v>
      </c>
      <c r="L1093" s="630" t="s">
        <v>535</v>
      </c>
      <c r="M1093" s="630"/>
      <c r="N1093" s="630"/>
      <c r="O1093" s="630"/>
      <c r="P1093" s="630"/>
      <c r="Q1093" s="630"/>
      <c r="R1093" s="630"/>
      <c r="S1093" s="630" t="s">
        <v>581</v>
      </c>
      <c r="T1093" s="630"/>
      <c r="U1093" s="630" t="s">
        <v>538</v>
      </c>
      <c r="V1093" s="630">
        <v>1</v>
      </c>
      <c r="W1093" s="630" t="s">
        <v>582</v>
      </c>
      <c r="X1093" s="630" t="s">
        <v>540</v>
      </c>
      <c r="Y1093" s="630" t="s">
        <v>554</v>
      </c>
      <c r="Z1093" s="630">
        <v>0.16173000000000001</v>
      </c>
      <c r="AA1093" s="630">
        <v>0.26028000000000001</v>
      </c>
      <c r="AB1093" s="631">
        <v>91201</v>
      </c>
      <c r="AC1093" s="631">
        <v>8934644</v>
      </c>
      <c r="AD1093" s="631">
        <f t="shared" si="16"/>
        <v>1444999.9741200001</v>
      </c>
    </row>
    <row r="1094" spans="2:30" x14ac:dyDescent="0.15">
      <c r="B1094" s="630">
        <v>17031001764</v>
      </c>
      <c r="C1094" s="630">
        <v>17031001387</v>
      </c>
      <c r="D1094" s="630">
        <v>17031001390</v>
      </c>
      <c r="E1094" s="630" t="s">
        <v>533</v>
      </c>
      <c r="F1094" s="630" t="s">
        <v>534</v>
      </c>
      <c r="G1094" s="630" t="s">
        <v>365</v>
      </c>
      <c r="H1094" s="630" t="s">
        <v>557</v>
      </c>
      <c r="I1094" s="630"/>
      <c r="J1094" s="630"/>
      <c r="K1094" s="630"/>
      <c r="L1094" s="630"/>
      <c r="M1094" s="630"/>
      <c r="N1094" s="630"/>
      <c r="O1094" s="630"/>
      <c r="P1094" s="630"/>
      <c r="Q1094" s="630"/>
      <c r="R1094" s="630"/>
      <c r="S1094" s="630" t="s">
        <v>567</v>
      </c>
      <c r="T1094" s="630"/>
      <c r="U1094" s="630" t="s">
        <v>559</v>
      </c>
      <c r="V1094" s="630">
        <v>1</v>
      </c>
      <c r="W1094" s="630" t="s">
        <v>560</v>
      </c>
      <c r="X1094" s="630" t="s">
        <v>541</v>
      </c>
      <c r="Y1094" s="630" t="s">
        <v>541</v>
      </c>
      <c r="Z1094" s="630">
        <v>7.5634000000000007E-2</v>
      </c>
      <c r="AA1094" s="630">
        <v>0.121722</v>
      </c>
      <c r="AB1094" s="631">
        <v>284</v>
      </c>
      <c r="AC1094" s="631">
        <v>28772</v>
      </c>
      <c r="AD1094" s="631">
        <f t="shared" ref="AD1094:AD1157" si="17">AC1094*Z1094</f>
        <v>2176.1414480000003</v>
      </c>
    </row>
    <row r="1095" spans="2:30" x14ac:dyDescent="0.15">
      <c r="B1095" s="630">
        <v>17089001808</v>
      </c>
      <c r="C1095" s="630">
        <v>17999020464</v>
      </c>
      <c r="D1095" s="630">
        <v>17089000477</v>
      </c>
      <c r="E1095" s="630" t="s">
        <v>533</v>
      </c>
      <c r="F1095" s="630" t="s">
        <v>534</v>
      </c>
      <c r="G1095" s="630" t="s">
        <v>369</v>
      </c>
      <c r="H1095" s="630" t="s">
        <v>382</v>
      </c>
      <c r="I1095" s="630"/>
      <c r="J1095" s="630"/>
      <c r="K1095" s="630"/>
      <c r="L1095" s="630"/>
      <c r="M1095" s="630"/>
      <c r="N1095" s="630"/>
      <c r="O1095" s="630"/>
      <c r="P1095" s="630"/>
      <c r="Q1095" s="630"/>
      <c r="R1095" s="630"/>
      <c r="S1095" s="630" t="s">
        <v>635</v>
      </c>
      <c r="T1095" s="630"/>
      <c r="U1095" s="630" t="s">
        <v>559</v>
      </c>
      <c r="V1095" s="630">
        <v>1</v>
      </c>
      <c r="W1095" s="630" t="s">
        <v>560</v>
      </c>
      <c r="X1095" s="630" t="s">
        <v>541</v>
      </c>
      <c r="Y1095" s="630" t="s">
        <v>541</v>
      </c>
      <c r="Z1095" s="630">
        <v>2.931073</v>
      </c>
      <c r="AA1095" s="630">
        <v>4.7171130000000003</v>
      </c>
      <c r="AB1095" s="631">
        <v>1120</v>
      </c>
      <c r="AC1095" s="631">
        <v>104720</v>
      </c>
      <c r="AD1095" s="631">
        <f t="shared" si="17"/>
        <v>306941.96455999999</v>
      </c>
    </row>
    <row r="1096" spans="2:30" x14ac:dyDescent="0.15">
      <c r="B1096" s="630">
        <v>17097002152</v>
      </c>
      <c r="C1096" s="630">
        <v>17097004541</v>
      </c>
      <c r="D1096" s="630">
        <v>99999017006</v>
      </c>
      <c r="E1096" s="630" t="s">
        <v>533</v>
      </c>
      <c r="F1096" s="630" t="s">
        <v>534</v>
      </c>
      <c r="G1096" s="630" t="s">
        <v>373</v>
      </c>
      <c r="H1096" s="630" t="s">
        <v>552</v>
      </c>
      <c r="I1096" s="630"/>
      <c r="J1096" s="630" t="s">
        <v>542</v>
      </c>
      <c r="K1096" s="630"/>
      <c r="L1096" s="630"/>
      <c r="M1096" s="630"/>
      <c r="N1096" s="630"/>
      <c r="O1096" s="630"/>
      <c r="P1096" s="630"/>
      <c r="Q1096" s="630"/>
      <c r="R1096" s="630"/>
      <c r="S1096" s="630" t="s">
        <v>564</v>
      </c>
      <c r="T1096" s="630"/>
      <c r="U1096" s="630" t="s">
        <v>538</v>
      </c>
      <c r="V1096" s="630">
        <v>2</v>
      </c>
      <c r="W1096" s="630" t="s">
        <v>545</v>
      </c>
      <c r="X1096" s="630" t="s">
        <v>549</v>
      </c>
      <c r="Y1096" s="630" t="s">
        <v>549</v>
      </c>
      <c r="Z1096" s="630">
        <v>0.275619</v>
      </c>
      <c r="AA1096" s="630">
        <v>0.44356600000000002</v>
      </c>
      <c r="AB1096" s="631">
        <v>502101</v>
      </c>
      <c r="AC1096" s="631">
        <v>30386712</v>
      </c>
      <c r="AD1096" s="631">
        <f t="shared" si="17"/>
        <v>8375155.1747280005</v>
      </c>
    </row>
    <row r="1097" spans="2:30" x14ac:dyDescent="0.15">
      <c r="B1097" s="630">
        <v>17197002309</v>
      </c>
      <c r="C1097" s="630">
        <v>17197004795</v>
      </c>
      <c r="D1097" s="630">
        <v>17197001412</v>
      </c>
      <c r="E1097" s="630" t="s">
        <v>533</v>
      </c>
      <c r="F1097" s="630" t="s">
        <v>534</v>
      </c>
      <c r="G1097" s="630" t="s">
        <v>377</v>
      </c>
      <c r="H1097" s="630" t="s">
        <v>535</v>
      </c>
      <c r="I1097" s="630"/>
      <c r="J1097" s="630"/>
      <c r="K1097" s="630"/>
      <c r="L1097" s="630"/>
      <c r="M1097" s="630"/>
      <c r="N1097" s="630"/>
      <c r="O1097" s="630"/>
      <c r="P1097" s="630"/>
      <c r="Q1097" s="630"/>
      <c r="R1097" s="630"/>
      <c r="S1097" s="630" t="s">
        <v>673</v>
      </c>
      <c r="T1097" s="630"/>
      <c r="U1097" s="630" t="s">
        <v>538</v>
      </c>
      <c r="V1097" s="630">
        <v>1</v>
      </c>
      <c r="W1097" s="630" t="s">
        <v>560</v>
      </c>
      <c r="X1097" s="630" t="s">
        <v>541</v>
      </c>
      <c r="Y1097" s="630" t="s">
        <v>554</v>
      </c>
      <c r="Z1097" s="630">
        <v>4.2999460000000003</v>
      </c>
      <c r="AA1097" s="630">
        <v>6.9201059999999996</v>
      </c>
      <c r="AB1097" s="631">
        <v>13440</v>
      </c>
      <c r="AC1097" s="631">
        <v>1159760</v>
      </c>
      <c r="AD1097" s="631">
        <f t="shared" si="17"/>
        <v>4986905.3729600003</v>
      </c>
    </row>
    <row r="1098" spans="2:30" x14ac:dyDescent="0.15">
      <c r="B1098" s="630">
        <v>17043002402</v>
      </c>
      <c r="C1098" s="630">
        <v>17043000382</v>
      </c>
      <c r="D1098" s="630">
        <v>17043000387</v>
      </c>
      <c r="E1098" s="630" t="s">
        <v>533</v>
      </c>
      <c r="F1098" s="630" t="s">
        <v>534</v>
      </c>
      <c r="G1098" s="630" t="s">
        <v>367</v>
      </c>
      <c r="H1098" s="630" t="s">
        <v>638</v>
      </c>
      <c r="I1098" s="630"/>
      <c r="J1098" s="630"/>
      <c r="K1098" s="630"/>
      <c r="L1098" s="630"/>
      <c r="M1098" s="630"/>
      <c r="N1098" s="630"/>
      <c r="O1098" s="630"/>
      <c r="P1098" s="630"/>
      <c r="Q1098" s="630"/>
      <c r="R1098" s="630"/>
      <c r="S1098" s="630"/>
      <c r="T1098" s="630"/>
      <c r="U1098" s="630" t="s">
        <v>559</v>
      </c>
      <c r="V1098" s="630">
        <v>1</v>
      </c>
      <c r="W1098" s="630" t="s">
        <v>560</v>
      </c>
      <c r="X1098" s="630" t="s">
        <v>541</v>
      </c>
      <c r="Y1098" s="630" t="s">
        <v>541</v>
      </c>
      <c r="Z1098" s="630">
        <v>0.128555</v>
      </c>
      <c r="AA1098" s="630">
        <v>0.20688999999999999</v>
      </c>
      <c r="AB1098" s="631">
        <v>0</v>
      </c>
      <c r="AC1098" s="631">
        <v>0</v>
      </c>
      <c r="AD1098" s="631">
        <f t="shared" si="17"/>
        <v>0</v>
      </c>
    </row>
    <row r="1099" spans="2:30" x14ac:dyDescent="0.15">
      <c r="B1099" s="630">
        <v>17097001951</v>
      </c>
      <c r="C1099" s="630">
        <v>17097004530</v>
      </c>
      <c r="D1099" s="630">
        <v>17097000049</v>
      </c>
      <c r="E1099" s="630" t="s">
        <v>533</v>
      </c>
      <c r="F1099" s="630" t="s">
        <v>534</v>
      </c>
      <c r="G1099" s="630" t="s">
        <v>373</v>
      </c>
      <c r="H1099" s="630" t="s">
        <v>552</v>
      </c>
      <c r="I1099" s="630"/>
      <c r="J1099" s="630" t="s">
        <v>547</v>
      </c>
      <c r="K1099" s="630" t="s">
        <v>563</v>
      </c>
      <c r="L1099" s="630"/>
      <c r="M1099" s="630"/>
      <c r="N1099" s="630"/>
      <c r="O1099" s="630"/>
      <c r="P1099" s="630"/>
      <c r="Q1099" s="630"/>
      <c r="R1099" s="630"/>
      <c r="S1099" s="630" t="s">
        <v>629</v>
      </c>
      <c r="T1099" s="630"/>
      <c r="U1099" s="630" t="s">
        <v>538</v>
      </c>
      <c r="V1099" s="630">
        <v>1</v>
      </c>
      <c r="W1099" s="630" t="s">
        <v>582</v>
      </c>
      <c r="X1099" s="630" t="s">
        <v>554</v>
      </c>
      <c r="Y1099" s="630" t="s">
        <v>540</v>
      </c>
      <c r="Z1099" s="630">
        <v>1.872641</v>
      </c>
      <c r="AA1099" s="630">
        <v>3.0137290000000001</v>
      </c>
      <c r="AB1099" s="631">
        <v>27538</v>
      </c>
      <c r="AC1099" s="631">
        <v>2609253</v>
      </c>
      <c r="AD1099" s="631">
        <f t="shared" si="17"/>
        <v>4886194.1471729996</v>
      </c>
    </row>
    <row r="1100" spans="2:30" x14ac:dyDescent="0.15">
      <c r="B1100" s="630">
        <v>17031002215</v>
      </c>
      <c r="C1100" s="630">
        <v>17031000558</v>
      </c>
      <c r="D1100" s="630">
        <v>17031000546</v>
      </c>
      <c r="E1100" s="630" t="s">
        <v>533</v>
      </c>
      <c r="F1100" s="630" t="s">
        <v>534</v>
      </c>
      <c r="G1100" s="630" t="s">
        <v>365</v>
      </c>
      <c r="H1100" s="630" t="s">
        <v>382</v>
      </c>
      <c r="I1100" s="630"/>
      <c r="J1100" s="630"/>
      <c r="K1100" s="630"/>
      <c r="L1100" s="630"/>
      <c r="M1100" s="630"/>
      <c r="N1100" s="630"/>
      <c r="O1100" s="630"/>
      <c r="P1100" s="630"/>
      <c r="Q1100" s="630"/>
      <c r="R1100" s="630"/>
      <c r="S1100" s="630"/>
      <c r="T1100" s="630"/>
      <c r="U1100" s="630" t="s">
        <v>538</v>
      </c>
      <c r="V1100" s="630">
        <v>1</v>
      </c>
      <c r="W1100" s="630" t="s">
        <v>545</v>
      </c>
      <c r="X1100" s="630" t="s">
        <v>554</v>
      </c>
      <c r="Y1100" s="630" t="s">
        <v>541</v>
      </c>
      <c r="Z1100" s="630">
        <v>0.27313999999999999</v>
      </c>
      <c r="AA1100" s="630">
        <v>0.43957800000000002</v>
      </c>
      <c r="AB1100" s="631">
        <v>750048</v>
      </c>
      <c r="AC1100" s="631">
        <v>20387859</v>
      </c>
      <c r="AD1100" s="631">
        <f t="shared" si="17"/>
        <v>5568739.8072600001</v>
      </c>
    </row>
    <row r="1101" spans="2:30" x14ac:dyDescent="0.15">
      <c r="B1101" s="630">
        <v>17089002031</v>
      </c>
      <c r="C1101" s="630">
        <v>17089000304</v>
      </c>
      <c r="D1101" s="630">
        <v>17089004854</v>
      </c>
      <c r="E1101" s="630" t="s">
        <v>533</v>
      </c>
      <c r="F1101" s="630" t="s">
        <v>534</v>
      </c>
      <c r="G1101" s="630" t="s">
        <v>369</v>
      </c>
      <c r="H1101" s="630" t="s">
        <v>552</v>
      </c>
      <c r="I1101" s="630"/>
      <c r="J1101" s="630" t="s">
        <v>547</v>
      </c>
      <c r="K1101" s="630"/>
      <c r="L1101" s="630"/>
      <c r="M1101" s="630"/>
      <c r="N1101" s="630"/>
      <c r="O1101" s="630"/>
      <c r="P1101" s="630"/>
      <c r="Q1101" s="630"/>
      <c r="R1101" s="630"/>
      <c r="S1101" s="630" t="s">
        <v>589</v>
      </c>
      <c r="T1101" s="630"/>
      <c r="U1101" s="630" t="s">
        <v>538</v>
      </c>
      <c r="V1101" s="630">
        <v>2</v>
      </c>
      <c r="W1101" s="630" t="s">
        <v>545</v>
      </c>
      <c r="X1101" s="630" t="s">
        <v>540</v>
      </c>
      <c r="Y1101" s="630" t="s">
        <v>540</v>
      </c>
      <c r="Z1101" s="630">
        <v>3.110439</v>
      </c>
      <c r="AA1101" s="630">
        <v>5.0057770000000001</v>
      </c>
      <c r="AB1101" s="631">
        <v>73903</v>
      </c>
      <c r="AC1101" s="631">
        <v>7739424</v>
      </c>
      <c r="AD1101" s="631">
        <f t="shared" si="17"/>
        <v>24073006.247136001</v>
      </c>
    </row>
    <row r="1102" spans="2:30" x14ac:dyDescent="0.15">
      <c r="B1102" s="630">
        <v>17031003608</v>
      </c>
      <c r="C1102" s="630">
        <v>17031000851</v>
      </c>
      <c r="D1102" s="630">
        <v>17031000849</v>
      </c>
      <c r="E1102" s="630" t="s">
        <v>533</v>
      </c>
      <c r="F1102" s="630" t="s">
        <v>534</v>
      </c>
      <c r="G1102" s="630" t="s">
        <v>365</v>
      </c>
      <c r="H1102" s="630" t="s">
        <v>571</v>
      </c>
      <c r="I1102" s="630"/>
      <c r="J1102" s="630"/>
      <c r="K1102" s="630"/>
      <c r="L1102" s="630"/>
      <c r="M1102" s="630"/>
      <c r="N1102" s="630"/>
      <c r="O1102" s="630"/>
      <c r="P1102" s="630"/>
      <c r="Q1102" s="630"/>
      <c r="R1102" s="630"/>
      <c r="S1102" s="630"/>
      <c r="T1102" s="630"/>
      <c r="U1102" s="630" t="s">
        <v>559</v>
      </c>
      <c r="V1102" s="630">
        <v>1</v>
      </c>
      <c r="W1102" s="630" t="s">
        <v>560</v>
      </c>
      <c r="X1102" s="630" t="s">
        <v>541</v>
      </c>
      <c r="Y1102" s="630" t="s">
        <v>541</v>
      </c>
      <c r="Z1102" s="630">
        <v>0.30147699999999999</v>
      </c>
      <c r="AA1102" s="630">
        <v>0.48518099999999997</v>
      </c>
      <c r="AB1102" s="631">
        <v>0</v>
      </c>
      <c r="AC1102" s="631">
        <v>0</v>
      </c>
      <c r="AD1102" s="631">
        <f t="shared" si="17"/>
        <v>0</v>
      </c>
    </row>
    <row r="1103" spans="2:30" x14ac:dyDescent="0.15">
      <c r="B1103" s="630">
        <v>17043003968</v>
      </c>
      <c r="C1103" s="630">
        <v>17043000928</v>
      </c>
      <c r="D1103" s="630">
        <v>17043000924</v>
      </c>
      <c r="E1103" s="630" t="s">
        <v>533</v>
      </c>
      <c r="F1103" s="630" t="s">
        <v>534</v>
      </c>
      <c r="G1103" s="630" t="s">
        <v>367</v>
      </c>
      <c r="H1103" s="630" t="s">
        <v>381</v>
      </c>
      <c r="I1103" s="630"/>
      <c r="J1103" s="630" t="s">
        <v>542</v>
      </c>
      <c r="K1103" s="630" t="s">
        <v>547</v>
      </c>
      <c r="L1103" s="630" t="s">
        <v>382</v>
      </c>
      <c r="M1103" s="630"/>
      <c r="N1103" s="630"/>
      <c r="O1103" s="630"/>
      <c r="P1103" s="630"/>
      <c r="Q1103" s="630"/>
      <c r="R1103" s="630"/>
      <c r="S1103" s="630" t="s">
        <v>579</v>
      </c>
      <c r="T1103" s="630"/>
      <c r="U1103" s="630" t="s">
        <v>538</v>
      </c>
      <c r="V1103" s="630">
        <v>3</v>
      </c>
      <c r="W1103" s="630" t="s">
        <v>545</v>
      </c>
      <c r="X1103" s="630" t="s">
        <v>580</v>
      </c>
      <c r="Y1103" s="630" t="s">
        <v>549</v>
      </c>
      <c r="Z1103" s="630">
        <v>0.68145999999999995</v>
      </c>
      <c r="AA1103" s="630">
        <v>1.096705</v>
      </c>
      <c r="AB1103" s="631">
        <v>1181202</v>
      </c>
      <c r="AC1103" s="631">
        <v>46544860</v>
      </c>
      <c r="AD1103" s="631">
        <f t="shared" si="17"/>
        <v>31718460.295599997</v>
      </c>
    </row>
    <row r="1104" spans="2:30" x14ac:dyDescent="0.15">
      <c r="B1104" s="630">
        <v>17031003284</v>
      </c>
      <c r="C1104" s="630">
        <v>17031000479</v>
      </c>
      <c r="D1104" s="630">
        <v>17031004640</v>
      </c>
      <c r="E1104" s="630" t="s">
        <v>533</v>
      </c>
      <c r="F1104" s="630" t="s">
        <v>534</v>
      </c>
      <c r="G1104" s="630" t="s">
        <v>365</v>
      </c>
      <c r="H1104" s="630" t="s">
        <v>552</v>
      </c>
      <c r="I1104" s="630"/>
      <c r="J1104" s="630" t="s">
        <v>551</v>
      </c>
      <c r="K1104" s="630" t="s">
        <v>547</v>
      </c>
      <c r="L1104" s="630" t="s">
        <v>382</v>
      </c>
      <c r="M1104" s="630" t="s">
        <v>563</v>
      </c>
      <c r="N1104" s="630"/>
      <c r="O1104" s="630"/>
      <c r="P1104" s="630"/>
      <c r="Q1104" s="630"/>
      <c r="R1104" s="630"/>
      <c r="S1104" s="630" t="s">
        <v>589</v>
      </c>
      <c r="T1104" s="630"/>
      <c r="U1104" s="630" t="s">
        <v>538</v>
      </c>
      <c r="V1104" s="630">
        <v>3</v>
      </c>
      <c r="W1104" s="630" t="s">
        <v>545</v>
      </c>
      <c r="X1104" s="630" t="s">
        <v>549</v>
      </c>
      <c r="Y1104" s="630" t="s">
        <v>549</v>
      </c>
      <c r="Z1104" s="630">
        <v>0.29098800000000002</v>
      </c>
      <c r="AA1104" s="630">
        <v>0.46829999999999999</v>
      </c>
      <c r="AB1104" s="631">
        <v>313574</v>
      </c>
      <c r="AC1104" s="631">
        <v>20645328</v>
      </c>
      <c r="AD1104" s="631">
        <f t="shared" si="17"/>
        <v>6007542.7040640004</v>
      </c>
    </row>
    <row r="1105" spans="2:30" x14ac:dyDescent="0.15">
      <c r="B1105" s="630">
        <v>17031005469</v>
      </c>
      <c r="C1105" s="630">
        <v>17031000981</v>
      </c>
      <c r="D1105" s="630">
        <v>17031000969</v>
      </c>
      <c r="E1105" s="630" t="s">
        <v>533</v>
      </c>
      <c r="F1105" s="630" t="s">
        <v>534</v>
      </c>
      <c r="G1105" s="630" t="s">
        <v>365</v>
      </c>
      <c r="H1105" s="630" t="s">
        <v>571</v>
      </c>
      <c r="I1105" s="630"/>
      <c r="J1105" s="630" t="s">
        <v>381</v>
      </c>
      <c r="K1105" s="630" t="s">
        <v>535</v>
      </c>
      <c r="L1105" s="630" t="s">
        <v>552</v>
      </c>
      <c r="M1105" s="630" t="s">
        <v>572</v>
      </c>
      <c r="N1105" s="630" t="s">
        <v>551</v>
      </c>
      <c r="O1105" s="630" t="s">
        <v>555</v>
      </c>
      <c r="P1105" s="630" t="s">
        <v>543</v>
      </c>
      <c r="Q1105" s="630" t="s">
        <v>382</v>
      </c>
      <c r="R1105" s="630" t="s">
        <v>563</v>
      </c>
      <c r="S1105" s="630" t="s">
        <v>605</v>
      </c>
      <c r="T1105" s="630" t="s">
        <v>574</v>
      </c>
      <c r="U1105" s="630" t="s">
        <v>538</v>
      </c>
      <c r="V1105" s="630">
        <v>2</v>
      </c>
      <c r="W1105" s="630" t="s">
        <v>545</v>
      </c>
      <c r="X1105" s="630" t="s">
        <v>575</v>
      </c>
      <c r="Y1105" s="630" t="s">
        <v>554</v>
      </c>
      <c r="Z1105" s="630">
        <v>0.67534899999999998</v>
      </c>
      <c r="AA1105" s="630">
        <v>1.0868720000000001</v>
      </c>
      <c r="AB1105" s="631">
        <v>269567</v>
      </c>
      <c r="AC1105" s="631">
        <v>14123853</v>
      </c>
      <c r="AD1105" s="631">
        <f t="shared" si="17"/>
        <v>9538529.9996969998</v>
      </c>
    </row>
    <row r="1106" spans="2:30" x14ac:dyDescent="0.15">
      <c r="B1106" s="630">
        <v>17031005665</v>
      </c>
      <c r="C1106" s="630">
        <v>17031000792</v>
      </c>
      <c r="D1106" s="630">
        <v>17031006832</v>
      </c>
      <c r="E1106" s="630" t="s">
        <v>533</v>
      </c>
      <c r="F1106" s="630" t="s">
        <v>534</v>
      </c>
      <c r="G1106" s="630" t="s">
        <v>365</v>
      </c>
      <c r="H1106" s="630" t="s">
        <v>382</v>
      </c>
      <c r="I1106" s="630"/>
      <c r="J1106" s="630"/>
      <c r="K1106" s="630"/>
      <c r="L1106" s="630"/>
      <c r="M1106" s="630"/>
      <c r="N1106" s="630"/>
      <c r="O1106" s="630"/>
      <c r="P1106" s="630"/>
      <c r="Q1106" s="630"/>
      <c r="R1106" s="630"/>
      <c r="S1106" s="630"/>
      <c r="T1106" s="630"/>
      <c r="U1106" s="630" t="s">
        <v>559</v>
      </c>
      <c r="V1106" s="630">
        <v>1</v>
      </c>
      <c r="W1106" s="630" t="s">
        <v>560</v>
      </c>
      <c r="X1106" s="630" t="s">
        <v>541</v>
      </c>
      <c r="Y1106" s="630" t="s">
        <v>541</v>
      </c>
      <c r="Z1106" s="630">
        <v>6.9421999999999998E-2</v>
      </c>
      <c r="AA1106" s="630">
        <v>0.111724</v>
      </c>
      <c r="AB1106" s="631">
        <v>200</v>
      </c>
      <c r="AC1106" s="631">
        <v>13360</v>
      </c>
      <c r="AD1106" s="631">
        <f t="shared" si="17"/>
        <v>927.47791999999993</v>
      </c>
    </row>
    <row r="1107" spans="2:30" x14ac:dyDescent="0.15">
      <c r="B1107" s="630">
        <v>17043005906</v>
      </c>
      <c r="C1107" s="630">
        <v>17043004891</v>
      </c>
      <c r="D1107" s="630">
        <v>17043000939</v>
      </c>
      <c r="E1107" s="630" t="s">
        <v>533</v>
      </c>
      <c r="F1107" s="630" t="s">
        <v>534</v>
      </c>
      <c r="G1107" s="630" t="s">
        <v>367</v>
      </c>
      <c r="H1107" s="630" t="s">
        <v>381</v>
      </c>
      <c r="I1107" s="630"/>
      <c r="J1107" s="630" t="s">
        <v>535</v>
      </c>
      <c r="K1107" s="630" t="s">
        <v>536</v>
      </c>
      <c r="L1107" s="630" t="s">
        <v>382</v>
      </c>
      <c r="M1107" s="630"/>
      <c r="N1107" s="630"/>
      <c r="O1107" s="630"/>
      <c r="P1107" s="630"/>
      <c r="Q1107" s="630"/>
      <c r="R1107" s="630"/>
      <c r="S1107" s="630"/>
      <c r="T1107" s="630" t="s">
        <v>694</v>
      </c>
      <c r="U1107" s="630" t="s">
        <v>538</v>
      </c>
      <c r="V1107" s="630">
        <v>1</v>
      </c>
      <c r="W1107" s="630" t="s">
        <v>560</v>
      </c>
      <c r="X1107" s="630" t="s">
        <v>541</v>
      </c>
      <c r="Y1107" s="630" t="s">
        <v>541</v>
      </c>
      <c r="Z1107" s="630">
        <v>0.107955</v>
      </c>
      <c r="AA1107" s="630">
        <v>0.173737</v>
      </c>
      <c r="AB1107" s="631">
        <v>0</v>
      </c>
      <c r="AC1107" s="631">
        <v>0</v>
      </c>
      <c r="AD1107" s="631">
        <f t="shared" si="17"/>
        <v>0</v>
      </c>
    </row>
    <row r="1108" spans="2:30" x14ac:dyDescent="0.15">
      <c r="B1108" s="630">
        <v>17031005159</v>
      </c>
      <c r="C1108" s="630">
        <v>17031000585</v>
      </c>
      <c r="D1108" s="630">
        <v>17031004742</v>
      </c>
      <c r="E1108" s="630" t="s">
        <v>533</v>
      </c>
      <c r="F1108" s="630" t="s">
        <v>534</v>
      </c>
      <c r="G1108" s="630" t="s">
        <v>365</v>
      </c>
      <c r="H1108" s="630" t="s">
        <v>547</v>
      </c>
      <c r="I1108" s="630"/>
      <c r="J1108" s="630" t="s">
        <v>627</v>
      </c>
      <c r="K1108" s="630"/>
      <c r="L1108" s="630"/>
      <c r="M1108" s="630"/>
      <c r="N1108" s="630"/>
      <c r="O1108" s="630"/>
      <c r="P1108" s="630"/>
      <c r="Q1108" s="630"/>
      <c r="R1108" s="630"/>
      <c r="S1108" s="630"/>
      <c r="T1108" s="630"/>
      <c r="U1108" s="630" t="s">
        <v>538</v>
      </c>
      <c r="V1108" s="630">
        <v>4</v>
      </c>
      <c r="W1108" s="630" t="s">
        <v>545</v>
      </c>
      <c r="X1108" s="630" t="s">
        <v>541</v>
      </c>
      <c r="Y1108" s="630" t="s">
        <v>554</v>
      </c>
      <c r="Z1108" s="630">
        <v>0.66449000000000003</v>
      </c>
      <c r="AA1108" s="630">
        <v>1.0693950000000001</v>
      </c>
      <c r="AB1108" s="631">
        <v>0</v>
      </c>
      <c r="AC1108" s="631">
        <v>0</v>
      </c>
      <c r="AD1108" s="631">
        <f t="shared" si="17"/>
        <v>0</v>
      </c>
    </row>
    <row r="1109" spans="2:30" x14ac:dyDescent="0.15">
      <c r="B1109" s="630">
        <v>17031002998</v>
      </c>
      <c r="C1109" s="630">
        <v>17031000670</v>
      </c>
      <c r="D1109" s="630">
        <v>17031000664</v>
      </c>
      <c r="E1109" s="630" t="s">
        <v>533</v>
      </c>
      <c r="F1109" s="630" t="s">
        <v>534</v>
      </c>
      <c r="G1109" s="630" t="s">
        <v>365</v>
      </c>
      <c r="H1109" s="630" t="s">
        <v>381</v>
      </c>
      <c r="I1109" s="630"/>
      <c r="J1109" s="630" t="s">
        <v>542</v>
      </c>
      <c r="K1109" s="630" t="s">
        <v>577</v>
      </c>
      <c r="L1109" s="630" t="s">
        <v>572</v>
      </c>
      <c r="M1109" s="630" t="s">
        <v>547</v>
      </c>
      <c r="N1109" s="630" t="s">
        <v>382</v>
      </c>
      <c r="O1109" s="630"/>
      <c r="P1109" s="630"/>
      <c r="Q1109" s="630"/>
      <c r="R1109" s="630"/>
      <c r="S1109" s="630" t="s">
        <v>579</v>
      </c>
      <c r="T1109" s="630"/>
      <c r="U1109" s="630" t="s">
        <v>538</v>
      </c>
      <c r="V1109" s="630">
        <v>4</v>
      </c>
      <c r="W1109" s="630" t="s">
        <v>545</v>
      </c>
      <c r="X1109" s="630" t="s">
        <v>549</v>
      </c>
      <c r="Y1109" s="630" t="s">
        <v>540</v>
      </c>
      <c r="Z1109" s="630">
        <v>0.87194000000000005</v>
      </c>
      <c r="AA1109" s="630">
        <v>1.403254</v>
      </c>
      <c r="AB1109" s="631">
        <v>79786</v>
      </c>
      <c r="AC1109" s="631">
        <v>3912720</v>
      </c>
      <c r="AD1109" s="631">
        <f t="shared" si="17"/>
        <v>3411657.0768000004</v>
      </c>
    </row>
    <row r="1110" spans="2:30" x14ac:dyDescent="0.15">
      <c r="B1110" s="630">
        <v>17031003228</v>
      </c>
      <c r="C1110" s="630">
        <v>17031000372</v>
      </c>
      <c r="D1110" s="630">
        <v>17031004583</v>
      </c>
      <c r="E1110" s="630" t="s">
        <v>533</v>
      </c>
      <c r="F1110" s="630" t="s">
        <v>534</v>
      </c>
      <c r="G1110" s="630" t="s">
        <v>365</v>
      </c>
      <c r="H1110" s="630" t="s">
        <v>382</v>
      </c>
      <c r="I1110" s="630"/>
      <c r="J1110" s="630" t="s">
        <v>547</v>
      </c>
      <c r="K1110" s="630"/>
      <c r="L1110" s="630"/>
      <c r="M1110" s="630"/>
      <c r="N1110" s="630"/>
      <c r="O1110" s="630"/>
      <c r="P1110" s="630"/>
      <c r="Q1110" s="630"/>
      <c r="R1110" s="630"/>
      <c r="S1110" s="630" t="s">
        <v>565</v>
      </c>
      <c r="T1110" s="630"/>
      <c r="U1110" s="630" t="s">
        <v>538</v>
      </c>
      <c r="V1110" s="630">
        <v>2</v>
      </c>
      <c r="W1110" s="630" t="s">
        <v>566</v>
      </c>
      <c r="X1110" s="630" t="s">
        <v>541</v>
      </c>
      <c r="Y1110" s="630" t="s">
        <v>549</v>
      </c>
      <c r="Z1110" s="630">
        <v>1.753312</v>
      </c>
      <c r="AA1110" s="630">
        <v>2.8216869999999998</v>
      </c>
      <c r="AB1110" s="631">
        <v>0</v>
      </c>
      <c r="AC1110" s="631">
        <v>0</v>
      </c>
      <c r="AD1110" s="631">
        <f t="shared" si="17"/>
        <v>0</v>
      </c>
    </row>
    <row r="1111" spans="2:30" x14ac:dyDescent="0.15">
      <c r="B1111" s="630">
        <v>17031003579</v>
      </c>
      <c r="C1111" s="630">
        <v>17031001368</v>
      </c>
      <c r="D1111" s="630">
        <v>17031001373</v>
      </c>
      <c r="E1111" s="630" t="s">
        <v>533</v>
      </c>
      <c r="F1111" s="630" t="s">
        <v>534</v>
      </c>
      <c r="G1111" s="630" t="s">
        <v>365</v>
      </c>
      <c r="H1111" s="630" t="s">
        <v>557</v>
      </c>
      <c r="I1111" s="630"/>
      <c r="J1111" s="630" t="s">
        <v>381</v>
      </c>
      <c r="K1111" s="630" t="s">
        <v>535</v>
      </c>
      <c r="L1111" s="630" t="s">
        <v>552</v>
      </c>
      <c r="M1111" s="630" t="s">
        <v>551</v>
      </c>
      <c r="N1111" s="630" t="s">
        <v>615</v>
      </c>
      <c r="O1111" s="630" t="s">
        <v>543</v>
      </c>
      <c r="P1111" s="630" t="s">
        <v>382</v>
      </c>
      <c r="Q1111" s="630"/>
      <c r="R1111" s="630"/>
      <c r="S1111" s="630" t="s">
        <v>570</v>
      </c>
      <c r="T1111" s="630" t="s">
        <v>600</v>
      </c>
      <c r="U1111" s="630" t="s">
        <v>538</v>
      </c>
      <c r="V1111" s="630">
        <v>2</v>
      </c>
      <c r="W1111" s="630" t="s">
        <v>545</v>
      </c>
      <c r="X1111" s="630" t="s">
        <v>546</v>
      </c>
      <c r="Y1111" s="630" t="s">
        <v>554</v>
      </c>
      <c r="Z1111" s="630">
        <v>4.6850000000000003E-2</v>
      </c>
      <c r="AA1111" s="630">
        <v>7.5398000000000007E-2</v>
      </c>
      <c r="AB1111" s="631">
        <v>1195443</v>
      </c>
      <c r="AC1111" s="631">
        <v>40434913</v>
      </c>
      <c r="AD1111" s="631">
        <f t="shared" si="17"/>
        <v>1894375.67405</v>
      </c>
    </row>
    <row r="1112" spans="2:30" x14ac:dyDescent="0.15">
      <c r="B1112" s="630">
        <v>17031005454</v>
      </c>
      <c r="C1112" s="630">
        <v>17031007811</v>
      </c>
      <c r="D1112" s="630">
        <v>17031007812</v>
      </c>
      <c r="E1112" s="630" t="s">
        <v>533</v>
      </c>
      <c r="F1112" s="630" t="s">
        <v>534</v>
      </c>
      <c r="G1112" s="630" t="s">
        <v>365</v>
      </c>
      <c r="H1112" s="630" t="s">
        <v>613</v>
      </c>
      <c r="I1112" s="630"/>
      <c r="J1112" s="630" t="s">
        <v>577</v>
      </c>
      <c r="K1112" s="630" t="s">
        <v>572</v>
      </c>
      <c r="L1112" s="630"/>
      <c r="M1112" s="630"/>
      <c r="N1112" s="630"/>
      <c r="O1112" s="630"/>
      <c r="P1112" s="630"/>
      <c r="Q1112" s="630"/>
      <c r="R1112" s="630"/>
      <c r="S1112" s="630"/>
      <c r="T1112" s="630"/>
      <c r="U1112" s="630" t="s">
        <v>559</v>
      </c>
      <c r="V1112" s="630">
        <v>1</v>
      </c>
      <c r="W1112" s="630" t="s">
        <v>560</v>
      </c>
      <c r="X1112" s="630" t="s">
        <v>541</v>
      </c>
      <c r="Y1112" s="630" t="s">
        <v>541</v>
      </c>
      <c r="Z1112" s="630">
        <v>0.415103</v>
      </c>
      <c r="AA1112" s="630">
        <v>0.668045</v>
      </c>
      <c r="AB1112" s="631">
        <v>0</v>
      </c>
      <c r="AC1112" s="631">
        <v>0</v>
      </c>
      <c r="AD1112" s="631">
        <f t="shared" si="17"/>
        <v>0</v>
      </c>
    </row>
    <row r="1113" spans="2:30" x14ac:dyDescent="0.15">
      <c r="B1113" s="630">
        <v>17031006132</v>
      </c>
      <c r="C1113" s="630">
        <v>17031000658</v>
      </c>
      <c r="D1113" s="630">
        <v>17031000663</v>
      </c>
      <c r="E1113" s="630" t="s">
        <v>533</v>
      </c>
      <c r="F1113" s="630" t="s">
        <v>534</v>
      </c>
      <c r="G1113" s="630" t="s">
        <v>365</v>
      </c>
      <c r="H1113" s="630" t="s">
        <v>382</v>
      </c>
      <c r="I1113" s="630"/>
      <c r="J1113" s="630" t="s">
        <v>542</v>
      </c>
      <c r="K1113" s="630" t="s">
        <v>577</v>
      </c>
      <c r="L1113" s="630" t="s">
        <v>572</v>
      </c>
      <c r="M1113" s="630"/>
      <c r="N1113" s="630"/>
      <c r="O1113" s="630"/>
      <c r="P1113" s="630"/>
      <c r="Q1113" s="630"/>
      <c r="R1113" s="630"/>
      <c r="S1113" s="630"/>
      <c r="T1113" s="630"/>
      <c r="U1113" s="630" t="s">
        <v>538</v>
      </c>
      <c r="V1113" s="630">
        <v>1</v>
      </c>
      <c r="W1113" s="630" t="s">
        <v>560</v>
      </c>
      <c r="X1113" s="630" t="s">
        <v>541</v>
      </c>
      <c r="Y1113" s="630" t="s">
        <v>541</v>
      </c>
      <c r="Z1113" s="630">
        <v>8.6028999999999994E-2</v>
      </c>
      <c r="AA1113" s="630">
        <v>0.13845099999999999</v>
      </c>
      <c r="AB1113" s="631">
        <v>9716</v>
      </c>
      <c r="AC1113" s="631">
        <v>816214</v>
      </c>
      <c r="AD1113" s="631">
        <f t="shared" si="17"/>
        <v>70218.07420599999</v>
      </c>
    </row>
    <row r="1114" spans="2:30" x14ac:dyDescent="0.15">
      <c r="B1114" s="630">
        <v>17031004071</v>
      </c>
      <c r="C1114" s="630">
        <v>17031007606</v>
      </c>
      <c r="D1114" s="630">
        <v>17031004633</v>
      </c>
      <c r="E1114" s="630" t="s">
        <v>533</v>
      </c>
      <c r="F1114" s="630" t="s">
        <v>534</v>
      </c>
      <c r="G1114" s="630" t="s">
        <v>365</v>
      </c>
      <c r="H1114" s="630" t="s">
        <v>551</v>
      </c>
      <c r="I1114" s="630"/>
      <c r="J1114" s="630" t="s">
        <v>535</v>
      </c>
      <c r="K1114" s="630"/>
      <c r="L1114" s="630"/>
      <c r="M1114" s="630"/>
      <c r="N1114" s="630"/>
      <c r="O1114" s="630"/>
      <c r="P1114" s="630"/>
      <c r="Q1114" s="630"/>
      <c r="R1114" s="630"/>
      <c r="S1114" s="630" t="s">
        <v>667</v>
      </c>
      <c r="T1114" s="630"/>
      <c r="U1114" s="630" t="s">
        <v>538</v>
      </c>
      <c r="V1114" s="630">
        <v>2</v>
      </c>
      <c r="W1114" s="630" t="s">
        <v>582</v>
      </c>
      <c r="X1114" s="630" t="s">
        <v>541</v>
      </c>
      <c r="Y1114" s="630" t="s">
        <v>541</v>
      </c>
      <c r="Z1114" s="630">
        <v>0.65344199999999997</v>
      </c>
      <c r="AA1114" s="630">
        <v>1.051615</v>
      </c>
      <c r="AB1114" s="631">
        <v>0</v>
      </c>
      <c r="AC1114" s="631">
        <v>0</v>
      </c>
      <c r="AD1114" s="631">
        <f t="shared" si="17"/>
        <v>0</v>
      </c>
    </row>
    <row r="1115" spans="2:30" x14ac:dyDescent="0.15">
      <c r="B1115" s="630">
        <v>17031006407</v>
      </c>
      <c r="C1115" s="630">
        <v>17031004705</v>
      </c>
      <c r="D1115" s="630">
        <v>17031004704</v>
      </c>
      <c r="E1115" s="630" t="s">
        <v>533</v>
      </c>
      <c r="F1115" s="630" t="s">
        <v>534</v>
      </c>
      <c r="G1115" s="630" t="s">
        <v>365</v>
      </c>
      <c r="H1115" s="630" t="s">
        <v>547</v>
      </c>
      <c r="I1115" s="630"/>
      <c r="J1115" s="630"/>
      <c r="K1115" s="630"/>
      <c r="L1115" s="630"/>
      <c r="M1115" s="630"/>
      <c r="N1115" s="630"/>
      <c r="O1115" s="630"/>
      <c r="P1115" s="630"/>
      <c r="Q1115" s="630"/>
      <c r="R1115" s="630"/>
      <c r="S1115" s="630" t="s">
        <v>611</v>
      </c>
      <c r="T1115" s="630"/>
      <c r="U1115" s="630" t="s">
        <v>538</v>
      </c>
      <c r="V1115" s="630">
        <v>2</v>
      </c>
      <c r="W1115" s="630" t="s">
        <v>582</v>
      </c>
      <c r="X1115" s="630" t="s">
        <v>541</v>
      </c>
      <c r="Y1115" s="630" t="s">
        <v>540</v>
      </c>
      <c r="Z1115" s="630">
        <v>0.50446299999999999</v>
      </c>
      <c r="AA1115" s="630">
        <v>0.81185700000000005</v>
      </c>
      <c r="AB1115" s="631">
        <v>0</v>
      </c>
      <c r="AC1115" s="631">
        <v>0</v>
      </c>
      <c r="AD1115" s="631">
        <f t="shared" si="17"/>
        <v>0</v>
      </c>
    </row>
    <row r="1116" spans="2:30" x14ac:dyDescent="0.15">
      <c r="B1116" s="630">
        <v>17197006555</v>
      </c>
      <c r="C1116" s="630">
        <v>17197006581</v>
      </c>
      <c r="D1116" s="630">
        <v>17197004514</v>
      </c>
      <c r="E1116" s="630" t="s">
        <v>533</v>
      </c>
      <c r="F1116" s="630" t="s">
        <v>534</v>
      </c>
      <c r="G1116" s="630" t="s">
        <v>377</v>
      </c>
      <c r="H1116" s="630" t="s">
        <v>381</v>
      </c>
      <c r="I1116" s="630"/>
      <c r="J1116" s="630" t="s">
        <v>382</v>
      </c>
      <c r="K1116" s="630"/>
      <c r="L1116" s="630"/>
      <c r="M1116" s="630"/>
      <c r="N1116" s="630"/>
      <c r="O1116" s="630"/>
      <c r="P1116" s="630"/>
      <c r="Q1116" s="630"/>
      <c r="R1116" s="630"/>
      <c r="S1116" s="630" t="s">
        <v>651</v>
      </c>
      <c r="T1116" s="630" t="s">
        <v>651</v>
      </c>
      <c r="U1116" s="630" t="s">
        <v>559</v>
      </c>
      <c r="V1116" s="630">
        <v>1</v>
      </c>
      <c r="W1116" s="630" t="s">
        <v>539</v>
      </c>
      <c r="X1116" s="630" t="s">
        <v>541</v>
      </c>
      <c r="Y1116" s="630" t="s">
        <v>541</v>
      </c>
      <c r="Z1116" s="630">
        <v>1.069526</v>
      </c>
      <c r="AA1116" s="630">
        <v>1.721239</v>
      </c>
      <c r="AB1116" s="631">
        <v>0</v>
      </c>
      <c r="AC1116" s="631">
        <v>0</v>
      </c>
      <c r="AD1116" s="631">
        <f t="shared" si="17"/>
        <v>0</v>
      </c>
    </row>
    <row r="1117" spans="2:30" x14ac:dyDescent="0.15">
      <c r="B1117" s="630">
        <v>17031002250</v>
      </c>
      <c r="C1117" s="630">
        <v>17031000571</v>
      </c>
      <c r="D1117" s="630">
        <v>17031000570</v>
      </c>
      <c r="E1117" s="630" t="s">
        <v>533</v>
      </c>
      <c r="F1117" s="630" t="s">
        <v>534</v>
      </c>
      <c r="G1117" s="630" t="s">
        <v>365</v>
      </c>
      <c r="H1117" s="630" t="s">
        <v>382</v>
      </c>
      <c r="I1117" s="630"/>
      <c r="J1117" s="630" t="s">
        <v>572</v>
      </c>
      <c r="K1117" s="630" t="s">
        <v>547</v>
      </c>
      <c r="L1117" s="630"/>
      <c r="M1117" s="630"/>
      <c r="N1117" s="630"/>
      <c r="O1117" s="630"/>
      <c r="P1117" s="630"/>
      <c r="Q1117" s="630"/>
      <c r="R1117" s="630"/>
      <c r="S1117" s="630" t="s">
        <v>583</v>
      </c>
      <c r="T1117" s="630" t="s">
        <v>674</v>
      </c>
      <c r="U1117" s="630" t="s">
        <v>538</v>
      </c>
      <c r="V1117" s="630">
        <v>4</v>
      </c>
      <c r="W1117" s="630" t="s">
        <v>545</v>
      </c>
      <c r="X1117" s="630" t="s">
        <v>580</v>
      </c>
      <c r="Y1117" s="630" t="s">
        <v>540</v>
      </c>
      <c r="Z1117" s="630">
        <v>0.21460799999999999</v>
      </c>
      <c r="AA1117" s="630">
        <v>0.34537800000000002</v>
      </c>
      <c r="AB1117" s="631">
        <v>858401</v>
      </c>
      <c r="AC1117" s="631">
        <v>28501686</v>
      </c>
      <c r="AD1117" s="631">
        <f t="shared" si="17"/>
        <v>6116689.8290879996</v>
      </c>
    </row>
    <row r="1118" spans="2:30" x14ac:dyDescent="0.15">
      <c r="B1118" s="630">
        <v>17043003531</v>
      </c>
      <c r="C1118" s="630">
        <v>17999020085</v>
      </c>
      <c r="D1118" s="630">
        <v>17043000363</v>
      </c>
      <c r="E1118" s="630" t="s">
        <v>533</v>
      </c>
      <c r="F1118" s="630" t="s">
        <v>534</v>
      </c>
      <c r="G1118" s="630" t="s">
        <v>367</v>
      </c>
      <c r="H1118" s="630" t="s">
        <v>382</v>
      </c>
      <c r="I1118" s="630"/>
      <c r="J1118" s="630"/>
      <c r="K1118" s="630"/>
      <c r="L1118" s="630"/>
      <c r="M1118" s="630"/>
      <c r="N1118" s="630"/>
      <c r="O1118" s="630"/>
      <c r="P1118" s="630"/>
      <c r="Q1118" s="630"/>
      <c r="R1118" s="630"/>
      <c r="S1118" s="630" t="s">
        <v>586</v>
      </c>
      <c r="T1118" s="630"/>
      <c r="U1118" s="630" t="s">
        <v>538</v>
      </c>
      <c r="V1118" s="630">
        <v>2</v>
      </c>
      <c r="W1118" s="630" t="s">
        <v>582</v>
      </c>
      <c r="X1118" s="630" t="s">
        <v>549</v>
      </c>
      <c r="Y1118" s="630" t="s">
        <v>549</v>
      </c>
      <c r="Z1118" s="630">
        <v>2.5207700000000002</v>
      </c>
      <c r="AA1118" s="630">
        <v>4.056794</v>
      </c>
      <c r="AB1118" s="631">
        <v>88508</v>
      </c>
      <c r="AC1118" s="631">
        <v>9870362</v>
      </c>
      <c r="AD1118" s="631">
        <f t="shared" si="17"/>
        <v>24880912.418740001</v>
      </c>
    </row>
    <row r="1119" spans="2:30" x14ac:dyDescent="0.15">
      <c r="B1119" s="630">
        <v>17031004260</v>
      </c>
      <c r="C1119" s="630">
        <v>17031000302</v>
      </c>
      <c r="D1119" s="630">
        <v>17031004616</v>
      </c>
      <c r="E1119" s="630" t="s">
        <v>533</v>
      </c>
      <c r="F1119" s="630" t="s">
        <v>534</v>
      </c>
      <c r="G1119" s="630" t="s">
        <v>365</v>
      </c>
      <c r="H1119" s="630" t="s">
        <v>552</v>
      </c>
      <c r="I1119" s="630"/>
      <c r="J1119" s="630" t="s">
        <v>542</v>
      </c>
      <c r="K1119" s="630" t="s">
        <v>547</v>
      </c>
      <c r="L1119" s="630" t="s">
        <v>563</v>
      </c>
      <c r="M1119" s="630"/>
      <c r="N1119" s="630"/>
      <c r="O1119" s="630"/>
      <c r="P1119" s="630"/>
      <c r="Q1119" s="630"/>
      <c r="R1119" s="630"/>
      <c r="S1119" s="630" t="s">
        <v>564</v>
      </c>
      <c r="T1119" s="630"/>
      <c r="U1119" s="630" t="s">
        <v>538</v>
      </c>
      <c r="V1119" s="630">
        <v>2</v>
      </c>
      <c r="W1119" s="630" t="s">
        <v>545</v>
      </c>
      <c r="X1119" s="630" t="s">
        <v>541</v>
      </c>
      <c r="Y1119" s="630" t="s">
        <v>549</v>
      </c>
      <c r="Z1119" s="630">
        <v>1.728121</v>
      </c>
      <c r="AA1119" s="630">
        <v>2.7811460000000001</v>
      </c>
      <c r="AB1119" s="631">
        <v>27538</v>
      </c>
      <c r="AC1119" s="631">
        <v>2609253</v>
      </c>
      <c r="AD1119" s="631">
        <f t="shared" si="17"/>
        <v>4509104.9036130002</v>
      </c>
    </row>
    <row r="1120" spans="2:30" x14ac:dyDescent="0.15">
      <c r="B1120" s="630">
        <v>17031004508</v>
      </c>
      <c r="C1120" s="630">
        <v>17031000712</v>
      </c>
      <c r="D1120" s="630">
        <v>17031000701</v>
      </c>
      <c r="E1120" s="630" t="s">
        <v>533</v>
      </c>
      <c r="F1120" s="630" t="s">
        <v>534</v>
      </c>
      <c r="G1120" s="630" t="s">
        <v>365</v>
      </c>
      <c r="H1120" s="630" t="s">
        <v>381</v>
      </c>
      <c r="I1120" s="630"/>
      <c r="J1120" s="630"/>
      <c r="K1120" s="630"/>
      <c r="L1120" s="630"/>
      <c r="M1120" s="630"/>
      <c r="N1120" s="630"/>
      <c r="O1120" s="630"/>
      <c r="P1120" s="630"/>
      <c r="Q1120" s="630"/>
      <c r="R1120" s="630"/>
      <c r="S1120" s="630"/>
      <c r="T1120" s="630"/>
      <c r="U1120" s="630" t="s">
        <v>559</v>
      </c>
      <c r="V1120" s="630">
        <v>1</v>
      </c>
      <c r="W1120" s="630" t="s">
        <v>560</v>
      </c>
      <c r="X1120" s="630" t="s">
        <v>541</v>
      </c>
      <c r="Y1120" s="630" t="s">
        <v>541</v>
      </c>
      <c r="Z1120" s="630">
        <v>0.35751100000000002</v>
      </c>
      <c r="AA1120" s="630">
        <v>0.57535899999999995</v>
      </c>
      <c r="AB1120" s="631">
        <v>0</v>
      </c>
      <c r="AC1120" s="631">
        <v>0</v>
      </c>
      <c r="AD1120" s="631">
        <f t="shared" si="17"/>
        <v>0</v>
      </c>
    </row>
    <row r="1121" spans="2:30" x14ac:dyDescent="0.15">
      <c r="B1121" s="630">
        <v>17031006168</v>
      </c>
      <c r="C1121" s="630">
        <v>17031000680</v>
      </c>
      <c r="D1121" s="630">
        <v>17031000694</v>
      </c>
      <c r="E1121" s="630" t="s">
        <v>533</v>
      </c>
      <c r="F1121" s="630" t="s">
        <v>534</v>
      </c>
      <c r="G1121" s="630" t="s">
        <v>365</v>
      </c>
      <c r="H1121" s="630" t="s">
        <v>551</v>
      </c>
      <c r="I1121" s="630"/>
      <c r="J1121" s="630"/>
      <c r="K1121" s="630"/>
      <c r="L1121" s="630"/>
      <c r="M1121" s="630"/>
      <c r="N1121" s="630"/>
      <c r="O1121" s="630"/>
      <c r="P1121" s="630"/>
      <c r="Q1121" s="630"/>
      <c r="R1121" s="630"/>
      <c r="S1121" s="630" t="s">
        <v>600</v>
      </c>
      <c r="T1121" s="630"/>
      <c r="U1121" s="630" t="s">
        <v>538</v>
      </c>
      <c r="V1121" s="630">
        <v>2</v>
      </c>
      <c r="W1121" s="630" t="s">
        <v>582</v>
      </c>
      <c r="X1121" s="630" t="s">
        <v>549</v>
      </c>
      <c r="Y1121" s="630" t="s">
        <v>554</v>
      </c>
      <c r="Z1121" s="630">
        <v>0.44461600000000001</v>
      </c>
      <c r="AA1121" s="630">
        <v>0.71554200000000001</v>
      </c>
      <c r="AB1121" s="631">
        <v>168273</v>
      </c>
      <c r="AC1121" s="631">
        <v>5149362</v>
      </c>
      <c r="AD1121" s="631">
        <f t="shared" si="17"/>
        <v>2289488.7349920003</v>
      </c>
    </row>
    <row r="1122" spans="2:30" x14ac:dyDescent="0.15">
      <c r="B1122" s="630">
        <v>17031006430</v>
      </c>
      <c r="C1122" s="630">
        <v>17031001273</v>
      </c>
      <c r="D1122" s="630">
        <v>17031001274</v>
      </c>
      <c r="E1122" s="630" t="s">
        <v>533</v>
      </c>
      <c r="F1122" s="630" t="s">
        <v>534</v>
      </c>
      <c r="G1122" s="630" t="s">
        <v>365</v>
      </c>
      <c r="H1122" s="630" t="s">
        <v>613</v>
      </c>
      <c r="I1122" s="630"/>
      <c r="J1122" s="630" t="s">
        <v>577</v>
      </c>
      <c r="K1122" s="630" t="s">
        <v>572</v>
      </c>
      <c r="L1122" s="630"/>
      <c r="M1122" s="630"/>
      <c r="N1122" s="630"/>
      <c r="O1122" s="630"/>
      <c r="P1122" s="630"/>
      <c r="Q1122" s="630"/>
      <c r="R1122" s="630"/>
      <c r="S1122" s="630"/>
      <c r="T1122" s="630"/>
      <c r="U1122" s="630" t="s">
        <v>559</v>
      </c>
      <c r="V1122" s="630">
        <v>1</v>
      </c>
      <c r="W1122" s="630" t="s">
        <v>560</v>
      </c>
      <c r="X1122" s="630" t="s">
        <v>541</v>
      </c>
      <c r="Y1122" s="630" t="s">
        <v>541</v>
      </c>
      <c r="Z1122" s="630">
        <v>0.108279</v>
      </c>
      <c r="AA1122" s="630">
        <v>0.174259</v>
      </c>
      <c r="AB1122" s="631">
        <v>0</v>
      </c>
      <c r="AC1122" s="631">
        <v>0</v>
      </c>
      <c r="AD1122" s="631">
        <f t="shared" si="17"/>
        <v>0</v>
      </c>
    </row>
    <row r="1123" spans="2:30" x14ac:dyDescent="0.15">
      <c r="B1123" s="630">
        <v>17031008580</v>
      </c>
      <c r="C1123" s="630">
        <v>17031007052</v>
      </c>
      <c r="D1123" s="630">
        <v>17031001270</v>
      </c>
      <c r="E1123" s="630" t="s">
        <v>533</v>
      </c>
      <c r="F1123" s="630" t="s">
        <v>534</v>
      </c>
      <c r="G1123" s="630" t="s">
        <v>365</v>
      </c>
      <c r="H1123" s="630" t="s">
        <v>547</v>
      </c>
      <c r="I1123" s="630"/>
      <c r="J1123" s="630"/>
      <c r="K1123" s="630"/>
      <c r="L1123" s="630"/>
      <c r="M1123" s="630"/>
      <c r="N1123" s="630"/>
      <c r="O1123" s="630"/>
      <c r="P1123" s="630"/>
      <c r="Q1123" s="630"/>
      <c r="R1123" s="630"/>
      <c r="S1123" s="630" t="s">
        <v>611</v>
      </c>
      <c r="T1123" s="630"/>
      <c r="U1123" s="630" t="s">
        <v>538</v>
      </c>
      <c r="V1123" s="630">
        <v>2</v>
      </c>
      <c r="W1123" s="630" t="s">
        <v>582</v>
      </c>
      <c r="X1123" s="630" t="s">
        <v>541</v>
      </c>
      <c r="Y1123" s="630" t="s">
        <v>540</v>
      </c>
      <c r="Z1123" s="630">
        <v>5.0701000000000003E-2</v>
      </c>
      <c r="AA1123" s="630">
        <v>8.1595000000000001E-2</v>
      </c>
      <c r="AB1123" s="631">
        <v>0</v>
      </c>
      <c r="AC1123" s="631">
        <v>0</v>
      </c>
      <c r="AD1123" s="631">
        <f t="shared" si="17"/>
        <v>0</v>
      </c>
    </row>
    <row r="1124" spans="2:30" x14ac:dyDescent="0.15">
      <c r="B1124" s="630">
        <v>17031009464</v>
      </c>
      <c r="C1124" s="630">
        <v>17031007567</v>
      </c>
      <c r="D1124" s="630">
        <v>17031000352</v>
      </c>
      <c r="E1124" s="630" t="s">
        <v>533</v>
      </c>
      <c r="F1124" s="630" t="s">
        <v>534</v>
      </c>
      <c r="G1124" s="630" t="s">
        <v>365</v>
      </c>
      <c r="H1124" s="630" t="s">
        <v>590</v>
      </c>
      <c r="I1124" s="630"/>
      <c r="J1124" s="630"/>
      <c r="K1124" s="630"/>
      <c r="L1124" s="630"/>
      <c r="M1124" s="630"/>
      <c r="N1124" s="630"/>
      <c r="O1124" s="630"/>
      <c r="P1124" s="630"/>
      <c r="Q1124" s="630"/>
      <c r="R1124" s="630"/>
      <c r="S1124" s="630"/>
      <c r="T1124" s="630"/>
      <c r="U1124" s="630" t="s">
        <v>559</v>
      </c>
      <c r="V1124" s="630">
        <v>1</v>
      </c>
      <c r="W1124" s="630" t="s">
        <v>560</v>
      </c>
      <c r="X1124" s="630" t="s">
        <v>541</v>
      </c>
      <c r="Y1124" s="630" t="s">
        <v>541</v>
      </c>
      <c r="Z1124" s="630">
        <v>0.30198199999999997</v>
      </c>
      <c r="AA1124" s="630">
        <v>0.48599399999999998</v>
      </c>
      <c r="AB1124" s="631">
        <v>0</v>
      </c>
      <c r="AC1124" s="631">
        <v>0</v>
      </c>
      <c r="AD1124" s="631">
        <f t="shared" si="17"/>
        <v>0</v>
      </c>
    </row>
    <row r="1125" spans="2:30" x14ac:dyDescent="0.15">
      <c r="B1125" s="630">
        <v>17043003530</v>
      </c>
      <c r="C1125" s="630">
        <v>17043004770</v>
      </c>
      <c r="D1125" s="630">
        <v>17043007347</v>
      </c>
      <c r="E1125" s="630" t="s">
        <v>533</v>
      </c>
      <c r="F1125" s="630" t="s">
        <v>534</v>
      </c>
      <c r="G1125" s="630" t="s">
        <v>367</v>
      </c>
      <c r="H1125" s="630" t="s">
        <v>552</v>
      </c>
      <c r="I1125" s="630"/>
      <c r="J1125" s="630"/>
      <c r="K1125" s="630"/>
      <c r="L1125" s="630"/>
      <c r="M1125" s="630"/>
      <c r="N1125" s="630"/>
      <c r="O1125" s="630"/>
      <c r="P1125" s="630"/>
      <c r="Q1125" s="630"/>
      <c r="R1125" s="630"/>
      <c r="S1125" s="630"/>
      <c r="T1125" s="630"/>
      <c r="U1125" s="630" t="s">
        <v>559</v>
      </c>
      <c r="V1125" s="630">
        <v>1</v>
      </c>
      <c r="W1125" s="630" t="s">
        <v>560</v>
      </c>
      <c r="X1125" s="630" t="s">
        <v>541</v>
      </c>
      <c r="Y1125" s="630" t="s">
        <v>541</v>
      </c>
      <c r="Z1125" s="630">
        <v>0.21829000000000001</v>
      </c>
      <c r="AA1125" s="630">
        <v>0.35130400000000001</v>
      </c>
      <c r="AB1125" s="631">
        <v>0</v>
      </c>
      <c r="AC1125" s="631">
        <v>0</v>
      </c>
      <c r="AD1125" s="631">
        <f t="shared" si="17"/>
        <v>0</v>
      </c>
    </row>
    <row r="1126" spans="2:30" x14ac:dyDescent="0.15">
      <c r="B1126" s="630">
        <v>17097002137</v>
      </c>
      <c r="C1126" s="630">
        <v>17097007543</v>
      </c>
      <c r="D1126" s="630">
        <v>17097000059</v>
      </c>
      <c r="E1126" s="630" t="s">
        <v>533</v>
      </c>
      <c r="F1126" s="630" t="s">
        <v>534</v>
      </c>
      <c r="G1126" s="630" t="s">
        <v>373</v>
      </c>
      <c r="H1126" s="630" t="s">
        <v>382</v>
      </c>
      <c r="I1126" s="630"/>
      <c r="J1126" s="630"/>
      <c r="K1126" s="630"/>
      <c r="L1126" s="630"/>
      <c r="M1126" s="630"/>
      <c r="N1126" s="630"/>
      <c r="O1126" s="630"/>
      <c r="P1126" s="630"/>
      <c r="Q1126" s="630"/>
      <c r="R1126" s="630"/>
      <c r="S1126" s="630" t="s">
        <v>586</v>
      </c>
      <c r="T1126" s="630"/>
      <c r="U1126" s="630" t="s">
        <v>538</v>
      </c>
      <c r="V1126" s="630">
        <v>1</v>
      </c>
      <c r="W1126" s="630" t="s">
        <v>582</v>
      </c>
      <c r="X1126" s="630" t="s">
        <v>549</v>
      </c>
      <c r="Y1126" s="630" t="s">
        <v>549</v>
      </c>
      <c r="Z1126" s="630">
        <v>3.034586</v>
      </c>
      <c r="AA1126" s="630">
        <v>4.8837020000000004</v>
      </c>
      <c r="AB1126" s="631">
        <v>84965</v>
      </c>
      <c r="AC1126" s="631">
        <v>9450467</v>
      </c>
      <c r="AD1126" s="631">
        <f t="shared" si="17"/>
        <v>28678254.851661999</v>
      </c>
    </row>
    <row r="1127" spans="2:30" x14ac:dyDescent="0.15">
      <c r="B1127" s="630">
        <v>17031003490</v>
      </c>
      <c r="C1127" s="630">
        <v>17031000967</v>
      </c>
      <c r="D1127" s="630">
        <v>17031000901</v>
      </c>
      <c r="E1127" s="630" t="s">
        <v>533</v>
      </c>
      <c r="F1127" s="630" t="s">
        <v>534</v>
      </c>
      <c r="G1127" s="630" t="s">
        <v>365</v>
      </c>
      <c r="H1127" s="630" t="s">
        <v>381</v>
      </c>
      <c r="I1127" s="630"/>
      <c r="J1127" s="630" t="s">
        <v>551</v>
      </c>
      <c r="K1127" s="630" t="s">
        <v>543</v>
      </c>
      <c r="L1127" s="630" t="s">
        <v>382</v>
      </c>
      <c r="M1127" s="630"/>
      <c r="N1127" s="630"/>
      <c r="O1127" s="630"/>
      <c r="P1127" s="630"/>
      <c r="Q1127" s="630"/>
      <c r="R1127" s="630"/>
      <c r="S1127" s="630" t="s">
        <v>647</v>
      </c>
      <c r="T1127" s="630"/>
      <c r="U1127" s="630" t="s">
        <v>538</v>
      </c>
      <c r="V1127" s="630">
        <v>2</v>
      </c>
      <c r="W1127" s="630" t="s">
        <v>545</v>
      </c>
      <c r="X1127" s="630" t="s">
        <v>580</v>
      </c>
      <c r="Y1127" s="630" t="s">
        <v>549</v>
      </c>
      <c r="Z1127" s="630">
        <v>1.4032910000000001</v>
      </c>
      <c r="AA1127" s="630">
        <v>2.2583829999999998</v>
      </c>
      <c r="AB1127" s="631">
        <v>2311976</v>
      </c>
      <c r="AC1127" s="631">
        <v>43666756</v>
      </c>
      <c r="AD1127" s="631">
        <f t="shared" si="17"/>
        <v>61277165.693996005</v>
      </c>
    </row>
    <row r="1128" spans="2:30" x14ac:dyDescent="0.15">
      <c r="B1128" s="630">
        <v>17031003674</v>
      </c>
      <c r="C1128" s="630">
        <v>17031007051</v>
      </c>
      <c r="D1128" s="630">
        <v>17031007052</v>
      </c>
      <c r="E1128" s="630" t="s">
        <v>533</v>
      </c>
      <c r="F1128" s="630" t="s">
        <v>534</v>
      </c>
      <c r="G1128" s="630" t="s">
        <v>365</v>
      </c>
      <c r="H1128" s="630" t="s">
        <v>547</v>
      </c>
      <c r="I1128" s="630"/>
      <c r="J1128" s="630"/>
      <c r="K1128" s="630"/>
      <c r="L1128" s="630"/>
      <c r="M1128" s="630"/>
      <c r="N1128" s="630"/>
      <c r="O1128" s="630"/>
      <c r="P1128" s="630"/>
      <c r="Q1128" s="630"/>
      <c r="R1128" s="630"/>
      <c r="S1128" s="630" t="s">
        <v>611</v>
      </c>
      <c r="T1128" s="630"/>
      <c r="U1128" s="630" t="s">
        <v>538</v>
      </c>
      <c r="V1128" s="630">
        <v>2</v>
      </c>
      <c r="W1128" s="630" t="s">
        <v>582</v>
      </c>
      <c r="X1128" s="630" t="s">
        <v>541</v>
      </c>
      <c r="Y1128" s="630" t="s">
        <v>540</v>
      </c>
      <c r="Z1128" s="630">
        <v>0.36161900000000002</v>
      </c>
      <c r="AA1128" s="630">
        <v>0.58196999999999999</v>
      </c>
      <c r="AB1128" s="631">
        <v>0</v>
      </c>
      <c r="AC1128" s="631">
        <v>0</v>
      </c>
      <c r="AD1128" s="631">
        <f t="shared" si="17"/>
        <v>0</v>
      </c>
    </row>
    <row r="1129" spans="2:30" x14ac:dyDescent="0.15">
      <c r="B1129" s="630">
        <v>17043003969</v>
      </c>
      <c r="C1129" s="630">
        <v>17999021568</v>
      </c>
      <c r="D1129" s="630">
        <v>17043000935</v>
      </c>
      <c r="E1129" s="630" t="s">
        <v>533</v>
      </c>
      <c r="F1129" s="630" t="s">
        <v>534</v>
      </c>
      <c r="G1129" s="630" t="s">
        <v>367</v>
      </c>
      <c r="H1129" s="630" t="s">
        <v>381</v>
      </c>
      <c r="I1129" s="630"/>
      <c r="J1129" s="630" t="s">
        <v>542</v>
      </c>
      <c r="K1129" s="630" t="s">
        <v>578</v>
      </c>
      <c r="L1129" s="630" t="s">
        <v>547</v>
      </c>
      <c r="M1129" s="630" t="s">
        <v>382</v>
      </c>
      <c r="N1129" s="630"/>
      <c r="O1129" s="630"/>
      <c r="P1129" s="630"/>
      <c r="Q1129" s="630"/>
      <c r="R1129" s="630"/>
      <c r="S1129" s="630" t="s">
        <v>579</v>
      </c>
      <c r="T1129" s="630" t="s">
        <v>694</v>
      </c>
      <c r="U1129" s="630" t="s">
        <v>538</v>
      </c>
      <c r="V1129" s="630">
        <v>3</v>
      </c>
      <c r="W1129" s="630" t="s">
        <v>545</v>
      </c>
      <c r="X1129" s="630" t="s">
        <v>575</v>
      </c>
      <c r="Y1129" s="630" t="s">
        <v>540</v>
      </c>
      <c r="Z1129" s="630">
        <v>0.93681000000000003</v>
      </c>
      <c r="AA1129" s="630">
        <v>1.5076529999999999</v>
      </c>
      <c r="AB1129" s="631">
        <v>1187105</v>
      </c>
      <c r="AC1129" s="631">
        <v>47005432</v>
      </c>
      <c r="AD1129" s="631">
        <f t="shared" si="17"/>
        <v>44035158.75192</v>
      </c>
    </row>
    <row r="1130" spans="2:30" x14ac:dyDescent="0.15">
      <c r="B1130" s="630">
        <v>17197005682</v>
      </c>
      <c r="C1130" s="630">
        <v>17197001493</v>
      </c>
      <c r="D1130" s="630">
        <v>17197001485</v>
      </c>
      <c r="E1130" s="630" t="s">
        <v>533</v>
      </c>
      <c r="F1130" s="630" t="s">
        <v>534</v>
      </c>
      <c r="G1130" s="630" t="s">
        <v>377</v>
      </c>
      <c r="H1130" s="630" t="s">
        <v>535</v>
      </c>
      <c r="I1130" s="630"/>
      <c r="J1130" s="630" t="s">
        <v>547</v>
      </c>
      <c r="K1130" s="630"/>
      <c r="L1130" s="630"/>
      <c r="M1130" s="630"/>
      <c r="N1130" s="630"/>
      <c r="O1130" s="630"/>
      <c r="P1130" s="630"/>
      <c r="Q1130" s="630"/>
      <c r="R1130" s="630"/>
      <c r="S1130" s="630" t="s">
        <v>601</v>
      </c>
      <c r="T1130" s="630"/>
      <c r="U1130" s="630" t="s">
        <v>538</v>
      </c>
      <c r="V1130" s="630">
        <v>1</v>
      </c>
      <c r="W1130" s="630" t="s">
        <v>560</v>
      </c>
      <c r="X1130" s="630" t="s">
        <v>541</v>
      </c>
      <c r="Y1130" s="630" t="s">
        <v>541</v>
      </c>
      <c r="Z1130" s="630">
        <v>0.14303199999999999</v>
      </c>
      <c r="AA1130" s="630">
        <v>0.230188</v>
      </c>
      <c r="AB1130" s="631">
        <v>0</v>
      </c>
      <c r="AC1130" s="631">
        <v>0</v>
      </c>
      <c r="AD1130" s="631">
        <f t="shared" si="17"/>
        <v>0</v>
      </c>
    </row>
    <row r="1131" spans="2:30" x14ac:dyDescent="0.15">
      <c r="B1131" s="630">
        <v>17031006500</v>
      </c>
      <c r="C1131" s="630">
        <v>17031004755</v>
      </c>
      <c r="D1131" s="630">
        <v>17031000791</v>
      </c>
      <c r="E1131" s="630" t="s">
        <v>533</v>
      </c>
      <c r="F1131" s="630" t="s">
        <v>534</v>
      </c>
      <c r="G1131" s="630" t="s">
        <v>365</v>
      </c>
      <c r="H1131" s="630" t="s">
        <v>547</v>
      </c>
      <c r="I1131" s="630"/>
      <c r="J1131" s="630" t="s">
        <v>577</v>
      </c>
      <c r="K1131" s="630"/>
      <c r="L1131" s="630"/>
      <c r="M1131" s="630"/>
      <c r="N1131" s="630"/>
      <c r="O1131" s="630"/>
      <c r="P1131" s="630"/>
      <c r="Q1131" s="630"/>
      <c r="R1131" s="630"/>
      <c r="S1131" s="630" t="s">
        <v>581</v>
      </c>
      <c r="T1131" s="630"/>
      <c r="U1131" s="630" t="s">
        <v>538</v>
      </c>
      <c r="V1131" s="630">
        <v>2</v>
      </c>
      <c r="W1131" s="630" t="s">
        <v>582</v>
      </c>
      <c r="X1131" s="630" t="s">
        <v>541</v>
      </c>
      <c r="Y1131" s="630" t="s">
        <v>540</v>
      </c>
      <c r="Z1131" s="630">
        <v>1.3293159999999999</v>
      </c>
      <c r="AA1131" s="630">
        <v>2.1393309999999999</v>
      </c>
      <c r="AB1131" s="631">
        <v>0</v>
      </c>
      <c r="AC1131" s="631">
        <v>0</v>
      </c>
      <c r="AD1131" s="631">
        <f t="shared" si="17"/>
        <v>0</v>
      </c>
    </row>
    <row r="1132" spans="2:30" x14ac:dyDescent="0.15">
      <c r="B1132" s="630">
        <v>17197009296</v>
      </c>
      <c r="C1132" s="630">
        <v>17197007406</v>
      </c>
      <c r="D1132" s="630">
        <v>17197007420</v>
      </c>
      <c r="E1132" s="630" t="s">
        <v>533</v>
      </c>
      <c r="F1132" s="630" t="s">
        <v>534</v>
      </c>
      <c r="G1132" s="630" t="s">
        <v>377</v>
      </c>
      <c r="H1132" s="630" t="s">
        <v>551</v>
      </c>
      <c r="I1132" s="630"/>
      <c r="J1132" s="630" t="s">
        <v>535</v>
      </c>
      <c r="K1132" s="630"/>
      <c r="L1132" s="630"/>
      <c r="M1132" s="630"/>
      <c r="N1132" s="630"/>
      <c r="O1132" s="630"/>
      <c r="P1132" s="630"/>
      <c r="Q1132" s="630"/>
      <c r="R1132" s="630"/>
      <c r="S1132" s="630" t="s">
        <v>594</v>
      </c>
      <c r="T1132" s="630"/>
      <c r="U1132" s="630" t="s">
        <v>559</v>
      </c>
      <c r="V1132" s="630">
        <v>1</v>
      </c>
      <c r="W1132" s="630" t="s">
        <v>560</v>
      </c>
      <c r="X1132" s="630" t="s">
        <v>541</v>
      </c>
      <c r="Y1132" s="630" t="s">
        <v>541</v>
      </c>
      <c r="Z1132" s="630">
        <v>2.2428E-2</v>
      </c>
      <c r="AA1132" s="630">
        <v>3.6094000000000001E-2</v>
      </c>
      <c r="AB1132" s="631">
        <v>0</v>
      </c>
      <c r="AC1132" s="631">
        <v>0</v>
      </c>
      <c r="AD1132" s="631">
        <f t="shared" si="17"/>
        <v>0</v>
      </c>
    </row>
    <row r="1133" spans="2:30" x14ac:dyDescent="0.15">
      <c r="B1133" s="630">
        <v>17097002117</v>
      </c>
      <c r="C1133" s="630">
        <v>17097000047</v>
      </c>
      <c r="D1133" s="630">
        <v>17097000042</v>
      </c>
      <c r="E1133" s="630" t="s">
        <v>533</v>
      </c>
      <c r="F1133" s="630" t="s">
        <v>534</v>
      </c>
      <c r="G1133" s="630" t="s">
        <v>373</v>
      </c>
      <c r="H1133" s="630" t="s">
        <v>535</v>
      </c>
      <c r="I1133" s="630"/>
      <c r="J1133" s="630" t="s">
        <v>547</v>
      </c>
      <c r="K1133" s="630"/>
      <c r="L1133" s="630"/>
      <c r="M1133" s="630"/>
      <c r="N1133" s="630"/>
      <c r="O1133" s="630"/>
      <c r="P1133" s="630"/>
      <c r="Q1133" s="630"/>
      <c r="R1133" s="630"/>
      <c r="S1133" s="630" t="s">
        <v>548</v>
      </c>
      <c r="T1133" s="630"/>
      <c r="U1133" s="630" t="s">
        <v>538</v>
      </c>
      <c r="V1133" s="630">
        <v>2</v>
      </c>
      <c r="W1133" s="630" t="s">
        <v>545</v>
      </c>
      <c r="X1133" s="630" t="s">
        <v>546</v>
      </c>
      <c r="Y1133" s="630" t="s">
        <v>549</v>
      </c>
      <c r="Z1133" s="630">
        <v>0.29409800000000003</v>
      </c>
      <c r="AA1133" s="630">
        <v>0.47330499999999998</v>
      </c>
      <c r="AB1133" s="631">
        <v>777546</v>
      </c>
      <c r="AC1133" s="631">
        <v>36667833</v>
      </c>
      <c r="AD1133" s="631">
        <f t="shared" si="17"/>
        <v>10783936.349634001</v>
      </c>
    </row>
    <row r="1134" spans="2:30" x14ac:dyDescent="0.15">
      <c r="B1134" s="630">
        <v>17031002255</v>
      </c>
      <c r="C1134" s="630">
        <v>17031004661</v>
      </c>
      <c r="D1134" s="630">
        <v>17031004662</v>
      </c>
      <c r="E1134" s="630" t="s">
        <v>533</v>
      </c>
      <c r="F1134" s="630" t="s">
        <v>534</v>
      </c>
      <c r="G1134" s="630" t="s">
        <v>365</v>
      </c>
      <c r="H1134" s="630" t="s">
        <v>381</v>
      </c>
      <c r="I1134" s="630"/>
      <c r="J1134" s="630" t="s">
        <v>542</v>
      </c>
      <c r="K1134" s="630" t="s">
        <v>547</v>
      </c>
      <c r="L1134" s="630" t="s">
        <v>382</v>
      </c>
      <c r="M1134" s="630"/>
      <c r="N1134" s="630"/>
      <c r="O1134" s="630"/>
      <c r="P1134" s="630"/>
      <c r="Q1134" s="630"/>
      <c r="R1134" s="630"/>
      <c r="S1134" s="630" t="s">
        <v>579</v>
      </c>
      <c r="T1134" s="630"/>
      <c r="U1134" s="630" t="s">
        <v>538</v>
      </c>
      <c r="V1134" s="630">
        <v>3</v>
      </c>
      <c r="W1134" s="630" t="s">
        <v>545</v>
      </c>
      <c r="X1134" s="630" t="s">
        <v>580</v>
      </c>
      <c r="Y1134" s="630" t="s">
        <v>549</v>
      </c>
      <c r="Z1134" s="630">
        <v>0.45074799999999998</v>
      </c>
      <c r="AA1134" s="630">
        <v>0.72541100000000003</v>
      </c>
      <c r="AB1134" s="631">
        <v>945771</v>
      </c>
      <c r="AC1134" s="631">
        <v>40638017</v>
      </c>
      <c r="AD1134" s="631">
        <f t="shared" si="17"/>
        <v>18317504.886716001</v>
      </c>
    </row>
    <row r="1135" spans="2:30" x14ac:dyDescent="0.15">
      <c r="B1135" s="630">
        <v>17031002422</v>
      </c>
      <c r="C1135" s="630">
        <v>17031004714</v>
      </c>
      <c r="D1135" s="630">
        <v>17031001446</v>
      </c>
      <c r="E1135" s="630" t="s">
        <v>533</v>
      </c>
      <c r="F1135" s="630" t="s">
        <v>534</v>
      </c>
      <c r="G1135" s="630" t="s">
        <v>365</v>
      </c>
      <c r="H1135" s="630" t="s">
        <v>535</v>
      </c>
      <c r="I1135" s="630"/>
      <c r="J1135" s="630" t="s">
        <v>542</v>
      </c>
      <c r="K1135" s="630" t="s">
        <v>543</v>
      </c>
      <c r="L1135" s="630" t="s">
        <v>382</v>
      </c>
      <c r="M1135" s="630"/>
      <c r="N1135" s="630"/>
      <c r="O1135" s="630"/>
      <c r="P1135" s="630"/>
      <c r="Q1135" s="630"/>
      <c r="R1135" s="630"/>
      <c r="S1135" s="630" t="s">
        <v>544</v>
      </c>
      <c r="T1135" s="630"/>
      <c r="U1135" s="630" t="s">
        <v>538</v>
      </c>
      <c r="V1135" s="630">
        <v>3</v>
      </c>
      <c r="W1135" s="630" t="s">
        <v>545</v>
      </c>
      <c r="X1135" s="630" t="s">
        <v>546</v>
      </c>
      <c r="Y1135" s="630" t="s">
        <v>549</v>
      </c>
      <c r="Z1135" s="630">
        <v>2.677235</v>
      </c>
      <c r="AA1135" s="630">
        <v>4.3086000000000002</v>
      </c>
      <c r="AB1135" s="631">
        <v>420455</v>
      </c>
      <c r="AC1135" s="631">
        <v>22300363</v>
      </c>
      <c r="AD1135" s="631">
        <f t="shared" si="17"/>
        <v>59703312.336305</v>
      </c>
    </row>
    <row r="1136" spans="2:30" x14ac:dyDescent="0.15">
      <c r="B1136" s="630">
        <v>17031002778</v>
      </c>
      <c r="C1136" s="630">
        <v>17031001221</v>
      </c>
      <c r="D1136" s="630">
        <v>17031001218</v>
      </c>
      <c r="E1136" s="630" t="s">
        <v>533</v>
      </c>
      <c r="F1136" s="630" t="s">
        <v>534</v>
      </c>
      <c r="G1136" s="630" t="s">
        <v>365</v>
      </c>
      <c r="H1136" s="630" t="s">
        <v>543</v>
      </c>
      <c r="I1136" s="630"/>
      <c r="J1136" s="630" t="s">
        <v>577</v>
      </c>
      <c r="K1136" s="630"/>
      <c r="L1136" s="630"/>
      <c r="M1136" s="630"/>
      <c r="N1136" s="630"/>
      <c r="O1136" s="630"/>
      <c r="P1136" s="630"/>
      <c r="Q1136" s="630"/>
      <c r="R1136" s="630"/>
      <c r="S1136" s="630" t="s">
        <v>656</v>
      </c>
      <c r="T1136" s="630"/>
      <c r="U1136" s="630" t="s">
        <v>559</v>
      </c>
      <c r="V1136" s="630">
        <v>1</v>
      </c>
      <c r="W1136" s="630" t="s">
        <v>560</v>
      </c>
      <c r="X1136" s="630" t="s">
        <v>541</v>
      </c>
      <c r="Y1136" s="630" t="s">
        <v>541</v>
      </c>
      <c r="Z1136" s="630">
        <v>6.6364999999999993E-2</v>
      </c>
      <c r="AA1136" s="630">
        <v>0.106804</v>
      </c>
      <c r="AB1136" s="631">
        <v>0</v>
      </c>
      <c r="AC1136" s="631">
        <v>0</v>
      </c>
      <c r="AD1136" s="631">
        <f t="shared" si="17"/>
        <v>0</v>
      </c>
    </row>
    <row r="1137" spans="2:30" x14ac:dyDescent="0.15">
      <c r="B1137" s="630">
        <v>17031003332</v>
      </c>
      <c r="C1137" s="630">
        <v>17031001124</v>
      </c>
      <c r="D1137" s="630">
        <v>17031001129</v>
      </c>
      <c r="E1137" s="630" t="s">
        <v>533</v>
      </c>
      <c r="F1137" s="630" t="s">
        <v>534</v>
      </c>
      <c r="G1137" s="630" t="s">
        <v>365</v>
      </c>
      <c r="H1137" s="630" t="s">
        <v>543</v>
      </c>
      <c r="I1137" s="630"/>
      <c r="J1137" s="630" t="s">
        <v>542</v>
      </c>
      <c r="K1137" s="630" t="s">
        <v>552</v>
      </c>
      <c r="L1137" s="630" t="s">
        <v>557</v>
      </c>
      <c r="M1137" s="630" t="s">
        <v>661</v>
      </c>
      <c r="N1137" s="630"/>
      <c r="O1137" s="630"/>
      <c r="P1137" s="630"/>
      <c r="Q1137" s="630"/>
      <c r="R1137" s="630"/>
      <c r="S1137" s="630" t="s">
        <v>630</v>
      </c>
      <c r="T1137" s="630"/>
      <c r="U1137" s="630" t="s">
        <v>538</v>
      </c>
      <c r="V1137" s="630">
        <v>2</v>
      </c>
      <c r="W1137" s="630" t="s">
        <v>545</v>
      </c>
      <c r="X1137" s="630" t="s">
        <v>575</v>
      </c>
      <c r="Y1137" s="630" t="s">
        <v>540</v>
      </c>
      <c r="Z1137" s="630">
        <v>0.18526200000000001</v>
      </c>
      <c r="AA1137" s="630">
        <v>0.29815000000000003</v>
      </c>
      <c r="AB1137" s="631">
        <v>2791131</v>
      </c>
      <c r="AC1137" s="631">
        <v>78507378</v>
      </c>
      <c r="AD1137" s="631">
        <f t="shared" si="17"/>
        <v>14544433.863036001</v>
      </c>
    </row>
    <row r="1138" spans="2:30" x14ac:dyDescent="0.15">
      <c r="B1138" s="630">
        <v>17031004055</v>
      </c>
      <c r="C1138" s="630">
        <v>17031000681</v>
      </c>
      <c r="D1138" s="630">
        <v>17031000666</v>
      </c>
      <c r="E1138" s="630" t="s">
        <v>533</v>
      </c>
      <c r="F1138" s="630" t="s">
        <v>534</v>
      </c>
      <c r="G1138" s="630" t="s">
        <v>365</v>
      </c>
      <c r="H1138" s="630" t="s">
        <v>535</v>
      </c>
      <c r="I1138" s="630"/>
      <c r="J1138" s="630" t="s">
        <v>542</v>
      </c>
      <c r="K1138" s="630" t="s">
        <v>572</v>
      </c>
      <c r="L1138" s="630"/>
      <c r="M1138" s="630"/>
      <c r="N1138" s="630"/>
      <c r="O1138" s="630"/>
      <c r="P1138" s="630"/>
      <c r="Q1138" s="630"/>
      <c r="R1138" s="630"/>
      <c r="S1138" s="630" t="s">
        <v>544</v>
      </c>
      <c r="T1138" s="630"/>
      <c r="U1138" s="630" t="s">
        <v>538</v>
      </c>
      <c r="V1138" s="630">
        <v>2</v>
      </c>
      <c r="W1138" s="630" t="s">
        <v>545</v>
      </c>
      <c r="X1138" s="630" t="s">
        <v>549</v>
      </c>
      <c r="Y1138" s="630" t="s">
        <v>541</v>
      </c>
      <c r="Z1138" s="630">
        <v>0.20763799999999999</v>
      </c>
      <c r="AA1138" s="630">
        <v>0.33416200000000001</v>
      </c>
      <c r="AB1138" s="631">
        <v>16696</v>
      </c>
      <c r="AC1138" s="631">
        <v>1424574</v>
      </c>
      <c r="AD1138" s="631">
        <f t="shared" si="17"/>
        <v>295795.69621199998</v>
      </c>
    </row>
    <row r="1139" spans="2:30" x14ac:dyDescent="0.15">
      <c r="B1139" s="630">
        <v>17197005327</v>
      </c>
      <c r="C1139" s="630">
        <v>17197007388</v>
      </c>
      <c r="D1139" s="630">
        <v>17197001617</v>
      </c>
      <c r="E1139" s="630" t="s">
        <v>533</v>
      </c>
      <c r="F1139" s="630" t="s">
        <v>534</v>
      </c>
      <c r="G1139" s="630" t="s">
        <v>377</v>
      </c>
      <c r="H1139" s="630" t="s">
        <v>535</v>
      </c>
      <c r="I1139" s="630"/>
      <c r="J1139" s="630" t="s">
        <v>382</v>
      </c>
      <c r="K1139" s="630"/>
      <c r="L1139" s="630"/>
      <c r="M1139" s="630"/>
      <c r="N1139" s="630"/>
      <c r="O1139" s="630"/>
      <c r="P1139" s="630"/>
      <c r="Q1139" s="630"/>
      <c r="R1139" s="630"/>
      <c r="S1139" s="630"/>
      <c r="T1139" s="630"/>
      <c r="U1139" s="630" t="s">
        <v>559</v>
      </c>
      <c r="V1139" s="630">
        <v>1</v>
      </c>
      <c r="W1139" s="630" t="s">
        <v>560</v>
      </c>
      <c r="X1139" s="630" t="s">
        <v>541</v>
      </c>
      <c r="Y1139" s="630" t="s">
        <v>541</v>
      </c>
      <c r="Z1139" s="630">
        <v>0.38840400000000003</v>
      </c>
      <c r="AA1139" s="630">
        <v>0.62507699999999999</v>
      </c>
      <c r="AB1139" s="631">
        <v>0</v>
      </c>
      <c r="AC1139" s="631">
        <v>0</v>
      </c>
      <c r="AD1139" s="631">
        <f t="shared" si="17"/>
        <v>0</v>
      </c>
    </row>
    <row r="1140" spans="2:30" x14ac:dyDescent="0.15">
      <c r="B1140" s="630">
        <v>17031005484</v>
      </c>
      <c r="C1140" s="630">
        <v>17031007121</v>
      </c>
      <c r="D1140" s="630">
        <v>17031001008</v>
      </c>
      <c r="E1140" s="630" t="s">
        <v>533</v>
      </c>
      <c r="F1140" s="630" t="s">
        <v>534</v>
      </c>
      <c r="G1140" s="630" t="s">
        <v>365</v>
      </c>
      <c r="H1140" s="630" t="s">
        <v>571</v>
      </c>
      <c r="I1140" s="630"/>
      <c r="J1140" s="630" t="s">
        <v>381</v>
      </c>
      <c r="K1140" s="630" t="s">
        <v>535</v>
      </c>
      <c r="L1140" s="630" t="s">
        <v>552</v>
      </c>
      <c r="M1140" s="630" t="s">
        <v>551</v>
      </c>
      <c r="N1140" s="630" t="s">
        <v>382</v>
      </c>
      <c r="O1140" s="630"/>
      <c r="P1140" s="630"/>
      <c r="Q1140" s="630"/>
      <c r="R1140" s="630"/>
      <c r="S1140" s="630"/>
      <c r="T1140" s="630" t="s">
        <v>574</v>
      </c>
      <c r="U1140" s="630" t="s">
        <v>559</v>
      </c>
      <c r="V1140" s="630">
        <v>1</v>
      </c>
      <c r="W1140" s="630" t="s">
        <v>560</v>
      </c>
      <c r="X1140" s="630" t="s">
        <v>541</v>
      </c>
      <c r="Y1140" s="630" t="s">
        <v>541</v>
      </c>
      <c r="Z1140" s="630">
        <v>0.41309600000000002</v>
      </c>
      <c r="AA1140" s="630">
        <v>0.66481400000000002</v>
      </c>
      <c r="AB1140" s="631">
        <v>0</v>
      </c>
      <c r="AC1140" s="631">
        <v>0</v>
      </c>
      <c r="AD1140" s="631">
        <f t="shared" si="17"/>
        <v>0</v>
      </c>
    </row>
    <row r="1141" spans="2:30" x14ac:dyDescent="0.15">
      <c r="B1141" s="630">
        <v>17031005685</v>
      </c>
      <c r="C1141" s="630">
        <v>17031001519</v>
      </c>
      <c r="D1141" s="630">
        <v>17031001526</v>
      </c>
      <c r="E1141" s="630" t="s">
        <v>533</v>
      </c>
      <c r="F1141" s="630" t="s">
        <v>534</v>
      </c>
      <c r="G1141" s="630" t="s">
        <v>365</v>
      </c>
      <c r="H1141" s="630" t="s">
        <v>382</v>
      </c>
      <c r="I1141" s="630"/>
      <c r="J1141" s="630"/>
      <c r="K1141" s="630"/>
      <c r="L1141" s="630"/>
      <c r="M1141" s="630"/>
      <c r="N1141" s="630"/>
      <c r="O1141" s="630"/>
      <c r="P1141" s="630"/>
      <c r="Q1141" s="630"/>
      <c r="R1141" s="630"/>
      <c r="S1141" s="630" t="s">
        <v>576</v>
      </c>
      <c r="T1141" s="630"/>
      <c r="U1141" s="630" t="s">
        <v>559</v>
      </c>
      <c r="V1141" s="630">
        <v>1</v>
      </c>
      <c r="W1141" s="630" t="s">
        <v>560</v>
      </c>
      <c r="X1141" s="630" t="s">
        <v>541</v>
      </c>
      <c r="Y1141" s="630" t="s">
        <v>541</v>
      </c>
      <c r="Z1141" s="630">
        <v>4.7886999999999999E-2</v>
      </c>
      <c r="AA1141" s="630">
        <v>7.7066999999999997E-2</v>
      </c>
      <c r="AB1141" s="631">
        <v>0</v>
      </c>
      <c r="AC1141" s="631">
        <v>0</v>
      </c>
      <c r="AD1141" s="631">
        <f t="shared" si="17"/>
        <v>0</v>
      </c>
    </row>
    <row r="1142" spans="2:30" x14ac:dyDescent="0.15">
      <c r="B1142" s="630">
        <v>17197007035</v>
      </c>
      <c r="C1142" s="630">
        <v>17197005588</v>
      </c>
      <c r="D1142" s="630">
        <v>17197005589</v>
      </c>
      <c r="E1142" s="630" t="s">
        <v>533</v>
      </c>
      <c r="F1142" s="630" t="s">
        <v>534</v>
      </c>
      <c r="G1142" s="630" t="s">
        <v>377</v>
      </c>
      <c r="H1142" s="630" t="s">
        <v>382</v>
      </c>
      <c r="I1142" s="630"/>
      <c r="J1142" s="630"/>
      <c r="K1142" s="630"/>
      <c r="L1142" s="630"/>
      <c r="M1142" s="630"/>
      <c r="N1142" s="630"/>
      <c r="O1142" s="630"/>
      <c r="P1142" s="630"/>
      <c r="Q1142" s="630"/>
      <c r="R1142" s="630"/>
      <c r="S1142" s="630" t="s">
        <v>592</v>
      </c>
      <c r="T1142" s="630" t="s">
        <v>593</v>
      </c>
      <c r="U1142" s="630" t="s">
        <v>559</v>
      </c>
      <c r="V1142" s="630">
        <v>1</v>
      </c>
      <c r="W1142" s="630" t="s">
        <v>539</v>
      </c>
      <c r="X1142" s="630" t="s">
        <v>541</v>
      </c>
      <c r="Y1142" s="630" t="s">
        <v>541</v>
      </c>
      <c r="Z1142" s="630">
        <v>0.13303100000000001</v>
      </c>
      <c r="AA1142" s="630">
        <v>0.21409400000000001</v>
      </c>
      <c r="AB1142" s="631">
        <v>0</v>
      </c>
      <c r="AC1142" s="631">
        <v>0</v>
      </c>
      <c r="AD1142" s="631">
        <f t="shared" si="17"/>
        <v>0</v>
      </c>
    </row>
    <row r="1143" spans="2:30" x14ac:dyDescent="0.15">
      <c r="B1143" s="630">
        <v>17031008368</v>
      </c>
      <c r="C1143" s="630">
        <v>17031006673</v>
      </c>
      <c r="D1143" s="630">
        <v>17031000528</v>
      </c>
      <c r="E1143" s="630" t="s">
        <v>533</v>
      </c>
      <c r="F1143" s="630" t="s">
        <v>534</v>
      </c>
      <c r="G1143" s="630" t="s">
        <v>365</v>
      </c>
      <c r="H1143" s="630" t="s">
        <v>382</v>
      </c>
      <c r="I1143" s="630"/>
      <c r="J1143" s="630" t="s">
        <v>535</v>
      </c>
      <c r="K1143" s="630" t="s">
        <v>552</v>
      </c>
      <c r="L1143" s="630" t="s">
        <v>572</v>
      </c>
      <c r="M1143" s="630" t="s">
        <v>557</v>
      </c>
      <c r="N1143" s="630" t="s">
        <v>543</v>
      </c>
      <c r="O1143" s="630"/>
      <c r="P1143" s="630"/>
      <c r="Q1143" s="630"/>
      <c r="R1143" s="630"/>
      <c r="S1143" s="630" t="s">
        <v>650</v>
      </c>
      <c r="T1143" s="630" t="s">
        <v>626</v>
      </c>
      <c r="U1143" s="630" t="s">
        <v>559</v>
      </c>
      <c r="V1143" s="630">
        <v>1</v>
      </c>
      <c r="W1143" s="630" t="s">
        <v>539</v>
      </c>
      <c r="X1143" s="630" t="s">
        <v>540</v>
      </c>
      <c r="Y1143" s="630" t="s">
        <v>541</v>
      </c>
      <c r="Z1143" s="630">
        <v>0.43081999999999998</v>
      </c>
      <c r="AA1143" s="630">
        <v>0.69333900000000004</v>
      </c>
      <c r="AB1143" s="631">
        <v>7104</v>
      </c>
      <c r="AC1143" s="631">
        <v>508792</v>
      </c>
      <c r="AD1143" s="631">
        <f t="shared" si="17"/>
        <v>219197.76944</v>
      </c>
    </row>
    <row r="1144" spans="2:30" x14ac:dyDescent="0.15">
      <c r="B1144" s="630">
        <v>17031009714</v>
      </c>
      <c r="C1144" s="630">
        <v>17031004746</v>
      </c>
      <c r="D1144" s="630">
        <v>17031007795</v>
      </c>
      <c r="E1144" s="630" t="s">
        <v>533</v>
      </c>
      <c r="F1144" s="630" t="s">
        <v>534</v>
      </c>
      <c r="G1144" s="630" t="s">
        <v>365</v>
      </c>
      <c r="H1144" s="630" t="s">
        <v>551</v>
      </c>
      <c r="I1144" s="630"/>
      <c r="J1144" s="630"/>
      <c r="K1144" s="630"/>
      <c r="L1144" s="630"/>
      <c r="M1144" s="630"/>
      <c r="N1144" s="630"/>
      <c r="O1144" s="630"/>
      <c r="P1144" s="630"/>
      <c r="Q1144" s="630"/>
      <c r="R1144" s="630"/>
      <c r="S1144" s="630" t="s">
        <v>603</v>
      </c>
      <c r="T1144" s="630"/>
      <c r="U1144" s="630" t="s">
        <v>538</v>
      </c>
      <c r="V1144" s="630">
        <v>2</v>
      </c>
      <c r="W1144" s="630" t="s">
        <v>545</v>
      </c>
      <c r="X1144" s="630" t="s">
        <v>575</v>
      </c>
      <c r="Y1144" s="630" t="s">
        <v>540</v>
      </c>
      <c r="Z1144" s="630">
        <v>0.128999</v>
      </c>
      <c r="AA1144" s="630">
        <v>0.20760500000000001</v>
      </c>
      <c r="AB1144" s="631">
        <v>1464997</v>
      </c>
      <c r="AC1144" s="631">
        <v>50040672</v>
      </c>
      <c r="AD1144" s="631">
        <f t="shared" si="17"/>
        <v>6455196.6473280005</v>
      </c>
    </row>
    <row r="1145" spans="2:30" x14ac:dyDescent="0.15">
      <c r="B1145" s="630">
        <v>17043002048</v>
      </c>
      <c r="C1145" s="630">
        <v>17043000980</v>
      </c>
      <c r="D1145" s="630">
        <v>17043000913</v>
      </c>
      <c r="E1145" s="630" t="s">
        <v>533</v>
      </c>
      <c r="F1145" s="630" t="s">
        <v>534</v>
      </c>
      <c r="G1145" s="630" t="s">
        <v>367</v>
      </c>
      <c r="H1145" s="630" t="s">
        <v>535</v>
      </c>
      <c r="I1145" s="630"/>
      <c r="J1145" s="630" t="s">
        <v>536</v>
      </c>
      <c r="K1145" s="630" t="s">
        <v>382</v>
      </c>
      <c r="L1145" s="630"/>
      <c r="M1145" s="630"/>
      <c r="N1145" s="630"/>
      <c r="O1145" s="630"/>
      <c r="P1145" s="630"/>
      <c r="Q1145" s="630"/>
      <c r="R1145" s="630"/>
      <c r="S1145" s="630" t="s">
        <v>550</v>
      </c>
      <c r="T1145" s="630"/>
      <c r="U1145" s="630" t="s">
        <v>538</v>
      </c>
      <c r="V1145" s="630">
        <v>1</v>
      </c>
      <c r="W1145" s="630" t="s">
        <v>545</v>
      </c>
      <c r="X1145" s="630" t="s">
        <v>540</v>
      </c>
      <c r="Y1145" s="630" t="s">
        <v>549</v>
      </c>
      <c r="Z1145" s="630">
        <v>0.91529499999999997</v>
      </c>
      <c r="AA1145" s="630">
        <v>1.4730270000000001</v>
      </c>
      <c r="AB1145" s="631">
        <v>23785</v>
      </c>
      <c r="AC1145" s="631">
        <v>2276384</v>
      </c>
      <c r="AD1145" s="631">
        <f t="shared" si="17"/>
        <v>2083562.89328</v>
      </c>
    </row>
    <row r="1146" spans="2:30" x14ac:dyDescent="0.15">
      <c r="B1146" s="630">
        <v>17097002149</v>
      </c>
      <c r="C1146" s="630">
        <v>17097000110</v>
      </c>
      <c r="D1146" s="630">
        <v>17097000109</v>
      </c>
      <c r="E1146" s="630" t="s">
        <v>533</v>
      </c>
      <c r="F1146" s="630" t="s">
        <v>534</v>
      </c>
      <c r="G1146" s="630" t="s">
        <v>373</v>
      </c>
      <c r="H1146" s="630" t="s">
        <v>535</v>
      </c>
      <c r="I1146" s="630"/>
      <c r="J1146" s="630" t="s">
        <v>382</v>
      </c>
      <c r="K1146" s="630"/>
      <c r="L1146" s="630"/>
      <c r="M1146" s="630"/>
      <c r="N1146" s="630"/>
      <c r="O1146" s="630"/>
      <c r="P1146" s="630"/>
      <c r="Q1146" s="630"/>
      <c r="R1146" s="630"/>
      <c r="S1146" s="630" t="s">
        <v>550</v>
      </c>
      <c r="T1146" s="630"/>
      <c r="U1146" s="630" t="s">
        <v>538</v>
      </c>
      <c r="V1146" s="630">
        <v>1</v>
      </c>
      <c r="W1146" s="630" t="s">
        <v>545</v>
      </c>
      <c r="X1146" s="630" t="s">
        <v>540</v>
      </c>
      <c r="Y1146" s="630" t="s">
        <v>541</v>
      </c>
      <c r="Z1146" s="630">
        <v>0.190831</v>
      </c>
      <c r="AA1146" s="630">
        <v>0.307114</v>
      </c>
      <c r="AB1146" s="631">
        <v>36722</v>
      </c>
      <c r="AC1146" s="631">
        <v>3490130</v>
      </c>
      <c r="AD1146" s="631">
        <f t="shared" si="17"/>
        <v>666024.99803000002</v>
      </c>
    </row>
    <row r="1147" spans="2:30" x14ac:dyDescent="0.15">
      <c r="B1147" s="630">
        <v>17097002193</v>
      </c>
      <c r="C1147" s="630">
        <v>17097000238</v>
      </c>
      <c r="D1147" s="630">
        <v>17097004546</v>
      </c>
      <c r="E1147" s="630" t="s">
        <v>533</v>
      </c>
      <c r="F1147" s="630" t="s">
        <v>534</v>
      </c>
      <c r="G1147" s="630" t="s">
        <v>373</v>
      </c>
      <c r="H1147" s="630" t="s">
        <v>535</v>
      </c>
      <c r="I1147" s="630"/>
      <c r="J1147" s="630" t="s">
        <v>382</v>
      </c>
      <c r="K1147" s="630" t="s">
        <v>536</v>
      </c>
      <c r="L1147" s="630"/>
      <c r="M1147" s="630"/>
      <c r="N1147" s="630"/>
      <c r="O1147" s="630"/>
      <c r="P1147" s="630"/>
      <c r="Q1147" s="630"/>
      <c r="R1147" s="630"/>
      <c r="S1147" s="630" t="s">
        <v>550</v>
      </c>
      <c r="T1147" s="630"/>
      <c r="U1147" s="630" t="s">
        <v>538</v>
      </c>
      <c r="V1147" s="630">
        <v>1</v>
      </c>
      <c r="W1147" s="630" t="s">
        <v>545</v>
      </c>
      <c r="X1147" s="630" t="s">
        <v>540</v>
      </c>
      <c r="Y1147" s="630" t="s">
        <v>549</v>
      </c>
      <c r="Z1147" s="630">
        <v>4.0381270000000002</v>
      </c>
      <c r="AA1147" s="630">
        <v>6.4987490000000001</v>
      </c>
      <c r="AB1147" s="631">
        <v>36082</v>
      </c>
      <c r="AC1147" s="631">
        <v>3440570</v>
      </c>
      <c r="AD1147" s="631">
        <f t="shared" si="17"/>
        <v>13893458.61239</v>
      </c>
    </row>
    <row r="1148" spans="2:30" x14ac:dyDescent="0.15">
      <c r="B1148" s="630">
        <v>17031002639</v>
      </c>
      <c r="C1148" s="630">
        <v>17031001357</v>
      </c>
      <c r="D1148" s="630">
        <v>17031001378</v>
      </c>
      <c r="E1148" s="630" t="s">
        <v>533</v>
      </c>
      <c r="F1148" s="630" t="s">
        <v>534</v>
      </c>
      <c r="G1148" s="630" t="s">
        <v>365</v>
      </c>
      <c r="H1148" s="630" t="s">
        <v>551</v>
      </c>
      <c r="I1148" s="630" t="s">
        <v>535</v>
      </c>
      <c r="J1148" s="630" t="s">
        <v>381</v>
      </c>
      <c r="K1148" s="630" t="s">
        <v>552</v>
      </c>
      <c r="L1148" s="630"/>
      <c r="M1148" s="630"/>
      <c r="N1148" s="630"/>
      <c r="O1148" s="630"/>
      <c r="P1148" s="630"/>
      <c r="Q1148" s="630"/>
      <c r="R1148" s="630"/>
      <c r="S1148" s="630" t="s">
        <v>628</v>
      </c>
      <c r="T1148" s="630"/>
      <c r="U1148" s="630" t="s">
        <v>538</v>
      </c>
      <c r="V1148" s="630">
        <v>1</v>
      </c>
      <c r="W1148" s="630" t="s">
        <v>545</v>
      </c>
      <c r="X1148" s="630" t="s">
        <v>541</v>
      </c>
      <c r="Y1148" s="630" t="s">
        <v>541</v>
      </c>
      <c r="Z1148" s="630">
        <v>0.22509499999999999</v>
      </c>
      <c r="AA1148" s="630">
        <v>0.36225600000000002</v>
      </c>
      <c r="AB1148" s="631">
        <v>120</v>
      </c>
      <c r="AC1148" s="631">
        <v>12080</v>
      </c>
      <c r="AD1148" s="631">
        <f t="shared" si="17"/>
        <v>2719.1475999999998</v>
      </c>
    </row>
    <row r="1149" spans="2:30" x14ac:dyDescent="0.15">
      <c r="B1149" s="630">
        <v>17031003087</v>
      </c>
      <c r="C1149" s="630">
        <v>17031000859</v>
      </c>
      <c r="D1149" s="630">
        <v>17031000852</v>
      </c>
      <c r="E1149" s="630" t="s">
        <v>533</v>
      </c>
      <c r="F1149" s="630" t="s">
        <v>534</v>
      </c>
      <c r="G1149" s="630" t="s">
        <v>365</v>
      </c>
      <c r="H1149" s="630" t="s">
        <v>551</v>
      </c>
      <c r="I1149" s="630" t="s">
        <v>535</v>
      </c>
      <c r="J1149" s="630"/>
      <c r="K1149" s="630"/>
      <c r="L1149" s="630"/>
      <c r="M1149" s="630"/>
      <c r="N1149" s="630"/>
      <c r="O1149" s="630"/>
      <c r="P1149" s="630"/>
      <c r="Q1149" s="630"/>
      <c r="R1149" s="630"/>
      <c r="S1149" s="630" t="s">
        <v>553</v>
      </c>
      <c r="T1149" s="630" t="s">
        <v>553</v>
      </c>
      <c r="U1149" s="630" t="s">
        <v>538</v>
      </c>
      <c r="V1149" s="630">
        <v>1</v>
      </c>
      <c r="W1149" s="630" t="s">
        <v>539</v>
      </c>
      <c r="X1149" s="630" t="s">
        <v>541</v>
      </c>
      <c r="Y1149" s="630" t="s">
        <v>554</v>
      </c>
      <c r="Z1149" s="630">
        <v>0.32050600000000001</v>
      </c>
      <c r="AA1149" s="630">
        <v>0.51580499999999996</v>
      </c>
      <c r="AB1149" s="631">
        <v>0</v>
      </c>
      <c r="AC1149" s="631">
        <v>0</v>
      </c>
      <c r="AD1149" s="631">
        <f t="shared" si="17"/>
        <v>0</v>
      </c>
    </row>
    <row r="1150" spans="2:30" x14ac:dyDescent="0.15">
      <c r="B1150" s="630">
        <v>17031003186</v>
      </c>
      <c r="C1150" s="630">
        <v>17031000670</v>
      </c>
      <c r="D1150" s="630">
        <v>17031000659</v>
      </c>
      <c r="E1150" s="630" t="s">
        <v>533</v>
      </c>
      <c r="F1150" s="630" t="s">
        <v>534</v>
      </c>
      <c r="G1150" s="630" t="s">
        <v>365</v>
      </c>
      <c r="H1150" s="630" t="s">
        <v>382</v>
      </c>
      <c r="I1150" s="630"/>
      <c r="J1150" s="630"/>
      <c r="K1150" s="630"/>
      <c r="L1150" s="630"/>
      <c r="M1150" s="630"/>
      <c r="N1150" s="630"/>
      <c r="O1150" s="630"/>
      <c r="P1150" s="630"/>
      <c r="Q1150" s="630"/>
      <c r="R1150" s="630"/>
      <c r="S1150" s="630"/>
      <c r="T1150" s="630"/>
      <c r="U1150" s="630" t="s">
        <v>538</v>
      </c>
      <c r="V1150" s="630">
        <v>1</v>
      </c>
      <c r="W1150" s="630" t="s">
        <v>539</v>
      </c>
      <c r="X1150" s="630" t="s">
        <v>554</v>
      </c>
      <c r="Y1150" s="630" t="s">
        <v>541</v>
      </c>
      <c r="Z1150" s="630">
        <v>0.36954599999999999</v>
      </c>
      <c r="AA1150" s="630">
        <v>0.59472700000000001</v>
      </c>
      <c r="AB1150" s="631">
        <v>205440</v>
      </c>
      <c r="AC1150" s="631">
        <v>2981560</v>
      </c>
      <c r="AD1150" s="631">
        <f t="shared" si="17"/>
        <v>1101823.57176</v>
      </c>
    </row>
    <row r="1151" spans="2:30" x14ac:dyDescent="0.15">
      <c r="B1151" s="630">
        <v>17031003606</v>
      </c>
      <c r="C1151" s="630">
        <v>17031000884</v>
      </c>
      <c r="D1151" s="630">
        <v>17031001007</v>
      </c>
      <c r="E1151" s="630" t="s">
        <v>533</v>
      </c>
      <c r="F1151" s="630" t="s">
        <v>534</v>
      </c>
      <c r="G1151" s="630" t="s">
        <v>365</v>
      </c>
      <c r="H1151" s="630" t="s">
        <v>551</v>
      </c>
      <c r="I1151" s="630" t="s">
        <v>535</v>
      </c>
      <c r="J1151" s="630"/>
      <c r="K1151" s="630"/>
      <c r="L1151" s="630"/>
      <c r="M1151" s="630"/>
      <c r="N1151" s="630"/>
      <c r="O1151" s="630"/>
      <c r="P1151" s="630"/>
      <c r="Q1151" s="630"/>
      <c r="R1151" s="630"/>
      <c r="S1151" s="630" t="s">
        <v>553</v>
      </c>
      <c r="T1151" s="630"/>
      <c r="U1151" s="630" t="s">
        <v>538</v>
      </c>
      <c r="V1151" s="630">
        <v>1</v>
      </c>
      <c r="W1151" s="630" t="s">
        <v>582</v>
      </c>
      <c r="X1151" s="630" t="s">
        <v>541</v>
      </c>
      <c r="Y1151" s="630" t="s">
        <v>540</v>
      </c>
      <c r="Z1151" s="630">
        <v>2.2838289999999999</v>
      </c>
      <c r="AA1151" s="630">
        <v>3.6754739999999999</v>
      </c>
      <c r="AB1151" s="631">
        <v>0</v>
      </c>
      <c r="AC1151" s="631">
        <v>0</v>
      </c>
      <c r="AD1151" s="631">
        <f t="shared" si="17"/>
        <v>0</v>
      </c>
    </row>
    <row r="1152" spans="2:30" x14ac:dyDescent="0.15">
      <c r="B1152" s="630">
        <v>17031003685</v>
      </c>
      <c r="C1152" s="630">
        <v>17031001019</v>
      </c>
      <c r="D1152" s="630">
        <v>17031001016</v>
      </c>
      <c r="E1152" s="630" t="s">
        <v>533</v>
      </c>
      <c r="F1152" s="630" t="s">
        <v>534</v>
      </c>
      <c r="G1152" s="630" t="s">
        <v>365</v>
      </c>
      <c r="H1152" s="630" t="s">
        <v>571</v>
      </c>
      <c r="I1152" s="630"/>
      <c r="J1152" s="630" t="s">
        <v>552</v>
      </c>
      <c r="K1152" s="630" t="s">
        <v>572</v>
      </c>
      <c r="L1152" s="630" t="s">
        <v>555</v>
      </c>
      <c r="M1152" s="630" t="s">
        <v>543</v>
      </c>
      <c r="N1152" s="630" t="s">
        <v>382</v>
      </c>
      <c r="O1152" s="630"/>
      <c r="P1152" s="630"/>
      <c r="Q1152" s="630"/>
      <c r="R1152" s="630"/>
      <c r="S1152" s="630" t="s">
        <v>573</v>
      </c>
      <c r="T1152" s="630"/>
      <c r="U1152" s="630" t="s">
        <v>538</v>
      </c>
      <c r="V1152" s="630">
        <v>2</v>
      </c>
      <c r="W1152" s="630" t="s">
        <v>545</v>
      </c>
      <c r="X1152" s="630" t="s">
        <v>580</v>
      </c>
      <c r="Y1152" s="630" t="s">
        <v>554</v>
      </c>
      <c r="Z1152" s="630">
        <v>0.689029</v>
      </c>
      <c r="AA1152" s="630">
        <v>1.108887</v>
      </c>
      <c r="AB1152" s="631">
        <v>349013</v>
      </c>
      <c r="AC1152" s="631">
        <v>15938551</v>
      </c>
      <c r="AD1152" s="631">
        <f t="shared" si="17"/>
        <v>10982123.856978999</v>
      </c>
    </row>
    <row r="1153" spans="2:30" x14ac:dyDescent="0.15">
      <c r="B1153" s="630">
        <v>17031003813</v>
      </c>
      <c r="C1153" s="630">
        <v>17031001261</v>
      </c>
      <c r="D1153" s="630">
        <v>17031001275</v>
      </c>
      <c r="E1153" s="630" t="s">
        <v>533</v>
      </c>
      <c r="F1153" s="630" t="s">
        <v>534</v>
      </c>
      <c r="G1153" s="630" t="s">
        <v>365</v>
      </c>
      <c r="H1153" s="630" t="s">
        <v>543</v>
      </c>
      <c r="I1153" s="630"/>
      <c r="J1153" s="630"/>
      <c r="K1153" s="630"/>
      <c r="L1153" s="630"/>
      <c r="M1153" s="630"/>
      <c r="N1153" s="630"/>
      <c r="O1153" s="630"/>
      <c r="P1153" s="630"/>
      <c r="Q1153" s="630"/>
      <c r="R1153" s="630"/>
      <c r="S1153" s="630" t="s">
        <v>617</v>
      </c>
      <c r="T1153" s="630"/>
      <c r="U1153" s="630" t="s">
        <v>559</v>
      </c>
      <c r="V1153" s="630">
        <v>1</v>
      </c>
      <c r="W1153" s="630" t="s">
        <v>560</v>
      </c>
      <c r="X1153" s="630" t="s">
        <v>541</v>
      </c>
      <c r="Y1153" s="630" t="s">
        <v>541</v>
      </c>
      <c r="Z1153" s="630">
        <v>0.64395599999999997</v>
      </c>
      <c r="AA1153" s="630">
        <v>1.036348</v>
      </c>
      <c r="AB1153" s="631">
        <v>0</v>
      </c>
      <c r="AC1153" s="631">
        <v>0</v>
      </c>
      <c r="AD1153" s="631">
        <f t="shared" si="17"/>
        <v>0</v>
      </c>
    </row>
    <row r="1154" spans="2:30" x14ac:dyDescent="0.15">
      <c r="B1154" s="630">
        <v>17031003872</v>
      </c>
      <c r="C1154" s="630">
        <v>17031000753</v>
      </c>
      <c r="D1154" s="630">
        <v>17031000747</v>
      </c>
      <c r="E1154" s="630" t="s">
        <v>533</v>
      </c>
      <c r="F1154" s="630" t="s">
        <v>534</v>
      </c>
      <c r="G1154" s="630" t="s">
        <v>365</v>
      </c>
      <c r="H1154" s="630" t="s">
        <v>535</v>
      </c>
      <c r="I1154" s="630"/>
      <c r="J1154" s="630"/>
      <c r="K1154" s="630"/>
      <c r="L1154" s="630"/>
      <c r="M1154" s="630"/>
      <c r="N1154" s="630"/>
      <c r="O1154" s="630"/>
      <c r="P1154" s="630"/>
      <c r="Q1154" s="630"/>
      <c r="R1154" s="630"/>
      <c r="S1154" s="630" t="s">
        <v>624</v>
      </c>
      <c r="T1154" s="630"/>
      <c r="U1154" s="630" t="s">
        <v>538</v>
      </c>
      <c r="V1154" s="630">
        <v>2</v>
      </c>
      <c r="W1154" s="630" t="s">
        <v>582</v>
      </c>
      <c r="X1154" s="630" t="s">
        <v>554</v>
      </c>
      <c r="Y1154" s="630" t="s">
        <v>554</v>
      </c>
      <c r="Z1154" s="630">
        <v>0.41718699999999997</v>
      </c>
      <c r="AA1154" s="630">
        <v>0.67139899999999997</v>
      </c>
      <c r="AB1154" s="631">
        <v>0</v>
      </c>
      <c r="AC1154" s="631">
        <v>0</v>
      </c>
      <c r="AD1154" s="631">
        <f t="shared" si="17"/>
        <v>0</v>
      </c>
    </row>
    <row r="1155" spans="2:30" x14ac:dyDescent="0.15">
      <c r="B1155" s="630">
        <v>17031003956</v>
      </c>
      <c r="C1155" s="630">
        <v>17031000640</v>
      </c>
      <c r="D1155" s="630">
        <v>17031000645</v>
      </c>
      <c r="E1155" s="630" t="s">
        <v>533</v>
      </c>
      <c r="F1155" s="630" t="s">
        <v>534</v>
      </c>
      <c r="G1155" s="630" t="s">
        <v>365</v>
      </c>
      <c r="H1155" s="630" t="s">
        <v>547</v>
      </c>
      <c r="I1155" s="630"/>
      <c r="J1155" s="630"/>
      <c r="K1155" s="630"/>
      <c r="L1155" s="630"/>
      <c r="M1155" s="630"/>
      <c r="N1155" s="630"/>
      <c r="O1155" s="630"/>
      <c r="P1155" s="630"/>
      <c r="Q1155" s="630"/>
      <c r="R1155" s="630"/>
      <c r="S1155" s="630" t="s">
        <v>581</v>
      </c>
      <c r="T1155" s="630"/>
      <c r="U1155" s="630" t="s">
        <v>538</v>
      </c>
      <c r="V1155" s="630">
        <v>3</v>
      </c>
      <c r="W1155" s="630" t="s">
        <v>582</v>
      </c>
      <c r="X1155" s="630" t="s">
        <v>541</v>
      </c>
      <c r="Y1155" s="630" t="s">
        <v>540</v>
      </c>
      <c r="Z1155" s="630">
        <v>9.3101000000000003E-2</v>
      </c>
      <c r="AA1155" s="630">
        <v>0.14983099999999999</v>
      </c>
      <c r="AB1155" s="631">
        <v>0</v>
      </c>
      <c r="AC1155" s="631">
        <v>0</v>
      </c>
      <c r="AD1155" s="631">
        <f t="shared" si="17"/>
        <v>0</v>
      </c>
    </row>
    <row r="1156" spans="2:30" x14ac:dyDescent="0.15">
      <c r="B1156" s="630">
        <v>17031004030</v>
      </c>
      <c r="C1156" s="630">
        <v>17031000480</v>
      </c>
      <c r="D1156" s="630">
        <v>17031000495</v>
      </c>
      <c r="E1156" s="630" t="s">
        <v>533</v>
      </c>
      <c r="F1156" s="630" t="s">
        <v>534</v>
      </c>
      <c r="G1156" s="630" t="s">
        <v>365</v>
      </c>
      <c r="H1156" s="630" t="s">
        <v>590</v>
      </c>
      <c r="I1156" s="630"/>
      <c r="J1156" s="630"/>
      <c r="K1156" s="630"/>
      <c r="L1156" s="630"/>
      <c r="M1156" s="630"/>
      <c r="N1156" s="630"/>
      <c r="O1156" s="630"/>
      <c r="P1156" s="630"/>
      <c r="Q1156" s="630"/>
      <c r="R1156" s="630"/>
      <c r="S1156" s="630"/>
      <c r="T1156" s="630"/>
      <c r="U1156" s="630" t="s">
        <v>559</v>
      </c>
      <c r="V1156" s="630">
        <v>1</v>
      </c>
      <c r="W1156" s="630" t="s">
        <v>560</v>
      </c>
      <c r="X1156" s="630" t="s">
        <v>541</v>
      </c>
      <c r="Y1156" s="630" t="s">
        <v>541</v>
      </c>
      <c r="Z1156" s="630">
        <v>0.27563100000000001</v>
      </c>
      <c r="AA1156" s="630">
        <v>0.44358599999999998</v>
      </c>
      <c r="AB1156" s="631">
        <v>0</v>
      </c>
      <c r="AC1156" s="631">
        <v>0</v>
      </c>
      <c r="AD1156" s="631">
        <f t="shared" si="17"/>
        <v>0</v>
      </c>
    </row>
    <row r="1157" spans="2:30" x14ac:dyDescent="0.15">
      <c r="B1157" s="630">
        <v>17031004031</v>
      </c>
      <c r="C1157" s="630">
        <v>17031000495</v>
      </c>
      <c r="D1157" s="630">
        <v>17031000504</v>
      </c>
      <c r="E1157" s="630" t="s">
        <v>533</v>
      </c>
      <c r="F1157" s="630" t="s">
        <v>534</v>
      </c>
      <c r="G1157" s="630" t="s">
        <v>365</v>
      </c>
      <c r="H1157" s="630" t="s">
        <v>590</v>
      </c>
      <c r="I1157" s="630"/>
      <c r="J1157" s="630"/>
      <c r="K1157" s="630"/>
      <c r="L1157" s="630"/>
      <c r="M1157" s="630"/>
      <c r="N1157" s="630"/>
      <c r="O1157" s="630"/>
      <c r="P1157" s="630"/>
      <c r="Q1157" s="630"/>
      <c r="R1157" s="630"/>
      <c r="S1157" s="630"/>
      <c r="T1157" s="630"/>
      <c r="U1157" s="630" t="s">
        <v>559</v>
      </c>
      <c r="V1157" s="630">
        <v>1</v>
      </c>
      <c r="W1157" s="630" t="s">
        <v>560</v>
      </c>
      <c r="X1157" s="630" t="s">
        <v>541</v>
      </c>
      <c r="Y1157" s="630" t="s">
        <v>541</v>
      </c>
      <c r="Z1157" s="630">
        <v>0.27329700000000001</v>
      </c>
      <c r="AA1157" s="630">
        <v>0.43983</v>
      </c>
      <c r="AB1157" s="631">
        <v>0</v>
      </c>
      <c r="AC1157" s="631">
        <v>0</v>
      </c>
      <c r="AD1157" s="631">
        <f t="shared" si="17"/>
        <v>0</v>
      </c>
    </row>
    <row r="1158" spans="2:30" x14ac:dyDescent="0.15">
      <c r="B1158" s="630">
        <v>17031004082</v>
      </c>
      <c r="C1158" s="630">
        <v>17031004655</v>
      </c>
      <c r="D1158" s="630">
        <v>17031000757</v>
      </c>
      <c r="E1158" s="630" t="s">
        <v>533</v>
      </c>
      <c r="F1158" s="630" t="s">
        <v>534</v>
      </c>
      <c r="G1158" s="630" t="s">
        <v>365</v>
      </c>
      <c r="H1158" s="630" t="s">
        <v>535</v>
      </c>
      <c r="I1158" s="630"/>
      <c r="J1158" s="630"/>
      <c r="K1158" s="630"/>
      <c r="L1158" s="630"/>
      <c r="M1158" s="630"/>
      <c r="N1158" s="630"/>
      <c r="O1158" s="630"/>
      <c r="P1158" s="630"/>
      <c r="Q1158" s="630"/>
      <c r="R1158" s="630"/>
      <c r="S1158" s="630" t="s">
        <v>624</v>
      </c>
      <c r="T1158" s="630"/>
      <c r="U1158" s="630" t="s">
        <v>538</v>
      </c>
      <c r="V1158" s="630">
        <v>2</v>
      </c>
      <c r="W1158" s="630" t="s">
        <v>582</v>
      </c>
      <c r="X1158" s="630" t="s">
        <v>554</v>
      </c>
      <c r="Y1158" s="630" t="s">
        <v>554</v>
      </c>
      <c r="Z1158" s="630">
        <v>0.48969299999999999</v>
      </c>
      <c r="AA1158" s="630">
        <v>0.78808599999999995</v>
      </c>
      <c r="AB1158" s="631">
        <v>0</v>
      </c>
      <c r="AC1158" s="631">
        <v>0</v>
      </c>
      <c r="AD1158" s="631">
        <f t="shared" ref="AD1158:AD1221" si="18">AC1158*Z1158</f>
        <v>0</v>
      </c>
    </row>
    <row r="1159" spans="2:30" x14ac:dyDescent="0.15">
      <c r="B1159" s="630">
        <v>17031005509</v>
      </c>
      <c r="C1159" s="630">
        <v>17031000662</v>
      </c>
      <c r="D1159" s="630">
        <v>17031000638</v>
      </c>
      <c r="E1159" s="630" t="s">
        <v>533</v>
      </c>
      <c r="F1159" s="630" t="s">
        <v>534</v>
      </c>
      <c r="G1159" s="630" t="s">
        <v>365</v>
      </c>
      <c r="H1159" s="630" t="s">
        <v>382</v>
      </c>
      <c r="I1159" s="630"/>
      <c r="J1159" s="630" t="s">
        <v>572</v>
      </c>
      <c r="K1159" s="630"/>
      <c r="L1159" s="630"/>
      <c r="M1159" s="630"/>
      <c r="N1159" s="630"/>
      <c r="O1159" s="630"/>
      <c r="P1159" s="630"/>
      <c r="Q1159" s="630"/>
      <c r="R1159" s="630"/>
      <c r="S1159" s="630" t="s">
        <v>609</v>
      </c>
      <c r="T1159" s="630" t="s">
        <v>695</v>
      </c>
      <c r="U1159" s="630" t="s">
        <v>538</v>
      </c>
      <c r="V1159" s="630">
        <v>1</v>
      </c>
      <c r="W1159" s="630" t="s">
        <v>539</v>
      </c>
      <c r="X1159" s="630" t="s">
        <v>546</v>
      </c>
      <c r="Y1159" s="630" t="s">
        <v>541</v>
      </c>
      <c r="Z1159" s="630">
        <v>0.46578900000000001</v>
      </c>
      <c r="AA1159" s="630">
        <v>0.74961599999999995</v>
      </c>
      <c r="AB1159" s="631">
        <v>724224</v>
      </c>
      <c r="AC1159" s="631">
        <v>24488076</v>
      </c>
      <c r="AD1159" s="631">
        <f t="shared" si="18"/>
        <v>11406276.431964001</v>
      </c>
    </row>
    <row r="1160" spans="2:30" x14ac:dyDescent="0.15">
      <c r="B1160" s="630">
        <v>17089002064</v>
      </c>
      <c r="C1160" s="630">
        <v>17089000295</v>
      </c>
      <c r="D1160" s="630">
        <v>17999019606</v>
      </c>
      <c r="E1160" s="630" t="s">
        <v>533</v>
      </c>
      <c r="F1160" s="630" t="s">
        <v>534</v>
      </c>
      <c r="G1160" s="630" t="s">
        <v>369</v>
      </c>
      <c r="H1160" s="630" t="s">
        <v>535</v>
      </c>
      <c r="I1160" s="630"/>
      <c r="J1160" s="630"/>
      <c r="K1160" s="630"/>
      <c r="L1160" s="630"/>
      <c r="M1160" s="630"/>
      <c r="N1160" s="630"/>
      <c r="O1160" s="630"/>
      <c r="P1160" s="630"/>
      <c r="Q1160" s="630"/>
      <c r="R1160" s="630"/>
      <c r="S1160" s="630" t="s">
        <v>624</v>
      </c>
      <c r="T1160" s="630"/>
      <c r="U1160" s="630" t="s">
        <v>538</v>
      </c>
      <c r="V1160" s="630">
        <v>1</v>
      </c>
      <c r="W1160" s="630" t="s">
        <v>582</v>
      </c>
      <c r="X1160" s="630" t="s">
        <v>554</v>
      </c>
      <c r="Y1160" s="630" t="s">
        <v>549</v>
      </c>
      <c r="Z1160" s="630">
        <v>2.9901200000000001</v>
      </c>
      <c r="AA1160" s="630">
        <v>4.8121409999999996</v>
      </c>
      <c r="AB1160" s="631">
        <v>46181</v>
      </c>
      <c r="AC1160" s="631">
        <v>4487359</v>
      </c>
      <c r="AD1160" s="631">
        <f t="shared" si="18"/>
        <v>13417741.89308</v>
      </c>
    </row>
    <row r="1161" spans="2:30" x14ac:dyDescent="0.15">
      <c r="B1161" s="630">
        <v>17031002239</v>
      </c>
      <c r="C1161" s="630">
        <v>17031000460</v>
      </c>
      <c r="D1161" s="630">
        <v>17031004637</v>
      </c>
      <c r="E1161" s="630" t="s">
        <v>533</v>
      </c>
      <c r="F1161" s="630" t="s">
        <v>534</v>
      </c>
      <c r="G1161" s="630" t="s">
        <v>365</v>
      </c>
      <c r="H1161" s="630" t="s">
        <v>552</v>
      </c>
      <c r="I1161" s="630"/>
      <c r="J1161" s="630" t="s">
        <v>551</v>
      </c>
      <c r="K1161" s="630" t="s">
        <v>547</v>
      </c>
      <c r="L1161" s="630" t="s">
        <v>382</v>
      </c>
      <c r="M1161" s="630" t="s">
        <v>563</v>
      </c>
      <c r="N1161" s="630"/>
      <c r="O1161" s="630"/>
      <c r="P1161" s="630"/>
      <c r="Q1161" s="630"/>
      <c r="R1161" s="630"/>
      <c r="S1161" s="630" t="s">
        <v>589</v>
      </c>
      <c r="T1161" s="630"/>
      <c r="U1161" s="630" t="s">
        <v>538</v>
      </c>
      <c r="V1161" s="630">
        <v>3</v>
      </c>
      <c r="W1161" s="630" t="s">
        <v>545</v>
      </c>
      <c r="X1161" s="630" t="s">
        <v>549</v>
      </c>
      <c r="Y1161" s="630" t="s">
        <v>549</v>
      </c>
      <c r="Z1161" s="630">
        <v>1.187565</v>
      </c>
      <c r="AA1161" s="630">
        <v>1.9112039999999999</v>
      </c>
      <c r="AB1161" s="631">
        <v>313574</v>
      </c>
      <c r="AC1161" s="631">
        <v>20645328</v>
      </c>
      <c r="AD1161" s="631">
        <f t="shared" si="18"/>
        <v>24517668.946320001</v>
      </c>
    </row>
    <row r="1162" spans="2:30" x14ac:dyDescent="0.15">
      <c r="B1162" s="630">
        <v>17031004089</v>
      </c>
      <c r="C1162" s="630">
        <v>17031000719</v>
      </c>
      <c r="D1162" s="630">
        <v>17031000717</v>
      </c>
      <c r="E1162" s="630" t="s">
        <v>533</v>
      </c>
      <c r="F1162" s="630" t="s">
        <v>534</v>
      </c>
      <c r="G1162" s="630" t="s">
        <v>365</v>
      </c>
      <c r="H1162" s="630" t="s">
        <v>381</v>
      </c>
      <c r="I1162" s="630"/>
      <c r="J1162" s="630" t="s">
        <v>542</v>
      </c>
      <c r="K1162" s="630" t="s">
        <v>572</v>
      </c>
      <c r="L1162" s="630" t="s">
        <v>547</v>
      </c>
      <c r="M1162" s="630" t="s">
        <v>382</v>
      </c>
      <c r="N1162" s="630" t="s">
        <v>571</v>
      </c>
      <c r="O1162" s="630" t="s">
        <v>535</v>
      </c>
      <c r="P1162" s="630" t="s">
        <v>543</v>
      </c>
      <c r="Q1162" s="630"/>
      <c r="R1162" s="630"/>
      <c r="S1162" s="630" t="s">
        <v>579</v>
      </c>
      <c r="T1162" s="630"/>
      <c r="U1162" s="630" t="s">
        <v>538</v>
      </c>
      <c r="V1162" s="630">
        <v>4</v>
      </c>
      <c r="W1162" s="630" t="s">
        <v>545</v>
      </c>
      <c r="X1162" s="630" t="s">
        <v>580</v>
      </c>
      <c r="Y1162" s="630" t="s">
        <v>549</v>
      </c>
      <c r="Z1162" s="630">
        <v>0.14871000000000001</v>
      </c>
      <c r="AA1162" s="630">
        <v>0.23932600000000001</v>
      </c>
      <c r="AB1162" s="631">
        <v>944527</v>
      </c>
      <c r="AC1162" s="631">
        <v>40495779</v>
      </c>
      <c r="AD1162" s="631">
        <f t="shared" si="18"/>
        <v>6022127.2950900001</v>
      </c>
    </row>
    <row r="1163" spans="2:30" x14ac:dyDescent="0.15">
      <c r="B1163" s="630">
        <v>17031005311</v>
      </c>
      <c r="C1163" s="630">
        <v>17031001516</v>
      </c>
      <c r="D1163" s="630">
        <v>17031001518</v>
      </c>
      <c r="E1163" s="630" t="s">
        <v>533</v>
      </c>
      <c r="F1163" s="630" t="s">
        <v>534</v>
      </c>
      <c r="G1163" s="630" t="s">
        <v>365</v>
      </c>
      <c r="H1163" s="630" t="s">
        <v>382</v>
      </c>
      <c r="I1163" s="630"/>
      <c r="J1163" s="630"/>
      <c r="K1163" s="630"/>
      <c r="L1163" s="630"/>
      <c r="M1163" s="630"/>
      <c r="N1163" s="630"/>
      <c r="O1163" s="630"/>
      <c r="P1163" s="630"/>
      <c r="Q1163" s="630"/>
      <c r="R1163" s="630"/>
      <c r="S1163" s="630" t="s">
        <v>576</v>
      </c>
      <c r="T1163" s="630"/>
      <c r="U1163" s="630" t="s">
        <v>559</v>
      </c>
      <c r="V1163" s="630">
        <v>1</v>
      </c>
      <c r="W1163" s="630" t="s">
        <v>560</v>
      </c>
      <c r="X1163" s="630" t="s">
        <v>541</v>
      </c>
      <c r="Y1163" s="630" t="s">
        <v>541</v>
      </c>
      <c r="Z1163" s="630">
        <v>0.144812</v>
      </c>
      <c r="AA1163" s="630">
        <v>0.23305200000000001</v>
      </c>
      <c r="AB1163" s="631">
        <v>0</v>
      </c>
      <c r="AC1163" s="631">
        <v>0</v>
      </c>
      <c r="AD1163" s="631">
        <f t="shared" si="18"/>
        <v>0</v>
      </c>
    </row>
    <row r="1164" spans="2:30" x14ac:dyDescent="0.15">
      <c r="B1164" s="630">
        <v>17031006166</v>
      </c>
      <c r="C1164" s="630">
        <v>17031000692</v>
      </c>
      <c r="D1164" s="630">
        <v>17031000688</v>
      </c>
      <c r="E1164" s="630" t="s">
        <v>533</v>
      </c>
      <c r="F1164" s="630" t="s">
        <v>534</v>
      </c>
      <c r="G1164" s="630" t="s">
        <v>365</v>
      </c>
      <c r="H1164" s="630" t="s">
        <v>381</v>
      </c>
      <c r="I1164" s="630"/>
      <c r="J1164" s="630"/>
      <c r="K1164" s="630"/>
      <c r="L1164" s="630"/>
      <c r="M1164" s="630"/>
      <c r="N1164" s="630"/>
      <c r="O1164" s="630"/>
      <c r="P1164" s="630"/>
      <c r="Q1164" s="630"/>
      <c r="R1164" s="630"/>
      <c r="S1164" s="630"/>
      <c r="T1164" s="630"/>
      <c r="U1164" s="630" t="s">
        <v>559</v>
      </c>
      <c r="V1164" s="630">
        <v>1</v>
      </c>
      <c r="W1164" s="630" t="s">
        <v>560</v>
      </c>
      <c r="X1164" s="630" t="s">
        <v>541</v>
      </c>
      <c r="Y1164" s="630" t="s">
        <v>541</v>
      </c>
      <c r="Z1164" s="630">
        <v>4.8036000000000002E-2</v>
      </c>
      <c r="AA1164" s="630">
        <v>7.7307000000000001E-2</v>
      </c>
      <c r="AB1164" s="631">
        <v>0</v>
      </c>
      <c r="AC1164" s="631">
        <v>0</v>
      </c>
      <c r="AD1164" s="631">
        <f t="shared" si="18"/>
        <v>0</v>
      </c>
    </row>
    <row r="1165" spans="2:30" x14ac:dyDescent="0.15">
      <c r="B1165" s="630">
        <v>17031003279</v>
      </c>
      <c r="C1165" s="630">
        <v>17031000882</v>
      </c>
      <c r="D1165" s="630">
        <v>17031000862</v>
      </c>
      <c r="E1165" s="630" t="s">
        <v>533</v>
      </c>
      <c r="F1165" s="630" t="s">
        <v>534</v>
      </c>
      <c r="G1165" s="630" t="s">
        <v>365</v>
      </c>
      <c r="H1165" s="630" t="s">
        <v>535</v>
      </c>
      <c r="I1165" s="630"/>
      <c r="J1165" s="630" t="s">
        <v>542</v>
      </c>
      <c r="K1165" s="630" t="s">
        <v>572</v>
      </c>
      <c r="L1165" s="630" t="s">
        <v>547</v>
      </c>
      <c r="M1165" s="630" t="s">
        <v>382</v>
      </c>
      <c r="N1165" s="630" t="s">
        <v>552</v>
      </c>
      <c r="O1165" s="630" t="s">
        <v>381</v>
      </c>
      <c r="P1165" s="630"/>
      <c r="Q1165" s="630"/>
      <c r="R1165" s="630"/>
      <c r="S1165" s="630" t="s">
        <v>601</v>
      </c>
      <c r="T1165" s="630"/>
      <c r="U1165" s="630" t="s">
        <v>538</v>
      </c>
      <c r="V1165" s="630">
        <v>2</v>
      </c>
      <c r="W1165" s="630" t="s">
        <v>545</v>
      </c>
      <c r="X1165" s="630" t="s">
        <v>540</v>
      </c>
      <c r="Y1165" s="630" t="s">
        <v>549</v>
      </c>
      <c r="Z1165" s="630">
        <v>0.447712</v>
      </c>
      <c r="AA1165" s="630">
        <v>0.72052400000000005</v>
      </c>
      <c r="AB1165" s="631">
        <v>2020</v>
      </c>
      <c r="AC1165" s="631">
        <v>180608</v>
      </c>
      <c r="AD1165" s="631">
        <f t="shared" si="18"/>
        <v>80860.368896</v>
      </c>
    </row>
    <row r="1166" spans="2:30" x14ac:dyDescent="0.15">
      <c r="B1166" s="630">
        <v>17031006358</v>
      </c>
      <c r="C1166" s="630">
        <v>17031000526</v>
      </c>
      <c r="D1166" s="630">
        <v>17031004644</v>
      </c>
      <c r="E1166" s="630" t="s">
        <v>533</v>
      </c>
      <c r="F1166" s="630" t="s">
        <v>534</v>
      </c>
      <c r="G1166" s="630" t="s">
        <v>365</v>
      </c>
      <c r="H1166" s="630" t="s">
        <v>557</v>
      </c>
      <c r="I1166" s="630"/>
      <c r="J1166" s="630" t="s">
        <v>535</v>
      </c>
      <c r="K1166" s="630" t="s">
        <v>552</v>
      </c>
      <c r="L1166" s="630" t="s">
        <v>543</v>
      </c>
      <c r="M1166" s="630" t="s">
        <v>382</v>
      </c>
      <c r="N1166" s="630"/>
      <c r="O1166" s="630"/>
      <c r="P1166" s="630"/>
      <c r="Q1166" s="630"/>
      <c r="R1166" s="630"/>
      <c r="S1166" s="630" t="s">
        <v>570</v>
      </c>
      <c r="T1166" s="630"/>
      <c r="U1166" s="630" t="s">
        <v>538</v>
      </c>
      <c r="V1166" s="630">
        <v>2</v>
      </c>
      <c r="W1166" s="630" t="s">
        <v>545</v>
      </c>
      <c r="X1166" s="630" t="s">
        <v>546</v>
      </c>
      <c r="Y1166" s="630" t="s">
        <v>540</v>
      </c>
      <c r="Z1166" s="630">
        <v>0.52703999999999995</v>
      </c>
      <c r="AA1166" s="630">
        <v>0.84819100000000003</v>
      </c>
      <c r="AB1166" s="631">
        <v>943691</v>
      </c>
      <c r="AC1166" s="631">
        <v>50467379</v>
      </c>
      <c r="AD1166" s="631">
        <f t="shared" si="18"/>
        <v>26598327.428159997</v>
      </c>
    </row>
    <row r="1167" spans="2:30" x14ac:dyDescent="0.15">
      <c r="B1167" s="630">
        <v>17031006412</v>
      </c>
      <c r="C1167" s="630">
        <v>17031004699</v>
      </c>
      <c r="D1167" s="630">
        <v>17031001286</v>
      </c>
      <c r="E1167" s="630" t="s">
        <v>533</v>
      </c>
      <c r="F1167" s="630" t="s">
        <v>534</v>
      </c>
      <c r="G1167" s="630" t="s">
        <v>365</v>
      </c>
      <c r="H1167" s="630" t="s">
        <v>547</v>
      </c>
      <c r="I1167" s="630"/>
      <c r="J1167" s="630"/>
      <c r="K1167" s="630"/>
      <c r="L1167" s="630"/>
      <c r="M1167" s="630"/>
      <c r="N1167" s="630"/>
      <c r="O1167" s="630"/>
      <c r="P1167" s="630"/>
      <c r="Q1167" s="630"/>
      <c r="R1167" s="630"/>
      <c r="S1167" s="630"/>
      <c r="T1167" s="630"/>
      <c r="U1167" s="630" t="s">
        <v>538</v>
      </c>
      <c r="V1167" s="630">
        <v>1</v>
      </c>
      <c r="W1167" s="630" t="s">
        <v>582</v>
      </c>
      <c r="X1167" s="630" t="s">
        <v>541</v>
      </c>
      <c r="Y1167" s="630" t="s">
        <v>541</v>
      </c>
      <c r="Z1167" s="630">
        <v>0.12859000000000001</v>
      </c>
      <c r="AA1167" s="630">
        <v>0.20694499999999999</v>
      </c>
      <c r="AB1167" s="631">
        <v>0</v>
      </c>
      <c r="AC1167" s="631">
        <v>0</v>
      </c>
      <c r="AD1167" s="631">
        <f t="shared" si="18"/>
        <v>0</v>
      </c>
    </row>
    <row r="1168" spans="2:30" x14ac:dyDescent="0.15">
      <c r="B1168" s="630">
        <v>17031006497</v>
      </c>
      <c r="C1168" s="630">
        <v>17031000774</v>
      </c>
      <c r="D1168" s="630">
        <v>17031000796</v>
      </c>
      <c r="E1168" s="630" t="s">
        <v>533</v>
      </c>
      <c r="F1168" s="630" t="s">
        <v>534</v>
      </c>
      <c r="G1168" s="630" t="s">
        <v>365</v>
      </c>
      <c r="H1168" s="630" t="s">
        <v>543</v>
      </c>
      <c r="I1168" s="630"/>
      <c r="J1168" s="630"/>
      <c r="K1168" s="630"/>
      <c r="L1168" s="630"/>
      <c r="M1168" s="630"/>
      <c r="N1168" s="630"/>
      <c r="O1168" s="630"/>
      <c r="P1168" s="630"/>
      <c r="Q1168" s="630"/>
      <c r="R1168" s="630"/>
      <c r="S1168" s="630" t="s">
        <v>639</v>
      </c>
      <c r="T1168" s="630"/>
      <c r="U1168" s="630" t="s">
        <v>538</v>
      </c>
      <c r="V1168" s="630">
        <v>2</v>
      </c>
      <c r="W1168" s="630" t="s">
        <v>560</v>
      </c>
      <c r="X1168" s="630" t="s">
        <v>541</v>
      </c>
      <c r="Y1168" s="630" t="s">
        <v>541</v>
      </c>
      <c r="Z1168" s="630">
        <v>0.36618499999999998</v>
      </c>
      <c r="AA1168" s="630">
        <v>0.58931800000000001</v>
      </c>
      <c r="AB1168" s="631">
        <v>2336211</v>
      </c>
      <c r="AC1168" s="631">
        <v>58811519</v>
      </c>
      <c r="AD1168" s="631">
        <f t="shared" si="18"/>
        <v>21535896.085014999</v>
      </c>
    </row>
    <row r="1169" spans="2:30" x14ac:dyDescent="0.15">
      <c r="B1169" s="630">
        <v>17031006501</v>
      </c>
      <c r="C1169" s="630">
        <v>17031000906</v>
      </c>
      <c r="D1169" s="630">
        <v>17031000907</v>
      </c>
      <c r="E1169" s="630" t="s">
        <v>533</v>
      </c>
      <c r="F1169" s="630" t="s">
        <v>534</v>
      </c>
      <c r="G1169" s="630" t="s">
        <v>365</v>
      </c>
      <c r="H1169" s="630" t="s">
        <v>547</v>
      </c>
      <c r="I1169" s="630"/>
      <c r="J1169" s="630" t="s">
        <v>577</v>
      </c>
      <c r="K1169" s="630"/>
      <c r="L1169" s="630"/>
      <c r="M1169" s="630"/>
      <c r="N1169" s="630"/>
      <c r="O1169" s="630"/>
      <c r="P1169" s="630"/>
      <c r="Q1169" s="630"/>
      <c r="R1169" s="630"/>
      <c r="S1169" s="630" t="s">
        <v>581</v>
      </c>
      <c r="T1169" s="630"/>
      <c r="U1169" s="630" t="s">
        <v>538</v>
      </c>
      <c r="V1169" s="630">
        <v>2</v>
      </c>
      <c r="W1169" s="630" t="s">
        <v>582</v>
      </c>
      <c r="X1169" s="630" t="s">
        <v>541</v>
      </c>
      <c r="Y1169" s="630" t="s">
        <v>540</v>
      </c>
      <c r="Z1169" s="630">
        <v>8.9208999999999997E-2</v>
      </c>
      <c r="AA1169" s="630">
        <v>0.143568</v>
      </c>
      <c r="AB1169" s="631">
        <v>0</v>
      </c>
      <c r="AC1169" s="631">
        <v>0</v>
      </c>
      <c r="AD1169" s="631">
        <f t="shared" si="18"/>
        <v>0</v>
      </c>
    </row>
    <row r="1170" spans="2:30" x14ac:dyDescent="0.15">
      <c r="B1170" s="630">
        <v>17031006357</v>
      </c>
      <c r="C1170" s="630">
        <v>17031000465</v>
      </c>
      <c r="D1170" s="630">
        <v>17031000462</v>
      </c>
      <c r="E1170" s="630" t="s">
        <v>533</v>
      </c>
      <c r="F1170" s="630" t="s">
        <v>534</v>
      </c>
      <c r="G1170" s="630" t="s">
        <v>365</v>
      </c>
      <c r="H1170" s="630" t="s">
        <v>557</v>
      </c>
      <c r="I1170" s="630"/>
      <c r="J1170" s="630" t="s">
        <v>535</v>
      </c>
      <c r="K1170" s="630" t="s">
        <v>552</v>
      </c>
      <c r="L1170" s="630" t="s">
        <v>543</v>
      </c>
      <c r="M1170" s="630" t="s">
        <v>382</v>
      </c>
      <c r="N1170" s="630"/>
      <c r="O1170" s="630"/>
      <c r="P1170" s="630"/>
      <c r="Q1170" s="630"/>
      <c r="R1170" s="630"/>
      <c r="S1170" s="630" t="s">
        <v>570</v>
      </c>
      <c r="T1170" s="630" t="s">
        <v>676</v>
      </c>
      <c r="U1170" s="630" t="s">
        <v>538</v>
      </c>
      <c r="V1170" s="630">
        <v>2</v>
      </c>
      <c r="W1170" s="630" t="s">
        <v>545</v>
      </c>
      <c r="X1170" s="630" t="s">
        <v>546</v>
      </c>
      <c r="Y1170" s="630" t="s">
        <v>554</v>
      </c>
      <c r="Z1170" s="630">
        <v>0.28209699999999999</v>
      </c>
      <c r="AA1170" s="630">
        <v>0.45399299999999998</v>
      </c>
      <c r="AB1170" s="631">
        <v>943691</v>
      </c>
      <c r="AC1170" s="631">
        <v>50467379</v>
      </c>
      <c r="AD1170" s="631">
        <f t="shared" si="18"/>
        <v>14236696.213762999</v>
      </c>
    </row>
    <row r="1171" spans="2:30" x14ac:dyDescent="0.15">
      <c r="B1171" s="630">
        <v>17197009002</v>
      </c>
      <c r="C1171" s="630">
        <v>17197007217</v>
      </c>
      <c r="D1171" s="630">
        <v>17197007213</v>
      </c>
      <c r="E1171" s="630" t="s">
        <v>533</v>
      </c>
      <c r="F1171" s="630" t="s">
        <v>534</v>
      </c>
      <c r="G1171" s="630" t="s">
        <v>377</v>
      </c>
      <c r="H1171" s="630" t="s">
        <v>381</v>
      </c>
      <c r="I1171" s="630"/>
      <c r="J1171" s="630"/>
      <c r="K1171" s="630"/>
      <c r="L1171" s="630"/>
      <c r="M1171" s="630"/>
      <c r="N1171" s="630"/>
      <c r="O1171" s="630"/>
      <c r="P1171" s="630"/>
      <c r="Q1171" s="630"/>
      <c r="R1171" s="630"/>
      <c r="S1171" s="630" t="s">
        <v>591</v>
      </c>
      <c r="T1171" s="630"/>
      <c r="U1171" s="630" t="s">
        <v>559</v>
      </c>
      <c r="V1171" s="630">
        <v>1</v>
      </c>
      <c r="W1171" s="630" t="s">
        <v>560</v>
      </c>
      <c r="X1171" s="630" t="s">
        <v>541</v>
      </c>
      <c r="Y1171" s="630" t="s">
        <v>541</v>
      </c>
      <c r="Z1171" s="630">
        <v>0.619232</v>
      </c>
      <c r="AA1171" s="630">
        <v>0.99655899999999997</v>
      </c>
      <c r="AB1171" s="631">
        <v>0</v>
      </c>
      <c r="AC1171" s="631">
        <v>0</v>
      </c>
      <c r="AD1171" s="631">
        <f t="shared" si="18"/>
        <v>0</v>
      </c>
    </row>
    <row r="1172" spans="2:30" x14ac:dyDescent="0.15">
      <c r="B1172" s="630">
        <v>17043009145</v>
      </c>
      <c r="C1172" s="630">
        <v>17043007349</v>
      </c>
      <c r="D1172" s="630">
        <v>17043007351</v>
      </c>
      <c r="E1172" s="630" t="s">
        <v>533</v>
      </c>
      <c r="F1172" s="630" t="s">
        <v>534</v>
      </c>
      <c r="G1172" s="630" t="s">
        <v>367</v>
      </c>
      <c r="H1172" s="630" t="s">
        <v>552</v>
      </c>
      <c r="I1172" s="630"/>
      <c r="J1172" s="630" t="s">
        <v>547</v>
      </c>
      <c r="K1172" s="630"/>
      <c r="L1172" s="630"/>
      <c r="M1172" s="630"/>
      <c r="N1172" s="630"/>
      <c r="O1172" s="630"/>
      <c r="P1172" s="630"/>
      <c r="Q1172" s="630"/>
      <c r="R1172" s="630"/>
      <c r="S1172" s="630" t="s">
        <v>589</v>
      </c>
      <c r="T1172" s="630"/>
      <c r="U1172" s="630" t="s">
        <v>538</v>
      </c>
      <c r="V1172" s="630">
        <v>2</v>
      </c>
      <c r="W1172" s="630" t="s">
        <v>545</v>
      </c>
      <c r="X1172" s="630" t="s">
        <v>540</v>
      </c>
      <c r="Y1172" s="630" t="s">
        <v>549</v>
      </c>
      <c r="Z1172" s="630">
        <v>0.53495400000000004</v>
      </c>
      <c r="AA1172" s="630">
        <v>0.86092599999999997</v>
      </c>
      <c r="AB1172" s="631">
        <v>74183</v>
      </c>
      <c r="AC1172" s="631">
        <v>7767504</v>
      </c>
      <c r="AD1172" s="631">
        <f t="shared" si="18"/>
        <v>4155257.3348160004</v>
      </c>
    </row>
    <row r="1173" spans="2:30" x14ac:dyDescent="0.15">
      <c r="B1173" s="630">
        <v>17089002026</v>
      </c>
      <c r="C1173" s="630">
        <v>17089000262</v>
      </c>
      <c r="D1173" s="630">
        <v>17999019031</v>
      </c>
      <c r="E1173" s="630" t="s">
        <v>533</v>
      </c>
      <c r="F1173" s="630" t="s">
        <v>534</v>
      </c>
      <c r="G1173" s="630" t="s">
        <v>369</v>
      </c>
      <c r="H1173" s="630" t="s">
        <v>382</v>
      </c>
      <c r="I1173" s="630"/>
      <c r="J1173" s="630"/>
      <c r="K1173" s="630"/>
      <c r="L1173" s="630"/>
      <c r="M1173" s="630"/>
      <c r="N1173" s="630"/>
      <c r="O1173" s="630"/>
      <c r="P1173" s="630"/>
      <c r="Q1173" s="630"/>
      <c r="R1173" s="630"/>
      <c r="S1173" s="630" t="s">
        <v>561</v>
      </c>
      <c r="T1173" s="630"/>
      <c r="U1173" s="630" t="s">
        <v>538</v>
      </c>
      <c r="V1173" s="630">
        <v>1</v>
      </c>
      <c r="W1173" s="630" t="s">
        <v>562</v>
      </c>
      <c r="X1173" s="630" t="s">
        <v>541</v>
      </c>
      <c r="Y1173" s="630" t="s">
        <v>540</v>
      </c>
      <c r="Z1173" s="630">
        <v>3.4468670000000001</v>
      </c>
      <c r="AA1173" s="630">
        <v>5.5472060000000001</v>
      </c>
      <c r="AB1173" s="631">
        <v>16124</v>
      </c>
      <c r="AC1173" s="631">
        <v>373440</v>
      </c>
      <c r="AD1173" s="631">
        <f t="shared" si="18"/>
        <v>1287198.01248</v>
      </c>
    </row>
    <row r="1174" spans="2:30" x14ac:dyDescent="0.15">
      <c r="B1174" s="630">
        <v>17043002077</v>
      </c>
      <c r="C1174" s="630">
        <v>17043004764</v>
      </c>
      <c r="D1174" s="630">
        <v>17043000503</v>
      </c>
      <c r="E1174" s="630" t="s">
        <v>533</v>
      </c>
      <c r="F1174" s="630" t="s">
        <v>534</v>
      </c>
      <c r="G1174" s="630" t="s">
        <v>367</v>
      </c>
      <c r="H1174" s="630" t="s">
        <v>535</v>
      </c>
      <c r="I1174" s="630"/>
      <c r="J1174" s="630" t="s">
        <v>536</v>
      </c>
      <c r="K1174" s="630" t="s">
        <v>382</v>
      </c>
      <c r="L1174" s="630"/>
      <c r="M1174" s="630"/>
      <c r="N1174" s="630"/>
      <c r="O1174" s="630"/>
      <c r="P1174" s="630"/>
      <c r="Q1174" s="630"/>
      <c r="R1174" s="630"/>
      <c r="S1174" s="630" t="s">
        <v>550</v>
      </c>
      <c r="T1174" s="630"/>
      <c r="U1174" s="630" t="s">
        <v>538</v>
      </c>
      <c r="V1174" s="630">
        <v>2</v>
      </c>
      <c r="W1174" s="630" t="s">
        <v>545</v>
      </c>
      <c r="X1174" s="630" t="s">
        <v>540</v>
      </c>
      <c r="Y1174" s="630" t="s">
        <v>540</v>
      </c>
      <c r="Z1174" s="630">
        <v>0.96634900000000001</v>
      </c>
      <c r="AA1174" s="630">
        <v>1.555191</v>
      </c>
      <c r="AB1174" s="631">
        <v>16613</v>
      </c>
      <c r="AC1174" s="631">
        <v>1595981</v>
      </c>
      <c r="AD1174" s="631">
        <f t="shared" si="18"/>
        <v>1542274.6433689999</v>
      </c>
    </row>
    <row r="1175" spans="2:30" x14ac:dyDescent="0.15">
      <c r="B1175" s="630">
        <v>17093002084</v>
      </c>
      <c r="C1175" s="630">
        <v>17093001444</v>
      </c>
      <c r="D1175" s="630">
        <v>17093001425</v>
      </c>
      <c r="E1175" s="630" t="s">
        <v>533</v>
      </c>
      <c r="F1175" s="630" t="s">
        <v>534</v>
      </c>
      <c r="G1175" s="630" t="s">
        <v>371</v>
      </c>
      <c r="H1175" s="630" t="s">
        <v>578</v>
      </c>
      <c r="I1175" s="630"/>
      <c r="J1175" s="630"/>
      <c r="K1175" s="630"/>
      <c r="L1175" s="630"/>
      <c r="M1175" s="630"/>
      <c r="N1175" s="630"/>
      <c r="O1175" s="630"/>
      <c r="P1175" s="630"/>
      <c r="Q1175" s="630"/>
      <c r="R1175" s="630"/>
      <c r="S1175" s="630"/>
      <c r="T1175" s="630"/>
      <c r="U1175" s="630" t="s">
        <v>538</v>
      </c>
      <c r="V1175" s="630">
        <v>1</v>
      </c>
      <c r="W1175" s="630" t="s">
        <v>560</v>
      </c>
      <c r="X1175" s="630" t="s">
        <v>541</v>
      </c>
      <c r="Y1175" s="630" t="s">
        <v>541</v>
      </c>
      <c r="Z1175" s="630">
        <v>3.3162790000000002</v>
      </c>
      <c r="AA1175" s="630">
        <v>5.3370449999999998</v>
      </c>
      <c r="AB1175" s="631">
        <v>37788</v>
      </c>
      <c r="AC1175" s="631">
        <v>4259781</v>
      </c>
      <c r="AD1175" s="631">
        <f t="shared" si="18"/>
        <v>14126622.274899</v>
      </c>
    </row>
    <row r="1176" spans="2:30" x14ac:dyDescent="0.15">
      <c r="B1176" s="630">
        <v>17031002263</v>
      </c>
      <c r="C1176" s="630">
        <v>17031000417</v>
      </c>
      <c r="D1176" s="630">
        <v>17999020140</v>
      </c>
      <c r="E1176" s="630" t="s">
        <v>533</v>
      </c>
      <c r="F1176" s="630" t="s">
        <v>534</v>
      </c>
      <c r="G1176" s="630" t="s">
        <v>365</v>
      </c>
      <c r="H1176" s="630" t="s">
        <v>552</v>
      </c>
      <c r="I1176" s="630"/>
      <c r="J1176" s="630" t="s">
        <v>551</v>
      </c>
      <c r="K1176" s="630" t="s">
        <v>547</v>
      </c>
      <c r="L1176" s="630" t="s">
        <v>382</v>
      </c>
      <c r="M1176" s="630" t="s">
        <v>563</v>
      </c>
      <c r="N1176" s="630"/>
      <c r="O1176" s="630"/>
      <c r="P1176" s="630"/>
      <c r="Q1176" s="630"/>
      <c r="R1176" s="630"/>
      <c r="S1176" s="630" t="s">
        <v>589</v>
      </c>
      <c r="T1176" s="630" t="s">
        <v>632</v>
      </c>
      <c r="U1176" s="630" t="s">
        <v>538</v>
      </c>
      <c r="V1176" s="630">
        <v>2</v>
      </c>
      <c r="W1176" s="630" t="s">
        <v>545</v>
      </c>
      <c r="X1176" s="630" t="s">
        <v>549</v>
      </c>
      <c r="Y1176" s="630" t="s">
        <v>540</v>
      </c>
      <c r="Z1176" s="630">
        <v>1.8998710000000001</v>
      </c>
      <c r="AA1176" s="630">
        <v>3.0575510000000001</v>
      </c>
      <c r="AB1176" s="631">
        <v>517777</v>
      </c>
      <c r="AC1176" s="631">
        <v>30869708</v>
      </c>
      <c r="AD1176" s="631">
        <f t="shared" si="18"/>
        <v>58648463.007668003</v>
      </c>
    </row>
    <row r="1177" spans="2:30" x14ac:dyDescent="0.15">
      <c r="B1177" s="630">
        <v>17031002579</v>
      </c>
      <c r="C1177" s="630">
        <v>17031004619</v>
      </c>
      <c r="D1177" s="630">
        <v>17031004618</v>
      </c>
      <c r="E1177" s="630" t="s">
        <v>533</v>
      </c>
      <c r="F1177" s="630" t="s">
        <v>534</v>
      </c>
      <c r="G1177" s="630" t="s">
        <v>365</v>
      </c>
      <c r="H1177" s="630" t="s">
        <v>552</v>
      </c>
      <c r="I1177" s="630"/>
      <c r="J1177" s="630" t="s">
        <v>542</v>
      </c>
      <c r="K1177" s="630" t="s">
        <v>547</v>
      </c>
      <c r="L1177" s="630" t="s">
        <v>563</v>
      </c>
      <c r="M1177" s="630"/>
      <c r="N1177" s="630"/>
      <c r="O1177" s="630"/>
      <c r="P1177" s="630"/>
      <c r="Q1177" s="630"/>
      <c r="R1177" s="630"/>
      <c r="S1177" s="630" t="s">
        <v>564</v>
      </c>
      <c r="T1177" s="630"/>
      <c r="U1177" s="630" t="s">
        <v>538</v>
      </c>
      <c r="V1177" s="630">
        <v>2</v>
      </c>
      <c r="W1177" s="630" t="s">
        <v>545</v>
      </c>
      <c r="X1177" s="630" t="s">
        <v>541</v>
      </c>
      <c r="Y1177" s="630" t="s">
        <v>549</v>
      </c>
      <c r="Z1177" s="630">
        <v>1.4529110000000001</v>
      </c>
      <c r="AA1177" s="630">
        <v>2.3382390000000002</v>
      </c>
      <c r="AB1177" s="631">
        <v>27538</v>
      </c>
      <c r="AC1177" s="631">
        <v>2609253</v>
      </c>
      <c r="AD1177" s="631">
        <f t="shared" si="18"/>
        <v>3791012.385483</v>
      </c>
    </row>
    <row r="1178" spans="2:30" x14ac:dyDescent="0.15">
      <c r="B1178" s="630">
        <v>17031003287</v>
      </c>
      <c r="C1178" s="630">
        <v>17031000604</v>
      </c>
      <c r="D1178" s="630">
        <v>17031000600</v>
      </c>
      <c r="E1178" s="630" t="s">
        <v>533</v>
      </c>
      <c r="F1178" s="630" t="s">
        <v>534</v>
      </c>
      <c r="G1178" s="630" t="s">
        <v>365</v>
      </c>
      <c r="H1178" s="630" t="s">
        <v>381</v>
      </c>
      <c r="I1178" s="630"/>
      <c r="J1178" s="630" t="s">
        <v>542</v>
      </c>
      <c r="K1178" s="630" t="s">
        <v>547</v>
      </c>
      <c r="L1178" s="630"/>
      <c r="M1178" s="630"/>
      <c r="N1178" s="630"/>
      <c r="O1178" s="630"/>
      <c r="P1178" s="630"/>
      <c r="Q1178" s="630"/>
      <c r="R1178" s="630"/>
      <c r="S1178" s="630" t="s">
        <v>579</v>
      </c>
      <c r="T1178" s="630"/>
      <c r="U1178" s="630" t="s">
        <v>538</v>
      </c>
      <c r="V1178" s="630">
        <v>4</v>
      </c>
      <c r="W1178" s="630" t="s">
        <v>545</v>
      </c>
      <c r="X1178" s="630" t="s">
        <v>541</v>
      </c>
      <c r="Y1178" s="630" t="s">
        <v>541</v>
      </c>
      <c r="Z1178" s="630">
        <v>0.19759199999999999</v>
      </c>
      <c r="AA1178" s="630">
        <v>0.31799300000000003</v>
      </c>
      <c r="AB1178" s="631">
        <v>73164</v>
      </c>
      <c r="AC1178" s="631">
        <v>3320572</v>
      </c>
      <c r="AD1178" s="631">
        <f t="shared" si="18"/>
        <v>656118.46262399992</v>
      </c>
    </row>
    <row r="1179" spans="2:30" x14ac:dyDescent="0.15">
      <c r="B1179" s="630">
        <v>17031005658</v>
      </c>
      <c r="C1179" s="630">
        <v>17031000542</v>
      </c>
      <c r="D1179" s="630">
        <v>17031000549</v>
      </c>
      <c r="E1179" s="630" t="s">
        <v>533</v>
      </c>
      <c r="F1179" s="630" t="s">
        <v>534</v>
      </c>
      <c r="G1179" s="630" t="s">
        <v>365</v>
      </c>
      <c r="H1179" s="630" t="s">
        <v>382</v>
      </c>
      <c r="I1179" s="630"/>
      <c r="J1179" s="630"/>
      <c r="K1179" s="630"/>
      <c r="L1179" s="630"/>
      <c r="M1179" s="630"/>
      <c r="N1179" s="630"/>
      <c r="O1179" s="630"/>
      <c r="P1179" s="630"/>
      <c r="Q1179" s="630"/>
      <c r="R1179" s="630"/>
      <c r="S1179" s="630" t="s">
        <v>646</v>
      </c>
      <c r="T1179" s="630"/>
      <c r="U1179" s="630" t="s">
        <v>559</v>
      </c>
      <c r="V1179" s="630">
        <v>1</v>
      </c>
      <c r="W1179" s="630" t="s">
        <v>560</v>
      </c>
      <c r="X1179" s="630" t="s">
        <v>541</v>
      </c>
      <c r="Y1179" s="630" t="s">
        <v>541</v>
      </c>
      <c r="Z1179" s="630">
        <v>0.108754</v>
      </c>
      <c r="AA1179" s="630">
        <v>0.17502400000000001</v>
      </c>
      <c r="AB1179" s="631">
        <v>0</v>
      </c>
      <c r="AC1179" s="631">
        <v>0</v>
      </c>
      <c r="AD1179" s="631">
        <f t="shared" si="18"/>
        <v>0</v>
      </c>
    </row>
    <row r="1180" spans="2:30" x14ac:dyDescent="0.15">
      <c r="B1180" s="630">
        <v>17031005733</v>
      </c>
      <c r="C1180" s="630">
        <v>17031001048</v>
      </c>
      <c r="D1180" s="630">
        <v>17031001051</v>
      </c>
      <c r="E1180" s="630" t="s">
        <v>533</v>
      </c>
      <c r="F1180" s="630" t="s">
        <v>534</v>
      </c>
      <c r="G1180" s="630" t="s">
        <v>365</v>
      </c>
      <c r="H1180" s="630" t="s">
        <v>543</v>
      </c>
      <c r="I1180" s="630"/>
      <c r="J1180" s="630"/>
      <c r="K1180" s="630"/>
      <c r="L1180" s="630"/>
      <c r="M1180" s="630"/>
      <c r="N1180" s="630"/>
      <c r="O1180" s="630"/>
      <c r="P1180" s="630"/>
      <c r="Q1180" s="630"/>
      <c r="R1180" s="630"/>
      <c r="S1180" s="630" t="s">
        <v>604</v>
      </c>
      <c r="T1180" s="630"/>
      <c r="U1180" s="630" t="s">
        <v>538</v>
      </c>
      <c r="V1180" s="630">
        <v>1</v>
      </c>
      <c r="W1180" s="630" t="s">
        <v>545</v>
      </c>
      <c r="X1180" s="630" t="s">
        <v>549</v>
      </c>
      <c r="Y1180" s="630" t="s">
        <v>554</v>
      </c>
      <c r="Z1180" s="630">
        <v>0.12070500000000001</v>
      </c>
      <c r="AA1180" s="630">
        <v>0.19425600000000001</v>
      </c>
      <c r="AB1180" s="631">
        <v>0</v>
      </c>
      <c r="AC1180" s="631">
        <v>0</v>
      </c>
      <c r="AD1180" s="631">
        <f t="shared" si="18"/>
        <v>0</v>
      </c>
    </row>
    <row r="1181" spans="2:30" x14ac:dyDescent="0.15">
      <c r="B1181" s="630">
        <v>17043005913</v>
      </c>
      <c r="C1181" s="630">
        <v>17043000390</v>
      </c>
      <c r="D1181" s="630">
        <v>17043000396</v>
      </c>
      <c r="E1181" s="630" t="s">
        <v>533</v>
      </c>
      <c r="F1181" s="630" t="s">
        <v>534</v>
      </c>
      <c r="G1181" s="630" t="s">
        <v>367</v>
      </c>
      <c r="H1181" s="630" t="s">
        <v>638</v>
      </c>
      <c r="I1181" s="630"/>
      <c r="J1181" s="630"/>
      <c r="K1181" s="630"/>
      <c r="L1181" s="630"/>
      <c r="M1181" s="630"/>
      <c r="N1181" s="630"/>
      <c r="O1181" s="630"/>
      <c r="P1181" s="630"/>
      <c r="Q1181" s="630"/>
      <c r="R1181" s="630"/>
      <c r="S1181" s="630"/>
      <c r="T1181" s="630"/>
      <c r="U1181" s="630" t="s">
        <v>559</v>
      </c>
      <c r="V1181" s="630">
        <v>1</v>
      </c>
      <c r="W1181" s="630" t="s">
        <v>560</v>
      </c>
      <c r="X1181" s="630" t="s">
        <v>541</v>
      </c>
      <c r="Y1181" s="630" t="s">
        <v>541</v>
      </c>
      <c r="Z1181" s="630">
        <v>0.18471899999999999</v>
      </c>
      <c r="AA1181" s="630">
        <v>0.29727799999999999</v>
      </c>
      <c r="AB1181" s="631">
        <v>0</v>
      </c>
      <c r="AC1181" s="631">
        <v>0</v>
      </c>
      <c r="AD1181" s="631">
        <f t="shared" si="18"/>
        <v>0</v>
      </c>
    </row>
    <row r="1182" spans="2:30" x14ac:dyDescent="0.15">
      <c r="B1182" s="630">
        <v>17031007050</v>
      </c>
      <c r="C1182" s="630">
        <v>99999022069</v>
      </c>
      <c r="D1182" s="630">
        <v>17031001166</v>
      </c>
      <c r="E1182" s="630" t="s">
        <v>533</v>
      </c>
      <c r="F1182" s="630" t="s">
        <v>534</v>
      </c>
      <c r="G1182" s="630" t="s">
        <v>365</v>
      </c>
      <c r="H1182" s="630" t="s">
        <v>535</v>
      </c>
      <c r="I1182" s="630"/>
      <c r="J1182" s="630"/>
      <c r="K1182" s="630"/>
      <c r="L1182" s="630"/>
      <c r="M1182" s="630"/>
      <c r="N1182" s="630"/>
      <c r="O1182" s="630"/>
      <c r="P1182" s="630"/>
      <c r="Q1182" s="630"/>
      <c r="R1182" s="630"/>
      <c r="S1182" s="630" t="s">
        <v>597</v>
      </c>
      <c r="T1182" s="630"/>
      <c r="U1182" s="630" t="s">
        <v>538</v>
      </c>
      <c r="V1182" s="630">
        <v>1</v>
      </c>
      <c r="W1182" s="630" t="s">
        <v>539</v>
      </c>
      <c r="X1182" s="630" t="s">
        <v>541</v>
      </c>
      <c r="Y1182" s="630" t="s">
        <v>554</v>
      </c>
      <c r="Z1182" s="630">
        <v>9.9743999999999999E-2</v>
      </c>
      <c r="AA1182" s="630">
        <v>0.160523</v>
      </c>
      <c r="AB1182" s="631">
        <v>5840</v>
      </c>
      <c r="AC1182" s="631">
        <v>552320</v>
      </c>
      <c r="AD1182" s="631">
        <f t="shared" si="18"/>
        <v>55090.606079999998</v>
      </c>
    </row>
    <row r="1183" spans="2:30" x14ac:dyDescent="0.15">
      <c r="B1183" s="630">
        <v>17197008972</v>
      </c>
      <c r="C1183" s="630">
        <v>17197007191</v>
      </c>
      <c r="D1183" s="630">
        <v>17197001821</v>
      </c>
      <c r="E1183" s="630" t="s">
        <v>533</v>
      </c>
      <c r="F1183" s="630" t="s">
        <v>534</v>
      </c>
      <c r="G1183" s="630" t="s">
        <v>377</v>
      </c>
      <c r="H1183" s="630" t="s">
        <v>687</v>
      </c>
      <c r="I1183" s="630"/>
      <c r="J1183" s="630" t="s">
        <v>382</v>
      </c>
      <c r="K1183" s="630"/>
      <c r="L1183" s="630"/>
      <c r="M1183" s="630"/>
      <c r="N1183" s="630"/>
      <c r="O1183" s="630"/>
      <c r="P1183" s="630"/>
      <c r="Q1183" s="630"/>
      <c r="R1183" s="630"/>
      <c r="S1183" s="630"/>
      <c r="T1183" s="630"/>
      <c r="U1183" s="630" t="s">
        <v>559</v>
      </c>
      <c r="V1183" s="630">
        <v>1</v>
      </c>
      <c r="W1183" s="630" t="s">
        <v>560</v>
      </c>
      <c r="X1183" s="630" t="s">
        <v>541</v>
      </c>
      <c r="Y1183" s="630" t="s">
        <v>541</v>
      </c>
      <c r="Z1183" s="630">
        <v>0.18357200000000001</v>
      </c>
      <c r="AA1183" s="630">
        <v>0.295431</v>
      </c>
      <c r="AB1183" s="631">
        <v>0</v>
      </c>
      <c r="AC1183" s="631">
        <v>0</v>
      </c>
      <c r="AD1183" s="631">
        <f t="shared" si="18"/>
        <v>0</v>
      </c>
    </row>
    <row r="1184" spans="2:30" x14ac:dyDescent="0.15">
      <c r="B1184" s="630">
        <v>17031008722</v>
      </c>
      <c r="C1184" s="630">
        <v>17031006779</v>
      </c>
      <c r="D1184" s="630">
        <v>17031001029</v>
      </c>
      <c r="E1184" s="630" t="s">
        <v>533</v>
      </c>
      <c r="F1184" s="630" t="s">
        <v>534</v>
      </c>
      <c r="G1184" s="630" t="s">
        <v>365</v>
      </c>
      <c r="H1184" s="630" t="s">
        <v>571</v>
      </c>
      <c r="I1184" s="630"/>
      <c r="J1184" s="630" t="s">
        <v>552</v>
      </c>
      <c r="K1184" s="630" t="s">
        <v>572</v>
      </c>
      <c r="L1184" s="630" t="s">
        <v>551</v>
      </c>
      <c r="M1184" s="630" t="s">
        <v>555</v>
      </c>
      <c r="N1184" s="630" t="s">
        <v>543</v>
      </c>
      <c r="O1184" s="630" t="s">
        <v>382</v>
      </c>
      <c r="P1184" s="630" t="s">
        <v>535</v>
      </c>
      <c r="Q1184" s="630" t="s">
        <v>381</v>
      </c>
      <c r="R1184" s="630"/>
      <c r="S1184" s="630" t="s">
        <v>573</v>
      </c>
      <c r="T1184" s="630"/>
      <c r="U1184" s="630" t="s">
        <v>538</v>
      </c>
      <c r="V1184" s="630">
        <v>4</v>
      </c>
      <c r="W1184" s="630" t="s">
        <v>545</v>
      </c>
      <c r="X1184" s="630" t="s">
        <v>575</v>
      </c>
      <c r="Y1184" s="630" t="s">
        <v>554</v>
      </c>
      <c r="Z1184" s="630">
        <v>4.2187000000000002E-2</v>
      </c>
      <c r="AA1184" s="630">
        <v>6.7893999999999996E-2</v>
      </c>
      <c r="AB1184" s="631">
        <v>371285</v>
      </c>
      <c r="AC1184" s="631">
        <v>16601511</v>
      </c>
      <c r="AD1184" s="631">
        <f t="shared" si="18"/>
        <v>700367.94455700007</v>
      </c>
    </row>
    <row r="1185" spans="2:30" x14ac:dyDescent="0.15">
      <c r="B1185" s="630">
        <v>17197010207</v>
      </c>
      <c r="C1185" s="630">
        <v>17197001452</v>
      </c>
      <c r="D1185" s="630">
        <v>17197008298</v>
      </c>
      <c r="E1185" s="630" t="s">
        <v>533</v>
      </c>
      <c r="F1185" s="630" t="s">
        <v>534</v>
      </c>
      <c r="G1185" s="630" t="s">
        <v>377</v>
      </c>
      <c r="H1185" s="630" t="s">
        <v>535</v>
      </c>
      <c r="I1185" s="630"/>
      <c r="J1185" s="630" t="s">
        <v>382</v>
      </c>
      <c r="K1185" s="630" t="s">
        <v>536</v>
      </c>
      <c r="L1185" s="630"/>
      <c r="M1185" s="630"/>
      <c r="N1185" s="630"/>
      <c r="O1185" s="630"/>
      <c r="P1185" s="630"/>
      <c r="Q1185" s="630"/>
      <c r="R1185" s="630"/>
      <c r="S1185" s="630" t="s">
        <v>550</v>
      </c>
      <c r="T1185" s="630"/>
      <c r="U1185" s="630" t="s">
        <v>538</v>
      </c>
      <c r="V1185" s="630">
        <v>2</v>
      </c>
      <c r="W1185" s="630" t="s">
        <v>545</v>
      </c>
      <c r="X1185" s="630" t="s">
        <v>540</v>
      </c>
      <c r="Y1185" s="630" t="s">
        <v>541</v>
      </c>
      <c r="Z1185" s="630">
        <v>0.35574299999999998</v>
      </c>
      <c r="AA1185" s="630">
        <v>0.57251300000000005</v>
      </c>
      <c r="AB1185" s="631">
        <v>32625</v>
      </c>
      <c r="AC1185" s="631">
        <v>3073584</v>
      </c>
      <c r="AD1185" s="631">
        <f t="shared" si="18"/>
        <v>1093405.9929119998</v>
      </c>
    </row>
    <row r="1186" spans="2:30" x14ac:dyDescent="0.15">
      <c r="B1186" s="630">
        <v>17097002112</v>
      </c>
      <c r="C1186" s="630">
        <v>17097000066</v>
      </c>
      <c r="D1186" s="630">
        <v>17097000061</v>
      </c>
      <c r="E1186" s="630" t="s">
        <v>533</v>
      </c>
      <c r="F1186" s="630" t="s">
        <v>534</v>
      </c>
      <c r="G1186" s="630" t="s">
        <v>373</v>
      </c>
      <c r="H1186" s="630" t="s">
        <v>535</v>
      </c>
      <c r="I1186" s="630"/>
      <c r="J1186" s="630" t="s">
        <v>547</v>
      </c>
      <c r="K1186" s="630"/>
      <c r="L1186" s="630"/>
      <c r="M1186" s="630"/>
      <c r="N1186" s="630"/>
      <c r="O1186" s="630"/>
      <c r="P1186" s="630"/>
      <c r="Q1186" s="630"/>
      <c r="R1186" s="630"/>
      <c r="S1186" s="630" t="s">
        <v>548</v>
      </c>
      <c r="T1186" s="630"/>
      <c r="U1186" s="630" t="s">
        <v>538</v>
      </c>
      <c r="V1186" s="630">
        <v>1</v>
      </c>
      <c r="W1186" s="630" t="s">
        <v>545</v>
      </c>
      <c r="X1186" s="630" t="s">
        <v>546</v>
      </c>
      <c r="Y1186" s="630" t="s">
        <v>549</v>
      </c>
      <c r="Z1186" s="630">
        <v>0.68955100000000003</v>
      </c>
      <c r="AA1186" s="630">
        <v>1.109728</v>
      </c>
      <c r="AB1186" s="631">
        <v>777350</v>
      </c>
      <c r="AC1186" s="631">
        <v>36648785</v>
      </c>
      <c r="AD1186" s="631">
        <f t="shared" si="18"/>
        <v>25271206.345535003</v>
      </c>
    </row>
    <row r="1187" spans="2:30" x14ac:dyDescent="0.15">
      <c r="B1187" s="630">
        <v>17097002151</v>
      </c>
      <c r="C1187" s="630">
        <v>17097007469</v>
      </c>
      <c r="D1187" s="630">
        <v>17097000181</v>
      </c>
      <c r="E1187" s="630" t="s">
        <v>533</v>
      </c>
      <c r="F1187" s="630" t="s">
        <v>534</v>
      </c>
      <c r="G1187" s="630" t="s">
        <v>373</v>
      </c>
      <c r="H1187" s="630" t="s">
        <v>535</v>
      </c>
      <c r="I1187" s="630"/>
      <c r="J1187" s="630" t="s">
        <v>382</v>
      </c>
      <c r="K1187" s="630" t="s">
        <v>536</v>
      </c>
      <c r="L1187" s="630"/>
      <c r="M1187" s="630"/>
      <c r="N1187" s="630"/>
      <c r="O1187" s="630"/>
      <c r="P1187" s="630"/>
      <c r="Q1187" s="630"/>
      <c r="R1187" s="630"/>
      <c r="S1187" s="630" t="s">
        <v>550</v>
      </c>
      <c r="T1187" s="630"/>
      <c r="U1187" s="630" t="s">
        <v>538</v>
      </c>
      <c r="V1187" s="630">
        <v>1</v>
      </c>
      <c r="W1187" s="630" t="s">
        <v>545</v>
      </c>
      <c r="X1187" s="630" t="s">
        <v>540</v>
      </c>
      <c r="Y1187" s="630" t="s">
        <v>549</v>
      </c>
      <c r="Z1187" s="630">
        <v>2.7456049999999999</v>
      </c>
      <c r="AA1187" s="630">
        <v>4.4186310000000004</v>
      </c>
      <c r="AB1187" s="631">
        <v>36082</v>
      </c>
      <c r="AC1187" s="631">
        <v>3440570</v>
      </c>
      <c r="AD1187" s="631">
        <f t="shared" si="18"/>
        <v>9446446.1948499996</v>
      </c>
    </row>
    <row r="1188" spans="2:30" x14ac:dyDescent="0.15">
      <c r="B1188" s="630">
        <v>17111002619</v>
      </c>
      <c r="C1188" s="630">
        <v>17111000138</v>
      </c>
      <c r="D1188" s="630">
        <v>17111000120</v>
      </c>
      <c r="E1188" s="630" t="s">
        <v>533</v>
      </c>
      <c r="F1188" s="630" t="s">
        <v>534</v>
      </c>
      <c r="G1188" s="630" t="s">
        <v>375</v>
      </c>
      <c r="H1188" s="630" t="s">
        <v>382</v>
      </c>
      <c r="I1188" s="630"/>
      <c r="J1188" s="630" t="s">
        <v>547</v>
      </c>
      <c r="K1188" s="630"/>
      <c r="L1188" s="630"/>
      <c r="M1188" s="630"/>
      <c r="N1188" s="630"/>
      <c r="O1188" s="630"/>
      <c r="P1188" s="630"/>
      <c r="Q1188" s="630"/>
      <c r="R1188" s="630"/>
      <c r="S1188" s="630" t="s">
        <v>608</v>
      </c>
      <c r="T1188" s="630"/>
      <c r="U1188" s="630" t="s">
        <v>538</v>
      </c>
      <c r="V1188" s="630">
        <v>2</v>
      </c>
      <c r="W1188" s="630" t="s">
        <v>566</v>
      </c>
      <c r="X1188" s="630" t="s">
        <v>549</v>
      </c>
      <c r="Y1188" s="630" t="s">
        <v>549</v>
      </c>
      <c r="Z1188" s="630">
        <v>0.58086099999999996</v>
      </c>
      <c r="AA1188" s="630">
        <v>0.93480700000000005</v>
      </c>
      <c r="AB1188" s="631">
        <v>9672</v>
      </c>
      <c r="AC1188" s="631">
        <v>874093</v>
      </c>
      <c r="AD1188" s="631">
        <f t="shared" si="18"/>
        <v>507726.53407299996</v>
      </c>
    </row>
    <row r="1189" spans="2:30" x14ac:dyDescent="0.15">
      <c r="B1189" s="630">
        <v>17031004070</v>
      </c>
      <c r="C1189" s="630">
        <v>17031000435</v>
      </c>
      <c r="D1189" s="630">
        <v>17031004630</v>
      </c>
      <c r="E1189" s="630" t="s">
        <v>533</v>
      </c>
      <c r="F1189" s="630" t="s">
        <v>534</v>
      </c>
      <c r="G1189" s="630" t="s">
        <v>365</v>
      </c>
      <c r="H1189" s="630" t="s">
        <v>535</v>
      </c>
      <c r="I1189" s="630"/>
      <c r="J1189" s="630" t="s">
        <v>552</v>
      </c>
      <c r="K1189" s="630" t="s">
        <v>547</v>
      </c>
      <c r="L1189" s="630" t="s">
        <v>551</v>
      </c>
      <c r="M1189" s="630"/>
      <c r="N1189" s="630"/>
      <c r="O1189" s="630"/>
      <c r="P1189" s="630"/>
      <c r="Q1189" s="630"/>
      <c r="R1189" s="630"/>
      <c r="S1189" s="630" t="s">
        <v>548</v>
      </c>
      <c r="T1189" s="630"/>
      <c r="U1189" s="630" t="s">
        <v>538</v>
      </c>
      <c r="V1189" s="630">
        <v>3</v>
      </c>
      <c r="W1189" s="630" t="s">
        <v>545</v>
      </c>
      <c r="X1189" s="630" t="s">
        <v>546</v>
      </c>
      <c r="Y1189" s="630" t="s">
        <v>554</v>
      </c>
      <c r="Z1189" s="630">
        <v>0.23444699999999999</v>
      </c>
      <c r="AA1189" s="630">
        <v>0.377307</v>
      </c>
      <c r="AB1189" s="631">
        <v>877800</v>
      </c>
      <c r="AC1189" s="631">
        <v>40317087</v>
      </c>
      <c r="AD1189" s="631">
        <f t="shared" si="18"/>
        <v>9452220.0958890002</v>
      </c>
    </row>
    <row r="1190" spans="2:30" x14ac:dyDescent="0.15">
      <c r="B1190" s="630">
        <v>17197006206</v>
      </c>
      <c r="C1190" s="630">
        <v>17197001630</v>
      </c>
      <c r="D1190" s="630">
        <v>17197001622</v>
      </c>
      <c r="E1190" s="630" t="s">
        <v>533</v>
      </c>
      <c r="F1190" s="630" t="s">
        <v>534</v>
      </c>
      <c r="G1190" s="630" t="s">
        <v>377</v>
      </c>
      <c r="H1190" s="630" t="s">
        <v>547</v>
      </c>
      <c r="I1190" s="630"/>
      <c r="J1190" s="630"/>
      <c r="K1190" s="630"/>
      <c r="L1190" s="630"/>
      <c r="M1190" s="630"/>
      <c r="N1190" s="630"/>
      <c r="O1190" s="630"/>
      <c r="P1190" s="630"/>
      <c r="Q1190" s="630"/>
      <c r="R1190" s="630"/>
      <c r="S1190" s="630"/>
      <c r="T1190" s="630"/>
      <c r="U1190" s="630" t="s">
        <v>559</v>
      </c>
      <c r="V1190" s="630">
        <v>1</v>
      </c>
      <c r="W1190" s="630" t="s">
        <v>560</v>
      </c>
      <c r="X1190" s="630" t="s">
        <v>541</v>
      </c>
      <c r="Y1190" s="630" t="s">
        <v>541</v>
      </c>
      <c r="Z1190" s="630">
        <v>0.46252500000000002</v>
      </c>
      <c r="AA1190" s="630">
        <v>0.74436400000000003</v>
      </c>
      <c r="AB1190" s="631">
        <v>0</v>
      </c>
      <c r="AC1190" s="631">
        <v>0</v>
      </c>
      <c r="AD1190" s="631">
        <f t="shared" si="18"/>
        <v>0</v>
      </c>
    </row>
    <row r="1191" spans="2:30" x14ac:dyDescent="0.15">
      <c r="B1191" s="630">
        <v>17031003924</v>
      </c>
      <c r="C1191" s="630">
        <v>17031000570</v>
      </c>
      <c r="D1191" s="630">
        <v>17031000566</v>
      </c>
      <c r="E1191" s="630" t="s">
        <v>533</v>
      </c>
      <c r="F1191" s="630" t="s">
        <v>534</v>
      </c>
      <c r="G1191" s="630" t="s">
        <v>365</v>
      </c>
      <c r="H1191" s="630" t="s">
        <v>382</v>
      </c>
      <c r="I1191" s="630"/>
      <c r="J1191" s="630" t="s">
        <v>547</v>
      </c>
      <c r="K1191" s="630"/>
      <c r="L1191" s="630"/>
      <c r="M1191" s="630"/>
      <c r="N1191" s="630"/>
      <c r="O1191" s="630"/>
      <c r="P1191" s="630"/>
      <c r="Q1191" s="630"/>
      <c r="R1191" s="630"/>
      <c r="S1191" s="630" t="s">
        <v>583</v>
      </c>
      <c r="T1191" s="630" t="s">
        <v>674</v>
      </c>
      <c r="U1191" s="630" t="s">
        <v>538</v>
      </c>
      <c r="V1191" s="630">
        <v>4</v>
      </c>
      <c r="W1191" s="630" t="s">
        <v>545</v>
      </c>
      <c r="X1191" s="630" t="s">
        <v>541</v>
      </c>
      <c r="Y1191" s="630" t="s">
        <v>540</v>
      </c>
      <c r="Z1191" s="630">
        <v>0.50454399999999999</v>
      </c>
      <c r="AA1191" s="630">
        <v>0.81198700000000001</v>
      </c>
      <c r="AB1191" s="631">
        <v>0</v>
      </c>
      <c r="AC1191" s="631">
        <v>0</v>
      </c>
      <c r="AD1191" s="631">
        <f t="shared" si="18"/>
        <v>0</v>
      </c>
    </row>
    <row r="1192" spans="2:30" x14ac:dyDescent="0.15">
      <c r="B1192" s="630">
        <v>17197009317</v>
      </c>
      <c r="C1192" s="630">
        <v>17197007439</v>
      </c>
      <c r="D1192" s="630">
        <v>17197001545</v>
      </c>
      <c r="E1192" s="630" t="s">
        <v>533</v>
      </c>
      <c r="F1192" s="630" t="s">
        <v>534</v>
      </c>
      <c r="G1192" s="630" t="s">
        <v>377</v>
      </c>
      <c r="H1192" s="630" t="s">
        <v>535</v>
      </c>
      <c r="I1192" s="630"/>
      <c r="J1192" s="630" t="s">
        <v>382</v>
      </c>
      <c r="K1192" s="630" t="s">
        <v>536</v>
      </c>
      <c r="L1192" s="630"/>
      <c r="M1192" s="630"/>
      <c r="N1192" s="630"/>
      <c r="O1192" s="630"/>
      <c r="P1192" s="630"/>
      <c r="Q1192" s="630"/>
      <c r="R1192" s="630"/>
      <c r="S1192" s="630" t="s">
        <v>537</v>
      </c>
      <c r="T1192" s="630"/>
      <c r="U1192" s="630" t="s">
        <v>538</v>
      </c>
      <c r="V1192" s="630">
        <v>2</v>
      </c>
      <c r="W1192" s="630" t="s">
        <v>545</v>
      </c>
      <c r="X1192" s="630" t="s">
        <v>540</v>
      </c>
      <c r="Y1192" s="630" t="s">
        <v>549</v>
      </c>
      <c r="Z1192" s="630">
        <v>3.1976390000000001</v>
      </c>
      <c r="AA1192" s="630">
        <v>5.1461110000000003</v>
      </c>
      <c r="AB1192" s="631">
        <v>29251</v>
      </c>
      <c r="AC1192" s="631">
        <v>2680474</v>
      </c>
      <c r="AD1192" s="631">
        <f t="shared" si="18"/>
        <v>8571188.2008859999</v>
      </c>
    </row>
    <row r="1193" spans="2:30" x14ac:dyDescent="0.15">
      <c r="B1193" s="630">
        <v>17031006334</v>
      </c>
      <c r="C1193" s="630">
        <v>17031004586</v>
      </c>
      <c r="D1193" s="630">
        <v>17031004585</v>
      </c>
      <c r="E1193" s="630" t="s">
        <v>533</v>
      </c>
      <c r="F1193" s="630" t="s">
        <v>534</v>
      </c>
      <c r="G1193" s="630" t="s">
        <v>365</v>
      </c>
      <c r="H1193" s="630" t="s">
        <v>382</v>
      </c>
      <c r="I1193" s="630"/>
      <c r="J1193" s="630" t="s">
        <v>547</v>
      </c>
      <c r="K1193" s="630"/>
      <c r="L1193" s="630"/>
      <c r="M1193" s="630"/>
      <c r="N1193" s="630"/>
      <c r="O1193" s="630"/>
      <c r="P1193" s="630"/>
      <c r="Q1193" s="630"/>
      <c r="R1193" s="630"/>
      <c r="S1193" s="630" t="s">
        <v>565</v>
      </c>
      <c r="T1193" s="630"/>
      <c r="U1193" s="630" t="s">
        <v>538</v>
      </c>
      <c r="V1193" s="630">
        <v>2</v>
      </c>
      <c r="W1193" s="630" t="s">
        <v>566</v>
      </c>
      <c r="X1193" s="630" t="s">
        <v>541</v>
      </c>
      <c r="Y1193" s="630" t="s">
        <v>549</v>
      </c>
      <c r="Z1193" s="630">
        <v>0.20282700000000001</v>
      </c>
      <c r="AA1193" s="630">
        <v>0.32641999999999999</v>
      </c>
      <c r="AB1193" s="631">
        <v>0</v>
      </c>
      <c r="AC1193" s="631">
        <v>0</v>
      </c>
      <c r="AD1193" s="631">
        <f t="shared" si="18"/>
        <v>0</v>
      </c>
    </row>
    <row r="1194" spans="2:30" x14ac:dyDescent="0.15">
      <c r="B1194" s="630">
        <v>17031006408</v>
      </c>
      <c r="C1194" s="630">
        <v>17031004704</v>
      </c>
      <c r="D1194" s="630">
        <v>17031004703</v>
      </c>
      <c r="E1194" s="630" t="s">
        <v>533</v>
      </c>
      <c r="F1194" s="630" t="s">
        <v>534</v>
      </c>
      <c r="G1194" s="630" t="s">
        <v>365</v>
      </c>
      <c r="H1194" s="630" t="s">
        <v>547</v>
      </c>
      <c r="I1194" s="630"/>
      <c r="J1194" s="630"/>
      <c r="K1194" s="630"/>
      <c r="L1194" s="630"/>
      <c r="M1194" s="630"/>
      <c r="N1194" s="630"/>
      <c r="O1194" s="630"/>
      <c r="P1194" s="630"/>
      <c r="Q1194" s="630"/>
      <c r="R1194" s="630"/>
      <c r="S1194" s="630" t="s">
        <v>611</v>
      </c>
      <c r="T1194" s="630"/>
      <c r="U1194" s="630" t="s">
        <v>538</v>
      </c>
      <c r="V1194" s="630">
        <v>2</v>
      </c>
      <c r="W1194" s="630" t="s">
        <v>582</v>
      </c>
      <c r="X1194" s="630" t="s">
        <v>541</v>
      </c>
      <c r="Y1194" s="630" t="s">
        <v>540</v>
      </c>
      <c r="Z1194" s="630">
        <v>0.507691</v>
      </c>
      <c r="AA1194" s="630">
        <v>0.81705099999999997</v>
      </c>
      <c r="AB1194" s="631">
        <v>0</v>
      </c>
      <c r="AC1194" s="631">
        <v>0</v>
      </c>
      <c r="AD1194" s="631">
        <f t="shared" si="18"/>
        <v>0</v>
      </c>
    </row>
    <row r="1195" spans="2:30" x14ac:dyDescent="0.15">
      <c r="B1195" s="630">
        <v>17031006414</v>
      </c>
      <c r="C1195" s="630">
        <v>17031001065</v>
      </c>
      <c r="D1195" s="630">
        <v>17031001030</v>
      </c>
      <c r="E1195" s="630" t="s">
        <v>533</v>
      </c>
      <c r="F1195" s="630" t="s">
        <v>534</v>
      </c>
      <c r="G1195" s="630" t="s">
        <v>365</v>
      </c>
      <c r="H1195" s="630" t="s">
        <v>547</v>
      </c>
      <c r="I1195" s="630"/>
      <c r="J1195" s="630" t="s">
        <v>577</v>
      </c>
      <c r="K1195" s="630"/>
      <c r="L1195" s="630"/>
      <c r="M1195" s="630"/>
      <c r="N1195" s="630"/>
      <c r="O1195" s="630"/>
      <c r="P1195" s="630"/>
      <c r="Q1195" s="630"/>
      <c r="R1195" s="630"/>
      <c r="S1195" s="630" t="s">
        <v>581</v>
      </c>
      <c r="T1195" s="630"/>
      <c r="U1195" s="630" t="s">
        <v>538</v>
      </c>
      <c r="V1195" s="630">
        <v>2</v>
      </c>
      <c r="W1195" s="630" t="s">
        <v>582</v>
      </c>
      <c r="X1195" s="630" t="s">
        <v>541</v>
      </c>
      <c r="Y1195" s="630" t="s">
        <v>540</v>
      </c>
      <c r="Z1195" s="630">
        <v>0.18220700000000001</v>
      </c>
      <c r="AA1195" s="630">
        <v>0.29323399999999999</v>
      </c>
      <c r="AB1195" s="631">
        <v>0</v>
      </c>
      <c r="AC1195" s="631">
        <v>0</v>
      </c>
      <c r="AD1195" s="631">
        <f t="shared" si="18"/>
        <v>0</v>
      </c>
    </row>
    <row r="1196" spans="2:30" x14ac:dyDescent="0.15">
      <c r="B1196" s="630">
        <v>17031009649</v>
      </c>
      <c r="C1196" s="630">
        <v>17031007733</v>
      </c>
      <c r="D1196" s="630">
        <v>17031000967</v>
      </c>
      <c r="E1196" s="630" t="s">
        <v>533</v>
      </c>
      <c r="F1196" s="630" t="s">
        <v>534</v>
      </c>
      <c r="G1196" s="630" t="s">
        <v>365</v>
      </c>
      <c r="H1196" s="630" t="s">
        <v>381</v>
      </c>
      <c r="I1196" s="630"/>
      <c r="J1196" s="630" t="s">
        <v>551</v>
      </c>
      <c r="K1196" s="630" t="s">
        <v>543</v>
      </c>
      <c r="L1196" s="630" t="s">
        <v>382</v>
      </c>
      <c r="M1196" s="630"/>
      <c r="N1196" s="630"/>
      <c r="O1196" s="630"/>
      <c r="P1196" s="630"/>
      <c r="Q1196" s="630"/>
      <c r="R1196" s="630"/>
      <c r="S1196" s="630" t="s">
        <v>647</v>
      </c>
      <c r="T1196" s="630"/>
      <c r="U1196" s="630" t="s">
        <v>538</v>
      </c>
      <c r="V1196" s="630">
        <v>2</v>
      </c>
      <c r="W1196" s="630" t="s">
        <v>545</v>
      </c>
      <c r="X1196" s="630" t="s">
        <v>580</v>
      </c>
      <c r="Y1196" s="630" t="s">
        <v>549</v>
      </c>
      <c r="Z1196" s="630">
        <v>4.691E-2</v>
      </c>
      <c r="AA1196" s="630">
        <v>7.5494000000000006E-2</v>
      </c>
      <c r="AB1196" s="631">
        <v>2311976</v>
      </c>
      <c r="AC1196" s="631">
        <v>43666756</v>
      </c>
      <c r="AD1196" s="631">
        <f t="shared" si="18"/>
        <v>2048407.5239599999</v>
      </c>
    </row>
    <row r="1197" spans="2:30" x14ac:dyDescent="0.15">
      <c r="B1197" s="630">
        <v>17031001941</v>
      </c>
      <c r="C1197" s="630">
        <v>17031007771</v>
      </c>
      <c r="D1197" s="630">
        <v>17031000819</v>
      </c>
      <c r="E1197" s="630" t="s">
        <v>533</v>
      </c>
      <c r="F1197" s="630" t="s">
        <v>534</v>
      </c>
      <c r="G1197" s="630" t="s">
        <v>365</v>
      </c>
      <c r="H1197" s="630" t="s">
        <v>557</v>
      </c>
      <c r="I1197" s="630"/>
      <c r="J1197" s="630" t="s">
        <v>381</v>
      </c>
      <c r="K1197" s="630" t="s">
        <v>535</v>
      </c>
      <c r="L1197" s="630" t="s">
        <v>552</v>
      </c>
      <c r="M1197" s="630" t="s">
        <v>543</v>
      </c>
      <c r="N1197" s="630" t="s">
        <v>382</v>
      </c>
      <c r="O1197" s="630"/>
      <c r="P1197" s="630"/>
      <c r="Q1197" s="630"/>
      <c r="R1197" s="630"/>
      <c r="S1197" s="630" t="s">
        <v>570</v>
      </c>
      <c r="T1197" s="630"/>
      <c r="U1197" s="630" t="s">
        <v>538</v>
      </c>
      <c r="V1197" s="630">
        <v>2</v>
      </c>
      <c r="W1197" s="630" t="s">
        <v>545</v>
      </c>
      <c r="X1197" s="630" t="s">
        <v>580</v>
      </c>
      <c r="Y1197" s="630" t="s">
        <v>540</v>
      </c>
      <c r="Z1197" s="630">
        <v>1.2225809999999999</v>
      </c>
      <c r="AA1197" s="630">
        <v>1.967557</v>
      </c>
      <c r="AB1197" s="631">
        <v>1870326</v>
      </c>
      <c r="AC1197" s="631">
        <v>69968229</v>
      </c>
      <c r="AD1197" s="631">
        <f t="shared" si="18"/>
        <v>85541827.379048988</v>
      </c>
    </row>
    <row r="1198" spans="2:30" x14ac:dyDescent="0.15">
      <c r="B1198" s="630">
        <v>17097002155</v>
      </c>
      <c r="C1198" s="630">
        <v>17097004570</v>
      </c>
      <c r="D1198" s="630">
        <v>17097000196</v>
      </c>
      <c r="E1198" s="630" t="s">
        <v>533</v>
      </c>
      <c r="F1198" s="630" t="s">
        <v>534</v>
      </c>
      <c r="G1198" s="630" t="s">
        <v>373</v>
      </c>
      <c r="H1198" s="630" t="s">
        <v>382</v>
      </c>
      <c r="I1198" s="630"/>
      <c r="J1198" s="630" t="s">
        <v>547</v>
      </c>
      <c r="K1198" s="630"/>
      <c r="L1198" s="630"/>
      <c r="M1198" s="630"/>
      <c r="N1198" s="630"/>
      <c r="O1198" s="630"/>
      <c r="P1198" s="630"/>
      <c r="Q1198" s="630"/>
      <c r="R1198" s="630"/>
      <c r="S1198" s="630" t="s">
        <v>565</v>
      </c>
      <c r="T1198" s="630"/>
      <c r="U1198" s="630" t="s">
        <v>538</v>
      </c>
      <c r="V1198" s="630">
        <v>2</v>
      </c>
      <c r="W1198" s="630" t="s">
        <v>566</v>
      </c>
      <c r="X1198" s="630" t="s">
        <v>541</v>
      </c>
      <c r="Y1198" s="630" t="s">
        <v>549</v>
      </c>
      <c r="Z1198" s="630">
        <v>1.552341</v>
      </c>
      <c r="AA1198" s="630">
        <v>2.498256</v>
      </c>
      <c r="AB1198" s="631">
        <v>0</v>
      </c>
      <c r="AC1198" s="631">
        <v>0</v>
      </c>
      <c r="AD1198" s="631">
        <f t="shared" si="18"/>
        <v>0</v>
      </c>
    </row>
    <row r="1199" spans="2:30" x14ac:dyDescent="0.15">
      <c r="B1199" s="630">
        <v>17031002258</v>
      </c>
      <c r="C1199" s="630">
        <v>17031000815</v>
      </c>
      <c r="D1199" s="630">
        <v>17031000788</v>
      </c>
      <c r="E1199" s="630" t="s">
        <v>533</v>
      </c>
      <c r="F1199" s="630" t="s">
        <v>534</v>
      </c>
      <c r="G1199" s="630" t="s">
        <v>365</v>
      </c>
      <c r="H1199" s="630" t="s">
        <v>381</v>
      </c>
      <c r="I1199" s="630"/>
      <c r="J1199" s="630" t="s">
        <v>542</v>
      </c>
      <c r="K1199" s="630" t="s">
        <v>547</v>
      </c>
      <c r="L1199" s="630" t="s">
        <v>382</v>
      </c>
      <c r="M1199" s="630"/>
      <c r="N1199" s="630"/>
      <c r="O1199" s="630"/>
      <c r="P1199" s="630"/>
      <c r="Q1199" s="630"/>
      <c r="R1199" s="630"/>
      <c r="S1199" s="630" t="s">
        <v>579</v>
      </c>
      <c r="T1199" s="630"/>
      <c r="U1199" s="630" t="s">
        <v>538</v>
      </c>
      <c r="V1199" s="630">
        <v>3</v>
      </c>
      <c r="W1199" s="630" t="s">
        <v>545</v>
      </c>
      <c r="X1199" s="630" t="s">
        <v>580</v>
      </c>
      <c r="Y1199" s="630" t="s">
        <v>549</v>
      </c>
      <c r="Z1199" s="630">
        <v>0.49512800000000001</v>
      </c>
      <c r="AA1199" s="630">
        <v>0.79683300000000001</v>
      </c>
      <c r="AB1199" s="631">
        <v>947091</v>
      </c>
      <c r="AC1199" s="631">
        <v>40775017</v>
      </c>
      <c r="AD1199" s="631">
        <f t="shared" si="18"/>
        <v>20188852.617176</v>
      </c>
    </row>
    <row r="1200" spans="2:30" x14ac:dyDescent="0.15">
      <c r="B1200" s="630">
        <v>17111002568</v>
      </c>
      <c r="C1200" s="630">
        <v>17111004840</v>
      </c>
      <c r="D1200" s="630">
        <v>17111000236</v>
      </c>
      <c r="E1200" s="630" t="s">
        <v>533</v>
      </c>
      <c r="F1200" s="630" t="s">
        <v>534</v>
      </c>
      <c r="G1200" s="630" t="s">
        <v>375</v>
      </c>
      <c r="H1200" s="630" t="s">
        <v>382</v>
      </c>
      <c r="I1200" s="630"/>
      <c r="J1200" s="630"/>
      <c r="K1200" s="630"/>
      <c r="L1200" s="630"/>
      <c r="M1200" s="630"/>
      <c r="N1200" s="630"/>
      <c r="O1200" s="630"/>
      <c r="P1200" s="630"/>
      <c r="Q1200" s="630"/>
      <c r="R1200" s="630"/>
      <c r="S1200" s="630" t="s">
        <v>561</v>
      </c>
      <c r="T1200" s="630"/>
      <c r="U1200" s="630" t="s">
        <v>538</v>
      </c>
      <c r="V1200" s="630">
        <v>1</v>
      </c>
      <c r="W1200" s="630" t="s">
        <v>562</v>
      </c>
      <c r="X1200" s="630" t="s">
        <v>541</v>
      </c>
      <c r="Y1200" s="630" t="s">
        <v>540</v>
      </c>
      <c r="Z1200" s="630">
        <v>0.96944600000000003</v>
      </c>
      <c r="AA1200" s="630">
        <v>1.560176</v>
      </c>
      <c r="AB1200" s="631">
        <v>16124</v>
      </c>
      <c r="AC1200" s="631">
        <v>373440</v>
      </c>
      <c r="AD1200" s="631">
        <f t="shared" si="18"/>
        <v>362029.91424000001</v>
      </c>
    </row>
    <row r="1201" spans="2:30" x14ac:dyDescent="0.15">
      <c r="B1201" s="630">
        <v>17031003921</v>
      </c>
      <c r="C1201" s="630">
        <v>17031000900</v>
      </c>
      <c r="D1201" s="630">
        <v>17031000881</v>
      </c>
      <c r="E1201" s="630" t="s">
        <v>533</v>
      </c>
      <c r="F1201" s="630" t="s">
        <v>534</v>
      </c>
      <c r="G1201" s="630" t="s">
        <v>365</v>
      </c>
      <c r="H1201" s="630" t="s">
        <v>557</v>
      </c>
      <c r="I1201" s="630"/>
      <c r="J1201" s="630" t="s">
        <v>381</v>
      </c>
      <c r="K1201" s="630" t="s">
        <v>535</v>
      </c>
      <c r="L1201" s="630" t="s">
        <v>552</v>
      </c>
      <c r="M1201" s="630" t="s">
        <v>543</v>
      </c>
      <c r="N1201" s="630" t="s">
        <v>382</v>
      </c>
      <c r="O1201" s="630"/>
      <c r="P1201" s="630"/>
      <c r="Q1201" s="630"/>
      <c r="R1201" s="630"/>
      <c r="S1201" s="630" t="s">
        <v>570</v>
      </c>
      <c r="T1201" s="630"/>
      <c r="U1201" s="630" t="s">
        <v>538</v>
      </c>
      <c r="V1201" s="630">
        <v>2</v>
      </c>
      <c r="W1201" s="630" t="s">
        <v>545</v>
      </c>
      <c r="X1201" s="630" t="s">
        <v>580</v>
      </c>
      <c r="Y1201" s="630" t="s">
        <v>540</v>
      </c>
      <c r="Z1201" s="630">
        <v>0.28747</v>
      </c>
      <c r="AA1201" s="630">
        <v>0.46263799999999999</v>
      </c>
      <c r="AB1201" s="631">
        <v>1870326</v>
      </c>
      <c r="AC1201" s="631">
        <v>69968229</v>
      </c>
      <c r="AD1201" s="631">
        <f t="shared" si="18"/>
        <v>20113766.790630002</v>
      </c>
    </row>
    <row r="1202" spans="2:30" x14ac:dyDescent="0.15">
      <c r="B1202" s="630">
        <v>17031003960</v>
      </c>
      <c r="C1202" s="630">
        <v>17031000741</v>
      </c>
      <c r="D1202" s="630">
        <v>17031004664</v>
      </c>
      <c r="E1202" s="630" t="s">
        <v>533</v>
      </c>
      <c r="F1202" s="630" t="s">
        <v>534</v>
      </c>
      <c r="G1202" s="630" t="s">
        <v>365</v>
      </c>
      <c r="H1202" s="630" t="s">
        <v>381</v>
      </c>
      <c r="I1202" s="630"/>
      <c r="J1202" s="630" t="s">
        <v>542</v>
      </c>
      <c r="K1202" s="630" t="s">
        <v>547</v>
      </c>
      <c r="L1202" s="630" t="s">
        <v>382</v>
      </c>
      <c r="M1202" s="630"/>
      <c r="N1202" s="630"/>
      <c r="O1202" s="630"/>
      <c r="P1202" s="630"/>
      <c r="Q1202" s="630"/>
      <c r="R1202" s="630"/>
      <c r="S1202" s="630" t="s">
        <v>579</v>
      </c>
      <c r="T1202" s="630"/>
      <c r="U1202" s="630" t="s">
        <v>538</v>
      </c>
      <c r="V1202" s="630">
        <v>5</v>
      </c>
      <c r="W1202" s="630" t="s">
        <v>545</v>
      </c>
      <c r="X1202" s="630" t="s">
        <v>580</v>
      </c>
      <c r="Y1202" s="630" t="s">
        <v>549</v>
      </c>
      <c r="Z1202" s="630">
        <v>1.5954299999999999</v>
      </c>
      <c r="AA1202" s="630">
        <v>2.5676009999999998</v>
      </c>
      <c r="AB1202" s="631">
        <v>945771</v>
      </c>
      <c r="AC1202" s="631">
        <v>40638017</v>
      </c>
      <c r="AD1202" s="631">
        <f t="shared" si="18"/>
        <v>64835111.462309994</v>
      </c>
    </row>
    <row r="1203" spans="2:30" x14ac:dyDescent="0.15">
      <c r="B1203" s="630">
        <v>17031003962</v>
      </c>
      <c r="C1203" s="630">
        <v>17031004521</v>
      </c>
      <c r="D1203" s="630">
        <v>17031004658</v>
      </c>
      <c r="E1203" s="630" t="s">
        <v>533</v>
      </c>
      <c r="F1203" s="630" t="s">
        <v>534</v>
      </c>
      <c r="G1203" s="630" t="s">
        <v>365</v>
      </c>
      <c r="H1203" s="630" t="s">
        <v>381</v>
      </c>
      <c r="I1203" s="630"/>
      <c r="J1203" s="630" t="s">
        <v>542</v>
      </c>
      <c r="K1203" s="630" t="s">
        <v>547</v>
      </c>
      <c r="L1203" s="630" t="s">
        <v>382</v>
      </c>
      <c r="M1203" s="630"/>
      <c r="N1203" s="630"/>
      <c r="O1203" s="630"/>
      <c r="P1203" s="630"/>
      <c r="Q1203" s="630"/>
      <c r="R1203" s="630"/>
      <c r="S1203" s="630" t="s">
        <v>579</v>
      </c>
      <c r="T1203" s="630"/>
      <c r="U1203" s="630" t="s">
        <v>538</v>
      </c>
      <c r="V1203" s="630">
        <v>3</v>
      </c>
      <c r="W1203" s="630" t="s">
        <v>545</v>
      </c>
      <c r="X1203" s="630" t="s">
        <v>580</v>
      </c>
      <c r="Y1203" s="630" t="s">
        <v>549</v>
      </c>
      <c r="Z1203" s="630">
        <v>0.69527000000000005</v>
      </c>
      <c r="AA1203" s="630">
        <v>1.118932</v>
      </c>
      <c r="AB1203" s="631">
        <v>1180282</v>
      </c>
      <c r="AC1203" s="631">
        <v>46466300</v>
      </c>
      <c r="AD1203" s="631">
        <f t="shared" si="18"/>
        <v>32306624.401000004</v>
      </c>
    </row>
    <row r="1204" spans="2:30" x14ac:dyDescent="0.15">
      <c r="B1204" s="630">
        <v>17031005363</v>
      </c>
      <c r="C1204" s="630">
        <v>17031001380</v>
      </c>
      <c r="D1204" s="630">
        <v>17031001387</v>
      </c>
      <c r="E1204" s="630" t="s">
        <v>533</v>
      </c>
      <c r="F1204" s="630" t="s">
        <v>534</v>
      </c>
      <c r="G1204" s="630" t="s">
        <v>365</v>
      </c>
      <c r="H1204" s="630" t="s">
        <v>557</v>
      </c>
      <c r="I1204" s="630"/>
      <c r="J1204" s="630"/>
      <c r="K1204" s="630"/>
      <c r="L1204" s="630"/>
      <c r="M1204" s="630"/>
      <c r="N1204" s="630"/>
      <c r="O1204" s="630"/>
      <c r="P1204" s="630"/>
      <c r="Q1204" s="630"/>
      <c r="R1204" s="630"/>
      <c r="S1204" s="630" t="s">
        <v>567</v>
      </c>
      <c r="T1204" s="630"/>
      <c r="U1204" s="630" t="s">
        <v>559</v>
      </c>
      <c r="V1204" s="630">
        <v>1</v>
      </c>
      <c r="W1204" s="630" t="s">
        <v>560</v>
      </c>
      <c r="X1204" s="630" t="s">
        <v>541</v>
      </c>
      <c r="Y1204" s="630" t="s">
        <v>541</v>
      </c>
      <c r="Z1204" s="630">
        <v>0.23732200000000001</v>
      </c>
      <c r="AA1204" s="630">
        <v>0.381934</v>
      </c>
      <c r="AB1204" s="631">
        <v>284</v>
      </c>
      <c r="AC1204" s="631">
        <v>28772</v>
      </c>
      <c r="AD1204" s="631">
        <f t="shared" si="18"/>
        <v>6828.2285840000004</v>
      </c>
    </row>
    <row r="1205" spans="2:30" x14ac:dyDescent="0.15">
      <c r="B1205" s="630">
        <v>17197005460</v>
      </c>
      <c r="C1205" s="630">
        <v>17197001480</v>
      </c>
      <c r="D1205" s="630">
        <v>17197007394</v>
      </c>
      <c r="E1205" s="630" t="s">
        <v>533</v>
      </c>
      <c r="F1205" s="630" t="s">
        <v>534</v>
      </c>
      <c r="G1205" s="630" t="s">
        <v>377</v>
      </c>
      <c r="H1205" s="630" t="s">
        <v>547</v>
      </c>
      <c r="I1205" s="630"/>
      <c r="J1205" s="630" t="s">
        <v>577</v>
      </c>
      <c r="K1205" s="630" t="s">
        <v>551</v>
      </c>
      <c r="L1205" s="630" t="s">
        <v>615</v>
      </c>
      <c r="M1205" s="630"/>
      <c r="N1205" s="630"/>
      <c r="O1205" s="630"/>
      <c r="P1205" s="630"/>
      <c r="Q1205" s="630"/>
      <c r="R1205" s="630"/>
      <c r="S1205" s="630" t="s">
        <v>581</v>
      </c>
      <c r="T1205" s="630"/>
      <c r="U1205" s="630" t="s">
        <v>538</v>
      </c>
      <c r="V1205" s="630">
        <v>2</v>
      </c>
      <c r="W1205" s="630" t="s">
        <v>582</v>
      </c>
      <c r="X1205" s="630" t="s">
        <v>540</v>
      </c>
      <c r="Y1205" s="630" t="s">
        <v>540</v>
      </c>
      <c r="Z1205" s="630">
        <v>1.5551950000000001</v>
      </c>
      <c r="AA1205" s="630">
        <v>2.5028489999999999</v>
      </c>
      <c r="AB1205" s="631">
        <v>89629</v>
      </c>
      <c r="AC1205" s="631">
        <v>8779272</v>
      </c>
      <c r="AD1205" s="631">
        <f t="shared" si="18"/>
        <v>13653479.918040002</v>
      </c>
    </row>
    <row r="1206" spans="2:30" x14ac:dyDescent="0.15">
      <c r="B1206" s="630">
        <v>17031003855</v>
      </c>
      <c r="C1206" s="630">
        <v>17031001193</v>
      </c>
      <c r="D1206" s="630">
        <v>17031001204</v>
      </c>
      <c r="E1206" s="630" t="s">
        <v>533</v>
      </c>
      <c r="F1206" s="630" t="s">
        <v>534</v>
      </c>
      <c r="G1206" s="630" t="s">
        <v>365</v>
      </c>
      <c r="H1206" s="630" t="s">
        <v>577</v>
      </c>
      <c r="I1206" s="630"/>
      <c r="J1206" s="630"/>
      <c r="K1206" s="630"/>
      <c r="L1206" s="630"/>
      <c r="M1206" s="630"/>
      <c r="N1206" s="630"/>
      <c r="O1206" s="630"/>
      <c r="P1206" s="630"/>
      <c r="Q1206" s="630"/>
      <c r="R1206" s="630"/>
      <c r="S1206" s="630"/>
      <c r="T1206" s="630"/>
      <c r="U1206" s="630" t="s">
        <v>538</v>
      </c>
      <c r="V1206" s="630">
        <v>1</v>
      </c>
      <c r="W1206" s="630" t="s">
        <v>560</v>
      </c>
      <c r="X1206" s="630" t="s">
        <v>541</v>
      </c>
      <c r="Y1206" s="630" t="s">
        <v>541</v>
      </c>
      <c r="Z1206" s="630">
        <v>0.324075</v>
      </c>
      <c r="AA1206" s="630">
        <v>0.52154900000000004</v>
      </c>
      <c r="AB1206" s="631">
        <v>0</v>
      </c>
      <c r="AC1206" s="631">
        <v>0</v>
      </c>
      <c r="AD1206" s="631">
        <f t="shared" si="18"/>
        <v>0</v>
      </c>
    </row>
    <row r="1207" spans="2:30" x14ac:dyDescent="0.15">
      <c r="B1207" s="630">
        <v>17031002612</v>
      </c>
      <c r="C1207" s="630">
        <v>17031001170</v>
      </c>
      <c r="D1207" s="630">
        <v>17031001175</v>
      </c>
      <c r="E1207" s="630" t="s">
        <v>533</v>
      </c>
      <c r="F1207" s="630" t="s">
        <v>534</v>
      </c>
      <c r="G1207" s="630" t="s">
        <v>365</v>
      </c>
      <c r="H1207" s="630" t="s">
        <v>543</v>
      </c>
      <c r="I1207" s="630"/>
      <c r="J1207" s="630"/>
      <c r="K1207" s="630"/>
      <c r="L1207" s="630"/>
      <c r="M1207" s="630"/>
      <c r="N1207" s="630"/>
      <c r="O1207" s="630"/>
      <c r="P1207" s="630"/>
      <c r="Q1207" s="630"/>
      <c r="R1207" s="630"/>
      <c r="S1207" s="630" t="s">
        <v>617</v>
      </c>
      <c r="T1207" s="630"/>
      <c r="U1207" s="630" t="s">
        <v>559</v>
      </c>
      <c r="V1207" s="630">
        <v>1</v>
      </c>
      <c r="W1207" s="630" t="s">
        <v>560</v>
      </c>
      <c r="X1207" s="630" t="s">
        <v>541</v>
      </c>
      <c r="Y1207" s="630" t="s">
        <v>541</v>
      </c>
      <c r="Z1207" s="630">
        <v>0.114383</v>
      </c>
      <c r="AA1207" s="630">
        <v>0.184082</v>
      </c>
      <c r="AB1207" s="631">
        <v>0</v>
      </c>
      <c r="AC1207" s="631">
        <v>0</v>
      </c>
      <c r="AD1207" s="631">
        <f t="shared" si="18"/>
        <v>0</v>
      </c>
    </row>
    <row r="1208" spans="2:30" x14ac:dyDescent="0.15">
      <c r="B1208" s="630">
        <v>17031005373</v>
      </c>
      <c r="C1208" s="630">
        <v>17031001234</v>
      </c>
      <c r="D1208" s="630">
        <v>17031001249</v>
      </c>
      <c r="E1208" s="630" t="s">
        <v>533</v>
      </c>
      <c r="F1208" s="630" t="s">
        <v>534</v>
      </c>
      <c r="G1208" s="630" t="s">
        <v>365</v>
      </c>
      <c r="H1208" s="630" t="s">
        <v>543</v>
      </c>
      <c r="I1208" s="630"/>
      <c r="J1208" s="630"/>
      <c r="K1208" s="630"/>
      <c r="L1208" s="630"/>
      <c r="M1208" s="630"/>
      <c r="N1208" s="630"/>
      <c r="O1208" s="630"/>
      <c r="P1208" s="630"/>
      <c r="Q1208" s="630"/>
      <c r="R1208" s="630"/>
      <c r="S1208" s="630"/>
      <c r="T1208" s="630"/>
      <c r="U1208" s="630" t="s">
        <v>559</v>
      </c>
      <c r="V1208" s="630">
        <v>1</v>
      </c>
      <c r="W1208" s="630" t="s">
        <v>560</v>
      </c>
      <c r="X1208" s="630" t="s">
        <v>541</v>
      </c>
      <c r="Y1208" s="630" t="s">
        <v>541</v>
      </c>
      <c r="Z1208" s="630">
        <v>0.28068599999999999</v>
      </c>
      <c r="AA1208" s="630">
        <v>0.45172099999999998</v>
      </c>
      <c r="AB1208" s="631">
        <v>0</v>
      </c>
      <c r="AC1208" s="631">
        <v>0</v>
      </c>
      <c r="AD1208" s="631">
        <f t="shared" si="18"/>
        <v>0</v>
      </c>
    </row>
    <row r="1209" spans="2:30" x14ac:dyDescent="0.15">
      <c r="B1209" s="630">
        <v>17197002648</v>
      </c>
      <c r="C1209" s="630">
        <v>17197001447</v>
      </c>
      <c r="D1209" s="630">
        <v>17197004796</v>
      </c>
      <c r="E1209" s="630" t="s">
        <v>533</v>
      </c>
      <c r="F1209" s="630" t="s">
        <v>534</v>
      </c>
      <c r="G1209" s="630" t="s">
        <v>377</v>
      </c>
      <c r="H1209" s="630" t="s">
        <v>535</v>
      </c>
      <c r="I1209" s="630"/>
      <c r="J1209" s="630" t="s">
        <v>382</v>
      </c>
      <c r="K1209" s="630" t="s">
        <v>536</v>
      </c>
      <c r="L1209" s="630"/>
      <c r="M1209" s="630"/>
      <c r="N1209" s="630"/>
      <c r="O1209" s="630"/>
      <c r="P1209" s="630"/>
      <c r="Q1209" s="630"/>
      <c r="R1209" s="630"/>
      <c r="S1209" s="630" t="s">
        <v>550</v>
      </c>
      <c r="T1209" s="630"/>
      <c r="U1209" s="630" t="s">
        <v>538</v>
      </c>
      <c r="V1209" s="630">
        <v>2</v>
      </c>
      <c r="W1209" s="630" t="s">
        <v>545</v>
      </c>
      <c r="X1209" s="630" t="s">
        <v>540</v>
      </c>
      <c r="Y1209" s="630" t="s">
        <v>541</v>
      </c>
      <c r="Z1209" s="630">
        <v>2.084444</v>
      </c>
      <c r="AA1209" s="630">
        <v>3.3545940000000001</v>
      </c>
      <c r="AB1209" s="631">
        <v>32625</v>
      </c>
      <c r="AC1209" s="631">
        <v>3073584</v>
      </c>
      <c r="AD1209" s="631">
        <f t="shared" si="18"/>
        <v>6406713.7272960003</v>
      </c>
    </row>
    <row r="1210" spans="2:30" x14ac:dyDescent="0.15">
      <c r="B1210" s="630">
        <v>17031003249</v>
      </c>
      <c r="C1210" s="630">
        <v>17031004596</v>
      </c>
      <c r="D1210" s="630">
        <v>17999019035</v>
      </c>
      <c r="E1210" s="630" t="s">
        <v>533</v>
      </c>
      <c r="F1210" s="630" t="s">
        <v>534</v>
      </c>
      <c r="G1210" s="630" t="s">
        <v>365</v>
      </c>
      <c r="H1210" s="630" t="s">
        <v>382</v>
      </c>
      <c r="I1210" s="630"/>
      <c r="J1210" s="630" t="s">
        <v>535</v>
      </c>
      <c r="K1210" s="630" t="s">
        <v>547</v>
      </c>
      <c r="L1210" s="630"/>
      <c r="M1210" s="630"/>
      <c r="N1210" s="630"/>
      <c r="O1210" s="630"/>
      <c r="P1210" s="630"/>
      <c r="Q1210" s="630"/>
      <c r="R1210" s="630"/>
      <c r="S1210" s="630" t="s">
        <v>608</v>
      </c>
      <c r="T1210" s="630"/>
      <c r="U1210" s="630" t="s">
        <v>538</v>
      </c>
      <c r="V1210" s="630">
        <v>2</v>
      </c>
      <c r="W1210" s="630" t="s">
        <v>566</v>
      </c>
      <c r="X1210" s="630" t="s">
        <v>549</v>
      </c>
      <c r="Y1210" s="630" t="s">
        <v>549</v>
      </c>
      <c r="Z1210" s="630">
        <v>0.196962</v>
      </c>
      <c r="AA1210" s="630">
        <v>0.31697999999999998</v>
      </c>
      <c r="AB1210" s="631">
        <v>8866</v>
      </c>
      <c r="AC1210" s="631">
        <v>836957</v>
      </c>
      <c r="AD1210" s="631">
        <f t="shared" si="18"/>
        <v>164848.72463400001</v>
      </c>
    </row>
    <row r="1211" spans="2:30" x14ac:dyDescent="0.15">
      <c r="B1211" s="630">
        <v>17031005527</v>
      </c>
      <c r="C1211" s="630">
        <v>17031000674</v>
      </c>
      <c r="D1211" s="630">
        <v>17031000672</v>
      </c>
      <c r="E1211" s="630" t="s">
        <v>533</v>
      </c>
      <c r="F1211" s="630" t="s">
        <v>534</v>
      </c>
      <c r="G1211" s="630" t="s">
        <v>365</v>
      </c>
      <c r="H1211" s="630" t="s">
        <v>381</v>
      </c>
      <c r="I1211" s="630"/>
      <c r="J1211" s="630" t="s">
        <v>542</v>
      </c>
      <c r="K1211" s="630" t="s">
        <v>577</v>
      </c>
      <c r="L1211" s="630" t="s">
        <v>572</v>
      </c>
      <c r="M1211" s="630" t="s">
        <v>547</v>
      </c>
      <c r="N1211" s="630" t="s">
        <v>382</v>
      </c>
      <c r="O1211" s="630"/>
      <c r="P1211" s="630"/>
      <c r="Q1211" s="630"/>
      <c r="R1211" s="630"/>
      <c r="S1211" s="630" t="s">
        <v>579</v>
      </c>
      <c r="T1211" s="630" t="s">
        <v>640</v>
      </c>
      <c r="U1211" s="630" t="s">
        <v>538</v>
      </c>
      <c r="V1211" s="630">
        <v>4</v>
      </c>
      <c r="W1211" s="630" t="s">
        <v>545</v>
      </c>
      <c r="X1211" s="630" t="s">
        <v>549</v>
      </c>
      <c r="Y1211" s="630" t="s">
        <v>540</v>
      </c>
      <c r="Z1211" s="630">
        <v>5.3650000000000003E-2</v>
      </c>
      <c r="AA1211" s="630">
        <v>8.6342000000000002E-2</v>
      </c>
      <c r="AB1211" s="631">
        <v>79786</v>
      </c>
      <c r="AC1211" s="631">
        <v>3912720</v>
      </c>
      <c r="AD1211" s="631">
        <f t="shared" si="18"/>
        <v>209917.42800000001</v>
      </c>
    </row>
    <row r="1212" spans="2:30" x14ac:dyDescent="0.15">
      <c r="B1212" s="630">
        <v>17031006444</v>
      </c>
      <c r="C1212" s="630">
        <v>99999099457</v>
      </c>
      <c r="D1212" s="630">
        <v>17031004739</v>
      </c>
      <c r="E1212" s="630" t="s">
        <v>533</v>
      </c>
      <c r="F1212" s="630" t="s">
        <v>534</v>
      </c>
      <c r="G1212" s="630" t="s">
        <v>365</v>
      </c>
      <c r="H1212" s="630" t="s">
        <v>543</v>
      </c>
      <c r="I1212" s="630"/>
      <c r="J1212" s="630" t="s">
        <v>557</v>
      </c>
      <c r="K1212" s="630"/>
      <c r="L1212" s="630"/>
      <c r="M1212" s="630"/>
      <c r="N1212" s="630"/>
      <c r="O1212" s="630"/>
      <c r="P1212" s="630"/>
      <c r="Q1212" s="630"/>
      <c r="R1212" s="630"/>
      <c r="S1212" s="630" t="s">
        <v>630</v>
      </c>
      <c r="T1212" s="630" t="s">
        <v>683</v>
      </c>
      <c r="U1212" s="630" t="s">
        <v>538</v>
      </c>
      <c r="V1212" s="630">
        <v>1</v>
      </c>
      <c r="W1212" s="630" t="s">
        <v>545</v>
      </c>
      <c r="X1212" s="630" t="s">
        <v>575</v>
      </c>
      <c r="Y1212" s="630" t="s">
        <v>540</v>
      </c>
      <c r="Z1212" s="630">
        <v>3.3730999999999997E-2</v>
      </c>
      <c r="AA1212" s="630">
        <v>5.4286000000000001E-2</v>
      </c>
      <c r="AB1212" s="631">
        <v>2655656</v>
      </c>
      <c r="AC1212" s="631">
        <v>73016142</v>
      </c>
      <c r="AD1212" s="631">
        <f t="shared" si="18"/>
        <v>2462907.4858019999</v>
      </c>
    </row>
    <row r="1213" spans="2:30" x14ac:dyDescent="0.15">
      <c r="B1213" s="630">
        <v>17197006547</v>
      </c>
      <c r="C1213" s="630">
        <v>17197004803</v>
      </c>
      <c r="D1213" s="630">
        <v>17197004804</v>
      </c>
      <c r="E1213" s="630" t="s">
        <v>533</v>
      </c>
      <c r="F1213" s="630" t="s">
        <v>534</v>
      </c>
      <c r="G1213" s="630" t="s">
        <v>377</v>
      </c>
      <c r="H1213" s="630" t="s">
        <v>382</v>
      </c>
      <c r="I1213" s="630"/>
      <c r="J1213" s="630"/>
      <c r="K1213" s="630"/>
      <c r="L1213" s="630"/>
      <c r="M1213" s="630"/>
      <c r="N1213" s="630"/>
      <c r="O1213" s="630"/>
      <c r="P1213" s="630"/>
      <c r="Q1213" s="630"/>
      <c r="R1213" s="630"/>
      <c r="S1213" s="630"/>
      <c r="T1213" s="630"/>
      <c r="U1213" s="630" t="s">
        <v>538</v>
      </c>
      <c r="V1213" s="630">
        <v>1</v>
      </c>
      <c r="W1213" s="630" t="s">
        <v>545</v>
      </c>
      <c r="X1213" s="630" t="s">
        <v>541</v>
      </c>
      <c r="Y1213" s="630" t="s">
        <v>541</v>
      </c>
      <c r="Z1213" s="630">
        <v>2.9189E-2</v>
      </c>
      <c r="AA1213" s="630">
        <v>4.6975000000000003E-2</v>
      </c>
      <c r="AB1213" s="631">
        <v>523360</v>
      </c>
      <c r="AC1213" s="631">
        <v>7215240</v>
      </c>
      <c r="AD1213" s="631">
        <f t="shared" si="18"/>
        <v>210605.64035999999</v>
      </c>
    </row>
    <row r="1214" spans="2:30" x14ac:dyDescent="0.15">
      <c r="B1214" s="630">
        <v>17031006453</v>
      </c>
      <c r="C1214" s="630">
        <v>17031001382</v>
      </c>
      <c r="D1214" s="630">
        <v>17031001409</v>
      </c>
      <c r="E1214" s="630" t="s">
        <v>533</v>
      </c>
      <c r="F1214" s="630" t="s">
        <v>534</v>
      </c>
      <c r="G1214" s="630" t="s">
        <v>365</v>
      </c>
      <c r="H1214" s="630" t="s">
        <v>382</v>
      </c>
      <c r="I1214" s="630"/>
      <c r="J1214" s="630" t="s">
        <v>542</v>
      </c>
      <c r="K1214" s="630" t="s">
        <v>551</v>
      </c>
      <c r="L1214" s="630" t="s">
        <v>555</v>
      </c>
      <c r="M1214" s="630" t="s">
        <v>552</v>
      </c>
      <c r="N1214" s="630"/>
      <c r="O1214" s="630"/>
      <c r="P1214" s="630"/>
      <c r="Q1214" s="630"/>
      <c r="R1214" s="630"/>
      <c r="S1214" s="630" t="s">
        <v>556</v>
      </c>
      <c r="T1214" s="630" t="s">
        <v>697</v>
      </c>
      <c r="U1214" s="630" t="s">
        <v>538</v>
      </c>
      <c r="V1214" s="630">
        <v>2</v>
      </c>
      <c r="W1214" s="630" t="s">
        <v>545</v>
      </c>
      <c r="X1214" s="630" t="s">
        <v>580</v>
      </c>
      <c r="Y1214" s="630" t="s">
        <v>554</v>
      </c>
      <c r="Z1214" s="630">
        <v>0.43574099999999999</v>
      </c>
      <c r="AA1214" s="630">
        <v>0.70125800000000005</v>
      </c>
      <c r="AB1214" s="631">
        <v>759364</v>
      </c>
      <c r="AC1214" s="631">
        <v>32851363</v>
      </c>
      <c r="AD1214" s="631">
        <f t="shared" si="18"/>
        <v>14314685.764983</v>
      </c>
    </row>
    <row r="1215" spans="2:30" x14ac:dyDescent="0.15">
      <c r="B1215" s="630">
        <v>17031002050</v>
      </c>
      <c r="C1215" s="630">
        <v>17031004643</v>
      </c>
      <c r="D1215" s="630">
        <v>17031000486</v>
      </c>
      <c r="E1215" s="630" t="s">
        <v>533</v>
      </c>
      <c r="F1215" s="630" t="s">
        <v>534</v>
      </c>
      <c r="G1215" s="630" t="s">
        <v>365</v>
      </c>
      <c r="H1215" s="630" t="s">
        <v>552</v>
      </c>
      <c r="I1215" s="630"/>
      <c r="J1215" s="630" t="s">
        <v>551</v>
      </c>
      <c r="K1215" s="630" t="s">
        <v>547</v>
      </c>
      <c r="L1215" s="630" t="s">
        <v>382</v>
      </c>
      <c r="M1215" s="630" t="s">
        <v>563</v>
      </c>
      <c r="N1215" s="630"/>
      <c r="O1215" s="630"/>
      <c r="P1215" s="630"/>
      <c r="Q1215" s="630"/>
      <c r="R1215" s="630"/>
      <c r="S1215" s="630" t="s">
        <v>589</v>
      </c>
      <c r="T1215" s="630"/>
      <c r="U1215" s="630" t="s">
        <v>538</v>
      </c>
      <c r="V1215" s="630">
        <v>3</v>
      </c>
      <c r="W1215" s="630" t="s">
        <v>545</v>
      </c>
      <c r="X1215" s="630" t="s">
        <v>541</v>
      </c>
      <c r="Y1215" s="630" t="s">
        <v>549</v>
      </c>
      <c r="Z1215" s="630">
        <v>0.66915400000000003</v>
      </c>
      <c r="AA1215" s="630">
        <v>1.0769</v>
      </c>
      <c r="AB1215" s="631">
        <v>312268</v>
      </c>
      <c r="AC1215" s="631">
        <v>23321793</v>
      </c>
      <c r="AD1215" s="631">
        <f t="shared" si="18"/>
        <v>15605871.073122</v>
      </c>
    </row>
    <row r="1216" spans="2:30" x14ac:dyDescent="0.15">
      <c r="B1216" s="630">
        <v>17043002227</v>
      </c>
      <c r="C1216" s="630">
        <v>17043000368</v>
      </c>
      <c r="D1216" s="630">
        <v>17043000362</v>
      </c>
      <c r="E1216" s="630" t="s">
        <v>533</v>
      </c>
      <c r="F1216" s="630" t="s">
        <v>534</v>
      </c>
      <c r="G1216" s="630" t="s">
        <v>367</v>
      </c>
      <c r="H1216" s="630" t="s">
        <v>552</v>
      </c>
      <c r="I1216" s="630"/>
      <c r="J1216" s="630" t="s">
        <v>547</v>
      </c>
      <c r="K1216" s="630"/>
      <c r="L1216" s="630"/>
      <c r="M1216" s="630"/>
      <c r="N1216" s="630"/>
      <c r="O1216" s="630"/>
      <c r="P1216" s="630"/>
      <c r="Q1216" s="630"/>
      <c r="R1216" s="630"/>
      <c r="S1216" s="630" t="s">
        <v>589</v>
      </c>
      <c r="T1216" s="630"/>
      <c r="U1216" s="630" t="s">
        <v>538</v>
      </c>
      <c r="V1216" s="630">
        <v>2</v>
      </c>
      <c r="W1216" s="630" t="s">
        <v>545</v>
      </c>
      <c r="X1216" s="630" t="s">
        <v>540</v>
      </c>
      <c r="Y1216" s="630" t="s">
        <v>549</v>
      </c>
      <c r="Z1216" s="630">
        <v>1.2923709999999999</v>
      </c>
      <c r="AA1216" s="630">
        <v>2.0798739999999998</v>
      </c>
      <c r="AB1216" s="631">
        <v>74103</v>
      </c>
      <c r="AC1216" s="631">
        <v>7759864</v>
      </c>
      <c r="AD1216" s="631">
        <f t="shared" si="18"/>
        <v>10028623.197543999</v>
      </c>
    </row>
    <row r="1217" spans="2:30" x14ac:dyDescent="0.15">
      <c r="B1217" s="630">
        <v>17043002380</v>
      </c>
      <c r="C1217" s="630">
        <v>17043000870</v>
      </c>
      <c r="D1217" s="630">
        <v>17043004885</v>
      </c>
      <c r="E1217" s="630" t="s">
        <v>533</v>
      </c>
      <c r="F1217" s="630" t="s">
        <v>534</v>
      </c>
      <c r="G1217" s="630" t="s">
        <v>367</v>
      </c>
      <c r="H1217" s="630" t="s">
        <v>381</v>
      </c>
      <c r="I1217" s="630"/>
      <c r="J1217" s="630" t="s">
        <v>542</v>
      </c>
      <c r="K1217" s="630" t="s">
        <v>547</v>
      </c>
      <c r="L1217" s="630" t="s">
        <v>382</v>
      </c>
      <c r="M1217" s="630"/>
      <c r="N1217" s="630"/>
      <c r="O1217" s="630"/>
      <c r="P1217" s="630"/>
      <c r="Q1217" s="630"/>
      <c r="R1217" s="630"/>
      <c r="S1217" s="630" t="s">
        <v>579</v>
      </c>
      <c r="T1217" s="630"/>
      <c r="U1217" s="630" t="s">
        <v>538</v>
      </c>
      <c r="V1217" s="630">
        <v>3</v>
      </c>
      <c r="W1217" s="630" t="s">
        <v>545</v>
      </c>
      <c r="X1217" s="630" t="s">
        <v>580</v>
      </c>
      <c r="Y1217" s="630" t="s">
        <v>549</v>
      </c>
      <c r="Z1217" s="630">
        <v>1.148428</v>
      </c>
      <c r="AA1217" s="630">
        <v>1.84822</v>
      </c>
      <c r="AB1217" s="631">
        <v>1180642</v>
      </c>
      <c r="AC1217" s="631">
        <v>46493460</v>
      </c>
      <c r="AD1217" s="631">
        <f t="shared" si="18"/>
        <v>53394391.280879997</v>
      </c>
    </row>
    <row r="1218" spans="2:30" x14ac:dyDescent="0.15">
      <c r="B1218" s="630">
        <v>17031002605</v>
      </c>
      <c r="C1218" s="630">
        <v>17031001442</v>
      </c>
      <c r="D1218" s="630">
        <v>17031004683</v>
      </c>
      <c r="E1218" s="630" t="s">
        <v>533</v>
      </c>
      <c r="F1218" s="630" t="s">
        <v>534</v>
      </c>
      <c r="G1218" s="630" t="s">
        <v>365</v>
      </c>
      <c r="H1218" s="630" t="s">
        <v>547</v>
      </c>
      <c r="I1218" s="630"/>
      <c r="J1218" s="630" t="s">
        <v>543</v>
      </c>
      <c r="K1218" s="630"/>
      <c r="L1218" s="630"/>
      <c r="M1218" s="630"/>
      <c r="N1218" s="630"/>
      <c r="O1218" s="630"/>
      <c r="P1218" s="630"/>
      <c r="Q1218" s="630"/>
      <c r="R1218" s="630"/>
      <c r="S1218" s="630" t="s">
        <v>602</v>
      </c>
      <c r="T1218" s="630"/>
      <c r="U1218" s="630" t="s">
        <v>538</v>
      </c>
      <c r="V1218" s="630">
        <v>1</v>
      </c>
      <c r="W1218" s="630" t="s">
        <v>582</v>
      </c>
      <c r="X1218" s="630" t="s">
        <v>541</v>
      </c>
      <c r="Y1218" s="630" t="s">
        <v>540</v>
      </c>
      <c r="Z1218" s="630">
        <v>3.6024340000000001</v>
      </c>
      <c r="AA1218" s="630">
        <v>5.7975659999999998</v>
      </c>
      <c r="AB1218" s="631">
        <v>320</v>
      </c>
      <c r="AC1218" s="631">
        <v>23200</v>
      </c>
      <c r="AD1218" s="631">
        <f t="shared" si="18"/>
        <v>83576.468800000002</v>
      </c>
    </row>
    <row r="1219" spans="2:30" x14ac:dyDescent="0.15">
      <c r="B1219" s="630">
        <v>17089002695</v>
      </c>
      <c r="C1219" s="630">
        <v>17999021945</v>
      </c>
      <c r="D1219" s="630">
        <v>17089001083</v>
      </c>
      <c r="E1219" s="630" t="s">
        <v>533</v>
      </c>
      <c r="F1219" s="630" t="s">
        <v>534</v>
      </c>
      <c r="G1219" s="630" t="s">
        <v>369</v>
      </c>
      <c r="H1219" s="630" t="s">
        <v>578</v>
      </c>
      <c r="I1219" s="630"/>
      <c r="J1219" s="630"/>
      <c r="K1219" s="630"/>
      <c r="L1219" s="630"/>
      <c r="M1219" s="630"/>
      <c r="N1219" s="630"/>
      <c r="O1219" s="630"/>
      <c r="P1219" s="630"/>
      <c r="Q1219" s="630"/>
      <c r="R1219" s="630"/>
      <c r="S1219" s="630"/>
      <c r="T1219" s="630"/>
      <c r="U1219" s="630" t="s">
        <v>538</v>
      </c>
      <c r="V1219" s="630">
        <v>1</v>
      </c>
      <c r="W1219" s="630" t="s">
        <v>560</v>
      </c>
      <c r="X1219" s="630" t="s">
        <v>541</v>
      </c>
      <c r="Y1219" s="630" t="s">
        <v>541</v>
      </c>
      <c r="Z1219" s="630">
        <v>0.43187599999999998</v>
      </c>
      <c r="AA1219" s="630">
        <v>0.69503800000000004</v>
      </c>
      <c r="AB1219" s="631">
        <v>37788</v>
      </c>
      <c r="AC1219" s="631">
        <v>4259781</v>
      </c>
      <c r="AD1219" s="631">
        <f t="shared" si="18"/>
        <v>1839697.179156</v>
      </c>
    </row>
    <row r="1220" spans="2:30" x14ac:dyDescent="0.15">
      <c r="B1220" s="630">
        <v>17093002926</v>
      </c>
      <c r="C1220" s="630">
        <v>17999023611</v>
      </c>
      <c r="D1220" s="630">
        <v>17093001444</v>
      </c>
      <c r="E1220" s="630" t="s">
        <v>533</v>
      </c>
      <c r="F1220" s="630" t="s">
        <v>534</v>
      </c>
      <c r="G1220" s="630" t="s">
        <v>371</v>
      </c>
      <c r="H1220" s="630" t="s">
        <v>578</v>
      </c>
      <c r="I1220" s="630"/>
      <c r="J1220" s="630"/>
      <c r="K1220" s="630"/>
      <c r="L1220" s="630"/>
      <c r="M1220" s="630"/>
      <c r="N1220" s="630"/>
      <c r="O1220" s="630"/>
      <c r="P1220" s="630"/>
      <c r="Q1220" s="630"/>
      <c r="R1220" s="630"/>
      <c r="S1220" s="630"/>
      <c r="T1220" s="630"/>
      <c r="U1220" s="630" t="s">
        <v>538</v>
      </c>
      <c r="V1220" s="630">
        <v>1</v>
      </c>
      <c r="W1220" s="630" t="s">
        <v>560</v>
      </c>
      <c r="X1220" s="630" t="s">
        <v>541</v>
      </c>
      <c r="Y1220" s="630" t="s">
        <v>541</v>
      </c>
      <c r="Z1220" s="630">
        <v>0.15431</v>
      </c>
      <c r="AA1220" s="630">
        <v>0.248338</v>
      </c>
      <c r="AB1220" s="631">
        <v>37788</v>
      </c>
      <c r="AC1220" s="631">
        <v>4259781</v>
      </c>
      <c r="AD1220" s="631">
        <f t="shared" si="18"/>
        <v>657326.80611</v>
      </c>
    </row>
    <row r="1221" spans="2:30" x14ac:dyDescent="0.15">
      <c r="B1221" s="630">
        <v>17031003014</v>
      </c>
      <c r="C1221" s="630">
        <v>17031000946</v>
      </c>
      <c r="D1221" s="630">
        <v>17031000926</v>
      </c>
      <c r="E1221" s="630" t="s">
        <v>533</v>
      </c>
      <c r="F1221" s="630" t="s">
        <v>534</v>
      </c>
      <c r="G1221" s="630" t="s">
        <v>365</v>
      </c>
      <c r="H1221" s="630" t="s">
        <v>543</v>
      </c>
      <c r="I1221" s="630"/>
      <c r="J1221" s="630" t="s">
        <v>542</v>
      </c>
      <c r="K1221" s="630"/>
      <c r="L1221" s="630"/>
      <c r="M1221" s="630"/>
      <c r="N1221" s="630"/>
      <c r="O1221" s="630"/>
      <c r="P1221" s="630"/>
      <c r="Q1221" s="630"/>
      <c r="R1221" s="630"/>
      <c r="S1221" s="630" t="s">
        <v>630</v>
      </c>
      <c r="T1221" s="630"/>
      <c r="U1221" s="630" t="s">
        <v>538</v>
      </c>
      <c r="V1221" s="630">
        <v>4</v>
      </c>
      <c r="W1221" s="630" t="s">
        <v>545</v>
      </c>
      <c r="X1221" s="630" t="s">
        <v>580</v>
      </c>
      <c r="Y1221" s="630" t="s">
        <v>549</v>
      </c>
      <c r="Z1221" s="630">
        <v>0.96203700000000003</v>
      </c>
      <c r="AA1221" s="630">
        <v>1.548251</v>
      </c>
      <c r="AB1221" s="631">
        <v>2617438</v>
      </c>
      <c r="AC1221" s="631">
        <v>69406708</v>
      </c>
      <c r="AD1221" s="631">
        <f t="shared" si="18"/>
        <v>66771821.144196004</v>
      </c>
    </row>
    <row r="1222" spans="2:30" x14ac:dyDescent="0.15">
      <c r="B1222" s="630">
        <v>17043003525</v>
      </c>
      <c r="C1222" s="630">
        <v>17043000368</v>
      </c>
      <c r="D1222" s="630">
        <v>17999019959</v>
      </c>
      <c r="E1222" s="630" t="s">
        <v>533</v>
      </c>
      <c r="F1222" s="630" t="s">
        <v>534</v>
      </c>
      <c r="G1222" s="630" t="s">
        <v>367</v>
      </c>
      <c r="H1222" s="630" t="s">
        <v>552</v>
      </c>
      <c r="I1222" s="630"/>
      <c r="J1222" s="630"/>
      <c r="K1222" s="630"/>
      <c r="L1222" s="630"/>
      <c r="M1222" s="630"/>
      <c r="N1222" s="630"/>
      <c r="O1222" s="630"/>
      <c r="P1222" s="630"/>
      <c r="Q1222" s="630"/>
      <c r="R1222" s="630"/>
      <c r="S1222" s="630"/>
      <c r="T1222" s="630"/>
      <c r="U1222" s="630" t="s">
        <v>559</v>
      </c>
      <c r="V1222" s="630">
        <v>1</v>
      </c>
      <c r="W1222" s="630" t="s">
        <v>560</v>
      </c>
      <c r="X1222" s="630" t="s">
        <v>541</v>
      </c>
      <c r="Y1222" s="630" t="s">
        <v>541</v>
      </c>
      <c r="Z1222" s="630">
        <v>0.33514699999999997</v>
      </c>
      <c r="AA1222" s="630">
        <v>0.53936899999999999</v>
      </c>
      <c r="AB1222" s="631">
        <v>0</v>
      </c>
      <c r="AC1222" s="631">
        <v>0</v>
      </c>
      <c r="AD1222" s="631">
        <f t="shared" ref="AD1222:AD1285" si="19">AC1222*Z1222</f>
        <v>0</v>
      </c>
    </row>
    <row r="1223" spans="2:30" x14ac:dyDescent="0.15">
      <c r="B1223" s="630">
        <v>17031003862</v>
      </c>
      <c r="C1223" s="630">
        <v>17031001209</v>
      </c>
      <c r="D1223" s="630">
        <v>17031004737</v>
      </c>
      <c r="E1223" s="630" t="s">
        <v>533</v>
      </c>
      <c r="F1223" s="630" t="s">
        <v>534</v>
      </c>
      <c r="G1223" s="630" t="s">
        <v>365</v>
      </c>
      <c r="H1223" s="630" t="s">
        <v>543</v>
      </c>
      <c r="I1223" s="630"/>
      <c r="J1223" s="630"/>
      <c r="K1223" s="630"/>
      <c r="L1223" s="630"/>
      <c r="M1223" s="630"/>
      <c r="N1223" s="630"/>
      <c r="O1223" s="630"/>
      <c r="P1223" s="630"/>
      <c r="Q1223" s="630"/>
      <c r="R1223" s="630"/>
      <c r="S1223" s="630" t="s">
        <v>604</v>
      </c>
      <c r="T1223" s="630"/>
      <c r="U1223" s="630" t="s">
        <v>538</v>
      </c>
      <c r="V1223" s="630">
        <v>2</v>
      </c>
      <c r="W1223" s="630" t="s">
        <v>545</v>
      </c>
      <c r="X1223" s="630" t="s">
        <v>546</v>
      </c>
      <c r="Y1223" s="630" t="s">
        <v>554</v>
      </c>
      <c r="Z1223" s="630">
        <v>1.081693</v>
      </c>
      <c r="AA1223" s="630">
        <v>1.7408189999999999</v>
      </c>
      <c r="AB1223" s="631">
        <v>10277</v>
      </c>
      <c r="AC1223" s="631">
        <v>921789</v>
      </c>
      <c r="AD1223" s="631">
        <f t="shared" si="19"/>
        <v>997092.70877699996</v>
      </c>
    </row>
    <row r="1224" spans="2:30" x14ac:dyDescent="0.15">
      <c r="B1224" s="630">
        <v>17043004017</v>
      </c>
      <c r="C1224" s="630">
        <v>17043004883</v>
      </c>
      <c r="D1224" s="630">
        <v>17999021291</v>
      </c>
      <c r="E1224" s="630" t="s">
        <v>533</v>
      </c>
      <c r="F1224" s="630" t="s">
        <v>534</v>
      </c>
      <c r="G1224" s="630" t="s">
        <v>367</v>
      </c>
      <c r="H1224" s="630" t="s">
        <v>381</v>
      </c>
      <c r="I1224" s="630"/>
      <c r="J1224" s="630" t="s">
        <v>542</v>
      </c>
      <c r="K1224" s="630" t="s">
        <v>547</v>
      </c>
      <c r="L1224" s="630" t="s">
        <v>382</v>
      </c>
      <c r="M1224" s="630"/>
      <c r="N1224" s="630"/>
      <c r="O1224" s="630"/>
      <c r="P1224" s="630"/>
      <c r="Q1224" s="630"/>
      <c r="R1224" s="630"/>
      <c r="S1224" s="630" t="s">
        <v>579</v>
      </c>
      <c r="T1224" s="630"/>
      <c r="U1224" s="630" t="s">
        <v>538</v>
      </c>
      <c r="V1224" s="630">
        <v>3</v>
      </c>
      <c r="W1224" s="630" t="s">
        <v>545</v>
      </c>
      <c r="X1224" s="630" t="s">
        <v>580</v>
      </c>
      <c r="Y1224" s="630" t="s">
        <v>549</v>
      </c>
      <c r="Z1224" s="630">
        <v>5.1915999999999997E-2</v>
      </c>
      <c r="AA1224" s="630">
        <v>8.3549999999999999E-2</v>
      </c>
      <c r="AB1224" s="631">
        <v>1180642</v>
      </c>
      <c r="AC1224" s="631">
        <v>46493460</v>
      </c>
      <c r="AD1224" s="631">
        <f t="shared" si="19"/>
        <v>2413754.46936</v>
      </c>
    </row>
    <row r="1225" spans="2:30" x14ac:dyDescent="0.15">
      <c r="B1225" s="630">
        <v>17031005954</v>
      </c>
      <c r="C1225" s="630">
        <v>17031000557</v>
      </c>
      <c r="D1225" s="630">
        <v>17031000561</v>
      </c>
      <c r="E1225" s="630" t="s">
        <v>533</v>
      </c>
      <c r="F1225" s="630" t="s">
        <v>534</v>
      </c>
      <c r="G1225" s="630" t="s">
        <v>365</v>
      </c>
      <c r="H1225" s="630" t="s">
        <v>382</v>
      </c>
      <c r="I1225" s="630"/>
      <c r="J1225" s="630" t="s">
        <v>547</v>
      </c>
      <c r="K1225" s="630"/>
      <c r="L1225" s="630"/>
      <c r="M1225" s="630"/>
      <c r="N1225" s="630"/>
      <c r="O1225" s="630"/>
      <c r="P1225" s="630"/>
      <c r="Q1225" s="630"/>
      <c r="R1225" s="630"/>
      <c r="S1225" s="630" t="s">
        <v>583</v>
      </c>
      <c r="T1225" s="630"/>
      <c r="U1225" s="630" t="s">
        <v>538</v>
      </c>
      <c r="V1225" s="630">
        <v>4</v>
      </c>
      <c r="W1225" s="630" t="s">
        <v>545</v>
      </c>
      <c r="X1225" s="630" t="s">
        <v>541</v>
      </c>
      <c r="Y1225" s="630" t="s">
        <v>554</v>
      </c>
      <c r="Z1225" s="630">
        <v>8.4928000000000003E-2</v>
      </c>
      <c r="AA1225" s="630">
        <v>0.13667899999999999</v>
      </c>
      <c r="AB1225" s="631">
        <v>0</v>
      </c>
      <c r="AC1225" s="631">
        <v>0</v>
      </c>
      <c r="AD1225" s="631">
        <f t="shared" si="19"/>
        <v>0</v>
      </c>
    </row>
    <row r="1226" spans="2:30" x14ac:dyDescent="0.15">
      <c r="B1226" s="630">
        <v>17043006291</v>
      </c>
      <c r="C1226" s="630">
        <v>17043000586</v>
      </c>
      <c r="D1226" s="630">
        <v>17043000592</v>
      </c>
      <c r="E1226" s="630" t="s">
        <v>533</v>
      </c>
      <c r="F1226" s="630" t="s">
        <v>534</v>
      </c>
      <c r="G1226" s="630" t="s">
        <v>367</v>
      </c>
      <c r="H1226" s="630" t="s">
        <v>382</v>
      </c>
      <c r="I1226" s="630"/>
      <c r="J1226" s="630"/>
      <c r="K1226" s="630"/>
      <c r="L1226" s="630"/>
      <c r="M1226" s="630"/>
      <c r="N1226" s="630"/>
      <c r="O1226" s="630"/>
      <c r="P1226" s="630"/>
      <c r="Q1226" s="630"/>
      <c r="R1226" s="630"/>
      <c r="S1226" s="630" t="s">
        <v>635</v>
      </c>
      <c r="T1226" s="630" t="s">
        <v>587</v>
      </c>
      <c r="U1226" s="630" t="s">
        <v>559</v>
      </c>
      <c r="V1226" s="630">
        <v>1</v>
      </c>
      <c r="W1226" s="630" t="s">
        <v>560</v>
      </c>
      <c r="X1226" s="630" t="s">
        <v>541</v>
      </c>
      <c r="Y1226" s="630" t="s">
        <v>541</v>
      </c>
      <c r="Z1226" s="630">
        <v>3.3617000000000001E-2</v>
      </c>
      <c r="AA1226" s="630">
        <v>5.4101999999999997E-2</v>
      </c>
      <c r="AB1226" s="631">
        <v>0</v>
      </c>
      <c r="AC1226" s="631">
        <v>0</v>
      </c>
      <c r="AD1226" s="631">
        <f t="shared" si="19"/>
        <v>0</v>
      </c>
    </row>
    <row r="1227" spans="2:30" x14ac:dyDescent="0.15">
      <c r="B1227" s="630">
        <v>17097009352</v>
      </c>
      <c r="C1227" s="630">
        <v>17097007471</v>
      </c>
      <c r="D1227" s="630">
        <v>17097000110</v>
      </c>
      <c r="E1227" s="630" t="s">
        <v>533</v>
      </c>
      <c r="F1227" s="630" t="s">
        <v>534</v>
      </c>
      <c r="G1227" s="630" t="s">
        <v>373</v>
      </c>
      <c r="H1227" s="630" t="s">
        <v>535</v>
      </c>
      <c r="I1227" s="630"/>
      <c r="J1227" s="630" t="s">
        <v>382</v>
      </c>
      <c r="K1227" s="630" t="s">
        <v>536</v>
      </c>
      <c r="L1227" s="630"/>
      <c r="M1227" s="630"/>
      <c r="N1227" s="630"/>
      <c r="O1227" s="630"/>
      <c r="P1227" s="630"/>
      <c r="Q1227" s="630"/>
      <c r="R1227" s="630"/>
      <c r="S1227" s="630" t="s">
        <v>550</v>
      </c>
      <c r="T1227" s="630"/>
      <c r="U1227" s="630" t="s">
        <v>538</v>
      </c>
      <c r="V1227" s="630">
        <v>2</v>
      </c>
      <c r="W1227" s="630" t="s">
        <v>545</v>
      </c>
      <c r="X1227" s="630" t="s">
        <v>540</v>
      </c>
      <c r="Y1227" s="630" t="s">
        <v>549</v>
      </c>
      <c r="Z1227" s="630">
        <v>9.6533999999999995E-2</v>
      </c>
      <c r="AA1227" s="630">
        <v>0.15535599999999999</v>
      </c>
      <c r="AB1227" s="631">
        <v>36082</v>
      </c>
      <c r="AC1227" s="631">
        <v>3440570</v>
      </c>
      <c r="AD1227" s="631">
        <f t="shared" si="19"/>
        <v>332131.98437999998</v>
      </c>
    </row>
    <row r="1228" spans="2:30" x14ac:dyDescent="0.15">
      <c r="B1228" s="630">
        <v>17097001929</v>
      </c>
      <c r="C1228" s="630">
        <v>17097000083</v>
      </c>
      <c r="D1228" s="630">
        <v>17097000078</v>
      </c>
      <c r="E1228" s="630" t="s">
        <v>533</v>
      </c>
      <c r="F1228" s="630" t="s">
        <v>534</v>
      </c>
      <c r="G1228" s="630" t="s">
        <v>373</v>
      </c>
      <c r="H1228" s="630" t="s">
        <v>552</v>
      </c>
      <c r="I1228" s="630"/>
      <c r="J1228" s="630" t="s">
        <v>542</v>
      </c>
      <c r="K1228" s="630" t="s">
        <v>547</v>
      </c>
      <c r="L1228" s="630" t="s">
        <v>563</v>
      </c>
      <c r="M1228" s="630"/>
      <c r="N1228" s="630"/>
      <c r="O1228" s="630"/>
      <c r="P1228" s="630"/>
      <c r="Q1228" s="630"/>
      <c r="R1228" s="630"/>
      <c r="S1228" s="630" t="s">
        <v>564</v>
      </c>
      <c r="T1228" s="630"/>
      <c r="U1228" s="630" t="s">
        <v>538</v>
      </c>
      <c r="V1228" s="630">
        <v>2</v>
      </c>
      <c r="W1228" s="630" t="s">
        <v>545</v>
      </c>
      <c r="X1228" s="630" t="s">
        <v>549</v>
      </c>
      <c r="Y1228" s="630" t="s">
        <v>540</v>
      </c>
      <c r="Z1228" s="630">
        <v>0.25256600000000001</v>
      </c>
      <c r="AA1228" s="630">
        <v>0.40646700000000002</v>
      </c>
      <c r="AB1228" s="631">
        <v>529599</v>
      </c>
      <c r="AC1228" s="631">
        <v>32992685</v>
      </c>
      <c r="AD1228" s="631">
        <f t="shared" si="19"/>
        <v>8332830.4797100006</v>
      </c>
    </row>
    <row r="1229" spans="2:30" x14ac:dyDescent="0.15">
      <c r="B1229" s="630">
        <v>17031002308</v>
      </c>
      <c r="C1229" s="630">
        <v>17031001303</v>
      </c>
      <c r="D1229" s="630">
        <v>17031001311</v>
      </c>
      <c r="E1229" s="630" t="s">
        <v>533</v>
      </c>
      <c r="F1229" s="630" t="s">
        <v>534</v>
      </c>
      <c r="G1229" s="630" t="s">
        <v>365</v>
      </c>
      <c r="H1229" s="630" t="s">
        <v>557</v>
      </c>
      <c r="I1229" s="630"/>
      <c r="J1229" s="630" t="s">
        <v>381</v>
      </c>
      <c r="K1229" s="630" t="s">
        <v>535</v>
      </c>
      <c r="L1229" s="630" t="s">
        <v>552</v>
      </c>
      <c r="M1229" s="630" t="s">
        <v>382</v>
      </c>
      <c r="N1229" s="630"/>
      <c r="O1229" s="630"/>
      <c r="P1229" s="630"/>
      <c r="Q1229" s="630"/>
      <c r="R1229" s="630"/>
      <c r="S1229" s="630"/>
      <c r="T1229" s="630"/>
      <c r="U1229" s="630" t="s">
        <v>538</v>
      </c>
      <c r="V1229" s="630">
        <v>2</v>
      </c>
      <c r="W1229" s="630" t="s">
        <v>545</v>
      </c>
      <c r="X1229" s="630" t="s">
        <v>549</v>
      </c>
      <c r="Y1229" s="630" t="s">
        <v>554</v>
      </c>
      <c r="Z1229" s="630">
        <v>9.7479999999999997E-2</v>
      </c>
      <c r="AA1229" s="630">
        <v>0.15687999999999999</v>
      </c>
      <c r="AB1229" s="631">
        <v>111304</v>
      </c>
      <c r="AC1229" s="631">
        <v>6871116</v>
      </c>
      <c r="AD1229" s="631">
        <f t="shared" si="19"/>
        <v>669796.38767999993</v>
      </c>
    </row>
    <row r="1230" spans="2:30" x14ac:dyDescent="0.15">
      <c r="B1230" s="630">
        <v>17031002480</v>
      </c>
      <c r="C1230" s="630">
        <v>17031000526</v>
      </c>
      <c r="D1230" s="630">
        <v>17031000534</v>
      </c>
      <c r="E1230" s="630" t="s">
        <v>533</v>
      </c>
      <c r="F1230" s="630" t="s">
        <v>534</v>
      </c>
      <c r="G1230" s="630" t="s">
        <v>365</v>
      </c>
      <c r="H1230" s="630" t="s">
        <v>382</v>
      </c>
      <c r="I1230" s="630"/>
      <c r="J1230" s="630" t="s">
        <v>535</v>
      </c>
      <c r="K1230" s="630" t="s">
        <v>552</v>
      </c>
      <c r="L1230" s="630" t="s">
        <v>557</v>
      </c>
      <c r="M1230" s="630" t="s">
        <v>543</v>
      </c>
      <c r="N1230" s="630"/>
      <c r="O1230" s="630"/>
      <c r="P1230" s="630"/>
      <c r="Q1230" s="630"/>
      <c r="R1230" s="630"/>
      <c r="S1230" s="630" t="s">
        <v>650</v>
      </c>
      <c r="T1230" s="630"/>
      <c r="U1230" s="630" t="s">
        <v>559</v>
      </c>
      <c r="V1230" s="630">
        <v>1</v>
      </c>
      <c r="W1230" s="630" t="s">
        <v>539</v>
      </c>
      <c r="X1230" s="630" t="s">
        <v>541</v>
      </c>
      <c r="Y1230" s="630" t="s">
        <v>541</v>
      </c>
      <c r="Z1230" s="630">
        <v>0.32542399999999999</v>
      </c>
      <c r="AA1230" s="630">
        <v>0.52372099999999999</v>
      </c>
      <c r="AB1230" s="631">
        <v>140</v>
      </c>
      <c r="AC1230" s="631">
        <v>15304</v>
      </c>
      <c r="AD1230" s="631">
        <f t="shared" si="19"/>
        <v>4980.288896</v>
      </c>
    </row>
    <row r="1231" spans="2:30" x14ac:dyDescent="0.15">
      <c r="B1231" s="630">
        <v>17031003636</v>
      </c>
      <c r="C1231" s="630">
        <v>17031001068</v>
      </c>
      <c r="D1231" s="630">
        <v>17031001078</v>
      </c>
      <c r="E1231" s="630" t="s">
        <v>533</v>
      </c>
      <c r="F1231" s="630" t="s">
        <v>534</v>
      </c>
      <c r="G1231" s="630" t="s">
        <v>365</v>
      </c>
      <c r="H1231" s="630" t="s">
        <v>547</v>
      </c>
      <c r="I1231" s="630"/>
      <c r="J1231" s="630" t="s">
        <v>577</v>
      </c>
      <c r="K1231" s="630"/>
      <c r="L1231" s="630"/>
      <c r="M1231" s="630"/>
      <c r="N1231" s="630"/>
      <c r="O1231" s="630"/>
      <c r="P1231" s="630"/>
      <c r="Q1231" s="630"/>
      <c r="R1231" s="630"/>
      <c r="S1231" s="630" t="s">
        <v>581</v>
      </c>
      <c r="T1231" s="630"/>
      <c r="U1231" s="630" t="s">
        <v>538</v>
      </c>
      <c r="V1231" s="630">
        <v>2</v>
      </c>
      <c r="W1231" s="630" t="s">
        <v>582</v>
      </c>
      <c r="X1231" s="630" t="s">
        <v>541</v>
      </c>
      <c r="Y1231" s="630" t="s">
        <v>540</v>
      </c>
      <c r="Z1231" s="630">
        <v>0.33006600000000003</v>
      </c>
      <c r="AA1231" s="630">
        <v>0.53119099999999997</v>
      </c>
      <c r="AB1231" s="631">
        <v>0</v>
      </c>
      <c r="AC1231" s="631">
        <v>0</v>
      </c>
      <c r="AD1231" s="631">
        <f t="shared" si="19"/>
        <v>0</v>
      </c>
    </row>
    <row r="1232" spans="2:30" x14ac:dyDescent="0.15">
      <c r="B1232" s="630">
        <v>17031004014</v>
      </c>
      <c r="C1232" s="630">
        <v>17031000683</v>
      </c>
      <c r="D1232" s="630">
        <v>17031000682</v>
      </c>
      <c r="E1232" s="630" t="s">
        <v>533</v>
      </c>
      <c r="F1232" s="630" t="s">
        <v>534</v>
      </c>
      <c r="G1232" s="630" t="s">
        <v>365</v>
      </c>
      <c r="H1232" s="630" t="s">
        <v>644</v>
      </c>
      <c r="I1232" s="630"/>
      <c r="J1232" s="630"/>
      <c r="K1232" s="630"/>
      <c r="L1232" s="630"/>
      <c r="M1232" s="630"/>
      <c r="N1232" s="630"/>
      <c r="O1232" s="630"/>
      <c r="P1232" s="630"/>
      <c r="Q1232" s="630"/>
      <c r="R1232" s="630"/>
      <c r="S1232" s="630"/>
      <c r="T1232" s="630"/>
      <c r="U1232" s="630" t="s">
        <v>559</v>
      </c>
      <c r="V1232" s="630">
        <v>1</v>
      </c>
      <c r="W1232" s="630" t="s">
        <v>560</v>
      </c>
      <c r="X1232" s="630" t="s">
        <v>541</v>
      </c>
      <c r="Y1232" s="630" t="s">
        <v>541</v>
      </c>
      <c r="Z1232" s="630">
        <v>3.8535E-2</v>
      </c>
      <c r="AA1232" s="630">
        <v>6.2016000000000002E-2</v>
      </c>
      <c r="AB1232" s="631">
        <v>0</v>
      </c>
      <c r="AC1232" s="631">
        <v>0</v>
      </c>
      <c r="AD1232" s="631">
        <f t="shared" si="19"/>
        <v>0</v>
      </c>
    </row>
    <row r="1233" spans="2:30" x14ac:dyDescent="0.15">
      <c r="B1233" s="630">
        <v>17197003261</v>
      </c>
      <c r="C1233" s="630">
        <v>17197001487</v>
      </c>
      <c r="D1233" s="630">
        <v>17197004804</v>
      </c>
      <c r="E1233" s="630" t="s">
        <v>533</v>
      </c>
      <c r="F1233" s="630" t="s">
        <v>534</v>
      </c>
      <c r="G1233" s="630" t="s">
        <v>377</v>
      </c>
      <c r="H1233" s="630" t="s">
        <v>535</v>
      </c>
      <c r="I1233" s="630"/>
      <c r="J1233" s="630" t="s">
        <v>542</v>
      </c>
      <c r="K1233" s="630" t="s">
        <v>547</v>
      </c>
      <c r="L1233" s="630" t="s">
        <v>382</v>
      </c>
      <c r="M1233" s="630"/>
      <c r="N1233" s="630"/>
      <c r="O1233" s="630"/>
      <c r="P1233" s="630"/>
      <c r="Q1233" s="630"/>
      <c r="R1233" s="630"/>
      <c r="S1233" s="630" t="s">
        <v>601</v>
      </c>
      <c r="T1233" s="630"/>
      <c r="U1233" s="630" t="s">
        <v>538</v>
      </c>
      <c r="V1233" s="630">
        <v>2</v>
      </c>
      <c r="W1233" s="630" t="s">
        <v>539</v>
      </c>
      <c r="X1233" s="630" t="s">
        <v>540</v>
      </c>
      <c r="Y1233" s="630" t="s">
        <v>554</v>
      </c>
      <c r="Z1233" s="630">
        <v>0.182169</v>
      </c>
      <c r="AA1233" s="630">
        <v>0.29317399999999999</v>
      </c>
      <c r="AB1233" s="631">
        <v>530600</v>
      </c>
      <c r="AC1233" s="631">
        <v>7881600</v>
      </c>
      <c r="AD1233" s="631">
        <f t="shared" si="19"/>
        <v>1435783.1904</v>
      </c>
    </row>
    <row r="1234" spans="2:30" x14ac:dyDescent="0.15">
      <c r="B1234" s="630">
        <v>17031004288</v>
      </c>
      <c r="C1234" s="630">
        <v>17031000759</v>
      </c>
      <c r="D1234" s="630">
        <v>17031000795</v>
      </c>
      <c r="E1234" s="630" t="s">
        <v>533</v>
      </c>
      <c r="F1234" s="630" t="s">
        <v>534</v>
      </c>
      <c r="G1234" s="630" t="s">
        <v>365</v>
      </c>
      <c r="H1234" s="630" t="s">
        <v>571</v>
      </c>
      <c r="I1234" s="630"/>
      <c r="J1234" s="630" t="s">
        <v>381</v>
      </c>
      <c r="K1234" s="630" t="s">
        <v>535</v>
      </c>
      <c r="L1234" s="630" t="s">
        <v>552</v>
      </c>
      <c r="M1234" s="630" t="s">
        <v>551</v>
      </c>
      <c r="N1234" s="630" t="s">
        <v>563</v>
      </c>
      <c r="O1234" s="630" t="s">
        <v>543</v>
      </c>
      <c r="P1234" s="630"/>
      <c r="Q1234" s="630"/>
      <c r="R1234" s="630"/>
      <c r="S1234" s="630" t="s">
        <v>573</v>
      </c>
      <c r="T1234" s="630"/>
      <c r="U1234" s="630" t="s">
        <v>538</v>
      </c>
      <c r="V1234" s="630">
        <v>2</v>
      </c>
      <c r="W1234" s="630" t="s">
        <v>545</v>
      </c>
      <c r="X1234" s="630" t="s">
        <v>580</v>
      </c>
      <c r="Y1234" s="630" t="s">
        <v>554</v>
      </c>
      <c r="Z1234" s="630">
        <v>0.81266799999999995</v>
      </c>
      <c r="AA1234" s="630">
        <v>1.3078650000000001</v>
      </c>
      <c r="AB1234" s="631">
        <v>997701</v>
      </c>
      <c r="AC1234" s="631">
        <v>41622026</v>
      </c>
      <c r="AD1234" s="631">
        <f t="shared" si="19"/>
        <v>33824888.625367999</v>
      </c>
    </row>
    <row r="1235" spans="2:30" x14ac:dyDescent="0.15">
      <c r="B1235" s="630">
        <v>17031003611</v>
      </c>
      <c r="C1235" s="630">
        <v>17031006777</v>
      </c>
      <c r="D1235" s="630">
        <v>17031006778</v>
      </c>
      <c r="E1235" s="630" t="s">
        <v>533</v>
      </c>
      <c r="F1235" s="630" t="s">
        <v>534</v>
      </c>
      <c r="G1235" s="630" t="s">
        <v>365</v>
      </c>
      <c r="H1235" s="630" t="s">
        <v>571</v>
      </c>
      <c r="I1235" s="630"/>
      <c r="J1235" s="630" t="s">
        <v>552</v>
      </c>
      <c r="K1235" s="630" t="s">
        <v>572</v>
      </c>
      <c r="L1235" s="630" t="s">
        <v>551</v>
      </c>
      <c r="M1235" s="630" t="s">
        <v>555</v>
      </c>
      <c r="N1235" s="630" t="s">
        <v>543</v>
      </c>
      <c r="O1235" s="630" t="s">
        <v>382</v>
      </c>
      <c r="P1235" s="630" t="s">
        <v>535</v>
      </c>
      <c r="Q1235" s="630" t="s">
        <v>381</v>
      </c>
      <c r="R1235" s="630"/>
      <c r="S1235" s="630" t="s">
        <v>573</v>
      </c>
      <c r="T1235" s="630" t="s">
        <v>677</v>
      </c>
      <c r="U1235" s="630" t="s">
        <v>538</v>
      </c>
      <c r="V1235" s="630">
        <v>2</v>
      </c>
      <c r="W1235" s="630" t="s">
        <v>545</v>
      </c>
      <c r="X1235" s="630" t="s">
        <v>580</v>
      </c>
      <c r="Y1235" s="630" t="s">
        <v>554</v>
      </c>
      <c r="Z1235" s="630">
        <v>0.71130300000000002</v>
      </c>
      <c r="AA1235" s="630">
        <v>1.1447339999999999</v>
      </c>
      <c r="AB1235" s="631">
        <v>371285</v>
      </c>
      <c r="AC1235" s="631">
        <v>16601511</v>
      </c>
      <c r="AD1235" s="631">
        <f t="shared" si="19"/>
        <v>11808704.578833001</v>
      </c>
    </row>
    <row r="1236" spans="2:30" x14ac:dyDescent="0.15">
      <c r="B1236" s="630">
        <v>17031003964</v>
      </c>
      <c r="C1236" s="630">
        <v>17031000776</v>
      </c>
      <c r="D1236" s="630">
        <v>17031000775</v>
      </c>
      <c r="E1236" s="630" t="s">
        <v>533</v>
      </c>
      <c r="F1236" s="630" t="s">
        <v>534</v>
      </c>
      <c r="G1236" s="630" t="s">
        <v>365</v>
      </c>
      <c r="H1236" s="630" t="s">
        <v>535</v>
      </c>
      <c r="I1236" s="630"/>
      <c r="J1236" s="630" t="s">
        <v>542</v>
      </c>
      <c r="K1236" s="630" t="s">
        <v>572</v>
      </c>
      <c r="L1236" s="630" t="s">
        <v>547</v>
      </c>
      <c r="M1236" s="630" t="s">
        <v>382</v>
      </c>
      <c r="N1236" s="630"/>
      <c r="O1236" s="630"/>
      <c r="P1236" s="630"/>
      <c r="Q1236" s="630"/>
      <c r="R1236" s="630"/>
      <c r="S1236" s="630" t="s">
        <v>601</v>
      </c>
      <c r="T1236" s="630"/>
      <c r="U1236" s="630" t="s">
        <v>538</v>
      </c>
      <c r="V1236" s="630">
        <v>2</v>
      </c>
      <c r="W1236" s="630" t="s">
        <v>545</v>
      </c>
      <c r="X1236" s="630" t="s">
        <v>540</v>
      </c>
      <c r="Y1236" s="630" t="s">
        <v>540</v>
      </c>
      <c r="Z1236" s="630">
        <v>0.21174000000000001</v>
      </c>
      <c r="AA1236" s="630">
        <v>0.34076299999999998</v>
      </c>
      <c r="AB1236" s="631">
        <v>103316</v>
      </c>
      <c r="AC1236" s="631">
        <v>4167946</v>
      </c>
      <c r="AD1236" s="631">
        <f t="shared" si="19"/>
        <v>882520.88604000001</v>
      </c>
    </row>
    <row r="1237" spans="2:30" x14ac:dyDescent="0.15">
      <c r="B1237" s="630">
        <v>17111005953</v>
      </c>
      <c r="C1237" s="630">
        <v>17111004832</v>
      </c>
      <c r="D1237" s="630">
        <v>17111000144</v>
      </c>
      <c r="E1237" s="630" t="s">
        <v>533</v>
      </c>
      <c r="F1237" s="630" t="s">
        <v>534</v>
      </c>
      <c r="G1237" s="630" t="s">
        <v>375</v>
      </c>
      <c r="H1237" s="630" t="s">
        <v>382</v>
      </c>
      <c r="I1237" s="630"/>
      <c r="J1237" s="630"/>
      <c r="K1237" s="630"/>
      <c r="L1237" s="630"/>
      <c r="M1237" s="630"/>
      <c r="N1237" s="630"/>
      <c r="O1237" s="630"/>
      <c r="P1237" s="630"/>
      <c r="Q1237" s="630"/>
      <c r="R1237" s="630"/>
      <c r="S1237" s="630" t="s">
        <v>620</v>
      </c>
      <c r="T1237" s="630"/>
      <c r="U1237" s="630" t="s">
        <v>559</v>
      </c>
      <c r="V1237" s="630">
        <v>1</v>
      </c>
      <c r="W1237" s="630" t="s">
        <v>560</v>
      </c>
      <c r="X1237" s="630" t="s">
        <v>541</v>
      </c>
      <c r="Y1237" s="630" t="s">
        <v>541</v>
      </c>
      <c r="Z1237" s="630">
        <v>0.47721200000000003</v>
      </c>
      <c r="AA1237" s="630">
        <v>0.76800000000000002</v>
      </c>
      <c r="AB1237" s="631">
        <v>0</v>
      </c>
      <c r="AC1237" s="631">
        <v>0</v>
      </c>
      <c r="AD1237" s="631">
        <f t="shared" si="19"/>
        <v>0</v>
      </c>
    </row>
    <row r="1238" spans="2:30" x14ac:dyDescent="0.15">
      <c r="B1238" s="630">
        <v>17111001984</v>
      </c>
      <c r="C1238" s="630">
        <v>17111004838</v>
      </c>
      <c r="D1238" s="630">
        <v>17111000041</v>
      </c>
      <c r="E1238" s="630" t="s">
        <v>533</v>
      </c>
      <c r="F1238" s="630" t="s">
        <v>534</v>
      </c>
      <c r="G1238" s="630" t="s">
        <v>375</v>
      </c>
      <c r="H1238" s="630" t="s">
        <v>382</v>
      </c>
      <c r="I1238" s="630"/>
      <c r="J1238" s="630"/>
      <c r="K1238" s="630"/>
      <c r="L1238" s="630"/>
      <c r="M1238" s="630"/>
      <c r="N1238" s="630"/>
      <c r="O1238" s="630"/>
      <c r="P1238" s="630"/>
      <c r="Q1238" s="630"/>
      <c r="R1238" s="630"/>
      <c r="S1238" s="630" t="s">
        <v>608</v>
      </c>
      <c r="T1238" s="630"/>
      <c r="U1238" s="630" t="s">
        <v>538</v>
      </c>
      <c r="V1238" s="630">
        <v>2</v>
      </c>
      <c r="W1238" s="630" t="s">
        <v>566</v>
      </c>
      <c r="X1238" s="630" t="s">
        <v>549</v>
      </c>
      <c r="Y1238" s="630" t="s">
        <v>540</v>
      </c>
      <c r="Z1238" s="630">
        <v>0.16065399999999999</v>
      </c>
      <c r="AA1238" s="630">
        <v>0.25854899999999997</v>
      </c>
      <c r="AB1238" s="631">
        <v>8924</v>
      </c>
      <c r="AC1238" s="631">
        <v>814709</v>
      </c>
      <c r="AD1238" s="631">
        <f t="shared" si="19"/>
        <v>130886.25968599999</v>
      </c>
    </row>
    <row r="1239" spans="2:30" x14ac:dyDescent="0.15">
      <c r="B1239" s="630">
        <v>17097002113</v>
      </c>
      <c r="C1239" s="630">
        <v>17097007508</v>
      </c>
      <c r="D1239" s="630">
        <v>17097004556</v>
      </c>
      <c r="E1239" s="630" t="s">
        <v>533</v>
      </c>
      <c r="F1239" s="630" t="s">
        <v>534</v>
      </c>
      <c r="G1239" s="630" t="s">
        <v>373</v>
      </c>
      <c r="H1239" s="630" t="s">
        <v>535</v>
      </c>
      <c r="I1239" s="630"/>
      <c r="J1239" s="630" t="s">
        <v>547</v>
      </c>
      <c r="K1239" s="630"/>
      <c r="L1239" s="630"/>
      <c r="M1239" s="630"/>
      <c r="N1239" s="630"/>
      <c r="O1239" s="630"/>
      <c r="P1239" s="630"/>
      <c r="Q1239" s="630"/>
      <c r="R1239" s="630"/>
      <c r="S1239" s="630" t="s">
        <v>548</v>
      </c>
      <c r="T1239" s="630"/>
      <c r="U1239" s="630" t="s">
        <v>538</v>
      </c>
      <c r="V1239" s="630">
        <v>2</v>
      </c>
      <c r="W1239" s="630" t="s">
        <v>545</v>
      </c>
      <c r="X1239" s="630" t="s">
        <v>546</v>
      </c>
      <c r="Y1239" s="630" t="s">
        <v>549</v>
      </c>
      <c r="Z1239" s="630">
        <v>1.649186</v>
      </c>
      <c r="AA1239" s="630">
        <v>2.6541139999999999</v>
      </c>
      <c r="AB1239" s="631">
        <v>777350</v>
      </c>
      <c r="AC1239" s="631">
        <v>36648785</v>
      </c>
      <c r="AD1239" s="631">
        <f t="shared" si="19"/>
        <v>60440663.139010005</v>
      </c>
    </row>
    <row r="1240" spans="2:30" x14ac:dyDescent="0.15">
      <c r="B1240" s="630">
        <v>17031002181</v>
      </c>
      <c r="C1240" s="630">
        <v>17031000739</v>
      </c>
      <c r="D1240" s="630">
        <v>17031000737</v>
      </c>
      <c r="E1240" s="630" t="s">
        <v>533</v>
      </c>
      <c r="F1240" s="630" t="s">
        <v>534</v>
      </c>
      <c r="G1240" s="630" t="s">
        <v>365</v>
      </c>
      <c r="H1240" s="630" t="s">
        <v>535</v>
      </c>
      <c r="I1240" s="630"/>
      <c r="J1240" s="630"/>
      <c r="K1240" s="630"/>
      <c r="L1240" s="630"/>
      <c r="M1240" s="630"/>
      <c r="N1240" s="630"/>
      <c r="O1240" s="630"/>
      <c r="P1240" s="630"/>
      <c r="Q1240" s="630"/>
      <c r="R1240" s="630"/>
      <c r="S1240" s="630" t="s">
        <v>624</v>
      </c>
      <c r="T1240" s="630"/>
      <c r="U1240" s="630" t="s">
        <v>538</v>
      </c>
      <c r="V1240" s="630">
        <v>2</v>
      </c>
      <c r="W1240" s="630" t="s">
        <v>582</v>
      </c>
      <c r="X1240" s="630" t="s">
        <v>554</v>
      </c>
      <c r="Y1240" s="630" t="s">
        <v>554</v>
      </c>
      <c r="Z1240" s="630">
        <v>6.4994999999999997E-2</v>
      </c>
      <c r="AA1240" s="630">
        <v>0.104599</v>
      </c>
      <c r="AB1240" s="631">
        <v>0</v>
      </c>
      <c r="AC1240" s="631">
        <v>0</v>
      </c>
      <c r="AD1240" s="631">
        <f t="shared" si="19"/>
        <v>0</v>
      </c>
    </row>
    <row r="1241" spans="2:30" x14ac:dyDescent="0.15">
      <c r="B1241" s="630">
        <v>17043002396</v>
      </c>
      <c r="C1241" s="630">
        <v>17043000594</v>
      </c>
      <c r="D1241" s="630">
        <v>17043000591</v>
      </c>
      <c r="E1241" s="630" t="s">
        <v>533</v>
      </c>
      <c r="F1241" s="630" t="s">
        <v>534</v>
      </c>
      <c r="G1241" s="630" t="s">
        <v>367</v>
      </c>
      <c r="H1241" s="630" t="s">
        <v>382</v>
      </c>
      <c r="I1241" s="630"/>
      <c r="J1241" s="630" t="s">
        <v>547</v>
      </c>
      <c r="K1241" s="630"/>
      <c r="L1241" s="630"/>
      <c r="M1241" s="630"/>
      <c r="N1241" s="630"/>
      <c r="O1241" s="630"/>
      <c r="P1241" s="630"/>
      <c r="Q1241" s="630"/>
      <c r="R1241" s="630"/>
      <c r="S1241" s="630" t="s">
        <v>583</v>
      </c>
      <c r="T1241" s="630"/>
      <c r="U1241" s="630" t="s">
        <v>538</v>
      </c>
      <c r="V1241" s="630">
        <v>3</v>
      </c>
      <c r="W1241" s="630" t="s">
        <v>545</v>
      </c>
      <c r="X1241" s="630" t="s">
        <v>575</v>
      </c>
      <c r="Y1241" s="630" t="s">
        <v>554</v>
      </c>
      <c r="Z1241" s="630">
        <v>0.30977700000000002</v>
      </c>
      <c r="AA1241" s="630">
        <v>0.49853900000000001</v>
      </c>
      <c r="AB1241" s="631">
        <v>1830855</v>
      </c>
      <c r="AC1241" s="631">
        <v>57776893</v>
      </c>
      <c r="AD1241" s="631">
        <f t="shared" si="19"/>
        <v>17897952.582861003</v>
      </c>
    </row>
    <row r="1242" spans="2:30" x14ac:dyDescent="0.15">
      <c r="B1242" s="630">
        <v>17197002591</v>
      </c>
      <c r="C1242" s="630">
        <v>17197004796</v>
      </c>
      <c r="D1242" s="630">
        <v>17197001420</v>
      </c>
      <c r="E1242" s="630" t="s">
        <v>533</v>
      </c>
      <c r="F1242" s="630" t="s">
        <v>534</v>
      </c>
      <c r="G1242" s="630" t="s">
        <v>377</v>
      </c>
      <c r="H1242" s="630" t="s">
        <v>535</v>
      </c>
      <c r="I1242" s="630"/>
      <c r="J1242" s="630" t="s">
        <v>382</v>
      </c>
      <c r="K1242" s="630" t="s">
        <v>536</v>
      </c>
      <c r="L1242" s="630"/>
      <c r="M1242" s="630"/>
      <c r="N1242" s="630"/>
      <c r="O1242" s="630"/>
      <c r="P1242" s="630"/>
      <c r="Q1242" s="630"/>
      <c r="R1242" s="630"/>
      <c r="S1242" s="630" t="s">
        <v>550</v>
      </c>
      <c r="T1242" s="630"/>
      <c r="U1242" s="630" t="s">
        <v>538</v>
      </c>
      <c r="V1242" s="630">
        <v>1</v>
      </c>
      <c r="W1242" s="630" t="s">
        <v>545</v>
      </c>
      <c r="X1242" s="630" t="s">
        <v>540</v>
      </c>
      <c r="Y1242" s="630" t="s">
        <v>549</v>
      </c>
      <c r="Z1242" s="630">
        <v>4.0209890000000001</v>
      </c>
      <c r="AA1242" s="630">
        <v>6.4711679999999996</v>
      </c>
      <c r="AB1242" s="631">
        <v>32625</v>
      </c>
      <c r="AC1242" s="631">
        <v>3073584</v>
      </c>
      <c r="AD1242" s="631">
        <f t="shared" si="19"/>
        <v>12358847.454576001</v>
      </c>
    </row>
    <row r="1243" spans="2:30" x14ac:dyDescent="0.15">
      <c r="B1243" s="630">
        <v>17111002618</v>
      </c>
      <c r="C1243" s="630">
        <v>17111000144</v>
      </c>
      <c r="D1243" s="630">
        <v>17111004831</v>
      </c>
      <c r="E1243" s="630" t="s">
        <v>533</v>
      </c>
      <c r="F1243" s="630" t="s">
        <v>534</v>
      </c>
      <c r="G1243" s="630" t="s">
        <v>375</v>
      </c>
      <c r="H1243" s="630" t="s">
        <v>382</v>
      </c>
      <c r="I1243" s="630"/>
      <c r="J1243" s="630"/>
      <c r="K1243" s="630"/>
      <c r="L1243" s="630"/>
      <c r="M1243" s="630"/>
      <c r="N1243" s="630"/>
      <c r="O1243" s="630"/>
      <c r="P1243" s="630"/>
      <c r="Q1243" s="630"/>
      <c r="R1243" s="630"/>
      <c r="S1243" s="630" t="s">
        <v>620</v>
      </c>
      <c r="T1243" s="630"/>
      <c r="U1243" s="630" t="s">
        <v>559</v>
      </c>
      <c r="V1243" s="630">
        <v>1</v>
      </c>
      <c r="W1243" s="630" t="s">
        <v>560</v>
      </c>
      <c r="X1243" s="630" t="s">
        <v>541</v>
      </c>
      <c r="Y1243" s="630" t="s">
        <v>541</v>
      </c>
      <c r="Z1243" s="630">
        <v>0.31636999999999998</v>
      </c>
      <c r="AA1243" s="630">
        <v>0.50914899999999996</v>
      </c>
      <c r="AB1243" s="631">
        <v>0</v>
      </c>
      <c r="AC1243" s="631">
        <v>0</v>
      </c>
      <c r="AD1243" s="631">
        <f t="shared" si="19"/>
        <v>0</v>
      </c>
    </row>
    <row r="1244" spans="2:30" x14ac:dyDescent="0.15">
      <c r="B1244" s="630">
        <v>17089003257</v>
      </c>
      <c r="C1244" s="630">
        <v>17089000982</v>
      </c>
      <c r="D1244" s="630">
        <v>17089000965</v>
      </c>
      <c r="E1244" s="630" t="s">
        <v>533</v>
      </c>
      <c r="F1244" s="630" t="s">
        <v>534</v>
      </c>
      <c r="G1244" s="630" t="s">
        <v>369</v>
      </c>
      <c r="H1244" s="630" t="s">
        <v>381</v>
      </c>
      <c r="I1244" s="630"/>
      <c r="J1244" s="630" t="s">
        <v>542</v>
      </c>
      <c r="K1244" s="630" t="s">
        <v>578</v>
      </c>
      <c r="L1244" s="630" t="s">
        <v>547</v>
      </c>
      <c r="M1244" s="630" t="s">
        <v>382</v>
      </c>
      <c r="N1244" s="630"/>
      <c r="O1244" s="630"/>
      <c r="P1244" s="630"/>
      <c r="Q1244" s="630"/>
      <c r="R1244" s="630"/>
      <c r="S1244" s="630" t="s">
        <v>579</v>
      </c>
      <c r="T1244" s="630"/>
      <c r="U1244" s="630" t="s">
        <v>538</v>
      </c>
      <c r="V1244" s="630">
        <v>3</v>
      </c>
      <c r="W1244" s="630" t="s">
        <v>545</v>
      </c>
      <c r="X1244" s="630" t="s">
        <v>575</v>
      </c>
      <c r="Y1244" s="630" t="s">
        <v>540</v>
      </c>
      <c r="Z1244" s="630">
        <v>0.28017700000000001</v>
      </c>
      <c r="AA1244" s="630">
        <v>0.450903</v>
      </c>
      <c r="AB1244" s="631">
        <v>1187105</v>
      </c>
      <c r="AC1244" s="631">
        <v>47005432</v>
      </c>
      <c r="AD1244" s="631">
        <f t="shared" si="19"/>
        <v>13169840.921464</v>
      </c>
    </row>
    <row r="1245" spans="2:30" x14ac:dyDescent="0.15">
      <c r="B1245" s="630">
        <v>17197003466</v>
      </c>
      <c r="C1245" s="630">
        <v>17197007230</v>
      </c>
      <c r="D1245" s="630">
        <v>17197007240</v>
      </c>
      <c r="E1245" s="630" t="s">
        <v>533</v>
      </c>
      <c r="F1245" s="630" t="s">
        <v>534</v>
      </c>
      <c r="G1245" s="630" t="s">
        <v>377</v>
      </c>
      <c r="H1245" s="630" t="s">
        <v>381</v>
      </c>
      <c r="I1245" s="630"/>
      <c r="J1245" s="630"/>
      <c r="K1245" s="630"/>
      <c r="L1245" s="630"/>
      <c r="M1245" s="630"/>
      <c r="N1245" s="630"/>
      <c r="O1245" s="630"/>
      <c r="P1245" s="630"/>
      <c r="Q1245" s="630"/>
      <c r="R1245" s="630"/>
      <c r="S1245" s="630" t="s">
        <v>591</v>
      </c>
      <c r="T1245" s="630"/>
      <c r="U1245" s="630" t="s">
        <v>559</v>
      </c>
      <c r="V1245" s="630">
        <v>1</v>
      </c>
      <c r="W1245" s="630" t="s">
        <v>560</v>
      </c>
      <c r="X1245" s="630" t="s">
        <v>541</v>
      </c>
      <c r="Y1245" s="630" t="s">
        <v>541</v>
      </c>
      <c r="Z1245" s="630">
        <v>0.392152</v>
      </c>
      <c r="AA1245" s="630">
        <v>0.63110900000000003</v>
      </c>
      <c r="AB1245" s="631">
        <v>0</v>
      </c>
      <c r="AC1245" s="631">
        <v>0</v>
      </c>
      <c r="AD1245" s="631">
        <f t="shared" si="19"/>
        <v>0</v>
      </c>
    </row>
    <row r="1246" spans="2:30" x14ac:dyDescent="0.15">
      <c r="B1246" s="630">
        <v>17031003502</v>
      </c>
      <c r="C1246" s="630">
        <v>17999019973</v>
      </c>
      <c r="D1246" s="630">
        <v>17031007547</v>
      </c>
      <c r="E1246" s="630" t="s">
        <v>533</v>
      </c>
      <c r="F1246" s="630" t="s">
        <v>534</v>
      </c>
      <c r="G1246" s="630" t="s">
        <v>365</v>
      </c>
      <c r="H1246" s="630" t="s">
        <v>552</v>
      </c>
      <c r="I1246" s="630"/>
      <c r="J1246" s="630" t="s">
        <v>547</v>
      </c>
      <c r="K1246" s="630"/>
      <c r="L1246" s="630"/>
      <c r="M1246" s="630"/>
      <c r="N1246" s="630"/>
      <c r="O1246" s="630"/>
      <c r="P1246" s="630"/>
      <c r="Q1246" s="630"/>
      <c r="R1246" s="630"/>
      <c r="S1246" s="630" t="s">
        <v>589</v>
      </c>
      <c r="T1246" s="630"/>
      <c r="U1246" s="630" t="s">
        <v>538</v>
      </c>
      <c r="V1246" s="630">
        <v>2</v>
      </c>
      <c r="W1246" s="630" t="s">
        <v>545</v>
      </c>
      <c r="X1246" s="630" t="s">
        <v>540</v>
      </c>
      <c r="Y1246" s="630" t="s">
        <v>549</v>
      </c>
      <c r="Z1246" s="630">
        <v>0.72777499999999995</v>
      </c>
      <c r="AA1246" s="630">
        <v>1.171243</v>
      </c>
      <c r="AB1246" s="631">
        <v>73983</v>
      </c>
      <c r="AC1246" s="631">
        <v>7748144</v>
      </c>
      <c r="AD1246" s="631">
        <f t="shared" si="19"/>
        <v>5638905.4995999997</v>
      </c>
    </row>
    <row r="1247" spans="2:30" x14ac:dyDescent="0.15">
      <c r="B1247" s="630">
        <v>17031003613</v>
      </c>
      <c r="C1247" s="630">
        <v>17031001022</v>
      </c>
      <c r="D1247" s="630">
        <v>17031001020</v>
      </c>
      <c r="E1247" s="630" t="s">
        <v>533</v>
      </c>
      <c r="F1247" s="630" t="s">
        <v>534</v>
      </c>
      <c r="G1247" s="630" t="s">
        <v>365</v>
      </c>
      <c r="H1247" s="630" t="s">
        <v>571</v>
      </c>
      <c r="I1247" s="630"/>
      <c r="J1247" s="630" t="s">
        <v>552</v>
      </c>
      <c r="K1247" s="630" t="s">
        <v>572</v>
      </c>
      <c r="L1247" s="630" t="s">
        <v>551</v>
      </c>
      <c r="M1247" s="630" t="s">
        <v>555</v>
      </c>
      <c r="N1247" s="630" t="s">
        <v>543</v>
      </c>
      <c r="O1247" s="630" t="s">
        <v>382</v>
      </c>
      <c r="P1247" s="630" t="s">
        <v>535</v>
      </c>
      <c r="Q1247" s="630" t="s">
        <v>381</v>
      </c>
      <c r="R1247" s="630"/>
      <c r="S1247" s="630" t="s">
        <v>573</v>
      </c>
      <c r="T1247" s="630"/>
      <c r="U1247" s="630" t="s">
        <v>538</v>
      </c>
      <c r="V1247" s="630">
        <v>2</v>
      </c>
      <c r="W1247" s="630" t="s">
        <v>545</v>
      </c>
      <c r="X1247" s="630" t="s">
        <v>580</v>
      </c>
      <c r="Y1247" s="630" t="s">
        <v>554</v>
      </c>
      <c r="Z1247" s="630">
        <v>8.6189000000000002E-2</v>
      </c>
      <c r="AA1247" s="630">
        <v>0.138708</v>
      </c>
      <c r="AB1247" s="631">
        <v>371285</v>
      </c>
      <c r="AC1247" s="631">
        <v>16601511</v>
      </c>
      <c r="AD1247" s="631">
        <f t="shared" si="19"/>
        <v>1430867.631579</v>
      </c>
    </row>
    <row r="1248" spans="2:30" x14ac:dyDescent="0.15">
      <c r="B1248" s="630">
        <v>17031003626</v>
      </c>
      <c r="C1248" s="630">
        <v>17031000803</v>
      </c>
      <c r="D1248" s="630">
        <v>17031007918</v>
      </c>
      <c r="E1248" s="630" t="s">
        <v>533</v>
      </c>
      <c r="F1248" s="630" t="s">
        <v>534</v>
      </c>
      <c r="G1248" s="630" t="s">
        <v>365</v>
      </c>
      <c r="H1248" s="630" t="s">
        <v>543</v>
      </c>
      <c r="I1248" s="630"/>
      <c r="J1248" s="630" t="s">
        <v>535</v>
      </c>
      <c r="K1248" s="630"/>
      <c r="L1248" s="630"/>
      <c r="M1248" s="630"/>
      <c r="N1248" s="630"/>
      <c r="O1248" s="630"/>
      <c r="P1248" s="630"/>
      <c r="Q1248" s="630"/>
      <c r="R1248" s="630"/>
      <c r="S1248" s="630" t="s">
        <v>639</v>
      </c>
      <c r="T1248" s="630"/>
      <c r="U1248" s="630" t="s">
        <v>538</v>
      </c>
      <c r="V1248" s="630">
        <v>2</v>
      </c>
      <c r="W1248" s="630" t="s">
        <v>560</v>
      </c>
      <c r="X1248" s="630" t="s">
        <v>541</v>
      </c>
      <c r="Y1248" s="630" t="s">
        <v>541</v>
      </c>
      <c r="Z1248" s="630">
        <v>0.101657</v>
      </c>
      <c r="AA1248" s="630">
        <v>0.163601</v>
      </c>
      <c r="AB1248" s="631">
        <v>960</v>
      </c>
      <c r="AC1248" s="631">
        <v>78800</v>
      </c>
      <c r="AD1248" s="631">
        <f t="shared" si="19"/>
        <v>8010.5716000000002</v>
      </c>
    </row>
    <row r="1249" spans="2:30" x14ac:dyDescent="0.15">
      <c r="B1249" s="630">
        <v>17031003640</v>
      </c>
      <c r="C1249" s="630">
        <v>17031000717</v>
      </c>
      <c r="D1249" s="630">
        <v>17031004673</v>
      </c>
      <c r="E1249" s="630" t="s">
        <v>533</v>
      </c>
      <c r="F1249" s="630" t="s">
        <v>534</v>
      </c>
      <c r="G1249" s="630" t="s">
        <v>365</v>
      </c>
      <c r="H1249" s="630" t="s">
        <v>571</v>
      </c>
      <c r="I1249" s="630"/>
      <c r="J1249" s="630" t="s">
        <v>381</v>
      </c>
      <c r="K1249" s="630" t="s">
        <v>535</v>
      </c>
      <c r="L1249" s="630" t="s">
        <v>543</v>
      </c>
      <c r="M1249" s="630"/>
      <c r="N1249" s="630"/>
      <c r="O1249" s="630"/>
      <c r="P1249" s="630"/>
      <c r="Q1249" s="630"/>
      <c r="R1249" s="630"/>
      <c r="S1249" s="630"/>
      <c r="T1249" s="630"/>
      <c r="U1249" s="630" t="s">
        <v>538</v>
      </c>
      <c r="V1249" s="630">
        <v>1</v>
      </c>
      <c r="W1249" s="630" t="s">
        <v>545</v>
      </c>
      <c r="X1249" s="630" t="s">
        <v>540</v>
      </c>
      <c r="Y1249" s="630" t="s">
        <v>541</v>
      </c>
      <c r="Z1249" s="630">
        <v>0.50626099999999996</v>
      </c>
      <c r="AA1249" s="630">
        <v>0.81474999999999997</v>
      </c>
      <c r="AB1249" s="631">
        <v>867061</v>
      </c>
      <c r="AC1249" s="631">
        <v>36833379</v>
      </c>
      <c r="AD1249" s="631">
        <f t="shared" si="19"/>
        <v>18647303.285918999</v>
      </c>
    </row>
    <row r="1250" spans="2:30" x14ac:dyDescent="0.15">
      <c r="B1250" s="630">
        <v>17197005463</v>
      </c>
      <c r="C1250" s="630">
        <v>17197004789</v>
      </c>
      <c r="D1250" s="630">
        <v>17197001484</v>
      </c>
      <c r="E1250" s="630" t="s">
        <v>533</v>
      </c>
      <c r="F1250" s="630" t="s">
        <v>534</v>
      </c>
      <c r="G1250" s="630" t="s">
        <v>377</v>
      </c>
      <c r="H1250" s="630" t="s">
        <v>551</v>
      </c>
      <c r="I1250" s="630"/>
      <c r="J1250" s="630" t="s">
        <v>535</v>
      </c>
      <c r="K1250" s="630" t="s">
        <v>615</v>
      </c>
      <c r="L1250" s="630"/>
      <c r="M1250" s="630"/>
      <c r="N1250" s="630"/>
      <c r="O1250" s="630"/>
      <c r="P1250" s="630"/>
      <c r="Q1250" s="630"/>
      <c r="R1250" s="630"/>
      <c r="S1250" s="630" t="s">
        <v>663</v>
      </c>
      <c r="T1250" s="630"/>
      <c r="U1250" s="630" t="s">
        <v>538</v>
      </c>
      <c r="V1250" s="630">
        <v>1</v>
      </c>
      <c r="W1250" s="630" t="s">
        <v>539</v>
      </c>
      <c r="X1250" s="630" t="s">
        <v>540</v>
      </c>
      <c r="Y1250" s="630" t="s">
        <v>554</v>
      </c>
      <c r="Z1250" s="630">
        <v>2.0880920000000001</v>
      </c>
      <c r="AA1250" s="630">
        <v>3.3604660000000002</v>
      </c>
      <c r="AB1250" s="631">
        <v>90241</v>
      </c>
      <c r="AC1250" s="631">
        <v>8843796</v>
      </c>
      <c r="AD1250" s="631">
        <f t="shared" si="19"/>
        <v>18466659.677232001</v>
      </c>
    </row>
    <row r="1251" spans="2:30" x14ac:dyDescent="0.15">
      <c r="B1251" s="630">
        <v>17031006136</v>
      </c>
      <c r="C1251" s="630">
        <v>17031000694</v>
      </c>
      <c r="D1251" s="630">
        <v>17031000686</v>
      </c>
      <c r="E1251" s="630" t="s">
        <v>533</v>
      </c>
      <c r="F1251" s="630" t="s">
        <v>534</v>
      </c>
      <c r="G1251" s="630" t="s">
        <v>365</v>
      </c>
      <c r="H1251" s="630" t="s">
        <v>381</v>
      </c>
      <c r="I1251" s="630"/>
      <c r="J1251" s="630" t="s">
        <v>551</v>
      </c>
      <c r="K1251" s="630"/>
      <c r="L1251" s="630"/>
      <c r="M1251" s="630"/>
      <c r="N1251" s="630"/>
      <c r="O1251" s="630"/>
      <c r="P1251" s="630"/>
      <c r="Q1251" s="630"/>
      <c r="R1251" s="630"/>
      <c r="S1251" s="630"/>
      <c r="T1251" s="630"/>
      <c r="U1251" s="630" t="s">
        <v>538</v>
      </c>
      <c r="V1251" s="630">
        <v>1</v>
      </c>
      <c r="W1251" s="630" t="s">
        <v>560</v>
      </c>
      <c r="X1251" s="630" t="s">
        <v>541</v>
      </c>
      <c r="Y1251" s="630" t="s">
        <v>541</v>
      </c>
      <c r="Z1251" s="630">
        <v>0.38571100000000003</v>
      </c>
      <c r="AA1251" s="630">
        <v>0.62074200000000002</v>
      </c>
      <c r="AB1251" s="631">
        <v>280</v>
      </c>
      <c r="AC1251" s="631">
        <v>8400</v>
      </c>
      <c r="AD1251" s="631">
        <f t="shared" si="19"/>
        <v>3239.9724000000001</v>
      </c>
    </row>
    <row r="1252" spans="2:30" x14ac:dyDescent="0.15">
      <c r="B1252" s="630">
        <v>17031008783</v>
      </c>
      <c r="C1252" s="630">
        <v>17031000695</v>
      </c>
      <c r="D1252" s="630">
        <v>17031006831</v>
      </c>
      <c r="E1252" s="630" t="s">
        <v>533</v>
      </c>
      <c r="F1252" s="630" t="s">
        <v>534</v>
      </c>
      <c r="G1252" s="630" t="s">
        <v>365</v>
      </c>
      <c r="H1252" s="630" t="s">
        <v>382</v>
      </c>
      <c r="I1252" s="630"/>
      <c r="J1252" s="630"/>
      <c r="K1252" s="630"/>
      <c r="L1252" s="630"/>
      <c r="M1252" s="630"/>
      <c r="N1252" s="630"/>
      <c r="O1252" s="630"/>
      <c r="P1252" s="630"/>
      <c r="Q1252" s="630"/>
      <c r="R1252" s="630"/>
      <c r="S1252" s="630"/>
      <c r="T1252" s="630" t="s">
        <v>664</v>
      </c>
      <c r="U1252" s="630" t="s">
        <v>559</v>
      </c>
      <c r="V1252" s="630">
        <v>1</v>
      </c>
      <c r="W1252" s="630" t="s">
        <v>560</v>
      </c>
      <c r="X1252" s="630" t="s">
        <v>541</v>
      </c>
      <c r="Y1252" s="630" t="s">
        <v>541</v>
      </c>
      <c r="Z1252" s="630">
        <v>0.43651600000000002</v>
      </c>
      <c r="AA1252" s="630">
        <v>0.70250599999999996</v>
      </c>
      <c r="AB1252" s="631">
        <v>200</v>
      </c>
      <c r="AC1252" s="631">
        <v>13360</v>
      </c>
      <c r="AD1252" s="631">
        <f t="shared" si="19"/>
        <v>5831.85376</v>
      </c>
    </row>
    <row r="1253" spans="2:30" x14ac:dyDescent="0.15">
      <c r="B1253" s="630">
        <v>17031002301</v>
      </c>
      <c r="C1253" s="630">
        <v>17031004712</v>
      </c>
      <c r="D1253" s="630">
        <v>17031001419</v>
      </c>
      <c r="E1253" s="630" t="s">
        <v>533</v>
      </c>
      <c r="F1253" s="630" t="s">
        <v>534</v>
      </c>
      <c r="G1253" s="630" t="s">
        <v>365</v>
      </c>
      <c r="H1253" s="630" t="s">
        <v>551</v>
      </c>
      <c r="I1253" s="630"/>
      <c r="J1253" s="630"/>
      <c r="K1253" s="630"/>
      <c r="L1253" s="630"/>
      <c r="M1253" s="630"/>
      <c r="N1253" s="630"/>
      <c r="O1253" s="630"/>
      <c r="P1253" s="630"/>
      <c r="Q1253" s="630"/>
      <c r="R1253" s="630"/>
      <c r="S1253" s="630" t="s">
        <v>628</v>
      </c>
      <c r="T1253" s="630"/>
      <c r="U1253" s="630" t="s">
        <v>538</v>
      </c>
      <c r="V1253" s="630">
        <v>1</v>
      </c>
      <c r="W1253" s="630" t="s">
        <v>539</v>
      </c>
      <c r="X1253" s="630" t="s">
        <v>541</v>
      </c>
      <c r="Y1253" s="630" t="s">
        <v>541</v>
      </c>
      <c r="Z1253" s="630">
        <v>1.501614</v>
      </c>
      <c r="AA1253" s="630">
        <v>2.4166180000000002</v>
      </c>
      <c r="AB1253" s="631">
        <v>0</v>
      </c>
      <c r="AC1253" s="631">
        <v>0</v>
      </c>
      <c r="AD1253" s="631">
        <f t="shared" si="19"/>
        <v>0</v>
      </c>
    </row>
    <row r="1254" spans="2:30" x14ac:dyDescent="0.15">
      <c r="B1254" s="630">
        <v>17043006290</v>
      </c>
      <c r="C1254" s="630">
        <v>17043000592</v>
      </c>
      <c r="D1254" s="630">
        <v>17043000588</v>
      </c>
      <c r="E1254" s="630" t="s">
        <v>533</v>
      </c>
      <c r="F1254" s="630" t="s">
        <v>534</v>
      </c>
      <c r="G1254" s="630" t="s">
        <v>367</v>
      </c>
      <c r="H1254" s="630" t="s">
        <v>382</v>
      </c>
      <c r="I1254" s="630"/>
      <c r="J1254" s="630"/>
      <c r="K1254" s="630"/>
      <c r="L1254" s="630"/>
      <c r="M1254" s="630"/>
      <c r="N1254" s="630"/>
      <c r="O1254" s="630"/>
      <c r="P1254" s="630"/>
      <c r="Q1254" s="630"/>
      <c r="R1254" s="630"/>
      <c r="S1254" s="630" t="s">
        <v>635</v>
      </c>
      <c r="T1254" s="630" t="s">
        <v>587</v>
      </c>
      <c r="U1254" s="630" t="s">
        <v>559</v>
      </c>
      <c r="V1254" s="630">
        <v>1</v>
      </c>
      <c r="W1254" s="630" t="s">
        <v>560</v>
      </c>
      <c r="X1254" s="630" t="s">
        <v>541</v>
      </c>
      <c r="Y1254" s="630" t="s">
        <v>541</v>
      </c>
      <c r="Z1254" s="630">
        <v>0.32208599999999998</v>
      </c>
      <c r="AA1254" s="630">
        <v>0.51834899999999995</v>
      </c>
      <c r="AB1254" s="631">
        <v>5730</v>
      </c>
      <c r="AC1254" s="631">
        <v>588728</v>
      </c>
      <c r="AD1254" s="631">
        <f t="shared" si="19"/>
        <v>189621.046608</v>
      </c>
    </row>
    <row r="1255" spans="2:30" x14ac:dyDescent="0.15">
      <c r="B1255" s="630">
        <v>17031008619</v>
      </c>
      <c r="C1255" s="630">
        <v>17031006704</v>
      </c>
      <c r="D1255" s="630">
        <v>17031006699</v>
      </c>
      <c r="E1255" s="630" t="s">
        <v>533</v>
      </c>
      <c r="F1255" s="630" t="s">
        <v>534</v>
      </c>
      <c r="G1255" s="630" t="s">
        <v>365</v>
      </c>
      <c r="H1255" s="630" t="s">
        <v>661</v>
      </c>
      <c r="I1255" s="630"/>
      <c r="J1255" s="630"/>
      <c r="K1255" s="630"/>
      <c r="L1255" s="630"/>
      <c r="M1255" s="630"/>
      <c r="N1255" s="630"/>
      <c r="O1255" s="630"/>
      <c r="P1255" s="630"/>
      <c r="Q1255" s="630"/>
      <c r="R1255" s="630"/>
      <c r="S1255" s="630"/>
      <c r="T1255" s="630" t="s">
        <v>662</v>
      </c>
      <c r="U1255" s="630" t="s">
        <v>538</v>
      </c>
      <c r="V1255" s="630">
        <v>1</v>
      </c>
      <c r="W1255" s="630" t="s">
        <v>560</v>
      </c>
      <c r="X1255" s="630" t="s">
        <v>541</v>
      </c>
      <c r="Y1255" s="630" t="s">
        <v>541</v>
      </c>
      <c r="Z1255" s="630">
        <v>7.7559999999999999E-3</v>
      </c>
      <c r="AA1255" s="630">
        <v>1.2482E-2</v>
      </c>
      <c r="AB1255" s="631">
        <v>0</v>
      </c>
      <c r="AC1255" s="631">
        <v>0</v>
      </c>
      <c r="AD1255" s="631">
        <f t="shared" si="19"/>
        <v>0</v>
      </c>
    </row>
    <row r="1256" spans="2:30" x14ac:dyDescent="0.15">
      <c r="B1256" s="630">
        <v>17031001818</v>
      </c>
      <c r="C1256" s="630">
        <v>17031000520</v>
      </c>
      <c r="D1256" s="630">
        <v>17031000521</v>
      </c>
      <c r="E1256" s="630" t="s">
        <v>533</v>
      </c>
      <c r="F1256" s="630" t="s">
        <v>534</v>
      </c>
      <c r="G1256" s="630" t="s">
        <v>365</v>
      </c>
      <c r="H1256" s="630" t="s">
        <v>382</v>
      </c>
      <c r="I1256" s="630"/>
      <c r="J1256" s="630"/>
      <c r="K1256" s="630"/>
      <c r="L1256" s="630"/>
      <c r="M1256" s="630"/>
      <c r="N1256" s="630"/>
      <c r="O1256" s="630"/>
      <c r="P1256" s="630"/>
      <c r="Q1256" s="630"/>
      <c r="R1256" s="630"/>
      <c r="S1256" s="630"/>
      <c r="T1256" s="630"/>
      <c r="U1256" s="630" t="s">
        <v>559</v>
      </c>
      <c r="V1256" s="630">
        <v>1</v>
      </c>
      <c r="W1256" s="630" t="s">
        <v>560</v>
      </c>
      <c r="X1256" s="630" t="s">
        <v>541</v>
      </c>
      <c r="Y1256" s="630" t="s">
        <v>541</v>
      </c>
      <c r="Z1256" s="630">
        <v>0.35178599999999999</v>
      </c>
      <c r="AA1256" s="630">
        <v>0.56614500000000001</v>
      </c>
      <c r="AB1256" s="631">
        <v>0</v>
      </c>
      <c r="AC1256" s="631">
        <v>0</v>
      </c>
      <c r="AD1256" s="631">
        <f t="shared" si="19"/>
        <v>0</v>
      </c>
    </row>
    <row r="1257" spans="2:30" x14ac:dyDescent="0.15">
      <c r="B1257" s="630">
        <v>17093002022</v>
      </c>
      <c r="C1257" s="630">
        <v>17093004862</v>
      </c>
      <c r="D1257" s="630">
        <v>17093004861</v>
      </c>
      <c r="E1257" s="630" t="s">
        <v>533</v>
      </c>
      <c r="F1257" s="630" t="s">
        <v>534</v>
      </c>
      <c r="G1257" s="630" t="s">
        <v>371</v>
      </c>
      <c r="H1257" s="630" t="s">
        <v>578</v>
      </c>
      <c r="I1257" s="630"/>
      <c r="J1257" s="630"/>
      <c r="K1257" s="630"/>
      <c r="L1257" s="630"/>
      <c r="M1257" s="630"/>
      <c r="N1257" s="630"/>
      <c r="O1257" s="630"/>
      <c r="P1257" s="630"/>
      <c r="Q1257" s="630"/>
      <c r="R1257" s="630"/>
      <c r="S1257" s="630"/>
      <c r="T1257" s="630"/>
      <c r="U1257" s="630" t="s">
        <v>538</v>
      </c>
      <c r="V1257" s="630">
        <v>1</v>
      </c>
      <c r="W1257" s="630" t="s">
        <v>560</v>
      </c>
      <c r="X1257" s="630" t="s">
        <v>541</v>
      </c>
      <c r="Y1257" s="630" t="s">
        <v>541</v>
      </c>
      <c r="Z1257" s="630">
        <v>3.1747290000000001</v>
      </c>
      <c r="AA1257" s="630">
        <v>5.1092420000000001</v>
      </c>
      <c r="AB1257" s="631">
        <v>37788</v>
      </c>
      <c r="AC1257" s="631">
        <v>4259781</v>
      </c>
      <c r="AD1257" s="631">
        <f t="shared" si="19"/>
        <v>13523650.274349</v>
      </c>
    </row>
    <row r="1258" spans="2:30" x14ac:dyDescent="0.15">
      <c r="B1258" s="630">
        <v>17093002071</v>
      </c>
      <c r="C1258" s="630">
        <v>17093001283</v>
      </c>
      <c r="D1258" s="630">
        <v>17093001271</v>
      </c>
      <c r="E1258" s="630" t="s">
        <v>533</v>
      </c>
      <c r="F1258" s="630" t="s">
        <v>534</v>
      </c>
      <c r="G1258" s="630" t="s">
        <v>371</v>
      </c>
      <c r="H1258" s="630" t="s">
        <v>381</v>
      </c>
      <c r="I1258" s="630"/>
      <c r="J1258" s="630" t="s">
        <v>542</v>
      </c>
      <c r="K1258" s="630" t="s">
        <v>382</v>
      </c>
      <c r="L1258" s="630"/>
      <c r="M1258" s="630"/>
      <c r="N1258" s="630"/>
      <c r="O1258" s="630"/>
      <c r="P1258" s="630"/>
      <c r="Q1258" s="630"/>
      <c r="R1258" s="630"/>
      <c r="S1258" s="630" t="s">
        <v>619</v>
      </c>
      <c r="T1258" s="630"/>
      <c r="U1258" s="630" t="s">
        <v>538</v>
      </c>
      <c r="V1258" s="630">
        <v>2</v>
      </c>
      <c r="W1258" s="630" t="s">
        <v>545</v>
      </c>
      <c r="X1258" s="630" t="s">
        <v>580</v>
      </c>
      <c r="Y1258" s="630" t="s">
        <v>549</v>
      </c>
      <c r="Z1258" s="630">
        <v>3.2788149999999998</v>
      </c>
      <c r="AA1258" s="630">
        <v>5.276751</v>
      </c>
      <c r="AB1258" s="631">
        <v>344706</v>
      </c>
      <c r="AC1258" s="631">
        <v>23187244</v>
      </c>
      <c r="AD1258" s="631">
        <f t="shared" si="19"/>
        <v>76026683.435859993</v>
      </c>
    </row>
    <row r="1259" spans="2:30" x14ac:dyDescent="0.15">
      <c r="B1259" s="630">
        <v>17089002073</v>
      </c>
      <c r="C1259" s="630">
        <v>17089004846</v>
      </c>
      <c r="D1259" s="630">
        <v>17089004847</v>
      </c>
      <c r="E1259" s="630" t="s">
        <v>533</v>
      </c>
      <c r="F1259" s="630" t="s">
        <v>534</v>
      </c>
      <c r="G1259" s="630" t="s">
        <v>369</v>
      </c>
      <c r="H1259" s="630" t="s">
        <v>382</v>
      </c>
      <c r="I1259" s="630"/>
      <c r="J1259" s="630" t="s">
        <v>547</v>
      </c>
      <c r="K1259" s="630"/>
      <c r="L1259" s="630"/>
      <c r="M1259" s="630"/>
      <c r="N1259" s="630"/>
      <c r="O1259" s="630"/>
      <c r="P1259" s="630"/>
      <c r="Q1259" s="630"/>
      <c r="R1259" s="630"/>
      <c r="S1259" s="630" t="s">
        <v>583</v>
      </c>
      <c r="T1259" s="630"/>
      <c r="U1259" s="630" t="s">
        <v>538</v>
      </c>
      <c r="V1259" s="630">
        <v>2</v>
      </c>
      <c r="W1259" s="630" t="s">
        <v>588</v>
      </c>
      <c r="X1259" s="630" t="s">
        <v>575</v>
      </c>
      <c r="Y1259" s="630" t="s">
        <v>549</v>
      </c>
      <c r="Z1259" s="630">
        <v>1.051024</v>
      </c>
      <c r="AA1259" s="630">
        <v>1.691462</v>
      </c>
      <c r="AB1259" s="631">
        <v>1830185</v>
      </c>
      <c r="AC1259" s="631">
        <v>58575731</v>
      </c>
      <c r="AD1259" s="631">
        <f t="shared" si="19"/>
        <v>61564499.098543994</v>
      </c>
    </row>
    <row r="1260" spans="2:30" x14ac:dyDescent="0.15">
      <c r="B1260" s="630">
        <v>17043002588</v>
      </c>
      <c r="C1260" s="630">
        <v>17043000431</v>
      </c>
      <c r="D1260" s="630">
        <v>17043000394</v>
      </c>
      <c r="E1260" s="630" t="s">
        <v>533</v>
      </c>
      <c r="F1260" s="630" t="s">
        <v>534</v>
      </c>
      <c r="G1260" s="630" t="s">
        <v>367</v>
      </c>
      <c r="H1260" s="630" t="s">
        <v>535</v>
      </c>
      <c r="I1260" s="630"/>
      <c r="J1260" s="630"/>
      <c r="K1260" s="630"/>
      <c r="L1260" s="630"/>
      <c r="M1260" s="630"/>
      <c r="N1260" s="630"/>
      <c r="O1260" s="630"/>
      <c r="P1260" s="630"/>
      <c r="Q1260" s="630"/>
      <c r="R1260" s="630"/>
      <c r="S1260" s="630" t="s">
        <v>624</v>
      </c>
      <c r="T1260" s="630"/>
      <c r="U1260" s="630" t="s">
        <v>538</v>
      </c>
      <c r="V1260" s="630">
        <v>1</v>
      </c>
      <c r="W1260" s="630" t="s">
        <v>582</v>
      </c>
      <c r="X1260" s="630" t="s">
        <v>554</v>
      </c>
      <c r="Y1260" s="630" t="s">
        <v>540</v>
      </c>
      <c r="Z1260" s="630">
        <v>6.4217259999999996</v>
      </c>
      <c r="AA1260" s="630">
        <v>10.334785999999999</v>
      </c>
      <c r="AB1260" s="631">
        <v>40</v>
      </c>
      <c r="AC1260" s="631">
        <v>3800</v>
      </c>
      <c r="AD1260" s="631">
        <f t="shared" si="19"/>
        <v>24402.558799999999</v>
      </c>
    </row>
    <row r="1261" spans="2:30" x14ac:dyDescent="0.15">
      <c r="B1261" s="630">
        <v>17031003661</v>
      </c>
      <c r="C1261" s="630">
        <v>17031001044</v>
      </c>
      <c r="D1261" s="630">
        <v>17031001053</v>
      </c>
      <c r="E1261" s="630" t="s">
        <v>533</v>
      </c>
      <c r="F1261" s="630" t="s">
        <v>534</v>
      </c>
      <c r="G1261" s="630" t="s">
        <v>365</v>
      </c>
      <c r="H1261" s="630" t="s">
        <v>551</v>
      </c>
      <c r="I1261" s="630"/>
      <c r="J1261" s="630"/>
      <c r="K1261" s="630"/>
      <c r="L1261" s="630"/>
      <c r="M1261" s="630"/>
      <c r="N1261" s="630"/>
      <c r="O1261" s="630"/>
      <c r="P1261" s="630"/>
      <c r="Q1261" s="630"/>
      <c r="R1261" s="630"/>
      <c r="S1261" s="630" t="s">
        <v>600</v>
      </c>
      <c r="T1261" s="630"/>
      <c r="U1261" s="630" t="s">
        <v>538</v>
      </c>
      <c r="V1261" s="630">
        <v>2</v>
      </c>
      <c r="W1261" s="630" t="s">
        <v>582</v>
      </c>
      <c r="X1261" s="630" t="s">
        <v>575</v>
      </c>
      <c r="Y1261" s="630" t="s">
        <v>554</v>
      </c>
      <c r="Z1261" s="630">
        <v>0.200456</v>
      </c>
      <c r="AA1261" s="630">
        <v>0.32260299999999997</v>
      </c>
      <c r="AB1261" s="631">
        <v>463665</v>
      </c>
      <c r="AC1261" s="631">
        <v>9721522</v>
      </c>
      <c r="AD1261" s="631">
        <f t="shared" si="19"/>
        <v>1948737.4140319999</v>
      </c>
    </row>
    <row r="1262" spans="2:30" x14ac:dyDescent="0.15">
      <c r="B1262" s="630">
        <v>17031004048</v>
      </c>
      <c r="C1262" s="630">
        <v>17031000738</v>
      </c>
      <c r="D1262" s="630">
        <v>17031000734</v>
      </c>
      <c r="E1262" s="630" t="s">
        <v>533</v>
      </c>
      <c r="F1262" s="630" t="s">
        <v>534</v>
      </c>
      <c r="G1262" s="630" t="s">
        <v>365</v>
      </c>
      <c r="H1262" s="630" t="s">
        <v>535</v>
      </c>
      <c r="I1262" s="630"/>
      <c r="J1262" s="630"/>
      <c r="K1262" s="630"/>
      <c r="L1262" s="630"/>
      <c r="M1262" s="630"/>
      <c r="N1262" s="630"/>
      <c r="O1262" s="630"/>
      <c r="P1262" s="630"/>
      <c r="Q1262" s="630"/>
      <c r="R1262" s="630"/>
      <c r="S1262" s="630" t="s">
        <v>624</v>
      </c>
      <c r="T1262" s="630" t="s">
        <v>625</v>
      </c>
      <c r="U1262" s="630" t="s">
        <v>538</v>
      </c>
      <c r="V1262" s="630">
        <v>2</v>
      </c>
      <c r="W1262" s="630" t="s">
        <v>582</v>
      </c>
      <c r="X1262" s="630" t="s">
        <v>554</v>
      </c>
      <c r="Y1262" s="630" t="s">
        <v>554</v>
      </c>
      <c r="Z1262" s="630">
        <v>0.34241199999999999</v>
      </c>
      <c r="AA1262" s="630">
        <v>0.55105999999999999</v>
      </c>
      <c r="AB1262" s="631">
        <v>0</v>
      </c>
      <c r="AC1262" s="631">
        <v>0</v>
      </c>
      <c r="AD1262" s="631">
        <f t="shared" si="19"/>
        <v>0</v>
      </c>
    </row>
    <row r="1263" spans="2:30" x14ac:dyDescent="0.15">
      <c r="B1263" s="630">
        <v>17031004290</v>
      </c>
      <c r="C1263" s="630">
        <v>17031000813</v>
      </c>
      <c r="D1263" s="630">
        <v>17031000866</v>
      </c>
      <c r="E1263" s="630" t="s">
        <v>533</v>
      </c>
      <c r="F1263" s="630" t="s">
        <v>534</v>
      </c>
      <c r="G1263" s="630" t="s">
        <v>365</v>
      </c>
      <c r="H1263" s="630" t="s">
        <v>571</v>
      </c>
      <c r="I1263" s="630"/>
      <c r="J1263" s="630" t="s">
        <v>381</v>
      </c>
      <c r="K1263" s="630" t="s">
        <v>535</v>
      </c>
      <c r="L1263" s="630" t="s">
        <v>552</v>
      </c>
      <c r="M1263" s="630" t="s">
        <v>551</v>
      </c>
      <c r="N1263" s="630" t="s">
        <v>382</v>
      </c>
      <c r="O1263" s="630" t="s">
        <v>563</v>
      </c>
      <c r="P1263" s="630" t="s">
        <v>543</v>
      </c>
      <c r="Q1263" s="630"/>
      <c r="R1263" s="630"/>
      <c r="S1263" s="630" t="s">
        <v>573</v>
      </c>
      <c r="T1263" s="630"/>
      <c r="U1263" s="630" t="s">
        <v>538</v>
      </c>
      <c r="V1263" s="630">
        <v>2</v>
      </c>
      <c r="W1263" s="630" t="s">
        <v>545</v>
      </c>
      <c r="X1263" s="630" t="s">
        <v>580</v>
      </c>
      <c r="Y1263" s="630" t="s">
        <v>554</v>
      </c>
      <c r="Z1263" s="630">
        <v>1.2698590000000001</v>
      </c>
      <c r="AA1263" s="630">
        <v>2.043644</v>
      </c>
      <c r="AB1263" s="631">
        <v>205144</v>
      </c>
      <c r="AC1263" s="631">
        <v>8606212</v>
      </c>
      <c r="AD1263" s="631">
        <f t="shared" si="19"/>
        <v>10928675.764108</v>
      </c>
    </row>
    <row r="1264" spans="2:30" x14ac:dyDescent="0.15">
      <c r="B1264" s="630">
        <v>17031004882</v>
      </c>
      <c r="C1264" s="630">
        <v>17031001253</v>
      </c>
      <c r="D1264" s="630">
        <v>17031001279</v>
      </c>
      <c r="E1264" s="630" t="s">
        <v>533</v>
      </c>
      <c r="F1264" s="630" t="s">
        <v>534</v>
      </c>
      <c r="G1264" s="630" t="s">
        <v>365</v>
      </c>
      <c r="H1264" s="630" t="s">
        <v>627</v>
      </c>
      <c r="I1264" s="630"/>
      <c r="J1264" s="630" t="s">
        <v>572</v>
      </c>
      <c r="K1264" s="630"/>
      <c r="L1264" s="630"/>
      <c r="M1264" s="630"/>
      <c r="N1264" s="630"/>
      <c r="O1264" s="630"/>
      <c r="P1264" s="630"/>
      <c r="Q1264" s="630"/>
      <c r="R1264" s="630"/>
      <c r="S1264" s="630"/>
      <c r="T1264" s="630"/>
      <c r="U1264" s="630" t="s">
        <v>538</v>
      </c>
      <c r="V1264" s="630">
        <v>2</v>
      </c>
      <c r="W1264" s="630" t="s">
        <v>545</v>
      </c>
      <c r="X1264" s="630" t="s">
        <v>541</v>
      </c>
      <c r="Y1264" s="630" t="s">
        <v>540</v>
      </c>
      <c r="Z1264" s="630">
        <v>1.2500329999999999</v>
      </c>
      <c r="AA1264" s="630">
        <v>2.011736</v>
      </c>
      <c r="AB1264" s="631">
        <v>23086</v>
      </c>
      <c r="AC1264" s="631">
        <v>2039650</v>
      </c>
      <c r="AD1264" s="631">
        <f t="shared" si="19"/>
        <v>2549629.8084499999</v>
      </c>
    </row>
    <row r="1265" spans="2:30" x14ac:dyDescent="0.15">
      <c r="B1265" s="630">
        <v>17197006258</v>
      </c>
      <c r="C1265" s="630">
        <v>17197004510</v>
      </c>
      <c r="D1265" s="630">
        <v>17197004512</v>
      </c>
      <c r="E1265" s="630" t="s">
        <v>533</v>
      </c>
      <c r="F1265" s="630" t="s">
        <v>534</v>
      </c>
      <c r="G1265" s="630" t="s">
        <v>377</v>
      </c>
      <c r="H1265" s="630" t="s">
        <v>381</v>
      </c>
      <c r="I1265" s="630"/>
      <c r="J1265" s="630" t="s">
        <v>382</v>
      </c>
      <c r="K1265" s="630"/>
      <c r="L1265" s="630"/>
      <c r="M1265" s="630"/>
      <c r="N1265" s="630"/>
      <c r="O1265" s="630"/>
      <c r="P1265" s="630"/>
      <c r="Q1265" s="630"/>
      <c r="R1265" s="630"/>
      <c r="S1265" s="630" t="s">
        <v>651</v>
      </c>
      <c r="T1265" s="630"/>
      <c r="U1265" s="630" t="s">
        <v>559</v>
      </c>
      <c r="V1265" s="630">
        <v>1</v>
      </c>
      <c r="W1265" s="630" t="s">
        <v>539</v>
      </c>
      <c r="X1265" s="630" t="s">
        <v>541</v>
      </c>
      <c r="Y1265" s="630" t="s">
        <v>541</v>
      </c>
      <c r="Z1265" s="630">
        <v>0.48671500000000001</v>
      </c>
      <c r="AA1265" s="630">
        <v>0.78329300000000002</v>
      </c>
      <c r="AB1265" s="631">
        <v>686360</v>
      </c>
      <c r="AC1265" s="631">
        <v>10794520</v>
      </c>
      <c r="AD1265" s="631">
        <f t="shared" si="19"/>
        <v>5253854.8018000005</v>
      </c>
    </row>
    <row r="1266" spans="2:30" x14ac:dyDescent="0.15">
      <c r="B1266" s="630">
        <v>17031002159</v>
      </c>
      <c r="C1266" s="630">
        <v>17031004588</v>
      </c>
      <c r="D1266" s="630">
        <v>17031000249</v>
      </c>
      <c r="E1266" s="630" t="s">
        <v>533</v>
      </c>
      <c r="F1266" s="630" t="s">
        <v>534</v>
      </c>
      <c r="G1266" s="630" t="s">
        <v>365</v>
      </c>
      <c r="H1266" s="630" t="s">
        <v>382</v>
      </c>
      <c r="I1266" s="630"/>
      <c r="J1266" s="630" t="s">
        <v>535</v>
      </c>
      <c r="K1266" s="630"/>
      <c r="L1266" s="630"/>
      <c r="M1266" s="630"/>
      <c r="N1266" s="630"/>
      <c r="O1266" s="630"/>
      <c r="P1266" s="630"/>
      <c r="Q1266" s="630"/>
      <c r="R1266" s="630"/>
      <c r="S1266" s="630" t="s">
        <v>586</v>
      </c>
      <c r="T1266" s="630"/>
      <c r="U1266" s="630" t="s">
        <v>538</v>
      </c>
      <c r="V1266" s="630">
        <v>2</v>
      </c>
      <c r="W1266" s="630" t="s">
        <v>582</v>
      </c>
      <c r="X1266" s="630" t="s">
        <v>549</v>
      </c>
      <c r="Y1266" s="630" t="s">
        <v>549</v>
      </c>
      <c r="Z1266" s="630">
        <v>2.0334889999999999</v>
      </c>
      <c r="AA1266" s="630">
        <v>3.2725900000000001</v>
      </c>
      <c r="AB1266" s="631">
        <v>92223</v>
      </c>
      <c r="AC1266" s="631">
        <v>10277729</v>
      </c>
      <c r="AD1266" s="631">
        <f t="shared" si="19"/>
        <v>20899648.866480999</v>
      </c>
    </row>
    <row r="1267" spans="2:30" x14ac:dyDescent="0.15">
      <c r="B1267" s="630">
        <v>17031002178</v>
      </c>
      <c r="C1267" s="630">
        <v>17031001367</v>
      </c>
      <c r="D1267" s="630">
        <v>17031001374</v>
      </c>
      <c r="E1267" s="630" t="s">
        <v>533</v>
      </c>
      <c r="F1267" s="630" t="s">
        <v>534</v>
      </c>
      <c r="G1267" s="630" t="s">
        <v>365</v>
      </c>
      <c r="H1267" s="630" t="s">
        <v>557</v>
      </c>
      <c r="I1267" s="630"/>
      <c r="J1267" s="630" t="s">
        <v>382</v>
      </c>
      <c r="K1267" s="630" t="s">
        <v>552</v>
      </c>
      <c r="L1267" s="630"/>
      <c r="M1267" s="630"/>
      <c r="N1267" s="630"/>
      <c r="O1267" s="630"/>
      <c r="P1267" s="630"/>
      <c r="Q1267" s="630"/>
      <c r="R1267" s="630"/>
      <c r="S1267" s="630"/>
      <c r="T1267" s="630"/>
      <c r="U1267" s="630" t="s">
        <v>538</v>
      </c>
      <c r="V1267" s="630">
        <v>1</v>
      </c>
      <c r="W1267" s="630" t="s">
        <v>560</v>
      </c>
      <c r="X1267" s="630" t="s">
        <v>541</v>
      </c>
      <c r="Y1267" s="630" t="s">
        <v>541</v>
      </c>
      <c r="Z1267" s="630">
        <v>0.176981</v>
      </c>
      <c r="AA1267" s="630">
        <v>0.28482400000000002</v>
      </c>
      <c r="AB1267" s="631">
        <v>0</v>
      </c>
      <c r="AC1267" s="631">
        <v>0</v>
      </c>
      <c r="AD1267" s="631">
        <f t="shared" si="19"/>
        <v>0</v>
      </c>
    </row>
    <row r="1268" spans="2:30" x14ac:dyDescent="0.15">
      <c r="B1268" s="630">
        <v>17031002994</v>
      </c>
      <c r="C1268" s="630">
        <v>17031000478</v>
      </c>
      <c r="D1268" s="630">
        <v>17031004612</v>
      </c>
      <c r="E1268" s="630" t="s">
        <v>533</v>
      </c>
      <c r="F1268" s="630" t="s">
        <v>534</v>
      </c>
      <c r="G1268" s="630" t="s">
        <v>365</v>
      </c>
      <c r="H1268" s="630" t="s">
        <v>382</v>
      </c>
      <c r="I1268" s="630"/>
      <c r="J1268" s="630" t="s">
        <v>547</v>
      </c>
      <c r="K1268" s="630"/>
      <c r="L1268" s="630"/>
      <c r="M1268" s="630"/>
      <c r="N1268" s="630"/>
      <c r="O1268" s="630"/>
      <c r="P1268" s="630"/>
      <c r="Q1268" s="630"/>
      <c r="R1268" s="630"/>
      <c r="S1268" s="630" t="s">
        <v>565</v>
      </c>
      <c r="T1268" s="630"/>
      <c r="U1268" s="630" t="s">
        <v>538</v>
      </c>
      <c r="V1268" s="630">
        <v>2</v>
      </c>
      <c r="W1268" s="630" t="s">
        <v>566</v>
      </c>
      <c r="X1268" s="630" t="s">
        <v>541</v>
      </c>
      <c r="Y1268" s="630" t="s">
        <v>540</v>
      </c>
      <c r="Z1268" s="630">
        <v>0.13519700000000001</v>
      </c>
      <c r="AA1268" s="630">
        <v>0.21757899999999999</v>
      </c>
      <c r="AB1268" s="631">
        <v>0</v>
      </c>
      <c r="AC1268" s="631">
        <v>0</v>
      </c>
      <c r="AD1268" s="631">
        <f t="shared" si="19"/>
        <v>0</v>
      </c>
    </row>
    <row r="1269" spans="2:30" x14ac:dyDescent="0.15">
      <c r="B1269" s="630">
        <v>17031001786</v>
      </c>
      <c r="C1269" s="630">
        <v>17031004509</v>
      </c>
      <c r="D1269" s="630">
        <v>17031004508</v>
      </c>
      <c r="E1269" s="630" t="s">
        <v>533</v>
      </c>
      <c r="F1269" s="630" t="s">
        <v>534</v>
      </c>
      <c r="G1269" s="630" t="s">
        <v>365</v>
      </c>
      <c r="H1269" s="630" t="s">
        <v>535</v>
      </c>
      <c r="I1269" s="630"/>
      <c r="J1269" s="630" t="s">
        <v>552</v>
      </c>
      <c r="K1269" s="630"/>
      <c r="L1269" s="630"/>
      <c r="M1269" s="630"/>
      <c r="N1269" s="630"/>
      <c r="O1269" s="630"/>
      <c r="P1269" s="630"/>
      <c r="Q1269" s="630"/>
      <c r="R1269" s="630"/>
      <c r="S1269" s="630" t="s">
        <v>553</v>
      </c>
      <c r="T1269" s="630"/>
      <c r="U1269" s="630" t="s">
        <v>538</v>
      </c>
      <c r="V1269" s="630">
        <v>1</v>
      </c>
      <c r="W1269" s="630" t="s">
        <v>545</v>
      </c>
      <c r="X1269" s="630" t="s">
        <v>546</v>
      </c>
      <c r="Y1269" s="630" t="s">
        <v>554</v>
      </c>
      <c r="Z1269" s="630">
        <v>0.65259500000000004</v>
      </c>
      <c r="AA1269" s="630">
        <v>1.050252</v>
      </c>
      <c r="AB1269" s="631">
        <v>687833</v>
      </c>
      <c r="AC1269" s="631">
        <v>26696307</v>
      </c>
      <c r="AD1269" s="631">
        <f t="shared" si="19"/>
        <v>17421876.466665</v>
      </c>
    </row>
    <row r="1270" spans="2:30" x14ac:dyDescent="0.15">
      <c r="B1270" s="630">
        <v>17097001932</v>
      </c>
      <c r="C1270" s="630">
        <v>17097004569</v>
      </c>
      <c r="D1270" s="630">
        <v>17097004568</v>
      </c>
      <c r="E1270" s="630" t="s">
        <v>533</v>
      </c>
      <c r="F1270" s="630" t="s">
        <v>534</v>
      </c>
      <c r="G1270" s="630" t="s">
        <v>373</v>
      </c>
      <c r="H1270" s="630" t="s">
        <v>382</v>
      </c>
      <c r="I1270" s="630"/>
      <c r="J1270" s="630" t="s">
        <v>547</v>
      </c>
      <c r="K1270" s="630"/>
      <c r="L1270" s="630"/>
      <c r="M1270" s="630"/>
      <c r="N1270" s="630"/>
      <c r="O1270" s="630"/>
      <c r="P1270" s="630"/>
      <c r="Q1270" s="630"/>
      <c r="R1270" s="630"/>
      <c r="S1270" s="630" t="s">
        <v>565</v>
      </c>
      <c r="T1270" s="630"/>
      <c r="U1270" s="630" t="s">
        <v>538</v>
      </c>
      <c r="V1270" s="630">
        <v>2</v>
      </c>
      <c r="W1270" s="630" t="s">
        <v>566</v>
      </c>
      <c r="X1270" s="630" t="s">
        <v>541</v>
      </c>
      <c r="Y1270" s="630" t="s">
        <v>549</v>
      </c>
      <c r="Z1270" s="630">
        <v>2.6220970000000001</v>
      </c>
      <c r="AA1270" s="630">
        <v>4.2198640000000003</v>
      </c>
      <c r="AB1270" s="631">
        <v>0</v>
      </c>
      <c r="AC1270" s="631">
        <v>0</v>
      </c>
      <c r="AD1270" s="631">
        <f t="shared" si="19"/>
        <v>0</v>
      </c>
    </row>
    <row r="1271" spans="2:30" x14ac:dyDescent="0.15">
      <c r="B1271" s="630">
        <v>17097003499</v>
      </c>
      <c r="C1271" s="630">
        <v>17999019034</v>
      </c>
      <c r="D1271" s="630">
        <v>17097000238</v>
      </c>
      <c r="E1271" s="630" t="s">
        <v>533</v>
      </c>
      <c r="F1271" s="630" t="s">
        <v>534</v>
      </c>
      <c r="G1271" s="630" t="s">
        <v>373</v>
      </c>
      <c r="H1271" s="630" t="s">
        <v>535</v>
      </c>
      <c r="I1271" s="630"/>
      <c r="J1271" s="630" t="s">
        <v>382</v>
      </c>
      <c r="K1271" s="630" t="s">
        <v>536</v>
      </c>
      <c r="L1271" s="630"/>
      <c r="M1271" s="630"/>
      <c r="N1271" s="630"/>
      <c r="O1271" s="630"/>
      <c r="P1271" s="630"/>
      <c r="Q1271" s="630"/>
      <c r="R1271" s="630"/>
      <c r="S1271" s="630" t="s">
        <v>550</v>
      </c>
      <c r="T1271" s="630"/>
      <c r="U1271" s="630" t="s">
        <v>538</v>
      </c>
      <c r="V1271" s="630">
        <v>1</v>
      </c>
      <c r="W1271" s="630" t="s">
        <v>545</v>
      </c>
      <c r="X1271" s="630" t="s">
        <v>540</v>
      </c>
      <c r="Y1271" s="630" t="s">
        <v>549</v>
      </c>
      <c r="Z1271" s="630">
        <v>0.14211599999999999</v>
      </c>
      <c r="AA1271" s="630">
        <v>0.228714</v>
      </c>
      <c r="AB1271" s="631">
        <v>36888</v>
      </c>
      <c r="AC1271" s="631">
        <v>3477706</v>
      </c>
      <c r="AD1271" s="631">
        <f t="shared" si="19"/>
        <v>494237.66589599999</v>
      </c>
    </row>
    <row r="1272" spans="2:30" x14ac:dyDescent="0.15">
      <c r="B1272" s="630">
        <v>17031003935</v>
      </c>
      <c r="C1272" s="630">
        <v>17031000644</v>
      </c>
      <c r="D1272" s="630">
        <v>17031000615</v>
      </c>
      <c r="E1272" s="630" t="s">
        <v>533</v>
      </c>
      <c r="F1272" s="630" t="s">
        <v>534</v>
      </c>
      <c r="G1272" s="630" t="s">
        <v>365</v>
      </c>
      <c r="H1272" s="630" t="s">
        <v>547</v>
      </c>
      <c r="I1272" s="630"/>
      <c r="J1272" s="630" t="s">
        <v>627</v>
      </c>
      <c r="K1272" s="630"/>
      <c r="L1272" s="630"/>
      <c r="M1272" s="630"/>
      <c r="N1272" s="630"/>
      <c r="O1272" s="630"/>
      <c r="P1272" s="630"/>
      <c r="Q1272" s="630"/>
      <c r="R1272" s="630"/>
      <c r="S1272" s="630"/>
      <c r="T1272" s="630"/>
      <c r="U1272" s="630" t="s">
        <v>538</v>
      </c>
      <c r="V1272" s="630">
        <v>4</v>
      </c>
      <c r="W1272" s="630" t="s">
        <v>545</v>
      </c>
      <c r="X1272" s="630" t="s">
        <v>541</v>
      </c>
      <c r="Y1272" s="630" t="s">
        <v>554</v>
      </c>
      <c r="Z1272" s="630">
        <v>0.451104</v>
      </c>
      <c r="AA1272" s="630">
        <v>0.72598300000000004</v>
      </c>
      <c r="AB1272" s="631">
        <v>0</v>
      </c>
      <c r="AC1272" s="631">
        <v>0</v>
      </c>
      <c r="AD1272" s="631">
        <f t="shared" si="19"/>
        <v>0</v>
      </c>
    </row>
    <row r="1273" spans="2:30" x14ac:dyDescent="0.15">
      <c r="B1273" s="630">
        <v>17043003500</v>
      </c>
      <c r="C1273" s="630">
        <v>17043000391</v>
      </c>
      <c r="D1273" s="630">
        <v>17999019985</v>
      </c>
      <c r="E1273" s="630" t="s">
        <v>533</v>
      </c>
      <c r="F1273" s="630" t="s">
        <v>534</v>
      </c>
      <c r="G1273" s="630" t="s">
        <v>367</v>
      </c>
      <c r="H1273" s="630" t="s">
        <v>535</v>
      </c>
      <c r="I1273" s="630"/>
      <c r="J1273" s="630" t="s">
        <v>382</v>
      </c>
      <c r="K1273" s="630" t="s">
        <v>536</v>
      </c>
      <c r="L1273" s="630"/>
      <c r="M1273" s="630"/>
      <c r="N1273" s="630"/>
      <c r="O1273" s="630"/>
      <c r="P1273" s="630"/>
      <c r="Q1273" s="630"/>
      <c r="R1273" s="630"/>
      <c r="S1273" s="630" t="s">
        <v>550</v>
      </c>
      <c r="T1273" s="630"/>
      <c r="U1273" s="630" t="s">
        <v>538</v>
      </c>
      <c r="V1273" s="630">
        <v>1</v>
      </c>
      <c r="W1273" s="630" t="s">
        <v>545</v>
      </c>
      <c r="X1273" s="630" t="s">
        <v>540</v>
      </c>
      <c r="Y1273" s="630" t="s">
        <v>549</v>
      </c>
      <c r="Z1273" s="630">
        <v>0.94401000000000002</v>
      </c>
      <c r="AA1273" s="630">
        <v>1.5192399999999999</v>
      </c>
      <c r="AB1273" s="631">
        <v>36212</v>
      </c>
      <c r="AC1273" s="631">
        <v>3416314</v>
      </c>
      <c r="AD1273" s="631">
        <f t="shared" si="19"/>
        <v>3225034.57914</v>
      </c>
    </row>
    <row r="1274" spans="2:30" x14ac:dyDescent="0.15">
      <c r="B1274" s="630">
        <v>17089002027</v>
      </c>
      <c r="C1274" s="630">
        <v>17999019390</v>
      </c>
      <c r="D1274" s="630">
        <v>17089004855</v>
      </c>
      <c r="E1274" s="630" t="s">
        <v>533</v>
      </c>
      <c r="F1274" s="630" t="s">
        <v>534</v>
      </c>
      <c r="G1274" s="630" t="s">
        <v>369</v>
      </c>
      <c r="H1274" s="630" t="s">
        <v>552</v>
      </c>
      <c r="I1274" s="630"/>
      <c r="J1274" s="630"/>
      <c r="K1274" s="630"/>
      <c r="L1274" s="630"/>
      <c r="M1274" s="630"/>
      <c r="N1274" s="630"/>
      <c r="O1274" s="630"/>
      <c r="P1274" s="630"/>
      <c r="Q1274" s="630"/>
      <c r="R1274" s="630"/>
      <c r="S1274" s="630" t="s">
        <v>607</v>
      </c>
      <c r="T1274" s="630"/>
      <c r="U1274" s="630" t="s">
        <v>538</v>
      </c>
      <c r="V1274" s="630">
        <v>1</v>
      </c>
      <c r="W1274" s="630" t="s">
        <v>582</v>
      </c>
      <c r="X1274" s="630" t="s">
        <v>540</v>
      </c>
      <c r="Y1274" s="630" t="s">
        <v>540</v>
      </c>
      <c r="Z1274" s="630">
        <v>2.9751300000000001</v>
      </c>
      <c r="AA1274" s="630">
        <v>4.7880180000000001</v>
      </c>
      <c r="AB1274" s="631">
        <v>73743</v>
      </c>
      <c r="AC1274" s="631">
        <v>7724424</v>
      </c>
      <c r="AD1274" s="631">
        <f t="shared" si="19"/>
        <v>22981165.575120002</v>
      </c>
    </row>
    <row r="1275" spans="2:30" x14ac:dyDescent="0.15">
      <c r="B1275" s="630">
        <v>17089002035</v>
      </c>
      <c r="C1275" s="630">
        <v>17089004852</v>
      </c>
      <c r="D1275" s="630">
        <v>17089004853</v>
      </c>
      <c r="E1275" s="630" t="s">
        <v>533</v>
      </c>
      <c r="F1275" s="630" t="s">
        <v>534</v>
      </c>
      <c r="G1275" s="630" t="s">
        <v>369</v>
      </c>
      <c r="H1275" s="630" t="s">
        <v>552</v>
      </c>
      <c r="I1275" s="630"/>
      <c r="J1275" s="630" t="s">
        <v>547</v>
      </c>
      <c r="K1275" s="630"/>
      <c r="L1275" s="630"/>
      <c r="M1275" s="630"/>
      <c r="N1275" s="630"/>
      <c r="O1275" s="630"/>
      <c r="P1275" s="630"/>
      <c r="Q1275" s="630"/>
      <c r="R1275" s="630"/>
      <c r="S1275" s="630" t="s">
        <v>589</v>
      </c>
      <c r="T1275" s="630"/>
      <c r="U1275" s="630" t="s">
        <v>538</v>
      </c>
      <c r="V1275" s="630">
        <v>2</v>
      </c>
      <c r="W1275" s="630" t="s">
        <v>545</v>
      </c>
      <c r="X1275" s="630" t="s">
        <v>540</v>
      </c>
      <c r="Y1275" s="630" t="s">
        <v>549</v>
      </c>
      <c r="Z1275" s="630">
        <v>0.39046799999999998</v>
      </c>
      <c r="AA1275" s="630">
        <v>0.62839800000000001</v>
      </c>
      <c r="AB1275" s="631">
        <v>73903</v>
      </c>
      <c r="AC1275" s="631">
        <v>7739424</v>
      </c>
      <c r="AD1275" s="631">
        <f t="shared" si="19"/>
        <v>3021997.4104319997</v>
      </c>
    </row>
    <row r="1276" spans="2:30" x14ac:dyDescent="0.15">
      <c r="B1276" s="630">
        <v>17197002051</v>
      </c>
      <c r="C1276" s="630">
        <v>17999025833</v>
      </c>
      <c r="D1276" s="630">
        <v>17197007380</v>
      </c>
      <c r="E1276" s="630" t="s">
        <v>533</v>
      </c>
      <c r="F1276" s="630" t="s">
        <v>534</v>
      </c>
      <c r="G1276" s="630" t="s">
        <v>377</v>
      </c>
      <c r="H1276" s="630" t="s">
        <v>382</v>
      </c>
      <c r="I1276" s="630"/>
      <c r="J1276" s="630" t="s">
        <v>551</v>
      </c>
      <c r="K1276" s="630" t="s">
        <v>555</v>
      </c>
      <c r="L1276" s="630"/>
      <c r="M1276" s="630"/>
      <c r="N1276" s="630"/>
      <c r="O1276" s="630"/>
      <c r="P1276" s="630"/>
      <c r="Q1276" s="630"/>
      <c r="R1276" s="630"/>
      <c r="S1276" s="630" t="s">
        <v>556</v>
      </c>
      <c r="T1276" s="630"/>
      <c r="U1276" s="630" t="s">
        <v>538</v>
      </c>
      <c r="V1276" s="630">
        <v>2</v>
      </c>
      <c r="W1276" s="630" t="s">
        <v>582</v>
      </c>
      <c r="X1276" s="630" t="s">
        <v>580</v>
      </c>
      <c r="Y1276" s="630" t="s">
        <v>549</v>
      </c>
      <c r="Z1276" s="630">
        <v>3.636355</v>
      </c>
      <c r="AA1276" s="630">
        <v>5.8521580000000002</v>
      </c>
      <c r="AB1276" s="631">
        <v>865530</v>
      </c>
      <c r="AC1276" s="631">
        <v>33874541</v>
      </c>
      <c r="AD1276" s="631">
        <f t="shared" si="19"/>
        <v>123179856.538055</v>
      </c>
    </row>
    <row r="1277" spans="2:30" x14ac:dyDescent="0.15">
      <c r="B1277" s="630">
        <v>17097002108</v>
      </c>
      <c r="C1277" s="630">
        <v>17097007513</v>
      </c>
      <c r="D1277" s="630">
        <v>17097004558</v>
      </c>
      <c r="E1277" s="630" t="s">
        <v>533</v>
      </c>
      <c r="F1277" s="630" t="s">
        <v>534</v>
      </c>
      <c r="G1277" s="630" t="s">
        <v>373</v>
      </c>
      <c r="H1277" s="630" t="s">
        <v>535</v>
      </c>
      <c r="I1277" s="630"/>
      <c r="J1277" s="630" t="s">
        <v>547</v>
      </c>
      <c r="K1277" s="630"/>
      <c r="L1277" s="630"/>
      <c r="M1277" s="630"/>
      <c r="N1277" s="630"/>
      <c r="O1277" s="630"/>
      <c r="P1277" s="630"/>
      <c r="Q1277" s="630"/>
      <c r="R1277" s="630"/>
      <c r="S1277" s="630" t="s">
        <v>548</v>
      </c>
      <c r="T1277" s="630"/>
      <c r="U1277" s="630" t="s">
        <v>538</v>
      </c>
      <c r="V1277" s="630">
        <v>2</v>
      </c>
      <c r="W1277" s="630" t="s">
        <v>545</v>
      </c>
      <c r="X1277" s="630" t="s">
        <v>546</v>
      </c>
      <c r="Y1277" s="630" t="s">
        <v>549</v>
      </c>
      <c r="Z1277" s="630">
        <v>0.97986700000000004</v>
      </c>
      <c r="AA1277" s="630">
        <v>1.5769470000000001</v>
      </c>
      <c r="AB1277" s="631">
        <v>775806</v>
      </c>
      <c r="AC1277" s="631">
        <v>36495445</v>
      </c>
      <c r="AD1277" s="631">
        <f t="shared" si="19"/>
        <v>35760682.205815002</v>
      </c>
    </row>
    <row r="1278" spans="2:30" x14ac:dyDescent="0.15">
      <c r="B1278" s="630">
        <v>17031002237</v>
      </c>
      <c r="C1278" s="630">
        <v>17031000436</v>
      </c>
      <c r="D1278" s="630">
        <v>17031000434</v>
      </c>
      <c r="E1278" s="630" t="s">
        <v>533</v>
      </c>
      <c r="F1278" s="630" t="s">
        <v>534</v>
      </c>
      <c r="G1278" s="630" t="s">
        <v>365</v>
      </c>
      <c r="H1278" s="630" t="s">
        <v>552</v>
      </c>
      <c r="I1278" s="630"/>
      <c r="J1278" s="630" t="s">
        <v>551</v>
      </c>
      <c r="K1278" s="630" t="s">
        <v>547</v>
      </c>
      <c r="L1278" s="630" t="s">
        <v>382</v>
      </c>
      <c r="M1278" s="630" t="s">
        <v>563</v>
      </c>
      <c r="N1278" s="630"/>
      <c r="O1278" s="630"/>
      <c r="P1278" s="630"/>
      <c r="Q1278" s="630"/>
      <c r="R1278" s="630"/>
      <c r="S1278" s="630" t="s">
        <v>589</v>
      </c>
      <c r="T1278" s="630"/>
      <c r="U1278" s="630" t="s">
        <v>538</v>
      </c>
      <c r="V1278" s="630">
        <v>3</v>
      </c>
      <c r="W1278" s="630" t="s">
        <v>545</v>
      </c>
      <c r="X1278" s="630" t="s">
        <v>549</v>
      </c>
      <c r="Y1278" s="630" t="s">
        <v>549</v>
      </c>
      <c r="Z1278" s="630">
        <v>0.52212000000000003</v>
      </c>
      <c r="AA1278" s="630">
        <v>0.84027200000000002</v>
      </c>
      <c r="AB1278" s="631">
        <v>258834</v>
      </c>
      <c r="AC1278" s="631">
        <v>19924360</v>
      </c>
      <c r="AD1278" s="631">
        <f t="shared" si="19"/>
        <v>10402906.8432</v>
      </c>
    </row>
    <row r="1279" spans="2:30" x14ac:dyDescent="0.15">
      <c r="B1279" s="630">
        <v>17043002347</v>
      </c>
      <c r="C1279" s="630">
        <v>17043000522</v>
      </c>
      <c r="D1279" s="630">
        <v>17999020579</v>
      </c>
      <c r="E1279" s="630" t="s">
        <v>533</v>
      </c>
      <c r="F1279" s="630" t="s">
        <v>534</v>
      </c>
      <c r="G1279" s="630" t="s">
        <v>367</v>
      </c>
      <c r="H1279" s="630" t="s">
        <v>382</v>
      </c>
      <c r="I1279" s="630"/>
      <c r="J1279" s="630"/>
      <c r="K1279" s="630"/>
      <c r="L1279" s="630"/>
      <c r="M1279" s="630"/>
      <c r="N1279" s="630"/>
      <c r="O1279" s="630"/>
      <c r="P1279" s="630"/>
      <c r="Q1279" s="630"/>
      <c r="R1279" s="630"/>
      <c r="S1279" s="630" t="s">
        <v>586</v>
      </c>
      <c r="T1279" s="630"/>
      <c r="U1279" s="630" t="s">
        <v>538</v>
      </c>
      <c r="V1279" s="630">
        <v>2</v>
      </c>
      <c r="W1279" s="630" t="s">
        <v>582</v>
      </c>
      <c r="X1279" s="630" t="s">
        <v>540</v>
      </c>
      <c r="Y1279" s="630" t="s">
        <v>554</v>
      </c>
      <c r="Z1279" s="630">
        <v>0.254359</v>
      </c>
      <c r="AA1279" s="630">
        <v>0.40935199999999999</v>
      </c>
      <c r="AB1279" s="631">
        <v>94962</v>
      </c>
      <c r="AC1279" s="631">
        <v>10396324</v>
      </c>
      <c r="AD1279" s="631">
        <f t="shared" si="19"/>
        <v>2644398.576316</v>
      </c>
    </row>
    <row r="1280" spans="2:30" x14ac:dyDescent="0.15">
      <c r="B1280" s="630">
        <v>17197002417</v>
      </c>
      <c r="C1280" s="630">
        <v>17197001466</v>
      </c>
      <c r="D1280" s="630">
        <v>17197001461</v>
      </c>
      <c r="E1280" s="630" t="s">
        <v>533</v>
      </c>
      <c r="F1280" s="630" t="s">
        <v>534</v>
      </c>
      <c r="G1280" s="630" t="s">
        <v>377</v>
      </c>
      <c r="H1280" s="630" t="s">
        <v>535</v>
      </c>
      <c r="I1280" s="630"/>
      <c r="J1280" s="630" t="s">
        <v>382</v>
      </c>
      <c r="K1280" s="630" t="s">
        <v>536</v>
      </c>
      <c r="L1280" s="630"/>
      <c r="M1280" s="630"/>
      <c r="N1280" s="630"/>
      <c r="O1280" s="630"/>
      <c r="P1280" s="630"/>
      <c r="Q1280" s="630"/>
      <c r="R1280" s="630"/>
      <c r="S1280" s="630" t="s">
        <v>537</v>
      </c>
      <c r="T1280" s="630"/>
      <c r="U1280" s="630" t="s">
        <v>538</v>
      </c>
      <c r="V1280" s="630">
        <v>2</v>
      </c>
      <c r="W1280" s="630" t="s">
        <v>539</v>
      </c>
      <c r="X1280" s="630" t="s">
        <v>540</v>
      </c>
      <c r="Y1280" s="630" t="s">
        <v>541</v>
      </c>
      <c r="Z1280" s="630">
        <v>0.70442199999999999</v>
      </c>
      <c r="AA1280" s="630">
        <v>1.1336599999999999</v>
      </c>
      <c r="AB1280" s="631">
        <v>29771</v>
      </c>
      <c r="AC1280" s="631">
        <v>2724194</v>
      </c>
      <c r="AD1280" s="631">
        <f t="shared" si="19"/>
        <v>1918982.1858679999</v>
      </c>
    </row>
    <row r="1281" spans="2:30" x14ac:dyDescent="0.15">
      <c r="B1281" s="630">
        <v>17197003290</v>
      </c>
      <c r="C1281" s="630">
        <v>17197001706</v>
      </c>
      <c r="D1281" s="630">
        <v>17197001638</v>
      </c>
      <c r="E1281" s="630" t="s">
        <v>533</v>
      </c>
      <c r="F1281" s="630" t="s">
        <v>534</v>
      </c>
      <c r="G1281" s="630" t="s">
        <v>377</v>
      </c>
      <c r="H1281" s="630" t="s">
        <v>382</v>
      </c>
      <c r="I1281" s="630"/>
      <c r="J1281" s="630" t="s">
        <v>551</v>
      </c>
      <c r="K1281" s="630" t="s">
        <v>555</v>
      </c>
      <c r="L1281" s="630"/>
      <c r="M1281" s="630"/>
      <c r="N1281" s="630"/>
      <c r="O1281" s="630"/>
      <c r="P1281" s="630"/>
      <c r="Q1281" s="630"/>
      <c r="R1281" s="630"/>
      <c r="S1281" s="630" t="s">
        <v>556</v>
      </c>
      <c r="T1281" s="630"/>
      <c r="U1281" s="630" t="s">
        <v>538</v>
      </c>
      <c r="V1281" s="630">
        <v>2</v>
      </c>
      <c r="W1281" s="630" t="s">
        <v>545</v>
      </c>
      <c r="X1281" s="630" t="s">
        <v>580</v>
      </c>
      <c r="Y1281" s="630" t="s">
        <v>549</v>
      </c>
      <c r="Z1281" s="630">
        <v>1.659875</v>
      </c>
      <c r="AA1281" s="630">
        <v>2.6713149999999999</v>
      </c>
      <c r="AB1281" s="631">
        <v>865530</v>
      </c>
      <c r="AC1281" s="631">
        <v>33874541</v>
      </c>
      <c r="AD1281" s="631">
        <f t="shared" si="19"/>
        <v>56227503.742375001</v>
      </c>
    </row>
    <row r="1282" spans="2:30" x14ac:dyDescent="0.15">
      <c r="B1282" s="630">
        <v>17031003623</v>
      </c>
      <c r="C1282" s="630">
        <v>17031000920</v>
      </c>
      <c r="D1282" s="630">
        <v>17031000907</v>
      </c>
      <c r="E1282" s="630" t="s">
        <v>533</v>
      </c>
      <c r="F1282" s="630" t="s">
        <v>534</v>
      </c>
      <c r="G1282" s="630" t="s">
        <v>365</v>
      </c>
      <c r="H1282" s="630" t="s">
        <v>547</v>
      </c>
      <c r="I1282" s="630"/>
      <c r="J1282" s="630" t="s">
        <v>577</v>
      </c>
      <c r="K1282" s="630"/>
      <c r="L1282" s="630"/>
      <c r="M1282" s="630"/>
      <c r="N1282" s="630"/>
      <c r="O1282" s="630"/>
      <c r="P1282" s="630"/>
      <c r="Q1282" s="630"/>
      <c r="R1282" s="630"/>
      <c r="S1282" s="630" t="s">
        <v>581</v>
      </c>
      <c r="T1282" s="630"/>
      <c r="U1282" s="630" t="s">
        <v>538</v>
      </c>
      <c r="V1282" s="630">
        <v>2</v>
      </c>
      <c r="W1282" s="630" t="s">
        <v>582</v>
      </c>
      <c r="X1282" s="630" t="s">
        <v>541</v>
      </c>
      <c r="Y1282" s="630" t="s">
        <v>540</v>
      </c>
      <c r="Z1282" s="630">
        <v>0.54191900000000004</v>
      </c>
      <c r="AA1282" s="630">
        <v>0.87213499999999999</v>
      </c>
      <c r="AB1282" s="631">
        <v>0</v>
      </c>
      <c r="AC1282" s="631">
        <v>0</v>
      </c>
      <c r="AD1282" s="631">
        <f t="shared" si="19"/>
        <v>0</v>
      </c>
    </row>
    <row r="1283" spans="2:30" x14ac:dyDescent="0.15">
      <c r="B1283" s="630">
        <v>17031003837</v>
      </c>
      <c r="C1283" s="630">
        <v>17031000793</v>
      </c>
      <c r="D1283" s="630">
        <v>17031000800</v>
      </c>
      <c r="E1283" s="630" t="s">
        <v>533</v>
      </c>
      <c r="F1283" s="630" t="s">
        <v>534</v>
      </c>
      <c r="G1283" s="630" t="s">
        <v>365</v>
      </c>
      <c r="H1283" s="630" t="s">
        <v>543</v>
      </c>
      <c r="I1283" s="630"/>
      <c r="J1283" s="630" t="s">
        <v>382</v>
      </c>
      <c r="K1283" s="630"/>
      <c r="L1283" s="630"/>
      <c r="M1283" s="630"/>
      <c r="N1283" s="630"/>
      <c r="O1283" s="630"/>
      <c r="P1283" s="630"/>
      <c r="Q1283" s="630"/>
      <c r="R1283" s="630"/>
      <c r="S1283" s="630" t="s">
        <v>639</v>
      </c>
      <c r="T1283" s="630"/>
      <c r="U1283" s="630" t="s">
        <v>538</v>
      </c>
      <c r="V1283" s="630">
        <v>2</v>
      </c>
      <c r="W1283" s="630" t="s">
        <v>560</v>
      </c>
      <c r="X1283" s="630" t="s">
        <v>549</v>
      </c>
      <c r="Y1283" s="630" t="s">
        <v>541</v>
      </c>
      <c r="Z1283" s="630">
        <v>0.58913199999999999</v>
      </c>
      <c r="AA1283" s="630">
        <v>0.94811800000000002</v>
      </c>
      <c r="AB1283" s="631">
        <v>2734673</v>
      </c>
      <c r="AC1283" s="631">
        <v>73793319</v>
      </c>
      <c r="AD1283" s="631">
        <f t="shared" si="19"/>
        <v>43474005.609108001</v>
      </c>
    </row>
    <row r="1284" spans="2:30" x14ac:dyDescent="0.15">
      <c r="B1284" s="630">
        <v>17031005679</v>
      </c>
      <c r="C1284" s="630">
        <v>17031004745</v>
      </c>
      <c r="D1284" s="630">
        <v>17031001391</v>
      </c>
      <c r="E1284" s="630" t="s">
        <v>533</v>
      </c>
      <c r="F1284" s="630" t="s">
        <v>534</v>
      </c>
      <c r="G1284" s="630" t="s">
        <v>365</v>
      </c>
      <c r="H1284" s="630" t="s">
        <v>557</v>
      </c>
      <c r="I1284" s="630"/>
      <c r="J1284" s="630" t="s">
        <v>569</v>
      </c>
      <c r="K1284" s="630" t="s">
        <v>551</v>
      </c>
      <c r="L1284" s="630" t="s">
        <v>543</v>
      </c>
      <c r="M1284" s="630" t="s">
        <v>552</v>
      </c>
      <c r="N1284" s="630"/>
      <c r="O1284" s="630"/>
      <c r="P1284" s="630"/>
      <c r="Q1284" s="630"/>
      <c r="R1284" s="630"/>
      <c r="S1284" s="630" t="s">
        <v>570</v>
      </c>
      <c r="T1284" s="630"/>
      <c r="U1284" s="630" t="s">
        <v>538</v>
      </c>
      <c r="V1284" s="630">
        <v>2</v>
      </c>
      <c r="W1284" s="630" t="s">
        <v>545</v>
      </c>
      <c r="X1284" s="630" t="s">
        <v>540</v>
      </c>
      <c r="Y1284" s="630" t="s">
        <v>540</v>
      </c>
      <c r="Z1284" s="630">
        <v>2.8323239999999998</v>
      </c>
      <c r="AA1284" s="630">
        <v>4.5581930000000002</v>
      </c>
      <c r="AB1284" s="631">
        <v>17404</v>
      </c>
      <c r="AC1284" s="631">
        <v>1437964</v>
      </c>
      <c r="AD1284" s="631">
        <f t="shared" si="19"/>
        <v>4072779.9483359996</v>
      </c>
    </row>
    <row r="1285" spans="2:30" x14ac:dyDescent="0.15">
      <c r="B1285" s="630">
        <v>17043009105</v>
      </c>
      <c r="C1285" s="630">
        <v>17043007311</v>
      </c>
      <c r="D1285" s="630">
        <v>17043007313</v>
      </c>
      <c r="E1285" s="630" t="s">
        <v>533</v>
      </c>
      <c r="F1285" s="630" t="s">
        <v>534</v>
      </c>
      <c r="G1285" s="630" t="s">
        <v>367</v>
      </c>
      <c r="H1285" s="630" t="s">
        <v>535</v>
      </c>
      <c r="I1285" s="630"/>
      <c r="J1285" s="630"/>
      <c r="K1285" s="630"/>
      <c r="L1285" s="630"/>
      <c r="M1285" s="630"/>
      <c r="N1285" s="630"/>
      <c r="O1285" s="630"/>
      <c r="P1285" s="630"/>
      <c r="Q1285" s="630"/>
      <c r="R1285" s="630"/>
      <c r="S1285" s="630" t="s">
        <v>624</v>
      </c>
      <c r="T1285" s="630"/>
      <c r="U1285" s="630" t="s">
        <v>538</v>
      </c>
      <c r="V1285" s="630">
        <v>1</v>
      </c>
      <c r="W1285" s="630" t="s">
        <v>582</v>
      </c>
      <c r="X1285" s="630" t="s">
        <v>554</v>
      </c>
      <c r="Y1285" s="630" t="s">
        <v>540</v>
      </c>
      <c r="Z1285" s="630">
        <v>0.491844</v>
      </c>
      <c r="AA1285" s="630">
        <v>0.79154800000000003</v>
      </c>
      <c r="AB1285" s="631">
        <v>440</v>
      </c>
      <c r="AC1285" s="631">
        <v>36560</v>
      </c>
      <c r="AD1285" s="631">
        <f t="shared" si="19"/>
        <v>17981.816640000001</v>
      </c>
    </row>
    <row r="1286" spans="2:30" x14ac:dyDescent="0.15">
      <c r="B1286" s="630">
        <v>17197009319</v>
      </c>
      <c r="C1286" s="630">
        <v>17197007441</v>
      </c>
      <c r="D1286" s="630">
        <v>17197007439</v>
      </c>
      <c r="E1286" s="630" t="s">
        <v>533</v>
      </c>
      <c r="F1286" s="630" t="s">
        <v>534</v>
      </c>
      <c r="G1286" s="630" t="s">
        <v>377</v>
      </c>
      <c r="H1286" s="630" t="s">
        <v>535</v>
      </c>
      <c r="I1286" s="630"/>
      <c r="J1286" s="630" t="s">
        <v>382</v>
      </c>
      <c r="K1286" s="630" t="s">
        <v>536</v>
      </c>
      <c r="L1286" s="630"/>
      <c r="M1286" s="630"/>
      <c r="N1286" s="630"/>
      <c r="O1286" s="630"/>
      <c r="P1286" s="630"/>
      <c r="Q1286" s="630"/>
      <c r="R1286" s="630"/>
      <c r="S1286" s="630" t="s">
        <v>537</v>
      </c>
      <c r="T1286" s="630"/>
      <c r="U1286" s="630" t="s">
        <v>538</v>
      </c>
      <c r="V1286" s="630">
        <v>2</v>
      </c>
      <c r="W1286" s="630" t="s">
        <v>545</v>
      </c>
      <c r="X1286" s="630" t="s">
        <v>540</v>
      </c>
      <c r="Y1286" s="630" t="s">
        <v>549</v>
      </c>
      <c r="Z1286" s="630">
        <v>0.21437100000000001</v>
      </c>
      <c r="AA1286" s="630">
        <v>0.344997</v>
      </c>
      <c r="AB1286" s="631">
        <v>29251</v>
      </c>
      <c r="AC1286" s="631">
        <v>2680474</v>
      </c>
      <c r="AD1286" s="631">
        <f t="shared" ref="AD1286:AD1349" si="20">AC1286*Z1286</f>
        <v>574615.89185400004</v>
      </c>
    </row>
    <row r="1287" spans="2:30" x14ac:dyDescent="0.15">
      <c r="B1287" s="630">
        <v>17031002127</v>
      </c>
      <c r="C1287" s="630">
        <v>17031004575</v>
      </c>
      <c r="D1287" s="630">
        <v>17031004574</v>
      </c>
      <c r="E1287" s="630" t="s">
        <v>533</v>
      </c>
      <c r="F1287" s="630" t="s">
        <v>534</v>
      </c>
      <c r="G1287" s="630" t="s">
        <v>365</v>
      </c>
      <c r="H1287" s="630" t="s">
        <v>382</v>
      </c>
      <c r="I1287" s="630"/>
      <c r="J1287" s="630" t="s">
        <v>547</v>
      </c>
      <c r="K1287" s="630"/>
      <c r="L1287" s="630"/>
      <c r="M1287" s="630"/>
      <c r="N1287" s="630"/>
      <c r="O1287" s="630"/>
      <c r="P1287" s="630"/>
      <c r="Q1287" s="630"/>
      <c r="R1287" s="630"/>
      <c r="S1287" s="630" t="s">
        <v>565</v>
      </c>
      <c r="T1287" s="630"/>
      <c r="U1287" s="630" t="s">
        <v>538</v>
      </c>
      <c r="V1287" s="630">
        <v>2</v>
      </c>
      <c r="W1287" s="630" t="s">
        <v>566</v>
      </c>
      <c r="X1287" s="630" t="s">
        <v>541</v>
      </c>
      <c r="Y1287" s="630" t="s">
        <v>549</v>
      </c>
      <c r="Z1287" s="630">
        <v>1.3316380000000001</v>
      </c>
      <c r="AA1287" s="630">
        <v>2.1430669999999998</v>
      </c>
      <c r="AB1287" s="631">
        <v>0</v>
      </c>
      <c r="AC1287" s="631">
        <v>0</v>
      </c>
      <c r="AD1287" s="631">
        <f t="shared" si="20"/>
        <v>0</v>
      </c>
    </row>
    <row r="1288" spans="2:30" x14ac:dyDescent="0.15">
      <c r="B1288" s="630">
        <v>17031006413</v>
      </c>
      <c r="C1288" s="630">
        <v>17031004707</v>
      </c>
      <c r="D1288" s="630">
        <v>17031001078</v>
      </c>
      <c r="E1288" s="630" t="s">
        <v>533</v>
      </c>
      <c r="F1288" s="630" t="s">
        <v>534</v>
      </c>
      <c r="G1288" s="630" t="s">
        <v>365</v>
      </c>
      <c r="H1288" s="630" t="s">
        <v>547</v>
      </c>
      <c r="I1288" s="630"/>
      <c r="J1288" s="630" t="s">
        <v>577</v>
      </c>
      <c r="K1288" s="630"/>
      <c r="L1288" s="630"/>
      <c r="M1288" s="630"/>
      <c r="N1288" s="630"/>
      <c r="O1288" s="630"/>
      <c r="P1288" s="630"/>
      <c r="Q1288" s="630"/>
      <c r="R1288" s="630"/>
      <c r="S1288" s="630" t="s">
        <v>581</v>
      </c>
      <c r="T1288" s="630"/>
      <c r="U1288" s="630" t="s">
        <v>538</v>
      </c>
      <c r="V1288" s="630">
        <v>2</v>
      </c>
      <c r="W1288" s="630" t="s">
        <v>582</v>
      </c>
      <c r="X1288" s="630" t="s">
        <v>541</v>
      </c>
      <c r="Y1288" s="630" t="s">
        <v>540</v>
      </c>
      <c r="Z1288" s="630">
        <v>0.48847499999999999</v>
      </c>
      <c r="AA1288" s="630">
        <v>0.78612599999999999</v>
      </c>
      <c r="AB1288" s="631">
        <v>0</v>
      </c>
      <c r="AC1288" s="631">
        <v>0</v>
      </c>
      <c r="AD1288" s="631">
        <f t="shared" si="20"/>
        <v>0</v>
      </c>
    </row>
    <row r="1289" spans="2:30" x14ac:dyDescent="0.15">
      <c r="B1289" s="630">
        <v>17031006513</v>
      </c>
      <c r="C1289" s="630">
        <v>17031001073</v>
      </c>
      <c r="D1289" s="630">
        <v>17031001092</v>
      </c>
      <c r="E1289" s="630" t="s">
        <v>533</v>
      </c>
      <c r="F1289" s="630" t="s">
        <v>534</v>
      </c>
      <c r="G1289" s="630" t="s">
        <v>365</v>
      </c>
      <c r="H1289" s="630" t="s">
        <v>577</v>
      </c>
      <c r="I1289" s="630"/>
      <c r="J1289" s="630"/>
      <c r="K1289" s="630"/>
      <c r="L1289" s="630"/>
      <c r="M1289" s="630"/>
      <c r="N1289" s="630"/>
      <c r="O1289" s="630"/>
      <c r="P1289" s="630"/>
      <c r="Q1289" s="630"/>
      <c r="R1289" s="630"/>
      <c r="S1289" s="630"/>
      <c r="T1289" s="630"/>
      <c r="U1289" s="630" t="s">
        <v>538</v>
      </c>
      <c r="V1289" s="630">
        <v>1</v>
      </c>
      <c r="W1289" s="630" t="s">
        <v>560</v>
      </c>
      <c r="X1289" s="630" t="s">
        <v>541</v>
      </c>
      <c r="Y1289" s="630" t="s">
        <v>541</v>
      </c>
      <c r="Z1289" s="630">
        <v>1.3702000000000001E-2</v>
      </c>
      <c r="AA1289" s="630">
        <v>2.2051999999999999E-2</v>
      </c>
      <c r="AB1289" s="631">
        <v>0</v>
      </c>
      <c r="AC1289" s="631">
        <v>0</v>
      </c>
      <c r="AD1289" s="631">
        <f t="shared" si="20"/>
        <v>0</v>
      </c>
    </row>
    <row r="1290" spans="2:30" x14ac:dyDescent="0.15">
      <c r="B1290" s="630">
        <v>17031003621</v>
      </c>
      <c r="C1290" s="630">
        <v>17031001329</v>
      </c>
      <c r="D1290" s="630">
        <v>17031001325</v>
      </c>
      <c r="E1290" s="630" t="s">
        <v>533</v>
      </c>
      <c r="F1290" s="630" t="s">
        <v>534</v>
      </c>
      <c r="G1290" s="630" t="s">
        <v>365</v>
      </c>
      <c r="H1290" s="630" t="s">
        <v>551</v>
      </c>
      <c r="I1290" s="630"/>
      <c r="J1290" s="630" t="s">
        <v>381</v>
      </c>
      <c r="K1290" s="630" t="s">
        <v>535</v>
      </c>
      <c r="L1290" s="630" t="s">
        <v>552</v>
      </c>
      <c r="M1290" s="630"/>
      <c r="N1290" s="630"/>
      <c r="O1290" s="630"/>
      <c r="P1290" s="630"/>
      <c r="Q1290" s="630"/>
      <c r="R1290" s="630"/>
      <c r="S1290" s="630" t="s">
        <v>603</v>
      </c>
      <c r="T1290" s="630"/>
      <c r="U1290" s="630" t="s">
        <v>538</v>
      </c>
      <c r="V1290" s="630">
        <v>2</v>
      </c>
      <c r="W1290" s="630" t="s">
        <v>545</v>
      </c>
      <c r="X1290" s="630" t="s">
        <v>575</v>
      </c>
      <c r="Y1290" s="630" t="s">
        <v>540</v>
      </c>
      <c r="Z1290" s="630">
        <v>0.24329899999999999</v>
      </c>
      <c r="AA1290" s="630">
        <v>0.39155299999999998</v>
      </c>
      <c r="AB1290" s="631">
        <v>574689</v>
      </c>
      <c r="AC1290" s="631">
        <v>16566438</v>
      </c>
      <c r="AD1290" s="631">
        <f t="shared" si="20"/>
        <v>4030597.7989619998</v>
      </c>
    </row>
    <row r="1291" spans="2:30" x14ac:dyDescent="0.15">
      <c r="B1291" s="630">
        <v>17097003634</v>
      </c>
      <c r="C1291" s="630">
        <v>17097004563</v>
      </c>
      <c r="D1291" s="630">
        <v>99999017020</v>
      </c>
      <c r="E1291" s="630" t="s">
        <v>533</v>
      </c>
      <c r="F1291" s="630" t="s">
        <v>534</v>
      </c>
      <c r="G1291" s="630" t="s">
        <v>373</v>
      </c>
      <c r="H1291" s="630" t="s">
        <v>382</v>
      </c>
      <c r="I1291" s="630"/>
      <c r="J1291" s="630" t="s">
        <v>535</v>
      </c>
      <c r="K1291" s="630" t="s">
        <v>547</v>
      </c>
      <c r="L1291" s="630"/>
      <c r="M1291" s="630"/>
      <c r="N1291" s="630"/>
      <c r="O1291" s="630"/>
      <c r="P1291" s="630"/>
      <c r="Q1291" s="630"/>
      <c r="R1291" s="630"/>
      <c r="S1291" s="630" t="s">
        <v>565</v>
      </c>
      <c r="T1291" s="630"/>
      <c r="U1291" s="630" t="s">
        <v>538</v>
      </c>
      <c r="V1291" s="630">
        <v>2</v>
      </c>
      <c r="W1291" s="630" t="s">
        <v>566</v>
      </c>
      <c r="X1291" s="630" t="s">
        <v>540</v>
      </c>
      <c r="Y1291" s="630" t="s">
        <v>549</v>
      </c>
      <c r="Z1291" s="630">
        <v>0.71955999999999998</v>
      </c>
      <c r="AA1291" s="630">
        <v>1.1580220000000001</v>
      </c>
      <c r="AB1291" s="631">
        <v>3700</v>
      </c>
      <c r="AC1291" s="631">
        <v>348616</v>
      </c>
      <c r="AD1291" s="631">
        <f t="shared" si="20"/>
        <v>250850.12896</v>
      </c>
    </row>
    <row r="1292" spans="2:30" x14ac:dyDescent="0.15">
      <c r="B1292" s="630">
        <v>17031003679</v>
      </c>
      <c r="C1292" s="630">
        <v>17031001340</v>
      </c>
      <c r="D1292" s="630">
        <v>17031001325</v>
      </c>
      <c r="E1292" s="630" t="s">
        <v>533</v>
      </c>
      <c r="F1292" s="630" t="s">
        <v>534</v>
      </c>
      <c r="G1292" s="630" t="s">
        <v>365</v>
      </c>
      <c r="H1292" s="630" t="s">
        <v>551</v>
      </c>
      <c r="I1292" s="630"/>
      <c r="J1292" s="630" t="s">
        <v>381</v>
      </c>
      <c r="K1292" s="630" t="s">
        <v>535</v>
      </c>
      <c r="L1292" s="630" t="s">
        <v>552</v>
      </c>
      <c r="M1292" s="630"/>
      <c r="N1292" s="630"/>
      <c r="O1292" s="630"/>
      <c r="P1292" s="630"/>
      <c r="Q1292" s="630"/>
      <c r="R1292" s="630"/>
      <c r="S1292" s="630" t="s">
        <v>628</v>
      </c>
      <c r="T1292" s="630"/>
      <c r="U1292" s="630" t="s">
        <v>538</v>
      </c>
      <c r="V1292" s="630">
        <v>1</v>
      </c>
      <c r="W1292" s="630" t="s">
        <v>545</v>
      </c>
      <c r="X1292" s="630" t="s">
        <v>541</v>
      </c>
      <c r="Y1292" s="630" t="s">
        <v>541</v>
      </c>
      <c r="Z1292" s="630">
        <v>0.18278</v>
      </c>
      <c r="AA1292" s="630">
        <v>0.294157</v>
      </c>
      <c r="AB1292" s="631">
        <v>6156</v>
      </c>
      <c r="AC1292" s="631">
        <v>527648</v>
      </c>
      <c r="AD1292" s="631">
        <f t="shared" si="20"/>
        <v>96443.501439999993</v>
      </c>
    </row>
    <row r="1293" spans="2:30" x14ac:dyDescent="0.15">
      <c r="B1293" s="630">
        <v>17031003690</v>
      </c>
      <c r="C1293" s="630">
        <v>17031004582</v>
      </c>
      <c r="D1293" s="630">
        <v>17031004581</v>
      </c>
      <c r="E1293" s="630" t="s">
        <v>533</v>
      </c>
      <c r="F1293" s="630" t="s">
        <v>534</v>
      </c>
      <c r="G1293" s="630" t="s">
        <v>365</v>
      </c>
      <c r="H1293" s="630" t="s">
        <v>382</v>
      </c>
      <c r="I1293" s="630"/>
      <c r="J1293" s="630" t="s">
        <v>547</v>
      </c>
      <c r="K1293" s="630"/>
      <c r="L1293" s="630"/>
      <c r="M1293" s="630"/>
      <c r="N1293" s="630"/>
      <c r="O1293" s="630"/>
      <c r="P1293" s="630"/>
      <c r="Q1293" s="630"/>
      <c r="R1293" s="630"/>
      <c r="S1293" s="630" t="s">
        <v>565</v>
      </c>
      <c r="T1293" s="630"/>
      <c r="U1293" s="630" t="s">
        <v>538</v>
      </c>
      <c r="V1293" s="630">
        <v>2</v>
      </c>
      <c r="W1293" s="630" t="s">
        <v>566</v>
      </c>
      <c r="X1293" s="630" t="s">
        <v>541</v>
      </c>
      <c r="Y1293" s="630" t="s">
        <v>549</v>
      </c>
      <c r="Z1293" s="630">
        <v>1.0200370000000001</v>
      </c>
      <c r="AA1293" s="630">
        <v>1.641594</v>
      </c>
      <c r="AB1293" s="631">
        <v>0</v>
      </c>
      <c r="AC1293" s="631">
        <v>0</v>
      </c>
      <c r="AD1293" s="631">
        <f t="shared" si="20"/>
        <v>0</v>
      </c>
    </row>
    <row r="1294" spans="2:30" x14ac:dyDescent="0.15">
      <c r="B1294" s="630">
        <v>17031003816</v>
      </c>
      <c r="C1294" s="630">
        <v>17031001383</v>
      </c>
      <c r="D1294" s="630">
        <v>17031001351</v>
      </c>
      <c r="E1294" s="630" t="s">
        <v>533</v>
      </c>
      <c r="F1294" s="630" t="s">
        <v>534</v>
      </c>
      <c r="G1294" s="630" t="s">
        <v>365</v>
      </c>
      <c r="H1294" s="630" t="s">
        <v>543</v>
      </c>
      <c r="I1294" s="630"/>
      <c r="J1294" s="630"/>
      <c r="K1294" s="630"/>
      <c r="L1294" s="630"/>
      <c r="M1294" s="630"/>
      <c r="N1294" s="630"/>
      <c r="O1294" s="630"/>
      <c r="P1294" s="630"/>
      <c r="Q1294" s="630"/>
      <c r="R1294" s="630"/>
      <c r="S1294" s="630" t="s">
        <v>604</v>
      </c>
      <c r="T1294" s="630"/>
      <c r="U1294" s="630" t="s">
        <v>538</v>
      </c>
      <c r="V1294" s="630">
        <v>2</v>
      </c>
      <c r="W1294" s="630" t="s">
        <v>545</v>
      </c>
      <c r="X1294" s="630" t="s">
        <v>546</v>
      </c>
      <c r="Y1294" s="630" t="s">
        <v>554</v>
      </c>
      <c r="Z1294" s="630">
        <v>0.47753899999999999</v>
      </c>
      <c r="AA1294" s="630">
        <v>0.76852600000000004</v>
      </c>
      <c r="AB1294" s="631">
        <v>10717</v>
      </c>
      <c r="AC1294" s="631">
        <v>927989</v>
      </c>
      <c r="AD1294" s="631">
        <f t="shared" si="20"/>
        <v>443150.93907099997</v>
      </c>
    </row>
    <row r="1295" spans="2:30" x14ac:dyDescent="0.15">
      <c r="B1295" s="630">
        <v>17197008251</v>
      </c>
      <c r="C1295" s="630">
        <v>17197001479</v>
      </c>
      <c r="D1295" s="630">
        <v>17197006601</v>
      </c>
      <c r="E1295" s="630" t="s">
        <v>533</v>
      </c>
      <c r="F1295" s="630" t="s">
        <v>534</v>
      </c>
      <c r="G1295" s="630" t="s">
        <v>377</v>
      </c>
      <c r="H1295" s="630" t="s">
        <v>535</v>
      </c>
      <c r="I1295" s="630"/>
      <c r="J1295" s="630" t="s">
        <v>382</v>
      </c>
      <c r="K1295" s="630" t="s">
        <v>536</v>
      </c>
      <c r="L1295" s="630"/>
      <c r="M1295" s="630"/>
      <c r="N1295" s="630"/>
      <c r="O1295" s="630"/>
      <c r="P1295" s="630"/>
      <c r="Q1295" s="630"/>
      <c r="R1295" s="630"/>
      <c r="S1295" s="630" t="s">
        <v>537</v>
      </c>
      <c r="T1295" s="630" t="s">
        <v>596</v>
      </c>
      <c r="U1295" s="630" t="s">
        <v>538</v>
      </c>
      <c r="V1295" s="630">
        <v>2</v>
      </c>
      <c r="W1295" s="630" t="s">
        <v>539</v>
      </c>
      <c r="X1295" s="630" t="s">
        <v>540</v>
      </c>
      <c r="Y1295" s="630" t="s">
        <v>541</v>
      </c>
      <c r="Z1295" s="630">
        <v>1.7073000000000001E-2</v>
      </c>
      <c r="AA1295" s="630">
        <v>2.7477000000000001E-2</v>
      </c>
      <c r="AB1295" s="631">
        <v>26971</v>
      </c>
      <c r="AC1295" s="631">
        <v>2482114</v>
      </c>
      <c r="AD1295" s="631">
        <f t="shared" si="20"/>
        <v>42377.132322000005</v>
      </c>
    </row>
    <row r="1296" spans="2:30" x14ac:dyDescent="0.15">
      <c r="B1296" s="630">
        <v>17031008527</v>
      </c>
      <c r="C1296" s="630">
        <v>17031001289</v>
      </c>
      <c r="D1296" s="630">
        <v>17031007019</v>
      </c>
      <c r="E1296" s="630" t="s">
        <v>533</v>
      </c>
      <c r="F1296" s="630" t="s">
        <v>534</v>
      </c>
      <c r="G1296" s="630" t="s">
        <v>365</v>
      </c>
      <c r="H1296" s="630" t="s">
        <v>627</v>
      </c>
      <c r="I1296" s="630"/>
      <c r="J1296" s="630" t="s">
        <v>572</v>
      </c>
      <c r="K1296" s="630"/>
      <c r="L1296" s="630"/>
      <c r="M1296" s="630"/>
      <c r="N1296" s="630"/>
      <c r="O1296" s="630"/>
      <c r="P1296" s="630"/>
      <c r="Q1296" s="630"/>
      <c r="R1296" s="630"/>
      <c r="S1296" s="630"/>
      <c r="T1296" s="630"/>
      <c r="U1296" s="630" t="s">
        <v>538</v>
      </c>
      <c r="V1296" s="630">
        <v>2</v>
      </c>
      <c r="W1296" s="630" t="s">
        <v>545</v>
      </c>
      <c r="X1296" s="630" t="s">
        <v>541</v>
      </c>
      <c r="Y1296" s="630" t="s">
        <v>540</v>
      </c>
      <c r="Z1296" s="630">
        <v>0.30891200000000002</v>
      </c>
      <c r="AA1296" s="630">
        <v>0.49714599999999998</v>
      </c>
      <c r="AB1296" s="631">
        <v>23086</v>
      </c>
      <c r="AC1296" s="631">
        <v>2039650</v>
      </c>
      <c r="AD1296" s="631">
        <f t="shared" si="20"/>
        <v>630072.36080000002</v>
      </c>
    </row>
    <row r="1297" spans="2:30" x14ac:dyDescent="0.15">
      <c r="B1297" s="630">
        <v>17043009093</v>
      </c>
      <c r="C1297" s="630">
        <v>17043007303</v>
      </c>
      <c r="D1297" s="630">
        <v>17043007304</v>
      </c>
      <c r="E1297" s="630" t="s">
        <v>533</v>
      </c>
      <c r="F1297" s="630" t="s">
        <v>534</v>
      </c>
      <c r="G1297" s="630" t="s">
        <v>367</v>
      </c>
      <c r="H1297" s="630" t="s">
        <v>381</v>
      </c>
      <c r="I1297" s="630"/>
      <c r="J1297" s="630"/>
      <c r="K1297" s="630"/>
      <c r="L1297" s="630"/>
      <c r="M1297" s="630"/>
      <c r="N1297" s="630"/>
      <c r="O1297" s="630"/>
      <c r="P1297" s="630"/>
      <c r="Q1297" s="630"/>
      <c r="R1297" s="630"/>
      <c r="S1297" s="630" t="s">
        <v>585</v>
      </c>
      <c r="T1297" s="630"/>
      <c r="U1297" s="630" t="s">
        <v>559</v>
      </c>
      <c r="V1297" s="630">
        <v>1</v>
      </c>
      <c r="W1297" s="630" t="s">
        <v>560</v>
      </c>
      <c r="X1297" s="630" t="s">
        <v>541</v>
      </c>
      <c r="Y1297" s="630" t="s">
        <v>541</v>
      </c>
      <c r="Z1297" s="630">
        <v>0.29461799999999999</v>
      </c>
      <c r="AA1297" s="630">
        <v>0.47414299999999998</v>
      </c>
      <c r="AB1297" s="631">
        <v>0</v>
      </c>
      <c r="AC1297" s="631">
        <v>0</v>
      </c>
      <c r="AD1297" s="631">
        <f t="shared" si="20"/>
        <v>0</v>
      </c>
    </row>
    <row r="1298" spans="2:30" x14ac:dyDescent="0.15">
      <c r="B1298" s="630">
        <v>17031002336</v>
      </c>
      <c r="C1298" s="630">
        <v>17031000448</v>
      </c>
      <c r="D1298" s="630">
        <v>17031000433</v>
      </c>
      <c r="E1298" s="630" t="s">
        <v>533</v>
      </c>
      <c r="F1298" s="630" t="s">
        <v>534</v>
      </c>
      <c r="G1298" s="630" t="s">
        <v>365</v>
      </c>
      <c r="H1298" s="630" t="s">
        <v>382</v>
      </c>
      <c r="I1298" s="630"/>
      <c r="J1298" s="630"/>
      <c r="K1298" s="630"/>
      <c r="L1298" s="630"/>
      <c r="M1298" s="630"/>
      <c r="N1298" s="630"/>
      <c r="O1298" s="630"/>
      <c r="P1298" s="630"/>
      <c r="Q1298" s="630"/>
      <c r="R1298" s="630"/>
      <c r="S1298" s="630" t="s">
        <v>586</v>
      </c>
      <c r="T1298" s="630"/>
      <c r="U1298" s="630" t="s">
        <v>538</v>
      </c>
      <c r="V1298" s="630">
        <v>2</v>
      </c>
      <c r="W1298" s="630" t="s">
        <v>582</v>
      </c>
      <c r="X1298" s="630" t="s">
        <v>549</v>
      </c>
      <c r="Y1298" s="630" t="s">
        <v>540</v>
      </c>
      <c r="Z1298" s="630">
        <v>0.392814</v>
      </c>
      <c r="AA1298" s="630">
        <v>0.63217500000000004</v>
      </c>
      <c r="AB1298" s="631">
        <v>88508</v>
      </c>
      <c r="AC1298" s="631">
        <v>9870362</v>
      </c>
      <c r="AD1298" s="631">
        <f t="shared" si="20"/>
        <v>3877216.378668</v>
      </c>
    </row>
    <row r="1299" spans="2:30" x14ac:dyDescent="0.15">
      <c r="B1299" s="630">
        <v>17043002403</v>
      </c>
      <c r="C1299" s="630">
        <v>17043000376</v>
      </c>
      <c r="D1299" s="630">
        <v>17043000380</v>
      </c>
      <c r="E1299" s="630" t="s">
        <v>533</v>
      </c>
      <c r="F1299" s="630" t="s">
        <v>534</v>
      </c>
      <c r="G1299" s="630" t="s">
        <v>367</v>
      </c>
      <c r="H1299" s="630" t="s">
        <v>638</v>
      </c>
      <c r="I1299" s="630"/>
      <c r="J1299" s="630"/>
      <c r="K1299" s="630"/>
      <c r="L1299" s="630"/>
      <c r="M1299" s="630"/>
      <c r="N1299" s="630"/>
      <c r="O1299" s="630"/>
      <c r="P1299" s="630"/>
      <c r="Q1299" s="630"/>
      <c r="R1299" s="630"/>
      <c r="S1299" s="630"/>
      <c r="T1299" s="630"/>
      <c r="U1299" s="630" t="s">
        <v>559</v>
      </c>
      <c r="V1299" s="630">
        <v>1</v>
      </c>
      <c r="W1299" s="630" t="s">
        <v>560</v>
      </c>
      <c r="X1299" s="630" t="s">
        <v>541</v>
      </c>
      <c r="Y1299" s="630" t="s">
        <v>541</v>
      </c>
      <c r="Z1299" s="630">
        <v>1.499852</v>
      </c>
      <c r="AA1299" s="630">
        <v>2.4137819999999999</v>
      </c>
      <c r="AB1299" s="631">
        <v>0</v>
      </c>
      <c r="AC1299" s="631">
        <v>0</v>
      </c>
      <c r="AD1299" s="631">
        <f t="shared" si="20"/>
        <v>0</v>
      </c>
    </row>
    <row r="1300" spans="2:30" x14ac:dyDescent="0.15">
      <c r="B1300" s="630">
        <v>17031002586</v>
      </c>
      <c r="C1300" s="630">
        <v>17031000956</v>
      </c>
      <c r="D1300" s="630">
        <v>17031000966</v>
      </c>
      <c r="E1300" s="630" t="s">
        <v>533</v>
      </c>
      <c r="F1300" s="630" t="s">
        <v>534</v>
      </c>
      <c r="G1300" s="630" t="s">
        <v>365</v>
      </c>
      <c r="H1300" s="630" t="s">
        <v>571</v>
      </c>
      <c r="I1300" s="630"/>
      <c r="J1300" s="630" t="s">
        <v>381</v>
      </c>
      <c r="K1300" s="630" t="s">
        <v>535</v>
      </c>
      <c r="L1300" s="630" t="s">
        <v>552</v>
      </c>
      <c r="M1300" s="630" t="s">
        <v>572</v>
      </c>
      <c r="N1300" s="630" t="s">
        <v>551</v>
      </c>
      <c r="O1300" s="630" t="s">
        <v>555</v>
      </c>
      <c r="P1300" s="630" t="s">
        <v>543</v>
      </c>
      <c r="Q1300" s="630" t="s">
        <v>382</v>
      </c>
      <c r="R1300" s="630" t="s">
        <v>563</v>
      </c>
      <c r="S1300" s="630" t="s">
        <v>605</v>
      </c>
      <c r="T1300" s="630" t="s">
        <v>574</v>
      </c>
      <c r="U1300" s="630" t="s">
        <v>538</v>
      </c>
      <c r="V1300" s="630">
        <v>2</v>
      </c>
      <c r="W1300" s="630" t="s">
        <v>545</v>
      </c>
      <c r="X1300" s="630" t="s">
        <v>575</v>
      </c>
      <c r="Y1300" s="630" t="s">
        <v>554</v>
      </c>
      <c r="Z1300" s="630">
        <v>0.39874799999999999</v>
      </c>
      <c r="AA1300" s="630">
        <v>0.64172300000000004</v>
      </c>
      <c r="AB1300" s="631">
        <v>269567</v>
      </c>
      <c r="AC1300" s="631">
        <v>14123853</v>
      </c>
      <c r="AD1300" s="631">
        <f t="shared" si="20"/>
        <v>5631858.1360440003</v>
      </c>
    </row>
    <row r="1301" spans="2:30" x14ac:dyDescent="0.15">
      <c r="B1301" s="630">
        <v>17031003274</v>
      </c>
      <c r="C1301" s="630">
        <v>17031000486</v>
      </c>
      <c r="D1301" s="630">
        <v>17031000517</v>
      </c>
      <c r="E1301" s="630" t="s">
        <v>533</v>
      </c>
      <c r="F1301" s="630" t="s">
        <v>534</v>
      </c>
      <c r="G1301" s="630" t="s">
        <v>365</v>
      </c>
      <c r="H1301" s="630" t="s">
        <v>571</v>
      </c>
      <c r="I1301" s="630"/>
      <c r="J1301" s="630" t="s">
        <v>552</v>
      </c>
      <c r="K1301" s="630" t="s">
        <v>551</v>
      </c>
      <c r="L1301" s="630" t="s">
        <v>563</v>
      </c>
      <c r="M1301" s="630"/>
      <c r="N1301" s="630"/>
      <c r="O1301" s="630"/>
      <c r="P1301" s="630"/>
      <c r="Q1301" s="630"/>
      <c r="R1301" s="630"/>
      <c r="S1301" s="630" t="s">
        <v>573</v>
      </c>
      <c r="T1301" s="630"/>
      <c r="U1301" s="630" t="s">
        <v>538</v>
      </c>
      <c r="V1301" s="630">
        <v>2</v>
      </c>
      <c r="W1301" s="630" t="s">
        <v>545</v>
      </c>
      <c r="X1301" s="630" t="s">
        <v>546</v>
      </c>
      <c r="Y1301" s="630" t="s">
        <v>554</v>
      </c>
      <c r="Z1301" s="630">
        <v>1.1662250000000001</v>
      </c>
      <c r="AA1301" s="630">
        <v>1.8768609999999999</v>
      </c>
      <c r="AB1301" s="631">
        <v>125774</v>
      </c>
      <c r="AC1301" s="631">
        <v>4377521</v>
      </c>
      <c r="AD1301" s="631">
        <f t="shared" si="20"/>
        <v>5105174.4282250004</v>
      </c>
    </row>
    <row r="1302" spans="2:30" x14ac:dyDescent="0.15">
      <c r="B1302" s="630">
        <v>17031003686</v>
      </c>
      <c r="C1302" s="630">
        <v>17031001016</v>
      </c>
      <c r="D1302" s="630">
        <v>17031001017</v>
      </c>
      <c r="E1302" s="630" t="s">
        <v>533</v>
      </c>
      <c r="F1302" s="630" t="s">
        <v>534</v>
      </c>
      <c r="G1302" s="630" t="s">
        <v>365</v>
      </c>
      <c r="H1302" s="630" t="s">
        <v>571</v>
      </c>
      <c r="I1302" s="630"/>
      <c r="J1302" s="630" t="s">
        <v>552</v>
      </c>
      <c r="K1302" s="630" t="s">
        <v>572</v>
      </c>
      <c r="L1302" s="630" t="s">
        <v>555</v>
      </c>
      <c r="M1302" s="630" t="s">
        <v>547</v>
      </c>
      <c r="N1302" s="630" t="s">
        <v>543</v>
      </c>
      <c r="O1302" s="630" t="s">
        <v>382</v>
      </c>
      <c r="P1302" s="630"/>
      <c r="Q1302" s="630"/>
      <c r="R1302" s="630"/>
      <c r="S1302" s="630" t="s">
        <v>573</v>
      </c>
      <c r="T1302" s="630"/>
      <c r="U1302" s="630" t="s">
        <v>538</v>
      </c>
      <c r="V1302" s="630">
        <v>2</v>
      </c>
      <c r="W1302" s="630" t="s">
        <v>545</v>
      </c>
      <c r="X1302" s="630" t="s">
        <v>575</v>
      </c>
      <c r="Y1302" s="630" t="s">
        <v>554</v>
      </c>
      <c r="Z1302" s="630">
        <v>0.13039100000000001</v>
      </c>
      <c r="AA1302" s="630">
        <v>0.209844</v>
      </c>
      <c r="AB1302" s="631">
        <v>349773</v>
      </c>
      <c r="AC1302" s="631">
        <v>15945671</v>
      </c>
      <c r="AD1302" s="631">
        <f t="shared" si="20"/>
        <v>2079171.9873610002</v>
      </c>
    </row>
    <row r="1303" spans="2:30" x14ac:dyDescent="0.15">
      <c r="B1303" s="630">
        <v>17031003939</v>
      </c>
      <c r="C1303" s="630">
        <v>17031001105</v>
      </c>
      <c r="D1303" s="630">
        <v>17031001120</v>
      </c>
      <c r="E1303" s="630" t="s">
        <v>533</v>
      </c>
      <c r="F1303" s="630" t="s">
        <v>534</v>
      </c>
      <c r="G1303" s="630" t="s">
        <v>365</v>
      </c>
      <c r="H1303" s="630" t="s">
        <v>577</v>
      </c>
      <c r="I1303" s="630"/>
      <c r="J1303" s="630"/>
      <c r="K1303" s="630"/>
      <c r="L1303" s="630"/>
      <c r="M1303" s="630"/>
      <c r="N1303" s="630"/>
      <c r="O1303" s="630"/>
      <c r="P1303" s="630"/>
      <c r="Q1303" s="630"/>
      <c r="R1303" s="630"/>
      <c r="S1303" s="630"/>
      <c r="T1303" s="630"/>
      <c r="U1303" s="630" t="s">
        <v>538</v>
      </c>
      <c r="V1303" s="630">
        <v>1</v>
      </c>
      <c r="W1303" s="630" t="s">
        <v>560</v>
      </c>
      <c r="X1303" s="630" t="s">
        <v>541</v>
      </c>
      <c r="Y1303" s="630" t="s">
        <v>541</v>
      </c>
      <c r="Z1303" s="630">
        <v>0.36601499999999998</v>
      </c>
      <c r="AA1303" s="630">
        <v>0.58904500000000004</v>
      </c>
      <c r="AB1303" s="631">
        <v>0</v>
      </c>
      <c r="AC1303" s="631">
        <v>0</v>
      </c>
      <c r="AD1303" s="631">
        <f t="shared" si="20"/>
        <v>0</v>
      </c>
    </row>
    <row r="1304" spans="2:30" x14ac:dyDescent="0.15">
      <c r="B1304" s="630">
        <v>17031005513</v>
      </c>
      <c r="C1304" s="630">
        <v>17031000616</v>
      </c>
      <c r="D1304" s="630">
        <v>17031000613</v>
      </c>
      <c r="E1304" s="630" t="s">
        <v>533</v>
      </c>
      <c r="F1304" s="630" t="s">
        <v>534</v>
      </c>
      <c r="G1304" s="630" t="s">
        <v>365</v>
      </c>
      <c r="H1304" s="630" t="s">
        <v>547</v>
      </c>
      <c r="I1304" s="630"/>
      <c r="J1304" s="630" t="s">
        <v>627</v>
      </c>
      <c r="K1304" s="630"/>
      <c r="L1304" s="630"/>
      <c r="M1304" s="630"/>
      <c r="N1304" s="630"/>
      <c r="O1304" s="630"/>
      <c r="P1304" s="630"/>
      <c r="Q1304" s="630"/>
      <c r="R1304" s="630"/>
      <c r="S1304" s="630"/>
      <c r="T1304" s="630"/>
      <c r="U1304" s="630" t="s">
        <v>538</v>
      </c>
      <c r="V1304" s="630">
        <v>4</v>
      </c>
      <c r="W1304" s="630" t="s">
        <v>545</v>
      </c>
      <c r="X1304" s="630" t="s">
        <v>541</v>
      </c>
      <c r="Y1304" s="630" t="s">
        <v>554</v>
      </c>
      <c r="Z1304" s="630">
        <v>5.3345999999999998E-2</v>
      </c>
      <c r="AA1304" s="630">
        <v>8.5851999999999998E-2</v>
      </c>
      <c r="AB1304" s="631">
        <v>0</v>
      </c>
      <c r="AC1304" s="631">
        <v>0</v>
      </c>
      <c r="AD1304" s="631">
        <f t="shared" si="20"/>
        <v>0</v>
      </c>
    </row>
    <row r="1305" spans="2:30" x14ac:dyDescent="0.15">
      <c r="B1305" s="630">
        <v>17031005743</v>
      </c>
      <c r="C1305" s="630">
        <v>17031001279</v>
      </c>
      <c r="D1305" s="630">
        <v>17031001273</v>
      </c>
      <c r="E1305" s="630" t="s">
        <v>533</v>
      </c>
      <c r="F1305" s="630" t="s">
        <v>534</v>
      </c>
      <c r="G1305" s="630" t="s">
        <v>365</v>
      </c>
      <c r="H1305" s="630" t="s">
        <v>613</v>
      </c>
      <c r="I1305" s="630"/>
      <c r="J1305" s="630" t="s">
        <v>572</v>
      </c>
      <c r="K1305" s="630"/>
      <c r="L1305" s="630"/>
      <c r="M1305" s="630"/>
      <c r="N1305" s="630"/>
      <c r="O1305" s="630"/>
      <c r="P1305" s="630"/>
      <c r="Q1305" s="630"/>
      <c r="R1305" s="630"/>
      <c r="S1305" s="630"/>
      <c r="T1305" s="630"/>
      <c r="U1305" s="630" t="s">
        <v>559</v>
      </c>
      <c r="V1305" s="630">
        <v>1</v>
      </c>
      <c r="W1305" s="630" t="s">
        <v>560</v>
      </c>
      <c r="X1305" s="630" t="s">
        <v>541</v>
      </c>
      <c r="Y1305" s="630" t="s">
        <v>541</v>
      </c>
      <c r="Z1305" s="630">
        <v>0.74407100000000004</v>
      </c>
      <c r="AA1305" s="630">
        <v>1.197468</v>
      </c>
      <c r="AB1305" s="631">
        <v>0</v>
      </c>
      <c r="AC1305" s="631">
        <v>0</v>
      </c>
      <c r="AD1305" s="631">
        <f t="shared" si="20"/>
        <v>0</v>
      </c>
    </row>
    <row r="1306" spans="2:30" x14ac:dyDescent="0.15">
      <c r="B1306" s="630">
        <v>17031006263</v>
      </c>
      <c r="C1306" s="630">
        <v>17031000688</v>
      </c>
      <c r="D1306" s="630">
        <v>17031000691</v>
      </c>
      <c r="E1306" s="630" t="s">
        <v>533</v>
      </c>
      <c r="F1306" s="630" t="s">
        <v>534</v>
      </c>
      <c r="G1306" s="630" t="s">
        <v>365</v>
      </c>
      <c r="H1306" s="630" t="s">
        <v>381</v>
      </c>
      <c r="I1306" s="630"/>
      <c r="J1306" s="630"/>
      <c r="K1306" s="630"/>
      <c r="L1306" s="630"/>
      <c r="M1306" s="630"/>
      <c r="N1306" s="630"/>
      <c r="O1306" s="630"/>
      <c r="P1306" s="630"/>
      <c r="Q1306" s="630"/>
      <c r="R1306" s="630"/>
      <c r="S1306" s="630"/>
      <c r="T1306" s="630"/>
      <c r="U1306" s="630" t="s">
        <v>559</v>
      </c>
      <c r="V1306" s="630">
        <v>1</v>
      </c>
      <c r="W1306" s="630" t="s">
        <v>560</v>
      </c>
      <c r="X1306" s="630" t="s">
        <v>541</v>
      </c>
      <c r="Y1306" s="630" t="s">
        <v>541</v>
      </c>
      <c r="Z1306" s="630">
        <v>0.27946100000000001</v>
      </c>
      <c r="AA1306" s="630">
        <v>0.44974999999999998</v>
      </c>
      <c r="AB1306" s="631">
        <v>0</v>
      </c>
      <c r="AC1306" s="631">
        <v>0</v>
      </c>
      <c r="AD1306" s="631">
        <f t="shared" si="20"/>
        <v>0</v>
      </c>
    </row>
    <row r="1307" spans="2:30" x14ac:dyDescent="0.15">
      <c r="B1307" s="630">
        <v>17043009122</v>
      </c>
      <c r="C1307" s="630">
        <v>17043007325</v>
      </c>
      <c r="D1307" s="630">
        <v>17043007329</v>
      </c>
      <c r="E1307" s="630" t="s">
        <v>533</v>
      </c>
      <c r="F1307" s="630" t="s">
        <v>534</v>
      </c>
      <c r="G1307" s="630" t="s">
        <v>367</v>
      </c>
      <c r="H1307" s="630" t="s">
        <v>535</v>
      </c>
      <c r="I1307" s="630"/>
      <c r="J1307" s="630"/>
      <c r="K1307" s="630"/>
      <c r="L1307" s="630"/>
      <c r="M1307" s="630"/>
      <c r="N1307" s="630"/>
      <c r="O1307" s="630"/>
      <c r="P1307" s="630"/>
      <c r="Q1307" s="630"/>
      <c r="R1307" s="630"/>
      <c r="S1307" s="630"/>
      <c r="T1307" s="630"/>
      <c r="U1307" s="630" t="s">
        <v>559</v>
      </c>
      <c r="V1307" s="630">
        <v>1</v>
      </c>
      <c r="W1307" s="630" t="s">
        <v>560</v>
      </c>
      <c r="X1307" s="630" t="s">
        <v>541</v>
      </c>
      <c r="Y1307" s="630" t="s">
        <v>541</v>
      </c>
      <c r="Z1307" s="630">
        <v>0.35470600000000002</v>
      </c>
      <c r="AA1307" s="630">
        <v>0.57084500000000005</v>
      </c>
      <c r="AB1307" s="631">
        <v>0</v>
      </c>
      <c r="AC1307" s="631">
        <v>0</v>
      </c>
      <c r="AD1307" s="631">
        <f t="shared" si="20"/>
        <v>0</v>
      </c>
    </row>
    <row r="1308" spans="2:30" x14ac:dyDescent="0.15">
      <c r="B1308" s="630">
        <v>17031009568</v>
      </c>
      <c r="C1308" s="630">
        <v>17031007662</v>
      </c>
      <c r="D1308" s="630">
        <v>17031001299</v>
      </c>
      <c r="E1308" s="630" t="s">
        <v>533</v>
      </c>
      <c r="F1308" s="630" t="s">
        <v>534</v>
      </c>
      <c r="G1308" s="630" t="s">
        <v>365</v>
      </c>
      <c r="H1308" s="630" t="s">
        <v>551</v>
      </c>
      <c r="I1308" s="630" t="s">
        <v>535</v>
      </c>
      <c r="J1308" s="630"/>
      <c r="K1308" s="630"/>
      <c r="L1308" s="630"/>
      <c r="M1308" s="630"/>
      <c r="N1308" s="630"/>
      <c r="O1308" s="630"/>
      <c r="P1308" s="630"/>
      <c r="Q1308" s="630"/>
      <c r="R1308" s="630"/>
      <c r="S1308" s="630" t="s">
        <v>553</v>
      </c>
      <c r="T1308" s="630"/>
      <c r="U1308" s="630" t="s">
        <v>538</v>
      </c>
      <c r="V1308" s="630">
        <v>2</v>
      </c>
      <c r="W1308" s="630" t="s">
        <v>545</v>
      </c>
      <c r="X1308" s="630" t="s">
        <v>540</v>
      </c>
      <c r="Y1308" s="630" t="s">
        <v>549</v>
      </c>
      <c r="Z1308" s="630">
        <v>1.1107210000000001</v>
      </c>
      <c r="AA1308" s="630">
        <v>1.7875350000000001</v>
      </c>
      <c r="AB1308" s="631">
        <v>681996</v>
      </c>
      <c r="AC1308" s="631">
        <v>24444990</v>
      </c>
      <c r="AD1308" s="631">
        <f t="shared" si="20"/>
        <v>27151563.737790003</v>
      </c>
    </row>
    <row r="1309" spans="2:30" x14ac:dyDescent="0.15">
      <c r="B1309" s="630">
        <v>17089002002</v>
      </c>
      <c r="C1309" s="630">
        <v>17089000971</v>
      </c>
      <c r="D1309" s="630">
        <v>17089000839</v>
      </c>
      <c r="E1309" s="630" t="s">
        <v>533</v>
      </c>
      <c r="F1309" s="630" t="s">
        <v>534</v>
      </c>
      <c r="G1309" s="630" t="s">
        <v>369</v>
      </c>
      <c r="H1309" s="630" t="s">
        <v>381</v>
      </c>
      <c r="I1309" s="630"/>
      <c r="J1309" s="630"/>
      <c r="K1309" s="630"/>
      <c r="L1309" s="630"/>
      <c r="M1309" s="630"/>
      <c r="N1309" s="630"/>
      <c r="O1309" s="630"/>
      <c r="P1309" s="630"/>
      <c r="Q1309" s="630"/>
      <c r="R1309" s="630"/>
      <c r="S1309" s="630" t="s">
        <v>585</v>
      </c>
      <c r="T1309" s="630"/>
      <c r="U1309" s="630" t="s">
        <v>559</v>
      </c>
      <c r="V1309" s="630">
        <v>1</v>
      </c>
      <c r="W1309" s="630" t="s">
        <v>560</v>
      </c>
      <c r="X1309" s="630" t="s">
        <v>541</v>
      </c>
      <c r="Y1309" s="630" t="s">
        <v>541</v>
      </c>
      <c r="Z1309" s="630">
        <v>2.5341490000000002</v>
      </c>
      <c r="AA1309" s="630">
        <v>4.0783259999999997</v>
      </c>
      <c r="AB1309" s="631">
        <v>640</v>
      </c>
      <c r="AC1309" s="631">
        <v>61280</v>
      </c>
      <c r="AD1309" s="631">
        <f t="shared" si="20"/>
        <v>155292.65072000001</v>
      </c>
    </row>
    <row r="1310" spans="2:30" x14ac:dyDescent="0.15">
      <c r="B1310" s="630">
        <v>17031006510</v>
      </c>
      <c r="C1310" s="630">
        <v>17031001080</v>
      </c>
      <c r="D1310" s="630">
        <v>17031001103</v>
      </c>
      <c r="E1310" s="630" t="s">
        <v>533</v>
      </c>
      <c r="F1310" s="630" t="s">
        <v>534</v>
      </c>
      <c r="G1310" s="630" t="s">
        <v>365</v>
      </c>
      <c r="H1310" s="630" t="s">
        <v>535</v>
      </c>
      <c r="I1310" s="630"/>
      <c r="J1310" s="630"/>
      <c r="K1310" s="630"/>
      <c r="L1310" s="630"/>
      <c r="M1310" s="630"/>
      <c r="N1310" s="630"/>
      <c r="O1310" s="630"/>
      <c r="P1310" s="630"/>
      <c r="Q1310" s="630"/>
      <c r="R1310" s="630"/>
      <c r="S1310" s="630" t="s">
        <v>597</v>
      </c>
      <c r="T1310" s="630"/>
      <c r="U1310" s="630" t="s">
        <v>538</v>
      </c>
      <c r="V1310" s="630">
        <v>1</v>
      </c>
      <c r="W1310" s="630" t="s">
        <v>539</v>
      </c>
      <c r="X1310" s="630" t="s">
        <v>541</v>
      </c>
      <c r="Y1310" s="630" t="s">
        <v>541</v>
      </c>
      <c r="Z1310" s="630">
        <v>0.32413399999999998</v>
      </c>
      <c r="AA1310" s="630">
        <v>0.52164500000000003</v>
      </c>
      <c r="AB1310" s="631">
        <v>5840</v>
      </c>
      <c r="AC1310" s="631">
        <v>552320</v>
      </c>
      <c r="AD1310" s="631">
        <f t="shared" si="20"/>
        <v>179025.69087999998</v>
      </c>
    </row>
    <row r="1311" spans="2:30" x14ac:dyDescent="0.15">
      <c r="B1311" s="630">
        <v>17031003603</v>
      </c>
      <c r="C1311" s="630">
        <v>17031000977</v>
      </c>
      <c r="D1311" s="630">
        <v>17031001005</v>
      </c>
      <c r="E1311" s="630" t="s">
        <v>533</v>
      </c>
      <c r="F1311" s="630" t="s">
        <v>534</v>
      </c>
      <c r="G1311" s="630" t="s">
        <v>365</v>
      </c>
      <c r="H1311" s="630" t="s">
        <v>571</v>
      </c>
      <c r="I1311" s="630"/>
      <c r="J1311" s="630" t="s">
        <v>381</v>
      </c>
      <c r="K1311" s="630" t="s">
        <v>535</v>
      </c>
      <c r="L1311" s="630" t="s">
        <v>552</v>
      </c>
      <c r="M1311" s="630" t="s">
        <v>572</v>
      </c>
      <c r="N1311" s="630" t="s">
        <v>551</v>
      </c>
      <c r="O1311" s="630" t="s">
        <v>555</v>
      </c>
      <c r="P1311" s="630" t="s">
        <v>543</v>
      </c>
      <c r="Q1311" s="630" t="s">
        <v>382</v>
      </c>
      <c r="R1311" s="630" t="s">
        <v>563</v>
      </c>
      <c r="S1311" s="630" t="s">
        <v>573</v>
      </c>
      <c r="T1311" s="630" t="s">
        <v>574</v>
      </c>
      <c r="U1311" s="630" t="s">
        <v>538</v>
      </c>
      <c r="V1311" s="630">
        <v>2</v>
      </c>
      <c r="W1311" s="630" t="s">
        <v>545</v>
      </c>
      <c r="X1311" s="630" t="s">
        <v>575</v>
      </c>
      <c r="Y1311" s="630" t="s">
        <v>554</v>
      </c>
      <c r="Z1311" s="630">
        <v>0.97281300000000004</v>
      </c>
      <c r="AA1311" s="630">
        <v>1.565593</v>
      </c>
      <c r="AB1311" s="631">
        <v>371285</v>
      </c>
      <c r="AC1311" s="631">
        <v>16601511</v>
      </c>
      <c r="AD1311" s="631">
        <f t="shared" si="20"/>
        <v>16150165.720443001</v>
      </c>
    </row>
    <row r="1312" spans="2:30" x14ac:dyDescent="0.15">
      <c r="B1312" s="630">
        <v>17043002348</v>
      </c>
      <c r="C1312" s="630">
        <v>17999020593</v>
      </c>
      <c r="D1312" s="630">
        <v>17043000522</v>
      </c>
      <c r="E1312" s="630" t="s">
        <v>533</v>
      </c>
      <c r="F1312" s="630" t="s">
        <v>534</v>
      </c>
      <c r="G1312" s="630" t="s">
        <v>367</v>
      </c>
      <c r="H1312" s="630" t="s">
        <v>382</v>
      </c>
      <c r="I1312" s="630"/>
      <c r="J1312" s="630" t="s">
        <v>547</v>
      </c>
      <c r="K1312" s="630"/>
      <c r="L1312" s="630"/>
      <c r="M1312" s="630"/>
      <c r="N1312" s="630"/>
      <c r="O1312" s="630"/>
      <c r="P1312" s="630"/>
      <c r="Q1312" s="630"/>
      <c r="R1312" s="630"/>
      <c r="S1312" s="630" t="s">
        <v>583</v>
      </c>
      <c r="T1312" s="630" t="s">
        <v>626</v>
      </c>
      <c r="U1312" s="630" t="s">
        <v>538</v>
      </c>
      <c r="V1312" s="630">
        <v>3</v>
      </c>
      <c r="W1312" s="630" t="s">
        <v>545</v>
      </c>
      <c r="X1312" s="630" t="s">
        <v>580</v>
      </c>
      <c r="Y1312" s="630" t="s">
        <v>549</v>
      </c>
      <c r="Z1312" s="630">
        <v>0.235288</v>
      </c>
      <c r="AA1312" s="630">
        <v>0.37866</v>
      </c>
      <c r="AB1312" s="631">
        <v>1566993</v>
      </c>
      <c r="AC1312" s="631">
        <v>47958017</v>
      </c>
      <c r="AD1312" s="631">
        <f t="shared" si="20"/>
        <v>11283945.903896</v>
      </c>
    </row>
    <row r="1313" spans="2:30" x14ac:dyDescent="0.15">
      <c r="B1313" s="630">
        <v>17031006456</v>
      </c>
      <c r="C1313" s="630">
        <v>17031001033</v>
      </c>
      <c r="D1313" s="630">
        <v>17031001034</v>
      </c>
      <c r="E1313" s="630" t="s">
        <v>533</v>
      </c>
      <c r="F1313" s="630" t="s">
        <v>534</v>
      </c>
      <c r="G1313" s="630" t="s">
        <v>365</v>
      </c>
      <c r="H1313" s="630" t="s">
        <v>571</v>
      </c>
      <c r="I1313" s="630"/>
      <c r="J1313" s="630" t="s">
        <v>542</v>
      </c>
      <c r="K1313" s="630" t="s">
        <v>552</v>
      </c>
      <c r="L1313" s="630" t="s">
        <v>572</v>
      </c>
      <c r="M1313" s="630" t="s">
        <v>555</v>
      </c>
      <c r="N1313" s="630" t="s">
        <v>543</v>
      </c>
      <c r="O1313" s="630" t="s">
        <v>382</v>
      </c>
      <c r="P1313" s="630"/>
      <c r="Q1313" s="630"/>
      <c r="R1313" s="630"/>
      <c r="S1313" s="630" t="s">
        <v>573</v>
      </c>
      <c r="T1313" s="630"/>
      <c r="U1313" s="630" t="s">
        <v>538</v>
      </c>
      <c r="V1313" s="630">
        <v>3</v>
      </c>
      <c r="W1313" s="630" t="s">
        <v>545</v>
      </c>
      <c r="X1313" s="630" t="s">
        <v>575</v>
      </c>
      <c r="Y1313" s="630" t="s">
        <v>554</v>
      </c>
      <c r="Z1313" s="630">
        <v>3.4653999999999997E-2</v>
      </c>
      <c r="AA1313" s="630">
        <v>5.577E-2</v>
      </c>
      <c r="AB1313" s="631">
        <v>218414</v>
      </c>
      <c r="AC1313" s="631">
        <v>11103975</v>
      </c>
      <c r="AD1313" s="631">
        <f t="shared" si="20"/>
        <v>384797.14964999998</v>
      </c>
    </row>
    <row r="1314" spans="2:30" x14ac:dyDescent="0.15">
      <c r="B1314" s="630">
        <v>17197009315</v>
      </c>
      <c r="C1314" s="630">
        <v>17197007436</v>
      </c>
      <c r="D1314" s="630">
        <v>17197004793</v>
      </c>
      <c r="E1314" s="630" t="s">
        <v>533</v>
      </c>
      <c r="F1314" s="630" t="s">
        <v>534</v>
      </c>
      <c r="G1314" s="630" t="s">
        <v>377</v>
      </c>
      <c r="H1314" s="630" t="s">
        <v>535</v>
      </c>
      <c r="I1314" s="630"/>
      <c r="J1314" s="630" t="s">
        <v>382</v>
      </c>
      <c r="K1314" s="630" t="s">
        <v>536</v>
      </c>
      <c r="L1314" s="630"/>
      <c r="M1314" s="630"/>
      <c r="N1314" s="630"/>
      <c r="O1314" s="630"/>
      <c r="P1314" s="630"/>
      <c r="Q1314" s="630"/>
      <c r="R1314" s="630"/>
      <c r="S1314" s="630" t="s">
        <v>537</v>
      </c>
      <c r="T1314" s="630"/>
      <c r="U1314" s="630" t="s">
        <v>538</v>
      </c>
      <c r="V1314" s="630">
        <v>2</v>
      </c>
      <c r="W1314" s="630" t="s">
        <v>545</v>
      </c>
      <c r="X1314" s="630" t="s">
        <v>540</v>
      </c>
      <c r="Y1314" s="630" t="s">
        <v>549</v>
      </c>
      <c r="Z1314" s="630">
        <v>0.114523</v>
      </c>
      <c r="AA1314" s="630">
        <v>0.184307</v>
      </c>
      <c r="AB1314" s="631">
        <v>30651</v>
      </c>
      <c r="AC1314" s="631">
        <v>2787674</v>
      </c>
      <c r="AD1314" s="631">
        <f t="shared" si="20"/>
        <v>319252.78950199997</v>
      </c>
    </row>
    <row r="1315" spans="2:30" x14ac:dyDescent="0.15">
      <c r="B1315" s="630">
        <v>17031010389</v>
      </c>
      <c r="C1315" s="630">
        <v>17031000914</v>
      </c>
      <c r="D1315" s="630">
        <v>17031000916</v>
      </c>
      <c r="E1315" s="630" t="s">
        <v>533</v>
      </c>
      <c r="F1315" s="630" t="s">
        <v>534</v>
      </c>
      <c r="G1315" s="630" t="s">
        <v>365</v>
      </c>
      <c r="H1315" s="630" t="s">
        <v>535</v>
      </c>
      <c r="I1315" s="630"/>
      <c r="J1315" s="630"/>
      <c r="K1315" s="630"/>
      <c r="L1315" s="630"/>
      <c r="M1315" s="630"/>
      <c r="N1315" s="630"/>
      <c r="O1315" s="630"/>
      <c r="P1315" s="630"/>
      <c r="Q1315" s="630"/>
      <c r="R1315" s="630"/>
      <c r="S1315" s="630" t="s">
        <v>601</v>
      </c>
      <c r="T1315" s="630"/>
      <c r="U1315" s="630" t="s">
        <v>538</v>
      </c>
      <c r="V1315" s="630">
        <v>1</v>
      </c>
      <c r="W1315" s="630" t="s">
        <v>545</v>
      </c>
      <c r="X1315" s="630" t="s">
        <v>554</v>
      </c>
      <c r="Y1315" s="630" t="s">
        <v>540</v>
      </c>
      <c r="Z1315" s="630">
        <v>0.16822599999999999</v>
      </c>
      <c r="AA1315" s="630">
        <v>0.27073399999999997</v>
      </c>
      <c r="AB1315" s="631">
        <v>39560</v>
      </c>
      <c r="AC1315" s="631">
        <v>980480</v>
      </c>
      <c r="AD1315" s="631">
        <f t="shared" si="20"/>
        <v>164942.22847999999</v>
      </c>
    </row>
    <row r="1316" spans="2:30" x14ac:dyDescent="0.15">
      <c r="B1316" s="630">
        <v>17043002069</v>
      </c>
      <c r="C1316" s="630">
        <v>17043007276</v>
      </c>
      <c r="D1316" s="630">
        <v>17043007283</v>
      </c>
      <c r="E1316" s="630" t="s">
        <v>533</v>
      </c>
      <c r="F1316" s="630" t="s">
        <v>534</v>
      </c>
      <c r="G1316" s="630" t="s">
        <v>367</v>
      </c>
      <c r="H1316" s="630" t="s">
        <v>535</v>
      </c>
      <c r="I1316" s="630"/>
      <c r="J1316" s="630" t="s">
        <v>536</v>
      </c>
      <c r="K1316" s="630" t="s">
        <v>382</v>
      </c>
      <c r="L1316" s="630"/>
      <c r="M1316" s="630"/>
      <c r="N1316" s="630"/>
      <c r="O1316" s="630"/>
      <c r="P1316" s="630"/>
      <c r="Q1316" s="630"/>
      <c r="R1316" s="630"/>
      <c r="S1316" s="630" t="s">
        <v>550</v>
      </c>
      <c r="T1316" s="630"/>
      <c r="U1316" s="630" t="s">
        <v>538</v>
      </c>
      <c r="V1316" s="630">
        <v>1</v>
      </c>
      <c r="W1316" s="630" t="s">
        <v>545</v>
      </c>
      <c r="X1316" s="630" t="s">
        <v>540</v>
      </c>
      <c r="Y1316" s="630" t="s">
        <v>549</v>
      </c>
      <c r="Z1316" s="630">
        <v>1.095793</v>
      </c>
      <c r="AA1316" s="630">
        <v>1.7635110000000001</v>
      </c>
      <c r="AB1316" s="631">
        <v>21201</v>
      </c>
      <c r="AC1316" s="631">
        <v>2116817</v>
      </c>
      <c r="AD1316" s="631">
        <f t="shared" si="20"/>
        <v>2319593.250881</v>
      </c>
    </row>
    <row r="1317" spans="2:30" x14ac:dyDescent="0.15">
      <c r="B1317" s="630">
        <v>17031003270</v>
      </c>
      <c r="C1317" s="630">
        <v>17031000659</v>
      </c>
      <c r="D1317" s="630">
        <v>17031000654</v>
      </c>
      <c r="E1317" s="630" t="s">
        <v>533</v>
      </c>
      <c r="F1317" s="630" t="s">
        <v>534</v>
      </c>
      <c r="G1317" s="630" t="s">
        <v>365</v>
      </c>
      <c r="H1317" s="630" t="s">
        <v>382</v>
      </c>
      <c r="I1317" s="630"/>
      <c r="J1317" s="630" t="s">
        <v>572</v>
      </c>
      <c r="K1317" s="630"/>
      <c r="L1317" s="630"/>
      <c r="M1317" s="630"/>
      <c r="N1317" s="630"/>
      <c r="O1317" s="630"/>
      <c r="P1317" s="630"/>
      <c r="Q1317" s="630"/>
      <c r="R1317" s="630"/>
      <c r="S1317" s="630" t="s">
        <v>609</v>
      </c>
      <c r="T1317" s="630" t="s">
        <v>695</v>
      </c>
      <c r="U1317" s="630" t="s">
        <v>538</v>
      </c>
      <c r="V1317" s="630">
        <v>1</v>
      </c>
      <c r="W1317" s="630" t="s">
        <v>539</v>
      </c>
      <c r="X1317" s="630" t="s">
        <v>540</v>
      </c>
      <c r="Y1317" s="630" t="s">
        <v>541</v>
      </c>
      <c r="Z1317" s="630">
        <v>0.236427</v>
      </c>
      <c r="AA1317" s="630">
        <v>0.38049300000000003</v>
      </c>
      <c r="AB1317" s="631">
        <v>518784</v>
      </c>
      <c r="AC1317" s="631">
        <v>21506516</v>
      </c>
      <c r="AD1317" s="631">
        <f t="shared" si="20"/>
        <v>5084721.0583319999</v>
      </c>
    </row>
    <row r="1318" spans="2:30" x14ac:dyDescent="0.15">
      <c r="B1318" s="630">
        <v>17043003330</v>
      </c>
      <c r="C1318" s="630">
        <v>17043000935</v>
      </c>
      <c r="D1318" s="630">
        <v>17043000939</v>
      </c>
      <c r="E1318" s="630" t="s">
        <v>533</v>
      </c>
      <c r="F1318" s="630" t="s">
        <v>534</v>
      </c>
      <c r="G1318" s="630" t="s">
        <v>367</v>
      </c>
      <c r="H1318" s="630" t="s">
        <v>381</v>
      </c>
      <c r="I1318" s="630"/>
      <c r="J1318" s="630" t="s">
        <v>542</v>
      </c>
      <c r="K1318" s="630" t="s">
        <v>535</v>
      </c>
      <c r="L1318" s="630" t="s">
        <v>547</v>
      </c>
      <c r="M1318" s="630" t="s">
        <v>382</v>
      </c>
      <c r="N1318" s="630" t="s">
        <v>536</v>
      </c>
      <c r="O1318" s="630"/>
      <c r="P1318" s="630"/>
      <c r="Q1318" s="630"/>
      <c r="R1318" s="630"/>
      <c r="S1318" s="630" t="s">
        <v>579</v>
      </c>
      <c r="T1318" s="630"/>
      <c r="U1318" s="630" t="s">
        <v>538</v>
      </c>
      <c r="V1318" s="630">
        <v>3</v>
      </c>
      <c r="W1318" s="630" t="s">
        <v>545</v>
      </c>
      <c r="X1318" s="630" t="s">
        <v>580</v>
      </c>
      <c r="Y1318" s="630" t="s">
        <v>549</v>
      </c>
      <c r="Z1318" s="630">
        <v>0.24288899999999999</v>
      </c>
      <c r="AA1318" s="630">
        <v>0.39089200000000002</v>
      </c>
      <c r="AB1318" s="631">
        <v>1181202</v>
      </c>
      <c r="AC1318" s="631">
        <v>46544860</v>
      </c>
      <c r="AD1318" s="631">
        <f t="shared" si="20"/>
        <v>11305234.500539999</v>
      </c>
    </row>
    <row r="1319" spans="2:30" x14ac:dyDescent="0.15">
      <c r="B1319" s="630">
        <v>17031003958</v>
      </c>
      <c r="C1319" s="630">
        <v>17031000716</v>
      </c>
      <c r="D1319" s="630">
        <v>17031000686</v>
      </c>
      <c r="E1319" s="630" t="s">
        <v>533</v>
      </c>
      <c r="F1319" s="630" t="s">
        <v>534</v>
      </c>
      <c r="G1319" s="630" t="s">
        <v>365</v>
      </c>
      <c r="H1319" s="630" t="s">
        <v>381</v>
      </c>
      <c r="I1319" s="630"/>
      <c r="J1319" s="630" t="s">
        <v>542</v>
      </c>
      <c r="K1319" s="630" t="s">
        <v>572</v>
      </c>
      <c r="L1319" s="630" t="s">
        <v>547</v>
      </c>
      <c r="M1319" s="630" t="s">
        <v>382</v>
      </c>
      <c r="N1319" s="630"/>
      <c r="O1319" s="630"/>
      <c r="P1319" s="630"/>
      <c r="Q1319" s="630"/>
      <c r="R1319" s="630"/>
      <c r="S1319" s="630" t="s">
        <v>579</v>
      </c>
      <c r="T1319" s="630"/>
      <c r="U1319" s="630" t="s">
        <v>538</v>
      </c>
      <c r="V1319" s="630">
        <v>4</v>
      </c>
      <c r="W1319" s="630" t="s">
        <v>545</v>
      </c>
      <c r="X1319" s="630" t="s">
        <v>580</v>
      </c>
      <c r="Y1319" s="630" t="s">
        <v>549</v>
      </c>
      <c r="Z1319" s="630">
        <v>2.4484360000000001</v>
      </c>
      <c r="AA1319" s="630">
        <v>3.9403839999999999</v>
      </c>
      <c r="AB1319" s="631">
        <v>80066</v>
      </c>
      <c r="AC1319" s="631">
        <v>3921120</v>
      </c>
      <c r="AD1319" s="631">
        <f t="shared" si="20"/>
        <v>9600611.3683199994</v>
      </c>
    </row>
    <row r="1320" spans="2:30" x14ac:dyDescent="0.15">
      <c r="B1320" s="630">
        <v>17031004012</v>
      </c>
      <c r="C1320" s="630">
        <v>17031000582</v>
      </c>
      <c r="D1320" s="630">
        <v>17031000570</v>
      </c>
      <c r="E1320" s="630" t="s">
        <v>533</v>
      </c>
      <c r="F1320" s="630" t="s">
        <v>534</v>
      </c>
      <c r="G1320" s="630" t="s">
        <v>365</v>
      </c>
      <c r="H1320" s="630" t="s">
        <v>382</v>
      </c>
      <c r="I1320" s="630"/>
      <c r="J1320" s="630" t="s">
        <v>572</v>
      </c>
      <c r="K1320" s="630" t="s">
        <v>543</v>
      </c>
      <c r="L1320" s="630"/>
      <c r="M1320" s="630"/>
      <c r="N1320" s="630"/>
      <c r="O1320" s="630"/>
      <c r="P1320" s="630"/>
      <c r="Q1320" s="630"/>
      <c r="R1320" s="630"/>
      <c r="S1320" s="630" t="s">
        <v>609</v>
      </c>
      <c r="T1320" s="630"/>
      <c r="U1320" s="630" t="s">
        <v>538</v>
      </c>
      <c r="V1320" s="630">
        <v>2</v>
      </c>
      <c r="W1320" s="630" t="s">
        <v>539</v>
      </c>
      <c r="X1320" s="630" t="s">
        <v>580</v>
      </c>
      <c r="Y1320" s="630" t="s">
        <v>554</v>
      </c>
      <c r="Z1320" s="630">
        <v>0.38240099999999999</v>
      </c>
      <c r="AA1320" s="630">
        <v>0.61541599999999996</v>
      </c>
      <c r="AB1320" s="631">
        <v>858401</v>
      </c>
      <c r="AC1320" s="631">
        <v>28501686</v>
      </c>
      <c r="AD1320" s="631">
        <f t="shared" si="20"/>
        <v>10899073.228086</v>
      </c>
    </row>
    <row r="1321" spans="2:30" x14ac:dyDescent="0.15">
      <c r="B1321" s="630">
        <v>17031004209</v>
      </c>
      <c r="C1321" s="630">
        <v>17031000347</v>
      </c>
      <c r="D1321" s="630">
        <v>17031000352</v>
      </c>
      <c r="E1321" s="630" t="s">
        <v>533</v>
      </c>
      <c r="F1321" s="630" t="s">
        <v>534</v>
      </c>
      <c r="G1321" s="630" t="s">
        <v>365</v>
      </c>
      <c r="H1321" s="630" t="s">
        <v>590</v>
      </c>
      <c r="I1321" s="630"/>
      <c r="J1321" s="630"/>
      <c r="K1321" s="630"/>
      <c r="L1321" s="630"/>
      <c r="M1321" s="630"/>
      <c r="N1321" s="630"/>
      <c r="O1321" s="630"/>
      <c r="P1321" s="630"/>
      <c r="Q1321" s="630"/>
      <c r="R1321" s="630"/>
      <c r="S1321" s="630"/>
      <c r="T1321" s="630"/>
      <c r="U1321" s="630" t="s">
        <v>559</v>
      </c>
      <c r="V1321" s="630">
        <v>1</v>
      </c>
      <c r="W1321" s="630" t="s">
        <v>560</v>
      </c>
      <c r="X1321" s="630" t="s">
        <v>541</v>
      </c>
      <c r="Y1321" s="630" t="s">
        <v>541</v>
      </c>
      <c r="Z1321" s="630">
        <v>1.017066</v>
      </c>
      <c r="AA1321" s="630">
        <v>1.6368130000000001</v>
      </c>
      <c r="AB1321" s="631">
        <v>0</v>
      </c>
      <c r="AC1321" s="631">
        <v>0</v>
      </c>
      <c r="AD1321" s="631">
        <f t="shared" si="20"/>
        <v>0</v>
      </c>
    </row>
    <row r="1322" spans="2:30" x14ac:dyDescent="0.15">
      <c r="B1322" s="630">
        <v>17031004582</v>
      </c>
      <c r="C1322" s="630">
        <v>17031001207</v>
      </c>
      <c r="D1322" s="630">
        <v>17031001205</v>
      </c>
      <c r="E1322" s="630" t="s">
        <v>533</v>
      </c>
      <c r="F1322" s="630" t="s">
        <v>534</v>
      </c>
      <c r="G1322" s="630" t="s">
        <v>365</v>
      </c>
      <c r="H1322" s="630" t="s">
        <v>577</v>
      </c>
      <c r="I1322" s="630"/>
      <c r="J1322" s="630"/>
      <c r="K1322" s="630"/>
      <c r="L1322" s="630"/>
      <c r="M1322" s="630"/>
      <c r="N1322" s="630"/>
      <c r="O1322" s="630"/>
      <c r="P1322" s="630"/>
      <c r="Q1322" s="630"/>
      <c r="R1322" s="630"/>
      <c r="S1322" s="630"/>
      <c r="T1322" s="630"/>
      <c r="U1322" s="630" t="s">
        <v>538</v>
      </c>
      <c r="V1322" s="630">
        <v>1</v>
      </c>
      <c r="W1322" s="630" t="s">
        <v>560</v>
      </c>
      <c r="X1322" s="630" t="s">
        <v>541</v>
      </c>
      <c r="Y1322" s="630" t="s">
        <v>541</v>
      </c>
      <c r="Z1322" s="630">
        <v>6.0274000000000001E-2</v>
      </c>
      <c r="AA1322" s="630">
        <v>9.7002000000000005E-2</v>
      </c>
      <c r="AB1322" s="631">
        <v>0</v>
      </c>
      <c r="AC1322" s="631">
        <v>0</v>
      </c>
      <c r="AD1322" s="631">
        <f t="shared" si="20"/>
        <v>0</v>
      </c>
    </row>
    <row r="1323" spans="2:30" x14ac:dyDescent="0.15">
      <c r="B1323" s="630">
        <v>17031004988</v>
      </c>
      <c r="C1323" s="630">
        <v>17031001385</v>
      </c>
      <c r="D1323" s="630">
        <v>99999022889</v>
      </c>
      <c r="E1323" s="630" t="s">
        <v>533</v>
      </c>
      <c r="F1323" s="630" t="s">
        <v>534</v>
      </c>
      <c r="G1323" s="630" t="s">
        <v>365</v>
      </c>
      <c r="H1323" s="630" t="s">
        <v>627</v>
      </c>
      <c r="I1323" s="630"/>
      <c r="J1323" s="630" t="s">
        <v>572</v>
      </c>
      <c r="K1323" s="630"/>
      <c r="L1323" s="630"/>
      <c r="M1323" s="630"/>
      <c r="N1323" s="630"/>
      <c r="O1323" s="630"/>
      <c r="P1323" s="630"/>
      <c r="Q1323" s="630"/>
      <c r="R1323" s="630"/>
      <c r="S1323" s="630"/>
      <c r="T1323" s="630"/>
      <c r="U1323" s="630" t="s">
        <v>538</v>
      </c>
      <c r="V1323" s="630">
        <v>2</v>
      </c>
      <c r="W1323" s="630" t="s">
        <v>545</v>
      </c>
      <c r="X1323" s="630" t="s">
        <v>541</v>
      </c>
      <c r="Y1323" s="630" t="s">
        <v>540</v>
      </c>
      <c r="Z1323" s="630">
        <v>0.14540900000000001</v>
      </c>
      <c r="AA1323" s="630">
        <v>0.234013</v>
      </c>
      <c r="AB1323" s="631">
        <v>23278</v>
      </c>
      <c r="AC1323" s="631">
        <v>2056406</v>
      </c>
      <c r="AD1323" s="631">
        <f t="shared" si="20"/>
        <v>299019.94005400001</v>
      </c>
    </row>
    <row r="1324" spans="2:30" x14ac:dyDescent="0.15">
      <c r="B1324" s="630">
        <v>17031005368</v>
      </c>
      <c r="C1324" s="630">
        <v>17031007018</v>
      </c>
      <c r="D1324" s="630">
        <v>17031001383</v>
      </c>
      <c r="E1324" s="630" t="s">
        <v>533</v>
      </c>
      <c r="F1324" s="630" t="s">
        <v>534</v>
      </c>
      <c r="G1324" s="630" t="s">
        <v>365</v>
      </c>
      <c r="H1324" s="630" t="s">
        <v>543</v>
      </c>
      <c r="I1324" s="630"/>
      <c r="J1324" s="630"/>
      <c r="K1324" s="630"/>
      <c r="L1324" s="630"/>
      <c r="M1324" s="630"/>
      <c r="N1324" s="630"/>
      <c r="O1324" s="630"/>
      <c r="P1324" s="630"/>
      <c r="Q1324" s="630"/>
      <c r="R1324" s="630"/>
      <c r="S1324" s="630" t="s">
        <v>604</v>
      </c>
      <c r="T1324" s="630"/>
      <c r="U1324" s="630" t="s">
        <v>538</v>
      </c>
      <c r="V1324" s="630">
        <v>2</v>
      </c>
      <c r="W1324" s="630" t="s">
        <v>545</v>
      </c>
      <c r="X1324" s="630" t="s">
        <v>546</v>
      </c>
      <c r="Y1324" s="630" t="s">
        <v>554</v>
      </c>
      <c r="Z1324" s="630">
        <v>0.423398</v>
      </c>
      <c r="AA1324" s="630">
        <v>0.68139499999999997</v>
      </c>
      <c r="AB1324" s="631">
        <v>10717</v>
      </c>
      <c r="AC1324" s="631">
        <v>927989</v>
      </c>
      <c r="AD1324" s="631">
        <f t="shared" si="20"/>
        <v>392908.68662200001</v>
      </c>
    </row>
    <row r="1325" spans="2:30" x14ac:dyDescent="0.15">
      <c r="B1325" s="630">
        <v>17031002186</v>
      </c>
      <c r="C1325" s="630">
        <v>17031001025</v>
      </c>
      <c r="D1325" s="630">
        <v>17031004754</v>
      </c>
      <c r="E1325" s="630" t="s">
        <v>533</v>
      </c>
      <c r="F1325" s="630" t="s">
        <v>534</v>
      </c>
      <c r="G1325" s="630" t="s">
        <v>365</v>
      </c>
      <c r="H1325" s="630" t="s">
        <v>535</v>
      </c>
      <c r="I1325" s="630"/>
      <c r="J1325" s="630" t="s">
        <v>542</v>
      </c>
      <c r="K1325" s="630" t="s">
        <v>572</v>
      </c>
      <c r="L1325" s="630"/>
      <c r="M1325" s="630"/>
      <c r="N1325" s="630"/>
      <c r="O1325" s="630"/>
      <c r="P1325" s="630"/>
      <c r="Q1325" s="630"/>
      <c r="R1325" s="630"/>
      <c r="S1325" s="630" t="s">
        <v>544</v>
      </c>
      <c r="T1325" s="630"/>
      <c r="U1325" s="630" t="s">
        <v>538</v>
      </c>
      <c r="V1325" s="630">
        <v>2</v>
      </c>
      <c r="W1325" s="630" t="s">
        <v>545</v>
      </c>
      <c r="X1325" s="630" t="s">
        <v>549</v>
      </c>
      <c r="Y1325" s="630" t="s">
        <v>549</v>
      </c>
      <c r="Z1325" s="630">
        <v>1.0918490000000001</v>
      </c>
      <c r="AA1325" s="630">
        <v>1.757163</v>
      </c>
      <c r="AB1325" s="631">
        <v>16696</v>
      </c>
      <c r="AC1325" s="631">
        <v>1424574</v>
      </c>
      <c r="AD1325" s="631">
        <f t="shared" si="20"/>
        <v>1555419.6973260001</v>
      </c>
    </row>
    <row r="1326" spans="2:30" x14ac:dyDescent="0.15">
      <c r="B1326" s="630">
        <v>17111002549</v>
      </c>
      <c r="C1326" s="630">
        <v>17111004842</v>
      </c>
      <c r="D1326" s="630">
        <v>17999018462</v>
      </c>
      <c r="E1326" s="630" t="s">
        <v>533</v>
      </c>
      <c r="F1326" s="630" t="s">
        <v>534</v>
      </c>
      <c r="G1326" s="630" t="s">
        <v>375</v>
      </c>
      <c r="H1326" s="630" t="s">
        <v>382</v>
      </c>
      <c r="I1326" s="630"/>
      <c r="J1326" s="630"/>
      <c r="K1326" s="630"/>
      <c r="L1326" s="630"/>
      <c r="M1326" s="630"/>
      <c r="N1326" s="630"/>
      <c r="O1326" s="630"/>
      <c r="P1326" s="630"/>
      <c r="Q1326" s="630"/>
      <c r="R1326" s="630"/>
      <c r="S1326" s="630" t="s">
        <v>561</v>
      </c>
      <c r="T1326" s="630"/>
      <c r="U1326" s="630" t="s">
        <v>538</v>
      </c>
      <c r="V1326" s="630">
        <v>1</v>
      </c>
      <c r="W1326" s="630" t="s">
        <v>562</v>
      </c>
      <c r="X1326" s="630" t="s">
        <v>541</v>
      </c>
      <c r="Y1326" s="630" t="s">
        <v>540</v>
      </c>
      <c r="Z1326" s="630">
        <v>4.9888399999999997</v>
      </c>
      <c r="AA1326" s="630">
        <v>8.0287749999999996</v>
      </c>
      <c r="AB1326" s="631">
        <v>16124</v>
      </c>
      <c r="AC1326" s="631">
        <v>373440</v>
      </c>
      <c r="AD1326" s="631">
        <f t="shared" si="20"/>
        <v>1863032.4095999999</v>
      </c>
    </row>
    <row r="1327" spans="2:30" x14ac:dyDescent="0.15">
      <c r="B1327" s="630">
        <v>17031002601</v>
      </c>
      <c r="C1327" s="630">
        <v>17031001416</v>
      </c>
      <c r="D1327" s="630">
        <v>17031001414</v>
      </c>
      <c r="E1327" s="630" t="s">
        <v>533</v>
      </c>
      <c r="F1327" s="630" t="s">
        <v>534</v>
      </c>
      <c r="G1327" s="630" t="s">
        <v>365</v>
      </c>
      <c r="H1327" s="630" t="s">
        <v>551</v>
      </c>
      <c r="I1327" s="630" t="s">
        <v>535</v>
      </c>
      <c r="J1327" s="630" t="s">
        <v>555</v>
      </c>
      <c r="K1327" s="630"/>
      <c r="L1327" s="630"/>
      <c r="M1327" s="630"/>
      <c r="N1327" s="630"/>
      <c r="O1327" s="630"/>
      <c r="P1327" s="630"/>
      <c r="Q1327" s="630"/>
      <c r="R1327" s="630"/>
      <c r="S1327" s="630" t="s">
        <v>553</v>
      </c>
      <c r="T1327" s="630"/>
      <c r="U1327" s="630" t="s">
        <v>538</v>
      </c>
      <c r="V1327" s="630">
        <v>2</v>
      </c>
      <c r="W1327" s="630" t="s">
        <v>545</v>
      </c>
      <c r="X1327" s="630" t="s">
        <v>540</v>
      </c>
      <c r="Y1327" s="630" t="s">
        <v>549</v>
      </c>
      <c r="Z1327" s="630">
        <v>0.215278</v>
      </c>
      <c r="AA1327" s="630">
        <v>0.34645799999999999</v>
      </c>
      <c r="AB1327" s="631">
        <v>681436</v>
      </c>
      <c r="AC1327" s="631">
        <v>24393150</v>
      </c>
      <c r="AD1327" s="631">
        <f t="shared" si="20"/>
        <v>5251308.5456999997</v>
      </c>
    </row>
    <row r="1328" spans="2:30" x14ac:dyDescent="0.15">
      <c r="B1328" s="630">
        <v>17197003772</v>
      </c>
      <c r="C1328" s="630">
        <v>17197001637</v>
      </c>
      <c r="D1328" s="630">
        <v>17197004808</v>
      </c>
      <c r="E1328" s="630" t="s">
        <v>533</v>
      </c>
      <c r="F1328" s="630" t="s">
        <v>534</v>
      </c>
      <c r="G1328" s="630" t="s">
        <v>377</v>
      </c>
      <c r="H1328" s="630" t="s">
        <v>382</v>
      </c>
      <c r="I1328" s="630"/>
      <c r="J1328" s="630" t="s">
        <v>542</v>
      </c>
      <c r="K1328" s="630"/>
      <c r="L1328" s="630"/>
      <c r="M1328" s="630"/>
      <c r="N1328" s="630"/>
      <c r="O1328" s="630"/>
      <c r="P1328" s="630"/>
      <c r="Q1328" s="630"/>
      <c r="R1328" s="630"/>
      <c r="S1328" s="630" t="s">
        <v>606</v>
      </c>
      <c r="T1328" s="630"/>
      <c r="U1328" s="630" t="s">
        <v>538</v>
      </c>
      <c r="V1328" s="630">
        <v>1</v>
      </c>
      <c r="W1328" s="630" t="s">
        <v>545</v>
      </c>
      <c r="X1328" s="630" t="s">
        <v>541</v>
      </c>
      <c r="Y1328" s="630" t="s">
        <v>549</v>
      </c>
      <c r="Z1328" s="630">
        <v>0.93153799999999998</v>
      </c>
      <c r="AA1328" s="630">
        <v>1.4991669999999999</v>
      </c>
      <c r="AB1328" s="631">
        <v>80</v>
      </c>
      <c r="AC1328" s="631">
        <v>7840</v>
      </c>
      <c r="AD1328" s="631">
        <f t="shared" si="20"/>
        <v>7303.25792</v>
      </c>
    </row>
    <row r="1329" spans="2:30" x14ac:dyDescent="0.15">
      <c r="B1329" s="630">
        <v>17031003580</v>
      </c>
      <c r="C1329" s="630">
        <v>17031000944</v>
      </c>
      <c r="D1329" s="630">
        <v>17031000936</v>
      </c>
      <c r="E1329" s="630" t="s">
        <v>533</v>
      </c>
      <c r="F1329" s="630" t="s">
        <v>534</v>
      </c>
      <c r="G1329" s="630" t="s">
        <v>365</v>
      </c>
      <c r="H1329" s="630" t="s">
        <v>557</v>
      </c>
      <c r="I1329" s="630"/>
      <c r="J1329" s="630" t="s">
        <v>381</v>
      </c>
      <c r="K1329" s="630" t="s">
        <v>571</v>
      </c>
      <c r="L1329" s="630" t="s">
        <v>535</v>
      </c>
      <c r="M1329" s="630" t="s">
        <v>552</v>
      </c>
      <c r="N1329" s="630" t="s">
        <v>551</v>
      </c>
      <c r="O1329" s="630" t="s">
        <v>543</v>
      </c>
      <c r="P1329" s="630" t="s">
        <v>382</v>
      </c>
      <c r="Q1329" s="630" t="s">
        <v>563</v>
      </c>
      <c r="R1329" s="630"/>
      <c r="S1329" s="630" t="s">
        <v>570</v>
      </c>
      <c r="T1329" s="630"/>
      <c r="U1329" s="630" t="s">
        <v>538</v>
      </c>
      <c r="V1329" s="630">
        <v>2</v>
      </c>
      <c r="W1329" s="630" t="s">
        <v>545</v>
      </c>
      <c r="X1329" s="630" t="s">
        <v>575</v>
      </c>
      <c r="Y1329" s="630" t="s">
        <v>540</v>
      </c>
      <c r="Z1329" s="630">
        <v>0.19883500000000001</v>
      </c>
      <c r="AA1329" s="630">
        <v>0.319994</v>
      </c>
      <c r="AB1329" s="631">
        <v>1449566</v>
      </c>
      <c r="AC1329" s="631">
        <v>73223058</v>
      </c>
      <c r="AD1329" s="631">
        <f t="shared" si="20"/>
        <v>14559306.737430001</v>
      </c>
    </row>
    <row r="1330" spans="2:30" x14ac:dyDescent="0.15">
      <c r="B1330" s="630">
        <v>17043008192</v>
      </c>
      <c r="C1330" s="630">
        <v>17043006564</v>
      </c>
      <c r="D1330" s="630">
        <v>17043004780</v>
      </c>
      <c r="E1330" s="630" t="s">
        <v>533</v>
      </c>
      <c r="F1330" s="630" t="s">
        <v>534</v>
      </c>
      <c r="G1330" s="630" t="s">
        <v>367</v>
      </c>
      <c r="H1330" s="630" t="s">
        <v>382</v>
      </c>
      <c r="I1330" s="630"/>
      <c r="J1330" s="630"/>
      <c r="K1330" s="630"/>
      <c r="L1330" s="630"/>
      <c r="M1330" s="630"/>
      <c r="N1330" s="630"/>
      <c r="O1330" s="630"/>
      <c r="P1330" s="630"/>
      <c r="Q1330" s="630"/>
      <c r="R1330" s="630"/>
      <c r="S1330" s="630" t="s">
        <v>653</v>
      </c>
      <c r="T1330" s="630"/>
      <c r="U1330" s="630" t="s">
        <v>559</v>
      </c>
      <c r="V1330" s="630">
        <v>1</v>
      </c>
      <c r="W1330" s="630" t="s">
        <v>560</v>
      </c>
      <c r="X1330" s="630" t="s">
        <v>541</v>
      </c>
      <c r="Y1330" s="630" t="s">
        <v>541</v>
      </c>
      <c r="Z1330" s="630">
        <v>3.5143000000000001E-2</v>
      </c>
      <c r="AA1330" s="630">
        <v>5.6557000000000003E-2</v>
      </c>
      <c r="AB1330" s="631">
        <v>5730</v>
      </c>
      <c r="AC1330" s="631">
        <v>588728</v>
      </c>
      <c r="AD1330" s="631">
        <f t="shared" si="20"/>
        <v>20689.668104</v>
      </c>
    </row>
    <row r="1331" spans="2:30" x14ac:dyDescent="0.15">
      <c r="B1331" s="630">
        <v>17031009600</v>
      </c>
      <c r="C1331" s="630">
        <v>17031001236</v>
      </c>
      <c r="D1331" s="630">
        <v>17031007688</v>
      </c>
      <c r="E1331" s="630" t="s">
        <v>533</v>
      </c>
      <c r="F1331" s="630" t="s">
        <v>534</v>
      </c>
      <c r="G1331" s="630" t="s">
        <v>365</v>
      </c>
      <c r="H1331" s="630" t="s">
        <v>535</v>
      </c>
      <c r="I1331" s="630"/>
      <c r="J1331" s="630" t="s">
        <v>542</v>
      </c>
      <c r="K1331" s="630" t="s">
        <v>572</v>
      </c>
      <c r="L1331" s="630" t="s">
        <v>547</v>
      </c>
      <c r="M1331" s="630" t="s">
        <v>382</v>
      </c>
      <c r="N1331" s="630"/>
      <c r="O1331" s="630"/>
      <c r="P1331" s="630"/>
      <c r="Q1331" s="630"/>
      <c r="R1331" s="630"/>
      <c r="S1331" s="630" t="s">
        <v>601</v>
      </c>
      <c r="T1331" s="630"/>
      <c r="U1331" s="630" t="s">
        <v>538</v>
      </c>
      <c r="V1331" s="630">
        <v>2</v>
      </c>
      <c r="W1331" s="630" t="s">
        <v>545</v>
      </c>
      <c r="X1331" s="630" t="s">
        <v>540</v>
      </c>
      <c r="Y1331" s="630" t="s">
        <v>549</v>
      </c>
      <c r="Z1331" s="630">
        <v>0.65871900000000005</v>
      </c>
      <c r="AA1331" s="630">
        <v>1.0601069999999999</v>
      </c>
      <c r="AB1331" s="631">
        <v>46240</v>
      </c>
      <c r="AC1331" s="631">
        <v>1585480</v>
      </c>
      <c r="AD1331" s="631">
        <f t="shared" si="20"/>
        <v>1044385.80012</v>
      </c>
    </row>
    <row r="1332" spans="2:30" x14ac:dyDescent="0.15">
      <c r="B1332" s="630">
        <v>17043001986</v>
      </c>
      <c r="C1332" s="630">
        <v>17043004783</v>
      </c>
      <c r="D1332" s="630">
        <v>17999020068</v>
      </c>
      <c r="E1332" s="630" t="s">
        <v>533</v>
      </c>
      <c r="F1332" s="630" t="s">
        <v>534</v>
      </c>
      <c r="G1332" s="630" t="s">
        <v>367</v>
      </c>
      <c r="H1332" s="630" t="s">
        <v>382</v>
      </c>
      <c r="I1332" s="630"/>
      <c r="J1332" s="630"/>
      <c r="K1332" s="630"/>
      <c r="L1332" s="630"/>
      <c r="M1332" s="630"/>
      <c r="N1332" s="630"/>
      <c r="O1332" s="630"/>
      <c r="P1332" s="630"/>
      <c r="Q1332" s="630"/>
      <c r="R1332" s="630"/>
      <c r="S1332" s="630" t="s">
        <v>561</v>
      </c>
      <c r="T1332" s="630"/>
      <c r="U1332" s="630" t="s">
        <v>538</v>
      </c>
      <c r="V1332" s="630">
        <v>1</v>
      </c>
      <c r="W1332" s="630" t="s">
        <v>562</v>
      </c>
      <c r="X1332" s="630" t="s">
        <v>541</v>
      </c>
      <c r="Y1332" s="630" t="s">
        <v>540</v>
      </c>
      <c r="Z1332" s="630">
        <v>1.3813420000000001</v>
      </c>
      <c r="AA1332" s="630">
        <v>2.2230599999999998</v>
      </c>
      <c r="AB1332" s="631">
        <v>16124</v>
      </c>
      <c r="AC1332" s="631">
        <v>373440</v>
      </c>
      <c r="AD1332" s="631">
        <f t="shared" si="20"/>
        <v>515848.35648000002</v>
      </c>
    </row>
    <row r="1333" spans="2:30" x14ac:dyDescent="0.15">
      <c r="B1333" s="630">
        <v>17097002153</v>
      </c>
      <c r="C1333" s="630">
        <v>17097004538</v>
      </c>
      <c r="D1333" s="630">
        <v>17097004537</v>
      </c>
      <c r="E1333" s="630" t="s">
        <v>533</v>
      </c>
      <c r="F1333" s="630" t="s">
        <v>534</v>
      </c>
      <c r="G1333" s="630" t="s">
        <v>373</v>
      </c>
      <c r="H1333" s="630" t="s">
        <v>552</v>
      </c>
      <c r="I1333" s="630"/>
      <c r="J1333" s="630" t="s">
        <v>542</v>
      </c>
      <c r="K1333" s="630" t="s">
        <v>547</v>
      </c>
      <c r="L1333" s="630" t="s">
        <v>563</v>
      </c>
      <c r="M1333" s="630"/>
      <c r="N1333" s="630"/>
      <c r="O1333" s="630"/>
      <c r="P1333" s="630"/>
      <c r="Q1333" s="630"/>
      <c r="R1333" s="630"/>
      <c r="S1333" s="630" t="s">
        <v>564</v>
      </c>
      <c r="T1333" s="630"/>
      <c r="U1333" s="630" t="s">
        <v>538</v>
      </c>
      <c r="V1333" s="630">
        <v>2</v>
      </c>
      <c r="W1333" s="630" t="s">
        <v>545</v>
      </c>
      <c r="X1333" s="630" t="s">
        <v>549</v>
      </c>
      <c r="Y1333" s="630" t="s">
        <v>540</v>
      </c>
      <c r="Z1333" s="630">
        <v>4.0466819999999997</v>
      </c>
      <c r="AA1333" s="630">
        <v>6.5125159999999997</v>
      </c>
      <c r="AB1333" s="631">
        <v>529599</v>
      </c>
      <c r="AC1333" s="631">
        <v>32992685</v>
      </c>
      <c r="AD1333" s="631">
        <f t="shared" si="20"/>
        <v>133510904.52116999</v>
      </c>
    </row>
    <row r="1334" spans="2:30" x14ac:dyDescent="0.15">
      <c r="B1334" s="630">
        <v>17031002339</v>
      </c>
      <c r="C1334" s="630">
        <v>17031001560</v>
      </c>
      <c r="D1334" s="630">
        <v>17031001559</v>
      </c>
      <c r="E1334" s="630" t="s">
        <v>533</v>
      </c>
      <c r="F1334" s="630" t="s">
        <v>534</v>
      </c>
      <c r="G1334" s="630" t="s">
        <v>365</v>
      </c>
      <c r="H1334" s="630" t="s">
        <v>535</v>
      </c>
      <c r="I1334" s="630"/>
      <c r="J1334" s="630" t="s">
        <v>382</v>
      </c>
      <c r="K1334" s="630" t="s">
        <v>536</v>
      </c>
      <c r="L1334" s="630"/>
      <c r="M1334" s="630"/>
      <c r="N1334" s="630"/>
      <c r="O1334" s="630"/>
      <c r="P1334" s="630"/>
      <c r="Q1334" s="630"/>
      <c r="R1334" s="630"/>
      <c r="S1334" s="630" t="s">
        <v>537</v>
      </c>
      <c r="T1334" s="630"/>
      <c r="U1334" s="630" t="s">
        <v>538</v>
      </c>
      <c r="V1334" s="630">
        <v>2</v>
      </c>
      <c r="W1334" s="630" t="s">
        <v>582</v>
      </c>
      <c r="X1334" s="630" t="s">
        <v>540</v>
      </c>
      <c r="Y1334" s="630" t="s">
        <v>549</v>
      </c>
      <c r="Z1334" s="630">
        <v>0.43037999999999998</v>
      </c>
      <c r="AA1334" s="630">
        <v>0.692631</v>
      </c>
      <c r="AB1334" s="631">
        <v>10720</v>
      </c>
      <c r="AC1334" s="631">
        <v>853160</v>
      </c>
      <c r="AD1334" s="631">
        <f t="shared" si="20"/>
        <v>367183.00079999998</v>
      </c>
    </row>
    <row r="1335" spans="2:30" x14ac:dyDescent="0.15">
      <c r="B1335" s="630">
        <v>17031003000</v>
      </c>
      <c r="C1335" s="630">
        <v>17031001007</v>
      </c>
      <c r="D1335" s="630">
        <v>17031001037</v>
      </c>
      <c r="E1335" s="630" t="s">
        <v>533</v>
      </c>
      <c r="F1335" s="630" t="s">
        <v>534</v>
      </c>
      <c r="G1335" s="630" t="s">
        <v>365</v>
      </c>
      <c r="H1335" s="630" t="s">
        <v>551</v>
      </c>
      <c r="I1335" s="630" t="s">
        <v>535</v>
      </c>
      <c r="J1335" s="630"/>
      <c r="K1335" s="630"/>
      <c r="L1335" s="630"/>
      <c r="M1335" s="630"/>
      <c r="N1335" s="630"/>
      <c r="O1335" s="630"/>
      <c r="P1335" s="630"/>
      <c r="Q1335" s="630"/>
      <c r="R1335" s="630"/>
      <c r="S1335" s="630" t="s">
        <v>553</v>
      </c>
      <c r="T1335" s="630"/>
      <c r="U1335" s="630" t="s">
        <v>538</v>
      </c>
      <c r="V1335" s="630">
        <v>1</v>
      </c>
      <c r="W1335" s="630" t="s">
        <v>582</v>
      </c>
      <c r="X1335" s="630" t="s">
        <v>541</v>
      </c>
      <c r="Y1335" s="630" t="s">
        <v>540</v>
      </c>
      <c r="Z1335" s="630">
        <v>0.32975399999999999</v>
      </c>
      <c r="AA1335" s="630">
        <v>0.53068899999999997</v>
      </c>
      <c r="AB1335" s="631">
        <v>0</v>
      </c>
      <c r="AC1335" s="631">
        <v>0</v>
      </c>
      <c r="AD1335" s="631">
        <f t="shared" si="20"/>
        <v>0</v>
      </c>
    </row>
    <row r="1336" spans="2:30" x14ac:dyDescent="0.15">
      <c r="B1336" s="630">
        <v>17197003219</v>
      </c>
      <c r="C1336" s="630">
        <v>17197007399</v>
      </c>
      <c r="D1336" s="630">
        <v>17197001483</v>
      </c>
      <c r="E1336" s="630" t="s">
        <v>533</v>
      </c>
      <c r="F1336" s="630" t="s">
        <v>534</v>
      </c>
      <c r="G1336" s="630" t="s">
        <v>377</v>
      </c>
      <c r="H1336" s="630" t="s">
        <v>547</v>
      </c>
      <c r="I1336" s="630"/>
      <c r="J1336" s="630" t="s">
        <v>551</v>
      </c>
      <c r="K1336" s="630" t="s">
        <v>615</v>
      </c>
      <c r="L1336" s="630" t="s">
        <v>535</v>
      </c>
      <c r="M1336" s="630"/>
      <c r="N1336" s="630"/>
      <c r="O1336" s="630"/>
      <c r="P1336" s="630"/>
      <c r="Q1336" s="630"/>
      <c r="R1336" s="630"/>
      <c r="S1336" s="630" t="s">
        <v>581</v>
      </c>
      <c r="T1336" s="630"/>
      <c r="U1336" s="630" t="s">
        <v>538</v>
      </c>
      <c r="V1336" s="630">
        <v>2</v>
      </c>
      <c r="W1336" s="630" t="s">
        <v>582</v>
      </c>
      <c r="X1336" s="630" t="s">
        <v>540</v>
      </c>
      <c r="Y1336" s="630" t="s">
        <v>540</v>
      </c>
      <c r="Z1336" s="630">
        <v>0.74482899999999996</v>
      </c>
      <c r="AA1336" s="630">
        <v>1.1986889999999999</v>
      </c>
      <c r="AB1336" s="631">
        <v>91201</v>
      </c>
      <c r="AC1336" s="631">
        <v>8934644</v>
      </c>
      <c r="AD1336" s="631">
        <f t="shared" si="20"/>
        <v>6654781.9558759993</v>
      </c>
    </row>
    <row r="1337" spans="2:30" x14ac:dyDescent="0.15">
      <c r="B1337" s="630">
        <v>17031004196</v>
      </c>
      <c r="C1337" s="630">
        <v>17031000402</v>
      </c>
      <c r="D1337" s="630">
        <v>17031000401</v>
      </c>
      <c r="E1337" s="630" t="s">
        <v>533</v>
      </c>
      <c r="F1337" s="630" t="s">
        <v>534</v>
      </c>
      <c r="G1337" s="630" t="s">
        <v>365</v>
      </c>
      <c r="H1337" s="630" t="s">
        <v>382</v>
      </c>
      <c r="I1337" s="630"/>
      <c r="J1337" s="630" t="s">
        <v>547</v>
      </c>
      <c r="K1337" s="630"/>
      <c r="L1337" s="630"/>
      <c r="M1337" s="630"/>
      <c r="N1337" s="630"/>
      <c r="O1337" s="630"/>
      <c r="P1337" s="630"/>
      <c r="Q1337" s="630"/>
      <c r="R1337" s="630"/>
      <c r="S1337" s="630" t="s">
        <v>608</v>
      </c>
      <c r="T1337" s="630"/>
      <c r="U1337" s="630" t="s">
        <v>538</v>
      </c>
      <c r="V1337" s="630">
        <v>3</v>
      </c>
      <c r="W1337" s="630" t="s">
        <v>566</v>
      </c>
      <c r="X1337" s="630" t="s">
        <v>541</v>
      </c>
      <c r="Y1337" s="630" t="s">
        <v>540</v>
      </c>
      <c r="Z1337" s="630">
        <v>4.5303000000000003E-2</v>
      </c>
      <c r="AA1337" s="630">
        <v>7.2909000000000002E-2</v>
      </c>
      <c r="AB1337" s="631">
        <v>0</v>
      </c>
      <c r="AC1337" s="631">
        <v>0</v>
      </c>
      <c r="AD1337" s="631">
        <f t="shared" si="20"/>
        <v>0</v>
      </c>
    </row>
    <row r="1338" spans="2:30" x14ac:dyDescent="0.15">
      <c r="B1338" s="630">
        <v>17031006135</v>
      </c>
      <c r="C1338" s="630">
        <v>17031000657</v>
      </c>
      <c r="D1338" s="630">
        <v>17031000658</v>
      </c>
      <c r="E1338" s="630" t="s">
        <v>533</v>
      </c>
      <c r="F1338" s="630" t="s">
        <v>534</v>
      </c>
      <c r="G1338" s="630" t="s">
        <v>365</v>
      </c>
      <c r="H1338" s="630" t="s">
        <v>382</v>
      </c>
      <c r="I1338" s="630"/>
      <c r="J1338" s="630" t="s">
        <v>572</v>
      </c>
      <c r="K1338" s="630"/>
      <c r="L1338" s="630"/>
      <c r="M1338" s="630"/>
      <c r="N1338" s="630"/>
      <c r="O1338" s="630"/>
      <c r="P1338" s="630"/>
      <c r="Q1338" s="630"/>
      <c r="R1338" s="630"/>
      <c r="S1338" s="630" t="s">
        <v>609</v>
      </c>
      <c r="T1338" s="630"/>
      <c r="U1338" s="630" t="s">
        <v>538</v>
      </c>
      <c r="V1338" s="630">
        <v>1</v>
      </c>
      <c r="W1338" s="630" t="s">
        <v>539</v>
      </c>
      <c r="X1338" s="630" t="s">
        <v>554</v>
      </c>
      <c r="Y1338" s="630" t="s">
        <v>541</v>
      </c>
      <c r="Z1338" s="630">
        <v>0.14497199999999999</v>
      </c>
      <c r="AA1338" s="630">
        <v>0.23330999999999999</v>
      </c>
      <c r="AB1338" s="631">
        <v>6140</v>
      </c>
      <c r="AC1338" s="631">
        <v>526400</v>
      </c>
      <c r="AD1338" s="631">
        <f t="shared" si="20"/>
        <v>76313.260799999989</v>
      </c>
    </row>
    <row r="1339" spans="2:30" x14ac:dyDescent="0.15">
      <c r="B1339" s="630">
        <v>17031006466</v>
      </c>
      <c r="C1339" s="630">
        <v>17031000850</v>
      </c>
      <c r="D1339" s="630">
        <v>17031000840</v>
      </c>
      <c r="E1339" s="630" t="s">
        <v>533</v>
      </c>
      <c r="F1339" s="630" t="s">
        <v>534</v>
      </c>
      <c r="G1339" s="630" t="s">
        <v>365</v>
      </c>
      <c r="H1339" s="630" t="s">
        <v>571</v>
      </c>
      <c r="I1339" s="630"/>
      <c r="J1339" s="630" t="s">
        <v>381</v>
      </c>
      <c r="K1339" s="630" t="s">
        <v>543</v>
      </c>
      <c r="L1339" s="630" t="s">
        <v>382</v>
      </c>
      <c r="M1339" s="630" t="s">
        <v>535</v>
      </c>
      <c r="N1339" s="630" t="s">
        <v>551</v>
      </c>
      <c r="O1339" s="630"/>
      <c r="P1339" s="630"/>
      <c r="Q1339" s="630"/>
      <c r="R1339" s="630"/>
      <c r="S1339" s="630" t="s">
        <v>654</v>
      </c>
      <c r="T1339" s="630"/>
      <c r="U1339" s="630" t="s">
        <v>559</v>
      </c>
      <c r="V1339" s="630">
        <v>1</v>
      </c>
      <c r="W1339" s="630" t="s">
        <v>560</v>
      </c>
      <c r="X1339" s="630" t="s">
        <v>541</v>
      </c>
      <c r="Y1339" s="630" t="s">
        <v>541</v>
      </c>
      <c r="Z1339" s="630">
        <v>5.3379000000000003E-2</v>
      </c>
      <c r="AA1339" s="630">
        <v>8.5904999999999995E-2</v>
      </c>
      <c r="AB1339" s="631">
        <v>63280</v>
      </c>
      <c r="AC1339" s="631">
        <v>3022040</v>
      </c>
      <c r="AD1339" s="631">
        <f t="shared" si="20"/>
        <v>161313.47315999999</v>
      </c>
    </row>
    <row r="1340" spans="2:30" x14ac:dyDescent="0.15">
      <c r="B1340" s="630">
        <v>17031002885</v>
      </c>
      <c r="C1340" s="630">
        <v>17031001110</v>
      </c>
      <c r="D1340" s="630">
        <v>17031001107</v>
      </c>
      <c r="E1340" s="630" t="s">
        <v>533</v>
      </c>
      <c r="F1340" s="630" t="s">
        <v>534</v>
      </c>
      <c r="G1340" s="630" t="s">
        <v>365</v>
      </c>
      <c r="H1340" s="630" t="s">
        <v>577</v>
      </c>
      <c r="I1340" s="630"/>
      <c r="J1340" s="630"/>
      <c r="K1340" s="630"/>
      <c r="L1340" s="630"/>
      <c r="M1340" s="630"/>
      <c r="N1340" s="630"/>
      <c r="O1340" s="630"/>
      <c r="P1340" s="630"/>
      <c r="Q1340" s="630"/>
      <c r="R1340" s="630"/>
      <c r="S1340" s="630"/>
      <c r="T1340" s="630"/>
      <c r="U1340" s="630" t="s">
        <v>538</v>
      </c>
      <c r="V1340" s="630">
        <v>1</v>
      </c>
      <c r="W1340" s="630" t="s">
        <v>560</v>
      </c>
      <c r="X1340" s="630" t="s">
        <v>541</v>
      </c>
      <c r="Y1340" s="630" t="s">
        <v>541</v>
      </c>
      <c r="Z1340" s="630">
        <v>1.1613549999999999</v>
      </c>
      <c r="AA1340" s="630">
        <v>1.8690230000000001</v>
      </c>
      <c r="AB1340" s="631">
        <v>0</v>
      </c>
      <c r="AC1340" s="631">
        <v>0</v>
      </c>
      <c r="AD1340" s="631">
        <f t="shared" si="20"/>
        <v>0</v>
      </c>
    </row>
    <row r="1341" spans="2:30" x14ac:dyDescent="0.15">
      <c r="B1341" s="630">
        <v>17097001926</v>
      </c>
      <c r="C1341" s="630">
        <v>17097000078</v>
      </c>
      <c r="D1341" s="630">
        <v>17097004539</v>
      </c>
      <c r="E1341" s="630" t="s">
        <v>533</v>
      </c>
      <c r="F1341" s="630" t="s">
        <v>534</v>
      </c>
      <c r="G1341" s="630" t="s">
        <v>373</v>
      </c>
      <c r="H1341" s="630" t="s">
        <v>552</v>
      </c>
      <c r="I1341" s="630"/>
      <c r="J1341" s="630" t="s">
        <v>542</v>
      </c>
      <c r="K1341" s="630"/>
      <c r="L1341" s="630"/>
      <c r="M1341" s="630"/>
      <c r="N1341" s="630"/>
      <c r="O1341" s="630"/>
      <c r="P1341" s="630"/>
      <c r="Q1341" s="630"/>
      <c r="R1341" s="630"/>
      <c r="S1341" s="630" t="s">
        <v>564</v>
      </c>
      <c r="T1341" s="630"/>
      <c r="U1341" s="630" t="s">
        <v>538</v>
      </c>
      <c r="V1341" s="630">
        <v>4</v>
      </c>
      <c r="W1341" s="630" t="s">
        <v>545</v>
      </c>
      <c r="X1341" s="630" t="s">
        <v>549</v>
      </c>
      <c r="Y1341" s="630" t="s">
        <v>549</v>
      </c>
      <c r="Z1341" s="630">
        <v>1.39714</v>
      </c>
      <c r="AA1341" s="630">
        <v>2.2484829999999998</v>
      </c>
      <c r="AB1341" s="631">
        <v>502101</v>
      </c>
      <c r="AC1341" s="631">
        <v>30386712</v>
      </c>
      <c r="AD1341" s="631">
        <f t="shared" si="20"/>
        <v>42454490.803680003</v>
      </c>
    </row>
    <row r="1342" spans="2:30" x14ac:dyDescent="0.15">
      <c r="B1342" s="630">
        <v>17031003280</v>
      </c>
      <c r="C1342" s="630">
        <v>17031001076</v>
      </c>
      <c r="D1342" s="630">
        <v>17031004751</v>
      </c>
      <c r="E1342" s="630" t="s">
        <v>533</v>
      </c>
      <c r="F1342" s="630" t="s">
        <v>534</v>
      </c>
      <c r="G1342" s="630" t="s">
        <v>365</v>
      </c>
      <c r="H1342" s="630" t="s">
        <v>535</v>
      </c>
      <c r="I1342" s="630"/>
      <c r="J1342" s="630" t="s">
        <v>542</v>
      </c>
      <c r="K1342" s="630" t="s">
        <v>572</v>
      </c>
      <c r="L1342" s="630"/>
      <c r="M1342" s="630"/>
      <c r="N1342" s="630"/>
      <c r="O1342" s="630"/>
      <c r="P1342" s="630"/>
      <c r="Q1342" s="630"/>
      <c r="R1342" s="630"/>
      <c r="S1342" s="630" t="s">
        <v>544</v>
      </c>
      <c r="T1342" s="630"/>
      <c r="U1342" s="630" t="s">
        <v>538</v>
      </c>
      <c r="V1342" s="630">
        <v>2</v>
      </c>
      <c r="W1342" s="630" t="s">
        <v>545</v>
      </c>
      <c r="X1342" s="630" t="s">
        <v>549</v>
      </c>
      <c r="Y1342" s="630" t="s">
        <v>549</v>
      </c>
      <c r="Z1342" s="630">
        <v>1.1611590000000001</v>
      </c>
      <c r="AA1342" s="630">
        <v>1.8687069999999999</v>
      </c>
      <c r="AB1342" s="631">
        <v>17296</v>
      </c>
      <c r="AC1342" s="631">
        <v>1486494</v>
      </c>
      <c r="AD1342" s="631">
        <f t="shared" si="20"/>
        <v>1726055.8865460001</v>
      </c>
    </row>
    <row r="1343" spans="2:30" x14ac:dyDescent="0.15">
      <c r="B1343" s="630">
        <v>17031005687</v>
      </c>
      <c r="C1343" s="630">
        <v>17031001554</v>
      </c>
      <c r="D1343" s="630">
        <v>17031001557</v>
      </c>
      <c r="E1343" s="630" t="s">
        <v>533</v>
      </c>
      <c r="F1343" s="630" t="s">
        <v>534</v>
      </c>
      <c r="G1343" s="630" t="s">
        <v>365</v>
      </c>
      <c r="H1343" s="630" t="s">
        <v>543</v>
      </c>
      <c r="I1343" s="630"/>
      <c r="J1343" s="630"/>
      <c r="K1343" s="630"/>
      <c r="L1343" s="630"/>
      <c r="M1343" s="630"/>
      <c r="N1343" s="630"/>
      <c r="O1343" s="630"/>
      <c r="P1343" s="630"/>
      <c r="Q1343" s="630"/>
      <c r="R1343" s="630"/>
      <c r="S1343" s="630" t="s">
        <v>670</v>
      </c>
      <c r="T1343" s="630"/>
      <c r="U1343" s="630" t="s">
        <v>559</v>
      </c>
      <c r="V1343" s="630">
        <v>1</v>
      </c>
      <c r="W1343" s="630" t="s">
        <v>560</v>
      </c>
      <c r="X1343" s="630" t="s">
        <v>541</v>
      </c>
      <c r="Y1343" s="630" t="s">
        <v>541</v>
      </c>
      <c r="Z1343" s="630">
        <v>0.48374099999999998</v>
      </c>
      <c r="AA1343" s="630">
        <v>0.77850799999999998</v>
      </c>
      <c r="AB1343" s="631">
        <v>40</v>
      </c>
      <c r="AC1343" s="631">
        <v>840</v>
      </c>
      <c r="AD1343" s="631">
        <f t="shared" si="20"/>
        <v>406.34243999999995</v>
      </c>
    </row>
    <row r="1344" spans="2:30" x14ac:dyDescent="0.15">
      <c r="B1344" s="630">
        <v>17031006402</v>
      </c>
      <c r="C1344" s="630">
        <v>17031001045</v>
      </c>
      <c r="D1344" s="630">
        <v>17031004690</v>
      </c>
      <c r="E1344" s="630" t="s">
        <v>533</v>
      </c>
      <c r="F1344" s="630" t="s">
        <v>534</v>
      </c>
      <c r="G1344" s="630" t="s">
        <v>365</v>
      </c>
      <c r="H1344" s="630" t="s">
        <v>547</v>
      </c>
      <c r="I1344" s="630"/>
      <c r="J1344" s="630" t="s">
        <v>543</v>
      </c>
      <c r="K1344" s="630"/>
      <c r="L1344" s="630"/>
      <c r="M1344" s="630"/>
      <c r="N1344" s="630"/>
      <c r="O1344" s="630"/>
      <c r="P1344" s="630"/>
      <c r="Q1344" s="630"/>
      <c r="R1344" s="630"/>
      <c r="S1344" s="630" t="s">
        <v>602</v>
      </c>
      <c r="T1344" s="630" t="s">
        <v>698</v>
      </c>
      <c r="U1344" s="630" t="s">
        <v>538</v>
      </c>
      <c r="V1344" s="630">
        <v>1</v>
      </c>
      <c r="W1344" s="630" t="s">
        <v>582</v>
      </c>
      <c r="X1344" s="630" t="s">
        <v>540</v>
      </c>
      <c r="Y1344" s="630" t="s">
        <v>540</v>
      </c>
      <c r="Z1344" s="630">
        <v>0.23530699999999999</v>
      </c>
      <c r="AA1344" s="630">
        <v>0.378691</v>
      </c>
      <c r="AB1344" s="631">
        <v>0</v>
      </c>
      <c r="AC1344" s="631">
        <v>0</v>
      </c>
      <c r="AD1344" s="631">
        <f t="shared" si="20"/>
        <v>0</v>
      </c>
    </row>
    <row r="1345" spans="2:30" x14ac:dyDescent="0.15">
      <c r="B1345" s="630">
        <v>17197008942</v>
      </c>
      <c r="C1345" s="630">
        <v>17197001452</v>
      </c>
      <c r="D1345" s="630">
        <v>17197007161</v>
      </c>
      <c r="E1345" s="630" t="s">
        <v>533</v>
      </c>
      <c r="F1345" s="630" t="s">
        <v>534</v>
      </c>
      <c r="G1345" s="630" t="s">
        <v>377</v>
      </c>
      <c r="H1345" s="630" t="s">
        <v>535</v>
      </c>
      <c r="I1345" s="630"/>
      <c r="J1345" s="630"/>
      <c r="K1345" s="630"/>
      <c r="L1345" s="630"/>
      <c r="M1345" s="630"/>
      <c r="N1345" s="630"/>
      <c r="O1345" s="630"/>
      <c r="P1345" s="630"/>
      <c r="Q1345" s="630"/>
      <c r="R1345" s="630"/>
      <c r="S1345" s="630" t="s">
        <v>681</v>
      </c>
      <c r="T1345" s="630"/>
      <c r="U1345" s="630" t="s">
        <v>559</v>
      </c>
      <c r="V1345" s="630">
        <v>1</v>
      </c>
      <c r="W1345" s="630" t="s">
        <v>560</v>
      </c>
      <c r="X1345" s="630" t="s">
        <v>541</v>
      </c>
      <c r="Y1345" s="630" t="s">
        <v>541</v>
      </c>
      <c r="Z1345" s="630">
        <v>0.48193799999999998</v>
      </c>
      <c r="AA1345" s="630">
        <v>0.77560499999999999</v>
      </c>
      <c r="AB1345" s="631">
        <v>4442</v>
      </c>
      <c r="AC1345" s="631">
        <v>536066</v>
      </c>
      <c r="AD1345" s="631">
        <f t="shared" si="20"/>
        <v>258350.575908</v>
      </c>
    </row>
    <row r="1346" spans="2:30" x14ac:dyDescent="0.15">
      <c r="B1346" s="630">
        <v>17031003632</v>
      </c>
      <c r="C1346" s="630">
        <v>17031001021</v>
      </c>
      <c r="D1346" s="630">
        <v>17031001044</v>
      </c>
      <c r="E1346" s="630" t="s">
        <v>533</v>
      </c>
      <c r="F1346" s="630" t="s">
        <v>534</v>
      </c>
      <c r="G1346" s="630" t="s">
        <v>365</v>
      </c>
      <c r="H1346" s="630" t="s">
        <v>551</v>
      </c>
      <c r="I1346" s="630"/>
      <c r="J1346" s="630"/>
      <c r="K1346" s="630"/>
      <c r="L1346" s="630"/>
      <c r="M1346" s="630"/>
      <c r="N1346" s="630"/>
      <c r="O1346" s="630"/>
      <c r="P1346" s="630"/>
      <c r="Q1346" s="630"/>
      <c r="R1346" s="630"/>
      <c r="S1346" s="630" t="s">
        <v>600</v>
      </c>
      <c r="T1346" s="630" t="s">
        <v>699</v>
      </c>
      <c r="U1346" s="630" t="s">
        <v>538</v>
      </c>
      <c r="V1346" s="630">
        <v>2</v>
      </c>
      <c r="W1346" s="630" t="s">
        <v>582</v>
      </c>
      <c r="X1346" s="630" t="s">
        <v>575</v>
      </c>
      <c r="Y1346" s="630" t="s">
        <v>554</v>
      </c>
      <c r="Z1346" s="630">
        <v>0.49623</v>
      </c>
      <c r="AA1346" s="630">
        <v>0.79860699999999996</v>
      </c>
      <c r="AB1346" s="631">
        <v>463665</v>
      </c>
      <c r="AC1346" s="631">
        <v>9721522</v>
      </c>
      <c r="AD1346" s="631">
        <f t="shared" si="20"/>
        <v>4824110.8620600002</v>
      </c>
    </row>
    <row r="1347" spans="2:30" x14ac:dyDescent="0.15">
      <c r="B1347" s="630">
        <v>17031006265</v>
      </c>
      <c r="C1347" s="630">
        <v>17031001109</v>
      </c>
      <c r="D1347" s="630">
        <v>17031001088</v>
      </c>
      <c r="E1347" s="630" t="s">
        <v>533</v>
      </c>
      <c r="F1347" s="630" t="s">
        <v>534</v>
      </c>
      <c r="G1347" s="630" t="s">
        <v>365</v>
      </c>
      <c r="H1347" s="630" t="s">
        <v>661</v>
      </c>
      <c r="I1347" s="630"/>
      <c r="J1347" s="630"/>
      <c r="K1347" s="630"/>
      <c r="L1347" s="630"/>
      <c r="M1347" s="630"/>
      <c r="N1347" s="630"/>
      <c r="O1347" s="630"/>
      <c r="P1347" s="630"/>
      <c r="Q1347" s="630"/>
      <c r="R1347" s="630"/>
      <c r="S1347" s="630"/>
      <c r="T1347" s="630"/>
      <c r="U1347" s="630" t="s">
        <v>538</v>
      </c>
      <c r="V1347" s="630">
        <v>1</v>
      </c>
      <c r="W1347" s="630" t="s">
        <v>560</v>
      </c>
      <c r="X1347" s="630" t="s">
        <v>541</v>
      </c>
      <c r="Y1347" s="630" t="s">
        <v>541</v>
      </c>
      <c r="Z1347" s="630">
        <v>4.2896999999999998E-2</v>
      </c>
      <c r="AA1347" s="630">
        <v>6.9037000000000001E-2</v>
      </c>
      <c r="AB1347" s="631">
        <v>0</v>
      </c>
      <c r="AC1347" s="631">
        <v>0</v>
      </c>
      <c r="AD1347" s="631">
        <f t="shared" si="20"/>
        <v>0</v>
      </c>
    </row>
    <row r="1348" spans="2:30" x14ac:dyDescent="0.15">
      <c r="B1348" s="630">
        <v>17031005648</v>
      </c>
      <c r="C1348" s="630">
        <v>17031001165</v>
      </c>
      <c r="D1348" s="630">
        <v>17031001163</v>
      </c>
      <c r="E1348" s="630" t="s">
        <v>533</v>
      </c>
      <c r="F1348" s="630" t="s">
        <v>534</v>
      </c>
      <c r="G1348" s="630" t="s">
        <v>365</v>
      </c>
      <c r="H1348" s="630" t="s">
        <v>571</v>
      </c>
      <c r="I1348" s="630"/>
      <c r="J1348" s="630"/>
      <c r="K1348" s="630"/>
      <c r="L1348" s="630"/>
      <c r="M1348" s="630"/>
      <c r="N1348" s="630"/>
      <c r="O1348" s="630"/>
      <c r="P1348" s="630"/>
      <c r="Q1348" s="630"/>
      <c r="R1348" s="630"/>
      <c r="S1348" s="630" t="s">
        <v>573</v>
      </c>
      <c r="T1348" s="630"/>
      <c r="U1348" s="630" t="s">
        <v>538</v>
      </c>
      <c r="V1348" s="630">
        <v>1</v>
      </c>
      <c r="W1348" s="630" t="s">
        <v>545</v>
      </c>
      <c r="X1348" s="630" t="s">
        <v>554</v>
      </c>
      <c r="Y1348" s="630" t="s">
        <v>541</v>
      </c>
      <c r="Z1348" s="630">
        <v>0.115801</v>
      </c>
      <c r="AA1348" s="630">
        <v>0.186364</v>
      </c>
      <c r="AB1348" s="631">
        <v>0</v>
      </c>
      <c r="AC1348" s="631">
        <v>0</v>
      </c>
      <c r="AD1348" s="631">
        <f t="shared" si="20"/>
        <v>0</v>
      </c>
    </row>
    <row r="1349" spans="2:30" x14ac:dyDescent="0.15">
      <c r="B1349" s="630">
        <v>17031001955</v>
      </c>
      <c r="C1349" s="630">
        <v>17031001373</v>
      </c>
      <c r="D1349" s="630">
        <v>17031001356</v>
      </c>
      <c r="E1349" s="630" t="s">
        <v>533</v>
      </c>
      <c r="F1349" s="630" t="s">
        <v>534</v>
      </c>
      <c r="G1349" s="630" t="s">
        <v>365</v>
      </c>
      <c r="H1349" s="630" t="s">
        <v>557</v>
      </c>
      <c r="I1349" s="630"/>
      <c r="J1349" s="630" t="s">
        <v>381</v>
      </c>
      <c r="K1349" s="630" t="s">
        <v>535</v>
      </c>
      <c r="L1349" s="630" t="s">
        <v>552</v>
      </c>
      <c r="M1349" s="630" t="s">
        <v>551</v>
      </c>
      <c r="N1349" s="630" t="s">
        <v>615</v>
      </c>
      <c r="O1349" s="630" t="s">
        <v>543</v>
      </c>
      <c r="P1349" s="630" t="s">
        <v>382</v>
      </c>
      <c r="Q1349" s="630"/>
      <c r="R1349" s="630"/>
      <c r="S1349" s="630" t="s">
        <v>570</v>
      </c>
      <c r="T1349" s="630" t="s">
        <v>600</v>
      </c>
      <c r="U1349" s="630" t="s">
        <v>538</v>
      </c>
      <c r="V1349" s="630">
        <v>2</v>
      </c>
      <c r="W1349" s="630" t="s">
        <v>545</v>
      </c>
      <c r="X1349" s="630" t="s">
        <v>546</v>
      </c>
      <c r="Y1349" s="630" t="s">
        <v>554</v>
      </c>
      <c r="Z1349" s="630">
        <v>0.435666</v>
      </c>
      <c r="AA1349" s="630">
        <v>0.70113800000000004</v>
      </c>
      <c r="AB1349" s="631">
        <v>1188887</v>
      </c>
      <c r="AC1349" s="631">
        <v>39868985</v>
      </c>
      <c r="AD1349" s="631">
        <f t="shared" si="20"/>
        <v>17369561.219009999</v>
      </c>
    </row>
    <row r="1350" spans="2:30" x14ac:dyDescent="0.15">
      <c r="B1350" s="630">
        <v>17111001977</v>
      </c>
      <c r="C1350" s="630">
        <v>17111004834</v>
      </c>
      <c r="D1350" s="630">
        <v>17111007943</v>
      </c>
      <c r="E1350" s="630" t="s">
        <v>533</v>
      </c>
      <c r="F1350" s="630" t="s">
        <v>534</v>
      </c>
      <c r="G1350" s="630" t="s">
        <v>375</v>
      </c>
      <c r="H1350" s="630" t="s">
        <v>382</v>
      </c>
      <c r="I1350" s="630"/>
      <c r="J1350" s="630" t="s">
        <v>547</v>
      </c>
      <c r="K1350" s="630"/>
      <c r="L1350" s="630"/>
      <c r="M1350" s="630"/>
      <c r="N1350" s="630"/>
      <c r="O1350" s="630"/>
      <c r="P1350" s="630"/>
      <c r="Q1350" s="630"/>
      <c r="R1350" s="630"/>
      <c r="S1350" s="630" t="s">
        <v>608</v>
      </c>
      <c r="T1350" s="630"/>
      <c r="U1350" s="630" t="s">
        <v>538</v>
      </c>
      <c r="V1350" s="630">
        <v>2</v>
      </c>
      <c r="W1350" s="630" t="s">
        <v>566</v>
      </c>
      <c r="X1350" s="630" t="s">
        <v>549</v>
      </c>
      <c r="Y1350" s="630" t="s">
        <v>549</v>
      </c>
      <c r="Z1350" s="630">
        <v>3.3047430000000002</v>
      </c>
      <c r="AA1350" s="630">
        <v>5.3184779999999998</v>
      </c>
      <c r="AB1350" s="631">
        <v>9244</v>
      </c>
      <c r="AC1350" s="631">
        <v>844669</v>
      </c>
      <c r="AD1350" s="631">
        <f t="shared" ref="AD1350:AD1413" si="21">AC1350*Z1350</f>
        <v>2791413.9650670001</v>
      </c>
    </row>
    <row r="1351" spans="2:30" x14ac:dyDescent="0.15">
      <c r="B1351" s="630">
        <v>17097003092</v>
      </c>
      <c r="C1351" s="630">
        <v>17097000071</v>
      </c>
      <c r="D1351" s="630">
        <v>17097000065</v>
      </c>
      <c r="E1351" s="630" t="s">
        <v>533</v>
      </c>
      <c r="F1351" s="630" t="s">
        <v>534</v>
      </c>
      <c r="G1351" s="630" t="s">
        <v>373</v>
      </c>
      <c r="H1351" s="630" t="s">
        <v>382</v>
      </c>
      <c r="I1351" s="630"/>
      <c r="J1351" s="630" t="s">
        <v>535</v>
      </c>
      <c r="K1351" s="630" t="s">
        <v>547</v>
      </c>
      <c r="L1351" s="630"/>
      <c r="M1351" s="630"/>
      <c r="N1351" s="630"/>
      <c r="O1351" s="630"/>
      <c r="P1351" s="630"/>
      <c r="Q1351" s="630"/>
      <c r="R1351" s="630"/>
      <c r="S1351" s="630" t="s">
        <v>565</v>
      </c>
      <c r="T1351" s="630"/>
      <c r="U1351" s="630" t="s">
        <v>538</v>
      </c>
      <c r="V1351" s="630">
        <v>2</v>
      </c>
      <c r="W1351" s="630" t="s">
        <v>545</v>
      </c>
      <c r="X1351" s="630" t="s">
        <v>549</v>
      </c>
      <c r="Y1351" s="630" t="s">
        <v>549</v>
      </c>
      <c r="Z1351" s="630">
        <v>0.70705799999999996</v>
      </c>
      <c r="AA1351" s="630">
        <v>1.137902</v>
      </c>
      <c r="AB1351" s="631">
        <v>11334</v>
      </c>
      <c r="AC1351" s="631">
        <v>1200930</v>
      </c>
      <c r="AD1351" s="631">
        <f t="shared" si="21"/>
        <v>849127.16394</v>
      </c>
    </row>
    <row r="1352" spans="2:30" x14ac:dyDescent="0.15">
      <c r="B1352" s="630">
        <v>17031003246</v>
      </c>
      <c r="C1352" s="630">
        <v>17031004640</v>
      </c>
      <c r="D1352" s="630">
        <v>17031000475</v>
      </c>
      <c r="E1352" s="630" t="s">
        <v>533</v>
      </c>
      <c r="F1352" s="630" t="s">
        <v>534</v>
      </c>
      <c r="G1352" s="630" t="s">
        <v>365</v>
      </c>
      <c r="H1352" s="630" t="s">
        <v>552</v>
      </c>
      <c r="I1352" s="630"/>
      <c r="J1352" s="630" t="s">
        <v>551</v>
      </c>
      <c r="K1352" s="630" t="s">
        <v>547</v>
      </c>
      <c r="L1352" s="630" t="s">
        <v>382</v>
      </c>
      <c r="M1352" s="630" t="s">
        <v>563</v>
      </c>
      <c r="N1352" s="630"/>
      <c r="O1352" s="630"/>
      <c r="P1352" s="630"/>
      <c r="Q1352" s="630"/>
      <c r="R1352" s="630"/>
      <c r="S1352" s="630" t="s">
        <v>589</v>
      </c>
      <c r="T1352" s="630"/>
      <c r="U1352" s="630" t="s">
        <v>538</v>
      </c>
      <c r="V1352" s="630">
        <v>3</v>
      </c>
      <c r="W1352" s="630" t="s">
        <v>545</v>
      </c>
      <c r="X1352" s="630" t="s">
        <v>549</v>
      </c>
      <c r="Y1352" s="630" t="s">
        <v>549</v>
      </c>
      <c r="Z1352" s="630">
        <v>0.17754300000000001</v>
      </c>
      <c r="AA1352" s="630">
        <v>0.28572799999999998</v>
      </c>
      <c r="AB1352" s="631">
        <v>313574</v>
      </c>
      <c r="AC1352" s="631">
        <v>20645328</v>
      </c>
      <c r="AD1352" s="631">
        <f t="shared" si="21"/>
        <v>3665433.4691039999</v>
      </c>
    </row>
    <row r="1353" spans="2:30" x14ac:dyDescent="0.15">
      <c r="B1353" s="630">
        <v>17031003482</v>
      </c>
      <c r="C1353" s="630">
        <v>17031000986</v>
      </c>
      <c r="D1353" s="630">
        <v>17031000963</v>
      </c>
      <c r="E1353" s="630" t="s">
        <v>533</v>
      </c>
      <c r="F1353" s="630" t="s">
        <v>534</v>
      </c>
      <c r="G1353" s="630" t="s">
        <v>365</v>
      </c>
      <c r="H1353" s="630" t="s">
        <v>571</v>
      </c>
      <c r="I1353" s="630"/>
      <c r="J1353" s="630" t="s">
        <v>381</v>
      </c>
      <c r="K1353" s="630" t="s">
        <v>535</v>
      </c>
      <c r="L1353" s="630" t="s">
        <v>552</v>
      </c>
      <c r="M1353" s="630" t="s">
        <v>551</v>
      </c>
      <c r="N1353" s="630" t="s">
        <v>557</v>
      </c>
      <c r="O1353" s="630" t="s">
        <v>543</v>
      </c>
      <c r="P1353" s="630" t="s">
        <v>382</v>
      </c>
      <c r="Q1353" s="630"/>
      <c r="R1353" s="630"/>
      <c r="S1353" s="630" t="s">
        <v>605</v>
      </c>
      <c r="T1353" s="630"/>
      <c r="U1353" s="630" t="s">
        <v>538</v>
      </c>
      <c r="V1353" s="630">
        <v>1</v>
      </c>
      <c r="W1353" s="630" t="s">
        <v>545</v>
      </c>
      <c r="X1353" s="630" t="s">
        <v>549</v>
      </c>
      <c r="Y1353" s="630" t="s">
        <v>554</v>
      </c>
      <c r="Z1353" s="630">
        <v>0.39993200000000001</v>
      </c>
      <c r="AA1353" s="630">
        <v>0.64363000000000004</v>
      </c>
      <c r="AB1353" s="631">
        <v>150067</v>
      </c>
      <c r="AC1353" s="631">
        <v>6433098</v>
      </c>
      <c r="AD1353" s="631">
        <f t="shared" si="21"/>
        <v>2572801.7493360001</v>
      </c>
    </row>
    <row r="1354" spans="2:30" x14ac:dyDescent="0.15">
      <c r="B1354" s="630">
        <v>17031003582</v>
      </c>
      <c r="C1354" s="630">
        <v>17031000545</v>
      </c>
      <c r="D1354" s="630">
        <v>17031000546</v>
      </c>
      <c r="E1354" s="630" t="s">
        <v>533</v>
      </c>
      <c r="F1354" s="630" t="s">
        <v>534</v>
      </c>
      <c r="G1354" s="630" t="s">
        <v>365</v>
      </c>
      <c r="H1354" s="630" t="s">
        <v>382</v>
      </c>
      <c r="I1354" s="630"/>
      <c r="J1354" s="630" t="s">
        <v>547</v>
      </c>
      <c r="K1354" s="630"/>
      <c r="L1354" s="630"/>
      <c r="M1354" s="630"/>
      <c r="N1354" s="630"/>
      <c r="O1354" s="630"/>
      <c r="P1354" s="630"/>
      <c r="Q1354" s="630"/>
      <c r="R1354" s="630"/>
      <c r="S1354" s="630" t="s">
        <v>583</v>
      </c>
      <c r="T1354" s="630" t="s">
        <v>626</v>
      </c>
      <c r="U1354" s="630" t="s">
        <v>538</v>
      </c>
      <c r="V1354" s="630">
        <v>3</v>
      </c>
      <c r="W1354" s="630" t="s">
        <v>545</v>
      </c>
      <c r="X1354" s="630" t="s">
        <v>580</v>
      </c>
      <c r="Y1354" s="630" t="s">
        <v>549</v>
      </c>
      <c r="Z1354" s="630">
        <v>0.21718299999999999</v>
      </c>
      <c r="AA1354" s="630">
        <v>0.349522</v>
      </c>
      <c r="AB1354" s="631">
        <v>858441</v>
      </c>
      <c r="AC1354" s="631">
        <v>28505526</v>
      </c>
      <c r="AD1354" s="631">
        <f t="shared" si="21"/>
        <v>6190915.6532579996</v>
      </c>
    </row>
    <row r="1355" spans="2:30" x14ac:dyDescent="0.15">
      <c r="B1355" s="630">
        <v>17031004280</v>
      </c>
      <c r="C1355" s="630">
        <v>17031000849</v>
      </c>
      <c r="D1355" s="630">
        <v>17031000840</v>
      </c>
      <c r="E1355" s="630" t="s">
        <v>533</v>
      </c>
      <c r="F1355" s="630" t="s">
        <v>534</v>
      </c>
      <c r="G1355" s="630" t="s">
        <v>365</v>
      </c>
      <c r="H1355" s="630" t="s">
        <v>571</v>
      </c>
      <c r="I1355" s="630"/>
      <c r="J1355" s="630" t="s">
        <v>535</v>
      </c>
      <c r="K1355" s="630" t="s">
        <v>543</v>
      </c>
      <c r="L1355" s="630"/>
      <c r="M1355" s="630"/>
      <c r="N1355" s="630"/>
      <c r="O1355" s="630"/>
      <c r="P1355" s="630"/>
      <c r="Q1355" s="630"/>
      <c r="R1355" s="630"/>
      <c r="S1355" s="630"/>
      <c r="T1355" s="630"/>
      <c r="U1355" s="630" t="s">
        <v>559</v>
      </c>
      <c r="V1355" s="630">
        <v>1</v>
      </c>
      <c r="W1355" s="630" t="s">
        <v>560</v>
      </c>
      <c r="X1355" s="630" t="s">
        <v>541</v>
      </c>
      <c r="Y1355" s="630" t="s">
        <v>541</v>
      </c>
      <c r="Z1355" s="630">
        <v>0.264069</v>
      </c>
      <c r="AA1355" s="630">
        <v>0.424979</v>
      </c>
      <c r="AB1355" s="631">
        <v>63280</v>
      </c>
      <c r="AC1355" s="631">
        <v>3022040</v>
      </c>
      <c r="AD1355" s="631">
        <f t="shared" si="21"/>
        <v>798027.08076000004</v>
      </c>
    </row>
    <row r="1356" spans="2:30" x14ac:dyDescent="0.15">
      <c r="B1356" s="630">
        <v>17031004662</v>
      </c>
      <c r="C1356" s="630">
        <v>17031000649</v>
      </c>
      <c r="D1356" s="630">
        <v>17031000618</v>
      </c>
      <c r="E1356" s="630" t="s">
        <v>533</v>
      </c>
      <c r="F1356" s="630" t="s">
        <v>534</v>
      </c>
      <c r="G1356" s="630" t="s">
        <v>365</v>
      </c>
      <c r="H1356" s="630" t="s">
        <v>543</v>
      </c>
      <c r="I1356" s="630"/>
      <c r="J1356" s="630" t="s">
        <v>542</v>
      </c>
      <c r="K1356" s="630" t="s">
        <v>547</v>
      </c>
      <c r="L1356" s="630"/>
      <c r="M1356" s="630"/>
      <c r="N1356" s="630"/>
      <c r="O1356" s="630"/>
      <c r="P1356" s="630"/>
      <c r="Q1356" s="630"/>
      <c r="R1356" s="630"/>
      <c r="S1356" s="630" t="s">
        <v>630</v>
      </c>
      <c r="T1356" s="630" t="s">
        <v>700</v>
      </c>
      <c r="U1356" s="630" t="s">
        <v>538</v>
      </c>
      <c r="V1356" s="630">
        <v>2</v>
      </c>
      <c r="W1356" s="630" t="s">
        <v>545</v>
      </c>
      <c r="X1356" s="630" t="s">
        <v>541</v>
      </c>
      <c r="Y1356" s="630" t="s">
        <v>541</v>
      </c>
      <c r="Z1356" s="630">
        <v>0.69225899999999996</v>
      </c>
      <c r="AA1356" s="630">
        <v>1.114085</v>
      </c>
      <c r="AB1356" s="631">
        <v>93356</v>
      </c>
      <c r="AC1356" s="631">
        <v>3932501</v>
      </c>
      <c r="AD1356" s="631">
        <f t="shared" si="21"/>
        <v>2722309.2097589998</v>
      </c>
    </row>
    <row r="1357" spans="2:30" x14ac:dyDescent="0.15">
      <c r="B1357" s="630">
        <v>17031005739</v>
      </c>
      <c r="C1357" s="630">
        <v>17031001589</v>
      </c>
      <c r="D1357" s="630">
        <v>17031001564</v>
      </c>
      <c r="E1357" s="630" t="s">
        <v>533</v>
      </c>
      <c r="F1357" s="630" t="s">
        <v>534</v>
      </c>
      <c r="G1357" s="630" t="s">
        <v>365</v>
      </c>
      <c r="H1357" s="630" t="s">
        <v>535</v>
      </c>
      <c r="I1357" s="630"/>
      <c r="J1357" s="630" t="s">
        <v>382</v>
      </c>
      <c r="K1357" s="630"/>
      <c r="L1357" s="630"/>
      <c r="M1357" s="630"/>
      <c r="N1357" s="630"/>
      <c r="O1357" s="630"/>
      <c r="P1357" s="630"/>
      <c r="Q1357" s="630"/>
      <c r="R1357" s="630"/>
      <c r="S1357" s="630"/>
      <c r="T1357" s="630"/>
      <c r="U1357" s="630" t="s">
        <v>538</v>
      </c>
      <c r="V1357" s="630">
        <v>1</v>
      </c>
      <c r="W1357" s="630" t="s">
        <v>582</v>
      </c>
      <c r="X1357" s="630" t="s">
        <v>540</v>
      </c>
      <c r="Y1357" s="630" t="s">
        <v>541</v>
      </c>
      <c r="Z1357" s="630">
        <v>0.86437699999999995</v>
      </c>
      <c r="AA1357" s="630">
        <v>1.3910830000000001</v>
      </c>
      <c r="AB1357" s="631">
        <v>26059</v>
      </c>
      <c r="AC1357" s="631">
        <v>2502649</v>
      </c>
      <c r="AD1357" s="631">
        <f t="shared" si="21"/>
        <v>2163232.2346729999</v>
      </c>
    </row>
    <row r="1358" spans="2:30" x14ac:dyDescent="0.15">
      <c r="B1358" s="630">
        <v>17031005741</v>
      </c>
      <c r="C1358" s="630">
        <v>17031001274</v>
      </c>
      <c r="D1358" s="630">
        <v>17031001268</v>
      </c>
      <c r="E1358" s="630" t="s">
        <v>533</v>
      </c>
      <c r="F1358" s="630" t="s">
        <v>534</v>
      </c>
      <c r="G1358" s="630" t="s">
        <v>365</v>
      </c>
      <c r="H1358" s="630" t="s">
        <v>613</v>
      </c>
      <c r="I1358" s="630"/>
      <c r="J1358" s="630" t="s">
        <v>577</v>
      </c>
      <c r="K1358" s="630" t="s">
        <v>572</v>
      </c>
      <c r="L1358" s="630"/>
      <c r="M1358" s="630"/>
      <c r="N1358" s="630"/>
      <c r="O1358" s="630"/>
      <c r="P1358" s="630"/>
      <c r="Q1358" s="630"/>
      <c r="R1358" s="630"/>
      <c r="S1358" s="630"/>
      <c r="T1358" s="630"/>
      <c r="U1358" s="630" t="s">
        <v>559</v>
      </c>
      <c r="V1358" s="630">
        <v>1</v>
      </c>
      <c r="W1358" s="630" t="s">
        <v>560</v>
      </c>
      <c r="X1358" s="630" t="s">
        <v>541</v>
      </c>
      <c r="Y1358" s="630" t="s">
        <v>541</v>
      </c>
      <c r="Z1358" s="630">
        <v>0.92963700000000005</v>
      </c>
      <c r="AA1358" s="630">
        <v>1.4961089999999999</v>
      </c>
      <c r="AB1358" s="631">
        <v>0</v>
      </c>
      <c r="AC1358" s="631">
        <v>0</v>
      </c>
      <c r="AD1358" s="631">
        <f t="shared" si="21"/>
        <v>0</v>
      </c>
    </row>
    <row r="1359" spans="2:30" x14ac:dyDescent="0.15">
      <c r="B1359" s="630">
        <v>17043005910</v>
      </c>
      <c r="C1359" s="630">
        <v>17043000389</v>
      </c>
      <c r="D1359" s="630">
        <v>17043008299</v>
      </c>
      <c r="E1359" s="630" t="s">
        <v>533</v>
      </c>
      <c r="F1359" s="630" t="s">
        <v>534</v>
      </c>
      <c r="G1359" s="630" t="s">
        <v>367</v>
      </c>
      <c r="H1359" s="630" t="s">
        <v>638</v>
      </c>
      <c r="I1359" s="630"/>
      <c r="J1359" s="630"/>
      <c r="K1359" s="630"/>
      <c r="L1359" s="630"/>
      <c r="M1359" s="630"/>
      <c r="N1359" s="630"/>
      <c r="O1359" s="630"/>
      <c r="P1359" s="630"/>
      <c r="Q1359" s="630"/>
      <c r="R1359" s="630"/>
      <c r="S1359" s="630"/>
      <c r="T1359" s="630"/>
      <c r="U1359" s="630" t="s">
        <v>559</v>
      </c>
      <c r="V1359" s="630">
        <v>1</v>
      </c>
      <c r="W1359" s="630" t="s">
        <v>560</v>
      </c>
      <c r="X1359" s="630" t="s">
        <v>541</v>
      </c>
      <c r="Y1359" s="630" t="s">
        <v>541</v>
      </c>
      <c r="Z1359" s="630">
        <v>0.50456100000000004</v>
      </c>
      <c r="AA1359" s="630">
        <v>0.81201299999999998</v>
      </c>
      <c r="AB1359" s="631">
        <v>0</v>
      </c>
      <c r="AC1359" s="631">
        <v>0</v>
      </c>
      <c r="AD1359" s="631">
        <f t="shared" si="21"/>
        <v>0</v>
      </c>
    </row>
    <row r="1360" spans="2:30" x14ac:dyDescent="0.15">
      <c r="B1360" s="630">
        <v>17031006294</v>
      </c>
      <c r="C1360" s="630">
        <v>17031004508</v>
      </c>
      <c r="D1360" s="630">
        <v>17031001413</v>
      </c>
      <c r="E1360" s="630" t="s">
        <v>533</v>
      </c>
      <c r="F1360" s="630" t="s">
        <v>534</v>
      </c>
      <c r="G1360" s="630" t="s">
        <v>365</v>
      </c>
      <c r="H1360" s="630" t="s">
        <v>551</v>
      </c>
      <c r="I1360" s="630" t="s">
        <v>535</v>
      </c>
      <c r="J1360" s="630" t="s">
        <v>542</v>
      </c>
      <c r="K1360" s="630" t="s">
        <v>543</v>
      </c>
      <c r="L1360" s="630" t="s">
        <v>382</v>
      </c>
      <c r="M1360" s="630"/>
      <c r="N1360" s="630"/>
      <c r="O1360" s="630"/>
      <c r="P1360" s="630"/>
      <c r="Q1360" s="630"/>
      <c r="R1360" s="630"/>
      <c r="S1360" s="630" t="s">
        <v>544</v>
      </c>
      <c r="T1360" s="630"/>
      <c r="U1360" s="630" t="s">
        <v>538</v>
      </c>
      <c r="V1360" s="630">
        <v>2</v>
      </c>
      <c r="W1360" s="630" t="s">
        <v>545</v>
      </c>
      <c r="X1360" s="630" t="s">
        <v>546</v>
      </c>
      <c r="Y1360" s="630" t="s">
        <v>549</v>
      </c>
      <c r="Z1360" s="630">
        <v>0.60540499999999997</v>
      </c>
      <c r="AA1360" s="630">
        <v>0.97430600000000001</v>
      </c>
      <c r="AB1360" s="631">
        <v>52874</v>
      </c>
      <c r="AC1360" s="631">
        <v>5177780</v>
      </c>
      <c r="AD1360" s="631">
        <f t="shared" si="21"/>
        <v>3134653.9008999998</v>
      </c>
    </row>
    <row r="1361" spans="2:30" x14ac:dyDescent="0.15">
      <c r="B1361" s="630">
        <v>17097006324</v>
      </c>
      <c r="C1361" s="630">
        <v>17097000061</v>
      </c>
      <c r="D1361" s="630">
        <v>17097004534</v>
      </c>
      <c r="E1361" s="630" t="s">
        <v>533</v>
      </c>
      <c r="F1361" s="630" t="s">
        <v>534</v>
      </c>
      <c r="G1361" s="630" t="s">
        <v>373</v>
      </c>
      <c r="H1361" s="630" t="s">
        <v>552</v>
      </c>
      <c r="I1361" s="630"/>
      <c r="J1361" s="630"/>
      <c r="K1361" s="630"/>
      <c r="L1361" s="630"/>
      <c r="M1361" s="630"/>
      <c r="N1361" s="630"/>
      <c r="O1361" s="630"/>
      <c r="P1361" s="630"/>
      <c r="Q1361" s="630"/>
      <c r="R1361" s="630"/>
      <c r="S1361" s="630"/>
      <c r="T1361" s="630"/>
      <c r="U1361" s="630" t="s">
        <v>559</v>
      </c>
      <c r="V1361" s="630">
        <v>1</v>
      </c>
      <c r="W1361" s="630" t="s">
        <v>560</v>
      </c>
      <c r="X1361" s="630" t="s">
        <v>541</v>
      </c>
      <c r="Y1361" s="630" t="s">
        <v>541</v>
      </c>
      <c r="Z1361" s="630">
        <v>7.782E-2</v>
      </c>
      <c r="AA1361" s="630">
        <v>0.12523899999999999</v>
      </c>
      <c r="AB1361" s="631">
        <v>0</v>
      </c>
      <c r="AC1361" s="631">
        <v>0</v>
      </c>
      <c r="AD1361" s="631">
        <f t="shared" si="21"/>
        <v>0</v>
      </c>
    </row>
    <row r="1362" spans="2:30" x14ac:dyDescent="0.15">
      <c r="B1362" s="630">
        <v>17043009080</v>
      </c>
      <c r="C1362" s="630">
        <v>17043000527</v>
      </c>
      <c r="D1362" s="630">
        <v>17043007291</v>
      </c>
      <c r="E1362" s="630" t="s">
        <v>533</v>
      </c>
      <c r="F1362" s="630" t="s">
        <v>534</v>
      </c>
      <c r="G1362" s="630" t="s">
        <v>367</v>
      </c>
      <c r="H1362" s="630" t="s">
        <v>382</v>
      </c>
      <c r="I1362" s="630"/>
      <c r="J1362" s="630"/>
      <c r="K1362" s="630"/>
      <c r="L1362" s="630"/>
      <c r="M1362" s="630"/>
      <c r="N1362" s="630"/>
      <c r="O1362" s="630"/>
      <c r="P1362" s="630"/>
      <c r="Q1362" s="630"/>
      <c r="R1362" s="630"/>
      <c r="S1362" s="630"/>
      <c r="T1362" s="630"/>
      <c r="U1362" s="630" t="s">
        <v>559</v>
      </c>
      <c r="V1362" s="630">
        <v>1</v>
      </c>
      <c r="W1362" s="630" t="s">
        <v>560</v>
      </c>
      <c r="X1362" s="630" t="s">
        <v>541</v>
      </c>
      <c r="Y1362" s="630" t="s">
        <v>541</v>
      </c>
      <c r="Z1362" s="630">
        <v>0.23813400000000001</v>
      </c>
      <c r="AA1362" s="630">
        <v>0.38324000000000003</v>
      </c>
      <c r="AB1362" s="631">
        <v>0</v>
      </c>
      <c r="AC1362" s="631">
        <v>0</v>
      </c>
      <c r="AD1362" s="631">
        <f t="shared" si="21"/>
        <v>0</v>
      </c>
    </row>
    <row r="1363" spans="2:30" x14ac:dyDescent="0.15">
      <c r="B1363" s="630">
        <v>17031006382</v>
      </c>
      <c r="C1363" s="630">
        <v>17031000617</v>
      </c>
      <c r="D1363" s="630">
        <v>17031004671</v>
      </c>
      <c r="E1363" s="630" t="s">
        <v>533</v>
      </c>
      <c r="F1363" s="630" t="s">
        <v>534</v>
      </c>
      <c r="G1363" s="630" t="s">
        <v>365</v>
      </c>
      <c r="H1363" s="630" t="s">
        <v>551</v>
      </c>
      <c r="I1363" s="630"/>
      <c r="J1363" s="630" t="s">
        <v>535</v>
      </c>
      <c r="K1363" s="630"/>
      <c r="L1363" s="630"/>
      <c r="M1363" s="630"/>
      <c r="N1363" s="630"/>
      <c r="O1363" s="630"/>
      <c r="P1363" s="630"/>
      <c r="Q1363" s="630"/>
      <c r="R1363" s="630"/>
      <c r="S1363" s="630" t="s">
        <v>667</v>
      </c>
      <c r="T1363" s="630"/>
      <c r="U1363" s="630" t="s">
        <v>538</v>
      </c>
      <c r="V1363" s="630">
        <v>2</v>
      </c>
      <c r="W1363" s="630" t="s">
        <v>582</v>
      </c>
      <c r="X1363" s="630" t="s">
        <v>541</v>
      </c>
      <c r="Y1363" s="630" t="s">
        <v>541</v>
      </c>
      <c r="Z1363" s="630">
        <v>0.49148599999999998</v>
      </c>
      <c r="AA1363" s="630">
        <v>0.79097099999999998</v>
      </c>
      <c r="AB1363" s="631">
        <v>0</v>
      </c>
      <c r="AC1363" s="631">
        <v>0</v>
      </c>
      <c r="AD1363" s="631">
        <f t="shared" si="21"/>
        <v>0</v>
      </c>
    </row>
    <row r="1364" spans="2:30" x14ac:dyDescent="0.15">
      <c r="B1364" s="630">
        <v>17031009561</v>
      </c>
      <c r="C1364" s="630">
        <v>17031007656</v>
      </c>
      <c r="D1364" s="630">
        <v>17031001489</v>
      </c>
      <c r="E1364" s="630" t="s">
        <v>533</v>
      </c>
      <c r="F1364" s="630" t="s">
        <v>534</v>
      </c>
      <c r="G1364" s="630" t="s">
        <v>365</v>
      </c>
      <c r="H1364" s="630" t="s">
        <v>382</v>
      </c>
      <c r="I1364" s="630"/>
      <c r="J1364" s="630"/>
      <c r="K1364" s="630"/>
      <c r="L1364" s="630"/>
      <c r="M1364" s="630"/>
      <c r="N1364" s="630"/>
      <c r="O1364" s="630"/>
      <c r="P1364" s="630"/>
      <c r="Q1364" s="630"/>
      <c r="R1364" s="630"/>
      <c r="S1364" s="630" t="s">
        <v>576</v>
      </c>
      <c r="T1364" s="630"/>
      <c r="U1364" s="630" t="s">
        <v>559</v>
      </c>
      <c r="V1364" s="630">
        <v>1</v>
      </c>
      <c r="W1364" s="630" t="s">
        <v>560</v>
      </c>
      <c r="X1364" s="630" t="s">
        <v>541</v>
      </c>
      <c r="Y1364" s="630" t="s">
        <v>541</v>
      </c>
      <c r="Z1364" s="630">
        <v>0.25868999999999998</v>
      </c>
      <c r="AA1364" s="630">
        <v>0.41632200000000003</v>
      </c>
      <c r="AB1364" s="631">
        <v>0</v>
      </c>
      <c r="AC1364" s="631">
        <v>0</v>
      </c>
      <c r="AD1364" s="631">
        <f t="shared" si="21"/>
        <v>0</v>
      </c>
    </row>
    <row r="1365" spans="2:30" x14ac:dyDescent="0.15">
      <c r="B1365" s="630">
        <v>17031009517</v>
      </c>
      <c r="C1365" s="630">
        <v>17031007615</v>
      </c>
      <c r="D1365" s="630">
        <v>17031001563</v>
      </c>
      <c r="E1365" s="630" t="s">
        <v>533</v>
      </c>
      <c r="F1365" s="630" t="s">
        <v>534</v>
      </c>
      <c r="G1365" s="630" t="s">
        <v>365</v>
      </c>
      <c r="H1365" s="630" t="s">
        <v>535</v>
      </c>
      <c r="I1365" s="630"/>
      <c r="J1365" s="630" t="s">
        <v>382</v>
      </c>
      <c r="K1365" s="630" t="s">
        <v>536</v>
      </c>
      <c r="L1365" s="630"/>
      <c r="M1365" s="630"/>
      <c r="N1365" s="630"/>
      <c r="O1365" s="630"/>
      <c r="P1365" s="630"/>
      <c r="Q1365" s="630"/>
      <c r="R1365" s="630"/>
      <c r="S1365" s="630" t="s">
        <v>537</v>
      </c>
      <c r="T1365" s="630"/>
      <c r="U1365" s="630" t="s">
        <v>538</v>
      </c>
      <c r="V1365" s="630">
        <v>2</v>
      </c>
      <c r="W1365" s="630" t="s">
        <v>582</v>
      </c>
      <c r="X1365" s="630" t="s">
        <v>540</v>
      </c>
      <c r="Y1365" s="630" t="s">
        <v>549</v>
      </c>
      <c r="Z1365" s="630">
        <v>0.15005099999999999</v>
      </c>
      <c r="AA1365" s="630">
        <v>0.241484</v>
      </c>
      <c r="AB1365" s="631">
        <v>6964</v>
      </c>
      <c r="AC1365" s="631">
        <v>605196</v>
      </c>
      <c r="AD1365" s="631">
        <f t="shared" si="21"/>
        <v>90810.264995999998</v>
      </c>
    </row>
    <row r="1366" spans="2:30" x14ac:dyDescent="0.15">
      <c r="B1366" s="630">
        <v>17031001966</v>
      </c>
      <c r="C1366" s="630">
        <v>17031001057</v>
      </c>
      <c r="D1366" s="630">
        <v>17031001045</v>
      </c>
      <c r="E1366" s="630" t="s">
        <v>533</v>
      </c>
      <c r="F1366" s="630" t="s">
        <v>534</v>
      </c>
      <c r="G1366" s="630" t="s">
        <v>365</v>
      </c>
      <c r="H1366" s="630" t="s">
        <v>547</v>
      </c>
      <c r="I1366" s="630"/>
      <c r="J1366" s="630" t="s">
        <v>543</v>
      </c>
      <c r="K1366" s="630"/>
      <c r="L1366" s="630"/>
      <c r="M1366" s="630"/>
      <c r="N1366" s="630"/>
      <c r="O1366" s="630"/>
      <c r="P1366" s="630"/>
      <c r="Q1366" s="630"/>
      <c r="R1366" s="630"/>
      <c r="S1366" s="630" t="s">
        <v>602</v>
      </c>
      <c r="T1366" s="630"/>
      <c r="U1366" s="630" t="s">
        <v>538</v>
      </c>
      <c r="V1366" s="630">
        <v>2</v>
      </c>
      <c r="W1366" s="630" t="s">
        <v>582</v>
      </c>
      <c r="X1366" s="630" t="s">
        <v>541</v>
      </c>
      <c r="Y1366" s="630" t="s">
        <v>540</v>
      </c>
      <c r="Z1366" s="630">
        <v>0.67236099999999999</v>
      </c>
      <c r="AA1366" s="630">
        <v>1.082063</v>
      </c>
      <c r="AB1366" s="631">
        <v>0</v>
      </c>
      <c r="AC1366" s="631">
        <v>0</v>
      </c>
      <c r="AD1366" s="631">
        <f t="shared" si="21"/>
        <v>0</v>
      </c>
    </row>
    <row r="1367" spans="2:30" x14ac:dyDescent="0.15">
      <c r="B1367" s="630">
        <v>17197002083</v>
      </c>
      <c r="C1367" s="630">
        <v>17197001738</v>
      </c>
      <c r="D1367" s="630">
        <v>17197001697</v>
      </c>
      <c r="E1367" s="630" t="s">
        <v>533</v>
      </c>
      <c r="F1367" s="630" t="s">
        <v>534</v>
      </c>
      <c r="G1367" s="630" t="s">
        <v>377</v>
      </c>
      <c r="H1367" s="630" t="s">
        <v>382</v>
      </c>
      <c r="I1367" s="630"/>
      <c r="J1367" s="630" t="s">
        <v>542</v>
      </c>
      <c r="K1367" s="630"/>
      <c r="L1367" s="630"/>
      <c r="M1367" s="630"/>
      <c r="N1367" s="630"/>
      <c r="O1367" s="630"/>
      <c r="P1367" s="630"/>
      <c r="Q1367" s="630"/>
      <c r="R1367" s="630"/>
      <c r="S1367" s="630" t="s">
        <v>606</v>
      </c>
      <c r="T1367" s="630"/>
      <c r="U1367" s="630" t="s">
        <v>538</v>
      </c>
      <c r="V1367" s="630">
        <v>1</v>
      </c>
      <c r="W1367" s="630" t="s">
        <v>545</v>
      </c>
      <c r="X1367" s="630" t="s">
        <v>541</v>
      </c>
      <c r="Y1367" s="630" t="s">
        <v>549</v>
      </c>
      <c r="Z1367" s="630">
        <v>1.9832879999999999</v>
      </c>
      <c r="AA1367" s="630">
        <v>3.1917990000000001</v>
      </c>
      <c r="AB1367" s="631">
        <v>80</v>
      </c>
      <c r="AC1367" s="631">
        <v>7840</v>
      </c>
      <c r="AD1367" s="631">
        <f t="shared" si="21"/>
        <v>15548.977919999999</v>
      </c>
    </row>
    <row r="1368" spans="2:30" x14ac:dyDescent="0.15">
      <c r="B1368" s="630">
        <v>17031002090</v>
      </c>
      <c r="C1368" s="630">
        <v>17031004626</v>
      </c>
      <c r="D1368" s="630">
        <v>17031004625</v>
      </c>
      <c r="E1368" s="630" t="s">
        <v>533</v>
      </c>
      <c r="F1368" s="630" t="s">
        <v>534</v>
      </c>
      <c r="G1368" s="630" t="s">
        <v>365</v>
      </c>
      <c r="H1368" s="630" t="s">
        <v>535</v>
      </c>
      <c r="I1368" s="630"/>
      <c r="J1368" s="630" t="s">
        <v>547</v>
      </c>
      <c r="K1368" s="630"/>
      <c r="L1368" s="630"/>
      <c r="M1368" s="630"/>
      <c r="N1368" s="630"/>
      <c r="O1368" s="630"/>
      <c r="P1368" s="630"/>
      <c r="Q1368" s="630"/>
      <c r="R1368" s="630"/>
      <c r="S1368" s="630" t="s">
        <v>548</v>
      </c>
      <c r="T1368" s="630"/>
      <c r="U1368" s="630" t="s">
        <v>538</v>
      </c>
      <c r="V1368" s="630">
        <v>2</v>
      </c>
      <c r="W1368" s="630" t="s">
        <v>545</v>
      </c>
      <c r="X1368" s="630" t="s">
        <v>546</v>
      </c>
      <c r="Y1368" s="630" t="s">
        <v>549</v>
      </c>
      <c r="Z1368" s="630">
        <v>1.954083</v>
      </c>
      <c r="AA1368" s="630">
        <v>3.1447970000000001</v>
      </c>
      <c r="AB1368" s="631">
        <v>805460</v>
      </c>
      <c r="AC1368" s="631">
        <v>39336999</v>
      </c>
      <c r="AD1368" s="631">
        <f t="shared" si="21"/>
        <v>76867761.016917005</v>
      </c>
    </row>
    <row r="1369" spans="2:30" x14ac:dyDescent="0.15">
      <c r="B1369" s="630">
        <v>17031002182</v>
      </c>
      <c r="C1369" s="630">
        <v>17031000804</v>
      </c>
      <c r="D1369" s="630">
        <v>17031000705</v>
      </c>
      <c r="E1369" s="630" t="s">
        <v>533</v>
      </c>
      <c r="F1369" s="630" t="s">
        <v>534</v>
      </c>
      <c r="G1369" s="630" t="s">
        <v>365</v>
      </c>
      <c r="H1369" s="630" t="s">
        <v>543</v>
      </c>
      <c r="I1369" s="630"/>
      <c r="J1369" s="630" t="s">
        <v>542</v>
      </c>
      <c r="K1369" s="630" t="s">
        <v>547</v>
      </c>
      <c r="L1369" s="630"/>
      <c r="M1369" s="630"/>
      <c r="N1369" s="630"/>
      <c r="O1369" s="630"/>
      <c r="P1369" s="630"/>
      <c r="Q1369" s="630"/>
      <c r="R1369" s="630"/>
      <c r="S1369" s="630" t="s">
        <v>630</v>
      </c>
      <c r="T1369" s="630"/>
      <c r="U1369" s="630" t="s">
        <v>538</v>
      </c>
      <c r="V1369" s="630">
        <v>2</v>
      </c>
      <c r="W1369" s="630" t="s">
        <v>545</v>
      </c>
      <c r="X1369" s="630" t="s">
        <v>549</v>
      </c>
      <c r="Y1369" s="630" t="s">
        <v>540</v>
      </c>
      <c r="Z1369" s="630">
        <v>2.1875819999999999</v>
      </c>
      <c r="AA1369" s="630">
        <v>3.5205790000000001</v>
      </c>
      <c r="AB1369" s="631">
        <v>93356</v>
      </c>
      <c r="AC1369" s="631">
        <v>3932501</v>
      </c>
      <c r="AD1369" s="631">
        <f t="shared" si="21"/>
        <v>8602668.4025819991</v>
      </c>
    </row>
    <row r="1370" spans="2:30" x14ac:dyDescent="0.15">
      <c r="B1370" s="630">
        <v>17031002235</v>
      </c>
      <c r="C1370" s="630">
        <v>17031004609</v>
      </c>
      <c r="D1370" s="630">
        <v>17031004608</v>
      </c>
      <c r="E1370" s="630" t="s">
        <v>533</v>
      </c>
      <c r="F1370" s="630" t="s">
        <v>534</v>
      </c>
      <c r="G1370" s="630" t="s">
        <v>365</v>
      </c>
      <c r="H1370" s="630" t="s">
        <v>382</v>
      </c>
      <c r="I1370" s="630"/>
      <c r="J1370" s="630" t="s">
        <v>547</v>
      </c>
      <c r="K1370" s="630"/>
      <c r="L1370" s="630"/>
      <c r="M1370" s="630"/>
      <c r="N1370" s="630"/>
      <c r="O1370" s="630"/>
      <c r="P1370" s="630"/>
      <c r="Q1370" s="630"/>
      <c r="R1370" s="630"/>
      <c r="S1370" s="630" t="s">
        <v>608</v>
      </c>
      <c r="T1370" s="630"/>
      <c r="U1370" s="630" t="s">
        <v>538</v>
      </c>
      <c r="V1370" s="630">
        <v>3</v>
      </c>
      <c r="W1370" s="630" t="s">
        <v>566</v>
      </c>
      <c r="X1370" s="630" t="s">
        <v>554</v>
      </c>
      <c r="Y1370" s="630" t="s">
        <v>549</v>
      </c>
      <c r="Z1370" s="630">
        <v>1.3600719999999999</v>
      </c>
      <c r="AA1370" s="630">
        <v>2.1888269999999999</v>
      </c>
      <c r="AB1370" s="631">
        <v>0</v>
      </c>
      <c r="AC1370" s="631">
        <v>0</v>
      </c>
      <c r="AD1370" s="631">
        <f t="shared" si="21"/>
        <v>0</v>
      </c>
    </row>
    <row r="1371" spans="2:30" x14ac:dyDescent="0.15">
      <c r="B1371" s="630">
        <v>17043002395</v>
      </c>
      <c r="C1371" s="630">
        <v>17043004781</v>
      </c>
      <c r="D1371" s="630">
        <v>17043004765</v>
      </c>
      <c r="E1371" s="630" t="s">
        <v>533</v>
      </c>
      <c r="F1371" s="630" t="s">
        <v>534</v>
      </c>
      <c r="G1371" s="630" t="s">
        <v>367</v>
      </c>
      <c r="H1371" s="630" t="s">
        <v>382</v>
      </c>
      <c r="I1371" s="630"/>
      <c r="J1371" s="630"/>
      <c r="K1371" s="630"/>
      <c r="L1371" s="630"/>
      <c r="M1371" s="630"/>
      <c r="N1371" s="630"/>
      <c r="O1371" s="630"/>
      <c r="P1371" s="630"/>
      <c r="Q1371" s="630"/>
      <c r="R1371" s="630"/>
      <c r="S1371" s="630" t="s">
        <v>561</v>
      </c>
      <c r="T1371" s="630"/>
      <c r="U1371" s="630" t="s">
        <v>538</v>
      </c>
      <c r="V1371" s="630">
        <v>1</v>
      </c>
      <c r="W1371" s="630" t="s">
        <v>562</v>
      </c>
      <c r="X1371" s="630" t="s">
        <v>541</v>
      </c>
      <c r="Y1371" s="630" t="s">
        <v>540</v>
      </c>
      <c r="Z1371" s="630">
        <v>0.66666499999999995</v>
      </c>
      <c r="AA1371" s="630">
        <v>1.0728960000000001</v>
      </c>
      <c r="AB1371" s="631">
        <v>17266</v>
      </c>
      <c r="AC1371" s="631">
        <v>441968</v>
      </c>
      <c r="AD1371" s="631">
        <f t="shared" si="21"/>
        <v>294644.59671999997</v>
      </c>
    </row>
    <row r="1372" spans="2:30" x14ac:dyDescent="0.15">
      <c r="B1372" s="630">
        <v>17111002550</v>
      </c>
      <c r="C1372" s="630">
        <v>17111000115</v>
      </c>
      <c r="D1372" s="630">
        <v>17111000108</v>
      </c>
      <c r="E1372" s="630" t="s">
        <v>533</v>
      </c>
      <c r="F1372" s="630" t="s">
        <v>534</v>
      </c>
      <c r="G1372" s="630" t="s">
        <v>375</v>
      </c>
      <c r="H1372" s="630" t="s">
        <v>382</v>
      </c>
      <c r="I1372" s="630"/>
      <c r="J1372" s="630" t="s">
        <v>547</v>
      </c>
      <c r="K1372" s="630"/>
      <c r="L1372" s="630"/>
      <c r="M1372" s="630"/>
      <c r="N1372" s="630"/>
      <c r="O1372" s="630"/>
      <c r="P1372" s="630"/>
      <c r="Q1372" s="630"/>
      <c r="R1372" s="630"/>
      <c r="S1372" s="630" t="s">
        <v>608</v>
      </c>
      <c r="T1372" s="630"/>
      <c r="U1372" s="630" t="s">
        <v>538</v>
      </c>
      <c r="V1372" s="630">
        <v>2</v>
      </c>
      <c r="W1372" s="630" t="s">
        <v>566</v>
      </c>
      <c r="X1372" s="630" t="s">
        <v>549</v>
      </c>
      <c r="Y1372" s="630" t="s">
        <v>549</v>
      </c>
      <c r="Z1372" s="630">
        <v>0.57832499999999998</v>
      </c>
      <c r="AA1372" s="630">
        <v>0.93072500000000002</v>
      </c>
      <c r="AB1372" s="631">
        <v>9512</v>
      </c>
      <c r="AC1372" s="631">
        <v>859173</v>
      </c>
      <c r="AD1372" s="631">
        <f t="shared" si="21"/>
        <v>496881.225225</v>
      </c>
    </row>
    <row r="1373" spans="2:30" x14ac:dyDescent="0.15">
      <c r="B1373" s="630">
        <v>17043002581</v>
      </c>
      <c r="C1373" s="630">
        <v>17043000394</v>
      </c>
      <c r="D1373" s="630">
        <v>17999020037</v>
      </c>
      <c r="E1373" s="630" t="s">
        <v>533</v>
      </c>
      <c r="F1373" s="630" t="s">
        <v>534</v>
      </c>
      <c r="G1373" s="630" t="s">
        <v>367</v>
      </c>
      <c r="H1373" s="630" t="s">
        <v>535</v>
      </c>
      <c r="I1373" s="630"/>
      <c r="J1373" s="630"/>
      <c r="K1373" s="630"/>
      <c r="L1373" s="630"/>
      <c r="M1373" s="630"/>
      <c r="N1373" s="630"/>
      <c r="O1373" s="630"/>
      <c r="P1373" s="630"/>
      <c r="Q1373" s="630"/>
      <c r="R1373" s="630"/>
      <c r="S1373" s="630" t="s">
        <v>624</v>
      </c>
      <c r="T1373" s="630"/>
      <c r="U1373" s="630" t="s">
        <v>538</v>
      </c>
      <c r="V1373" s="630">
        <v>1</v>
      </c>
      <c r="W1373" s="630" t="s">
        <v>582</v>
      </c>
      <c r="X1373" s="630" t="s">
        <v>554</v>
      </c>
      <c r="Y1373" s="630" t="s">
        <v>549</v>
      </c>
      <c r="Z1373" s="630">
        <v>1.501315</v>
      </c>
      <c r="AA1373" s="630">
        <v>2.416137</v>
      </c>
      <c r="AB1373" s="631">
        <v>46181</v>
      </c>
      <c r="AC1373" s="631">
        <v>4487359</v>
      </c>
      <c r="AD1373" s="631">
        <f t="shared" si="21"/>
        <v>6736939.3770849993</v>
      </c>
    </row>
    <row r="1374" spans="2:30" x14ac:dyDescent="0.15">
      <c r="B1374" s="630">
        <v>17031003120</v>
      </c>
      <c r="C1374" s="630">
        <v>17031001080</v>
      </c>
      <c r="D1374" s="630">
        <v>17031001088</v>
      </c>
      <c r="E1374" s="630" t="s">
        <v>533</v>
      </c>
      <c r="F1374" s="630" t="s">
        <v>534</v>
      </c>
      <c r="G1374" s="630" t="s">
        <v>365</v>
      </c>
      <c r="H1374" s="630" t="s">
        <v>661</v>
      </c>
      <c r="I1374" s="630"/>
      <c r="J1374" s="630"/>
      <c r="K1374" s="630"/>
      <c r="L1374" s="630"/>
      <c r="M1374" s="630"/>
      <c r="N1374" s="630"/>
      <c r="O1374" s="630"/>
      <c r="P1374" s="630"/>
      <c r="Q1374" s="630"/>
      <c r="R1374" s="630"/>
      <c r="S1374" s="630"/>
      <c r="T1374" s="630"/>
      <c r="U1374" s="630" t="s">
        <v>538</v>
      </c>
      <c r="V1374" s="630">
        <v>1</v>
      </c>
      <c r="W1374" s="630" t="s">
        <v>560</v>
      </c>
      <c r="X1374" s="630" t="s">
        <v>541</v>
      </c>
      <c r="Y1374" s="630" t="s">
        <v>541</v>
      </c>
      <c r="Z1374" s="630">
        <v>6.8680000000000005E-2</v>
      </c>
      <c r="AA1374" s="630">
        <v>0.110531</v>
      </c>
      <c r="AB1374" s="631">
        <v>0</v>
      </c>
      <c r="AC1374" s="631">
        <v>0</v>
      </c>
      <c r="AD1374" s="631">
        <f t="shared" si="21"/>
        <v>0</v>
      </c>
    </row>
    <row r="1375" spans="2:30" x14ac:dyDescent="0.15">
      <c r="B1375" s="630">
        <v>17031003952</v>
      </c>
      <c r="C1375" s="630">
        <v>17031004716</v>
      </c>
      <c r="D1375" s="630">
        <v>17031000999</v>
      </c>
      <c r="E1375" s="630" t="s">
        <v>533</v>
      </c>
      <c r="F1375" s="630" t="s">
        <v>534</v>
      </c>
      <c r="G1375" s="630" t="s">
        <v>365</v>
      </c>
      <c r="H1375" s="630" t="s">
        <v>551</v>
      </c>
      <c r="I1375" s="630"/>
      <c r="J1375" s="630" t="s">
        <v>381</v>
      </c>
      <c r="K1375" s="630" t="s">
        <v>535</v>
      </c>
      <c r="L1375" s="630" t="s">
        <v>552</v>
      </c>
      <c r="M1375" s="630" t="s">
        <v>382</v>
      </c>
      <c r="N1375" s="630"/>
      <c r="O1375" s="630"/>
      <c r="P1375" s="630"/>
      <c r="Q1375" s="630"/>
      <c r="R1375" s="630"/>
      <c r="S1375" s="630" t="s">
        <v>600</v>
      </c>
      <c r="T1375" s="630"/>
      <c r="U1375" s="630" t="s">
        <v>538</v>
      </c>
      <c r="V1375" s="630">
        <v>3</v>
      </c>
      <c r="W1375" s="630" t="s">
        <v>582</v>
      </c>
      <c r="X1375" s="630" t="s">
        <v>575</v>
      </c>
      <c r="Y1375" s="630" t="s">
        <v>554</v>
      </c>
      <c r="Z1375" s="630">
        <v>0.94420800000000005</v>
      </c>
      <c r="AA1375" s="630">
        <v>1.5195590000000001</v>
      </c>
      <c r="AB1375" s="631">
        <v>441393</v>
      </c>
      <c r="AC1375" s="631">
        <v>9058562</v>
      </c>
      <c r="AD1375" s="631">
        <f t="shared" si="21"/>
        <v>8553166.7088959999</v>
      </c>
    </row>
    <row r="1376" spans="2:30" x14ac:dyDescent="0.15">
      <c r="B1376" s="630">
        <v>17197004003</v>
      </c>
      <c r="C1376" s="630">
        <v>17197004786</v>
      </c>
      <c r="D1376" s="630">
        <v>17197001604</v>
      </c>
      <c r="E1376" s="630" t="s">
        <v>533</v>
      </c>
      <c r="F1376" s="630" t="s">
        <v>534</v>
      </c>
      <c r="G1376" s="630" t="s">
        <v>377</v>
      </c>
      <c r="H1376" s="630" t="s">
        <v>535</v>
      </c>
      <c r="I1376" s="630"/>
      <c r="J1376" s="630" t="s">
        <v>542</v>
      </c>
      <c r="K1376" s="630" t="s">
        <v>543</v>
      </c>
      <c r="L1376" s="630" t="s">
        <v>382</v>
      </c>
      <c r="M1376" s="630"/>
      <c r="N1376" s="630"/>
      <c r="O1376" s="630"/>
      <c r="P1376" s="630"/>
      <c r="Q1376" s="630"/>
      <c r="R1376" s="630"/>
      <c r="S1376" s="630" t="s">
        <v>544</v>
      </c>
      <c r="T1376" s="630"/>
      <c r="U1376" s="630" t="s">
        <v>538</v>
      </c>
      <c r="V1376" s="630">
        <v>2</v>
      </c>
      <c r="W1376" s="630" t="s">
        <v>545</v>
      </c>
      <c r="X1376" s="630" t="s">
        <v>546</v>
      </c>
      <c r="Y1376" s="630" t="s">
        <v>540</v>
      </c>
      <c r="Z1376" s="630">
        <v>0.46915000000000001</v>
      </c>
      <c r="AA1376" s="630">
        <v>0.75502599999999997</v>
      </c>
      <c r="AB1376" s="631">
        <v>436246</v>
      </c>
      <c r="AC1376" s="631">
        <v>24014023</v>
      </c>
      <c r="AD1376" s="631">
        <f t="shared" si="21"/>
        <v>11266178.890450001</v>
      </c>
    </row>
    <row r="1377" spans="2:30" x14ac:dyDescent="0.15">
      <c r="B1377" s="630">
        <v>17031004211</v>
      </c>
      <c r="C1377" s="630">
        <v>17031000334</v>
      </c>
      <c r="D1377" s="630">
        <v>17031000347</v>
      </c>
      <c r="E1377" s="630" t="s">
        <v>533</v>
      </c>
      <c r="F1377" s="630" t="s">
        <v>534</v>
      </c>
      <c r="G1377" s="630" t="s">
        <v>365</v>
      </c>
      <c r="H1377" s="630" t="s">
        <v>590</v>
      </c>
      <c r="I1377" s="630"/>
      <c r="J1377" s="630"/>
      <c r="K1377" s="630"/>
      <c r="L1377" s="630"/>
      <c r="M1377" s="630"/>
      <c r="N1377" s="630"/>
      <c r="O1377" s="630"/>
      <c r="P1377" s="630"/>
      <c r="Q1377" s="630"/>
      <c r="R1377" s="630"/>
      <c r="S1377" s="630"/>
      <c r="T1377" s="630"/>
      <c r="U1377" s="630" t="s">
        <v>559</v>
      </c>
      <c r="V1377" s="630">
        <v>1</v>
      </c>
      <c r="W1377" s="630" t="s">
        <v>560</v>
      </c>
      <c r="X1377" s="630" t="s">
        <v>541</v>
      </c>
      <c r="Y1377" s="630" t="s">
        <v>541</v>
      </c>
      <c r="Z1377" s="630">
        <v>0.123721</v>
      </c>
      <c r="AA1377" s="630">
        <v>0.19911000000000001</v>
      </c>
      <c r="AB1377" s="631">
        <v>0</v>
      </c>
      <c r="AC1377" s="631">
        <v>0</v>
      </c>
      <c r="AD1377" s="631">
        <f t="shared" si="21"/>
        <v>0</v>
      </c>
    </row>
    <row r="1378" spans="2:30" x14ac:dyDescent="0.15">
      <c r="B1378" s="630">
        <v>17197006556</v>
      </c>
      <c r="C1378" s="630">
        <v>17197004514</v>
      </c>
      <c r="D1378" s="630">
        <v>17197006586</v>
      </c>
      <c r="E1378" s="630" t="s">
        <v>533</v>
      </c>
      <c r="F1378" s="630" t="s">
        <v>534</v>
      </c>
      <c r="G1378" s="630" t="s">
        <v>377</v>
      </c>
      <c r="H1378" s="630" t="s">
        <v>381</v>
      </c>
      <c r="I1378" s="630"/>
      <c r="J1378" s="630" t="s">
        <v>382</v>
      </c>
      <c r="K1378" s="630"/>
      <c r="L1378" s="630"/>
      <c r="M1378" s="630"/>
      <c r="N1378" s="630"/>
      <c r="O1378" s="630"/>
      <c r="P1378" s="630"/>
      <c r="Q1378" s="630"/>
      <c r="R1378" s="630"/>
      <c r="S1378" s="630" t="s">
        <v>651</v>
      </c>
      <c r="T1378" s="630" t="s">
        <v>651</v>
      </c>
      <c r="U1378" s="630" t="s">
        <v>559</v>
      </c>
      <c r="V1378" s="630">
        <v>1</v>
      </c>
      <c r="W1378" s="630" t="s">
        <v>539</v>
      </c>
      <c r="X1378" s="630" t="s">
        <v>541</v>
      </c>
      <c r="Y1378" s="630" t="s">
        <v>541</v>
      </c>
      <c r="Z1378" s="630">
        <v>0.90021099999999998</v>
      </c>
      <c r="AA1378" s="630">
        <v>1.4487509999999999</v>
      </c>
      <c r="AB1378" s="631">
        <v>890480</v>
      </c>
      <c r="AC1378" s="631">
        <v>13574960</v>
      </c>
      <c r="AD1378" s="631">
        <f t="shared" si="21"/>
        <v>12220328.31656</v>
      </c>
    </row>
    <row r="1379" spans="2:30" x14ac:dyDescent="0.15">
      <c r="B1379" s="630">
        <v>17031001937</v>
      </c>
      <c r="C1379" s="630">
        <v>17031004658</v>
      </c>
      <c r="D1379" s="630">
        <v>17031000815</v>
      </c>
      <c r="E1379" s="630" t="s">
        <v>533</v>
      </c>
      <c r="F1379" s="630" t="s">
        <v>534</v>
      </c>
      <c r="G1379" s="630" t="s">
        <v>365</v>
      </c>
      <c r="H1379" s="630" t="s">
        <v>381</v>
      </c>
      <c r="I1379" s="630"/>
      <c r="J1379" s="630" t="s">
        <v>542</v>
      </c>
      <c r="K1379" s="630" t="s">
        <v>547</v>
      </c>
      <c r="L1379" s="630" t="s">
        <v>382</v>
      </c>
      <c r="M1379" s="630"/>
      <c r="N1379" s="630"/>
      <c r="O1379" s="630"/>
      <c r="P1379" s="630"/>
      <c r="Q1379" s="630"/>
      <c r="R1379" s="630"/>
      <c r="S1379" s="630" t="s">
        <v>579</v>
      </c>
      <c r="T1379" s="630"/>
      <c r="U1379" s="630" t="s">
        <v>538</v>
      </c>
      <c r="V1379" s="630">
        <v>3</v>
      </c>
      <c r="W1379" s="630" t="s">
        <v>545</v>
      </c>
      <c r="X1379" s="630" t="s">
        <v>580</v>
      </c>
      <c r="Y1379" s="630" t="s">
        <v>549</v>
      </c>
      <c r="Z1379" s="630">
        <v>0.27646900000000002</v>
      </c>
      <c r="AA1379" s="630">
        <v>0.444934</v>
      </c>
      <c r="AB1379" s="631">
        <v>1180282</v>
      </c>
      <c r="AC1379" s="631">
        <v>46466300</v>
      </c>
      <c r="AD1379" s="631">
        <f t="shared" si="21"/>
        <v>12846491.494700002</v>
      </c>
    </row>
    <row r="1380" spans="2:30" x14ac:dyDescent="0.15">
      <c r="B1380" s="630">
        <v>17031003117</v>
      </c>
      <c r="C1380" s="630">
        <v>17031001127</v>
      </c>
      <c r="D1380" s="630">
        <v>17031001131</v>
      </c>
      <c r="E1380" s="630" t="s">
        <v>533</v>
      </c>
      <c r="F1380" s="630" t="s">
        <v>534</v>
      </c>
      <c r="G1380" s="630" t="s">
        <v>365</v>
      </c>
      <c r="H1380" s="630" t="s">
        <v>661</v>
      </c>
      <c r="I1380" s="630"/>
      <c r="J1380" s="630"/>
      <c r="K1380" s="630"/>
      <c r="L1380" s="630"/>
      <c r="M1380" s="630"/>
      <c r="N1380" s="630"/>
      <c r="O1380" s="630"/>
      <c r="P1380" s="630"/>
      <c r="Q1380" s="630"/>
      <c r="R1380" s="630"/>
      <c r="S1380" s="630"/>
      <c r="T1380" s="630"/>
      <c r="U1380" s="630" t="s">
        <v>538</v>
      </c>
      <c r="V1380" s="630">
        <v>1</v>
      </c>
      <c r="W1380" s="630" t="s">
        <v>560</v>
      </c>
      <c r="X1380" s="630" t="s">
        <v>541</v>
      </c>
      <c r="Y1380" s="630" t="s">
        <v>541</v>
      </c>
      <c r="Z1380" s="630">
        <v>0.39871899999999999</v>
      </c>
      <c r="AA1380" s="630">
        <v>0.64167799999999997</v>
      </c>
      <c r="AB1380" s="631">
        <v>0</v>
      </c>
      <c r="AC1380" s="631">
        <v>0</v>
      </c>
      <c r="AD1380" s="631">
        <f t="shared" si="21"/>
        <v>0</v>
      </c>
    </row>
    <row r="1381" spans="2:30" x14ac:dyDescent="0.15">
      <c r="B1381" s="630">
        <v>17031005339</v>
      </c>
      <c r="C1381" s="630">
        <v>17031000325</v>
      </c>
      <c r="D1381" s="630">
        <v>17031000324</v>
      </c>
      <c r="E1381" s="630" t="s">
        <v>533</v>
      </c>
      <c r="F1381" s="630" t="s">
        <v>534</v>
      </c>
      <c r="G1381" s="630" t="s">
        <v>365</v>
      </c>
      <c r="H1381" s="630" t="s">
        <v>590</v>
      </c>
      <c r="I1381" s="630"/>
      <c r="J1381" s="630"/>
      <c r="K1381" s="630"/>
      <c r="L1381" s="630"/>
      <c r="M1381" s="630"/>
      <c r="N1381" s="630"/>
      <c r="O1381" s="630"/>
      <c r="P1381" s="630"/>
      <c r="Q1381" s="630"/>
      <c r="R1381" s="630"/>
      <c r="S1381" s="630"/>
      <c r="T1381" s="630"/>
      <c r="U1381" s="630" t="s">
        <v>559</v>
      </c>
      <c r="V1381" s="630">
        <v>1</v>
      </c>
      <c r="W1381" s="630" t="s">
        <v>560</v>
      </c>
      <c r="X1381" s="630" t="s">
        <v>541</v>
      </c>
      <c r="Y1381" s="630" t="s">
        <v>541</v>
      </c>
      <c r="Z1381" s="630">
        <v>0.62514499999999995</v>
      </c>
      <c r="AA1381" s="630">
        <v>1.006076</v>
      </c>
      <c r="AB1381" s="631">
        <v>0</v>
      </c>
      <c r="AC1381" s="631">
        <v>0</v>
      </c>
      <c r="AD1381" s="631">
        <f t="shared" si="21"/>
        <v>0</v>
      </c>
    </row>
    <row r="1382" spans="2:30" x14ac:dyDescent="0.15">
      <c r="B1382" s="630">
        <v>17031006227</v>
      </c>
      <c r="C1382" s="630">
        <v>17031001397</v>
      </c>
      <c r="D1382" s="630">
        <v>17031001393</v>
      </c>
      <c r="E1382" s="630" t="s">
        <v>533</v>
      </c>
      <c r="F1382" s="630" t="s">
        <v>534</v>
      </c>
      <c r="G1382" s="630" t="s">
        <v>365</v>
      </c>
      <c r="H1382" s="630" t="s">
        <v>551</v>
      </c>
      <c r="I1382" s="630"/>
      <c r="J1382" s="630" t="s">
        <v>557</v>
      </c>
      <c r="K1382" s="630"/>
      <c r="L1382" s="630"/>
      <c r="M1382" s="630"/>
      <c r="N1382" s="630"/>
      <c r="O1382" s="630"/>
      <c r="P1382" s="630"/>
      <c r="Q1382" s="630"/>
      <c r="R1382" s="630"/>
      <c r="S1382" s="630" t="s">
        <v>603</v>
      </c>
      <c r="T1382" s="630"/>
      <c r="U1382" s="630" t="s">
        <v>538</v>
      </c>
      <c r="V1382" s="630">
        <v>1</v>
      </c>
      <c r="W1382" s="630" t="s">
        <v>545</v>
      </c>
      <c r="X1382" s="630" t="s">
        <v>575</v>
      </c>
      <c r="Y1382" s="630" t="s">
        <v>554</v>
      </c>
      <c r="Z1382" s="630">
        <v>5.5682000000000002E-2</v>
      </c>
      <c r="AA1382" s="630">
        <v>8.9611999999999997E-2</v>
      </c>
      <c r="AB1382" s="631">
        <v>0</v>
      </c>
      <c r="AC1382" s="631">
        <v>0</v>
      </c>
      <c r="AD1382" s="631">
        <f t="shared" si="21"/>
        <v>0</v>
      </c>
    </row>
    <row r="1383" spans="2:30" x14ac:dyDescent="0.15">
      <c r="B1383" s="630">
        <v>17043005749</v>
      </c>
      <c r="C1383" s="630">
        <v>17043006563</v>
      </c>
      <c r="D1383" s="630">
        <v>17043000586</v>
      </c>
      <c r="E1383" s="630" t="s">
        <v>533</v>
      </c>
      <c r="F1383" s="630" t="s">
        <v>534</v>
      </c>
      <c r="G1383" s="630" t="s">
        <v>367</v>
      </c>
      <c r="H1383" s="630" t="s">
        <v>382</v>
      </c>
      <c r="I1383" s="630"/>
      <c r="J1383" s="630"/>
      <c r="K1383" s="630"/>
      <c r="L1383" s="630"/>
      <c r="M1383" s="630"/>
      <c r="N1383" s="630"/>
      <c r="O1383" s="630"/>
      <c r="P1383" s="630"/>
      <c r="Q1383" s="630"/>
      <c r="R1383" s="630"/>
      <c r="S1383" s="630" t="s">
        <v>635</v>
      </c>
      <c r="T1383" s="630" t="s">
        <v>587</v>
      </c>
      <c r="U1383" s="630" t="s">
        <v>559</v>
      </c>
      <c r="V1383" s="630">
        <v>1</v>
      </c>
      <c r="W1383" s="630" t="s">
        <v>560</v>
      </c>
      <c r="X1383" s="630" t="s">
        <v>541</v>
      </c>
      <c r="Y1383" s="630" t="s">
        <v>541</v>
      </c>
      <c r="Z1383" s="630">
        <v>0.44726199999999999</v>
      </c>
      <c r="AA1383" s="630">
        <v>0.71979899999999997</v>
      </c>
      <c r="AB1383" s="631">
        <v>0</v>
      </c>
      <c r="AC1383" s="631">
        <v>0</v>
      </c>
      <c r="AD1383" s="631">
        <f t="shared" si="21"/>
        <v>0</v>
      </c>
    </row>
    <row r="1384" spans="2:30" x14ac:dyDescent="0.15">
      <c r="B1384" s="630">
        <v>17043009128</v>
      </c>
      <c r="C1384" s="630">
        <v>17043007335</v>
      </c>
      <c r="D1384" s="630">
        <v>17043000362</v>
      </c>
      <c r="E1384" s="630" t="s">
        <v>533</v>
      </c>
      <c r="F1384" s="630" t="s">
        <v>534</v>
      </c>
      <c r="G1384" s="630" t="s">
        <v>367</v>
      </c>
      <c r="H1384" s="630" t="s">
        <v>552</v>
      </c>
      <c r="I1384" s="630"/>
      <c r="J1384" s="630" t="s">
        <v>547</v>
      </c>
      <c r="K1384" s="630"/>
      <c r="L1384" s="630"/>
      <c r="M1384" s="630"/>
      <c r="N1384" s="630"/>
      <c r="O1384" s="630"/>
      <c r="P1384" s="630"/>
      <c r="Q1384" s="630"/>
      <c r="R1384" s="630"/>
      <c r="S1384" s="630" t="s">
        <v>589</v>
      </c>
      <c r="T1384" s="630"/>
      <c r="U1384" s="630" t="s">
        <v>538</v>
      </c>
      <c r="V1384" s="630">
        <v>2</v>
      </c>
      <c r="W1384" s="630" t="s">
        <v>545</v>
      </c>
      <c r="X1384" s="630" t="s">
        <v>540</v>
      </c>
      <c r="Y1384" s="630" t="s">
        <v>549</v>
      </c>
      <c r="Z1384" s="630">
        <v>0.166546</v>
      </c>
      <c r="AA1384" s="630">
        <v>0.26803100000000002</v>
      </c>
      <c r="AB1384" s="631">
        <v>74103</v>
      </c>
      <c r="AC1384" s="631">
        <v>7759864</v>
      </c>
      <c r="AD1384" s="631">
        <f t="shared" si="21"/>
        <v>1292374.309744</v>
      </c>
    </row>
    <row r="1385" spans="2:30" x14ac:dyDescent="0.15">
      <c r="B1385" s="630">
        <v>17031003264</v>
      </c>
      <c r="C1385" s="630">
        <v>17031001358</v>
      </c>
      <c r="D1385" s="630">
        <v>17031001408</v>
      </c>
      <c r="E1385" s="630" t="s">
        <v>533</v>
      </c>
      <c r="F1385" s="630" t="s">
        <v>534</v>
      </c>
      <c r="G1385" s="630" t="s">
        <v>365</v>
      </c>
      <c r="H1385" s="630" t="s">
        <v>382</v>
      </c>
      <c r="I1385" s="630"/>
      <c r="J1385" s="630" t="s">
        <v>542</v>
      </c>
      <c r="K1385" s="630" t="s">
        <v>551</v>
      </c>
      <c r="L1385" s="630" t="s">
        <v>555</v>
      </c>
      <c r="M1385" s="630" t="s">
        <v>552</v>
      </c>
      <c r="N1385" s="630" t="s">
        <v>535</v>
      </c>
      <c r="O1385" s="630"/>
      <c r="P1385" s="630"/>
      <c r="Q1385" s="630"/>
      <c r="R1385" s="630"/>
      <c r="S1385" s="630" t="s">
        <v>556</v>
      </c>
      <c r="T1385" s="630" t="s">
        <v>631</v>
      </c>
      <c r="U1385" s="630" t="s">
        <v>538</v>
      </c>
      <c r="V1385" s="630">
        <v>2</v>
      </c>
      <c r="W1385" s="630" t="s">
        <v>545</v>
      </c>
      <c r="X1385" s="630" t="s">
        <v>580</v>
      </c>
      <c r="Y1385" s="630" t="s">
        <v>554</v>
      </c>
      <c r="Z1385" s="630">
        <v>1.0174780000000001</v>
      </c>
      <c r="AA1385" s="630">
        <v>1.6374759999999999</v>
      </c>
      <c r="AB1385" s="631">
        <v>759364</v>
      </c>
      <c r="AC1385" s="631">
        <v>32851363</v>
      </c>
      <c r="AD1385" s="631">
        <f t="shared" si="21"/>
        <v>33425539.122514002</v>
      </c>
    </row>
    <row r="1386" spans="2:30" x14ac:dyDescent="0.15">
      <c r="B1386" s="630">
        <v>17031003972</v>
      </c>
      <c r="C1386" s="630">
        <v>17031000926</v>
      </c>
      <c r="D1386" s="630">
        <v>17031000903</v>
      </c>
      <c r="E1386" s="630" t="s">
        <v>533</v>
      </c>
      <c r="F1386" s="630" t="s">
        <v>534</v>
      </c>
      <c r="G1386" s="630" t="s">
        <v>365</v>
      </c>
      <c r="H1386" s="630" t="s">
        <v>543</v>
      </c>
      <c r="I1386" s="630"/>
      <c r="J1386" s="630" t="s">
        <v>542</v>
      </c>
      <c r="K1386" s="630"/>
      <c r="L1386" s="630"/>
      <c r="M1386" s="630"/>
      <c r="N1386" s="630"/>
      <c r="O1386" s="630"/>
      <c r="P1386" s="630"/>
      <c r="Q1386" s="630"/>
      <c r="R1386" s="630"/>
      <c r="S1386" s="630" t="s">
        <v>630</v>
      </c>
      <c r="T1386" s="630"/>
      <c r="U1386" s="630" t="s">
        <v>538</v>
      </c>
      <c r="V1386" s="630">
        <v>2</v>
      </c>
      <c r="W1386" s="630" t="s">
        <v>545</v>
      </c>
      <c r="X1386" s="630" t="s">
        <v>580</v>
      </c>
      <c r="Y1386" s="630" t="s">
        <v>540</v>
      </c>
      <c r="Z1386" s="630">
        <v>0.82285200000000003</v>
      </c>
      <c r="AA1386" s="630">
        <v>1.324254</v>
      </c>
      <c r="AB1386" s="631">
        <v>2617438</v>
      </c>
      <c r="AC1386" s="631">
        <v>69406708</v>
      </c>
      <c r="AD1386" s="631">
        <f t="shared" si="21"/>
        <v>57111448.491216004</v>
      </c>
    </row>
    <row r="1387" spans="2:30" x14ac:dyDescent="0.15">
      <c r="B1387" s="630">
        <v>17031004198</v>
      </c>
      <c r="C1387" s="630">
        <v>17031000315</v>
      </c>
      <c r="D1387" s="630">
        <v>17031000326</v>
      </c>
      <c r="E1387" s="630" t="s">
        <v>533</v>
      </c>
      <c r="F1387" s="630" t="s">
        <v>534</v>
      </c>
      <c r="G1387" s="630" t="s">
        <v>365</v>
      </c>
      <c r="H1387" s="630" t="s">
        <v>590</v>
      </c>
      <c r="I1387" s="630"/>
      <c r="J1387" s="630"/>
      <c r="K1387" s="630"/>
      <c r="L1387" s="630"/>
      <c r="M1387" s="630"/>
      <c r="N1387" s="630"/>
      <c r="O1387" s="630"/>
      <c r="P1387" s="630"/>
      <c r="Q1387" s="630"/>
      <c r="R1387" s="630"/>
      <c r="S1387" s="630"/>
      <c r="T1387" s="630"/>
      <c r="U1387" s="630" t="s">
        <v>559</v>
      </c>
      <c r="V1387" s="630">
        <v>1</v>
      </c>
      <c r="W1387" s="630" t="s">
        <v>560</v>
      </c>
      <c r="X1387" s="630" t="s">
        <v>541</v>
      </c>
      <c r="Y1387" s="630" t="s">
        <v>541</v>
      </c>
      <c r="Z1387" s="630">
        <v>1.067045</v>
      </c>
      <c r="AA1387" s="630">
        <v>1.7172460000000001</v>
      </c>
      <c r="AB1387" s="631">
        <v>0</v>
      </c>
      <c r="AC1387" s="631">
        <v>0</v>
      </c>
      <c r="AD1387" s="631">
        <f t="shared" si="21"/>
        <v>0</v>
      </c>
    </row>
    <row r="1388" spans="2:30" x14ac:dyDescent="0.15">
      <c r="B1388" s="630">
        <v>17031005479</v>
      </c>
      <c r="C1388" s="630">
        <v>17031000994</v>
      </c>
      <c r="D1388" s="630">
        <v>17031004732</v>
      </c>
      <c r="E1388" s="630" t="s">
        <v>533</v>
      </c>
      <c r="F1388" s="630" t="s">
        <v>534</v>
      </c>
      <c r="G1388" s="630" t="s">
        <v>365</v>
      </c>
      <c r="H1388" s="630" t="s">
        <v>571</v>
      </c>
      <c r="I1388" s="630"/>
      <c r="J1388" s="630"/>
      <c r="K1388" s="630"/>
      <c r="L1388" s="630"/>
      <c r="M1388" s="630"/>
      <c r="N1388" s="630"/>
      <c r="O1388" s="630"/>
      <c r="P1388" s="630"/>
      <c r="Q1388" s="630"/>
      <c r="R1388" s="630"/>
      <c r="S1388" s="630"/>
      <c r="T1388" s="630"/>
      <c r="U1388" s="630" t="s">
        <v>559</v>
      </c>
      <c r="V1388" s="630">
        <v>1</v>
      </c>
      <c r="W1388" s="630" t="s">
        <v>560</v>
      </c>
      <c r="X1388" s="630" t="s">
        <v>541</v>
      </c>
      <c r="Y1388" s="630" t="s">
        <v>541</v>
      </c>
      <c r="Z1388" s="630">
        <v>9.0153999999999998E-2</v>
      </c>
      <c r="AA1388" s="630">
        <v>0.14509</v>
      </c>
      <c r="AB1388" s="631">
        <v>0</v>
      </c>
      <c r="AC1388" s="631">
        <v>0</v>
      </c>
      <c r="AD1388" s="631">
        <f t="shared" si="21"/>
        <v>0</v>
      </c>
    </row>
    <row r="1389" spans="2:30" x14ac:dyDescent="0.15">
      <c r="B1389" s="630">
        <v>17031005970</v>
      </c>
      <c r="C1389" s="630">
        <v>17031001352</v>
      </c>
      <c r="D1389" s="630">
        <v>17031004749</v>
      </c>
      <c r="E1389" s="630" t="s">
        <v>533</v>
      </c>
      <c r="F1389" s="630" t="s">
        <v>534</v>
      </c>
      <c r="G1389" s="630" t="s">
        <v>365</v>
      </c>
      <c r="H1389" s="630" t="s">
        <v>551</v>
      </c>
      <c r="I1389" s="630"/>
      <c r="J1389" s="630"/>
      <c r="K1389" s="630"/>
      <c r="L1389" s="630"/>
      <c r="M1389" s="630"/>
      <c r="N1389" s="630"/>
      <c r="O1389" s="630"/>
      <c r="P1389" s="630"/>
      <c r="Q1389" s="630"/>
      <c r="R1389" s="630"/>
      <c r="S1389" s="630" t="s">
        <v>686</v>
      </c>
      <c r="T1389" s="630"/>
      <c r="U1389" s="630" t="s">
        <v>559</v>
      </c>
      <c r="V1389" s="630">
        <v>1</v>
      </c>
      <c r="W1389" s="630" t="s">
        <v>560</v>
      </c>
      <c r="X1389" s="630" t="s">
        <v>541</v>
      </c>
      <c r="Y1389" s="630" t="s">
        <v>541</v>
      </c>
      <c r="Z1389" s="630">
        <v>1.0710770000000001</v>
      </c>
      <c r="AA1389" s="630">
        <v>1.723735</v>
      </c>
      <c r="AB1389" s="631">
        <v>0</v>
      </c>
      <c r="AC1389" s="631">
        <v>0</v>
      </c>
      <c r="AD1389" s="631">
        <f t="shared" si="21"/>
        <v>0</v>
      </c>
    </row>
    <row r="1390" spans="2:30" x14ac:dyDescent="0.15">
      <c r="B1390" s="630">
        <v>17197006060</v>
      </c>
      <c r="C1390" s="630">
        <v>17197001483</v>
      </c>
      <c r="D1390" s="630">
        <v>17197004791</v>
      </c>
      <c r="E1390" s="630" t="s">
        <v>533</v>
      </c>
      <c r="F1390" s="630" t="s">
        <v>534</v>
      </c>
      <c r="G1390" s="630" t="s">
        <v>377</v>
      </c>
      <c r="H1390" s="630" t="s">
        <v>547</v>
      </c>
      <c r="I1390" s="630"/>
      <c r="J1390" s="630" t="s">
        <v>551</v>
      </c>
      <c r="K1390" s="630" t="s">
        <v>615</v>
      </c>
      <c r="L1390" s="630"/>
      <c r="M1390" s="630"/>
      <c r="N1390" s="630"/>
      <c r="O1390" s="630"/>
      <c r="P1390" s="630"/>
      <c r="Q1390" s="630"/>
      <c r="R1390" s="630"/>
      <c r="S1390" s="630" t="s">
        <v>581</v>
      </c>
      <c r="T1390" s="630"/>
      <c r="U1390" s="630" t="s">
        <v>538</v>
      </c>
      <c r="V1390" s="630">
        <v>2</v>
      </c>
      <c r="W1390" s="630" t="s">
        <v>582</v>
      </c>
      <c r="X1390" s="630" t="s">
        <v>540</v>
      </c>
      <c r="Y1390" s="630" t="s">
        <v>540</v>
      </c>
      <c r="Z1390" s="630">
        <v>4.7681589999999998</v>
      </c>
      <c r="AA1390" s="630">
        <v>7.6736230000000001</v>
      </c>
      <c r="AB1390" s="631">
        <v>91081</v>
      </c>
      <c r="AC1390" s="631">
        <v>8923844</v>
      </c>
      <c r="AD1390" s="631">
        <f t="shared" si="21"/>
        <v>42550307.083195999</v>
      </c>
    </row>
    <row r="1391" spans="2:30" x14ac:dyDescent="0.15">
      <c r="B1391" s="630">
        <v>17031006482</v>
      </c>
      <c r="C1391" s="630">
        <v>17031001402</v>
      </c>
      <c r="D1391" s="630">
        <v>17031004743</v>
      </c>
      <c r="E1391" s="630" t="s">
        <v>533</v>
      </c>
      <c r="F1391" s="630" t="s">
        <v>534</v>
      </c>
      <c r="G1391" s="630" t="s">
        <v>365</v>
      </c>
      <c r="H1391" s="630" t="s">
        <v>557</v>
      </c>
      <c r="I1391" s="630"/>
      <c r="J1391" s="630" t="s">
        <v>552</v>
      </c>
      <c r="K1391" s="630"/>
      <c r="L1391" s="630"/>
      <c r="M1391" s="630"/>
      <c r="N1391" s="630"/>
      <c r="O1391" s="630"/>
      <c r="P1391" s="630"/>
      <c r="Q1391" s="630"/>
      <c r="R1391" s="630"/>
      <c r="S1391" s="630" t="s">
        <v>634</v>
      </c>
      <c r="T1391" s="630"/>
      <c r="U1391" s="630" t="s">
        <v>559</v>
      </c>
      <c r="V1391" s="630">
        <v>1</v>
      </c>
      <c r="W1391" s="630" t="s">
        <v>560</v>
      </c>
      <c r="X1391" s="630" t="s">
        <v>541</v>
      </c>
      <c r="Y1391" s="630" t="s">
        <v>541</v>
      </c>
      <c r="Z1391" s="630">
        <v>8.7188000000000002E-2</v>
      </c>
      <c r="AA1391" s="630">
        <v>0.140315</v>
      </c>
      <c r="AB1391" s="631">
        <v>400</v>
      </c>
      <c r="AC1391" s="631">
        <v>37280</v>
      </c>
      <c r="AD1391" s="631">
        <f t="shared" si="21"/>
        <v>3250.3686400000001</v>
      </c>
    </row>
    <row r="1392" spans="2:30" x14ac:dyDescent="0.15">
      <c r="B1392" s="630">
        <v>17043006345</v>
      </c>
      <c r="C1392" s="630">
        <v>17999019973</v>
      </c>
      <c r="D1392" s="630">
        <v>17043000366</v>
      </c>
      <c r="E1392" s="630" t="s">
        <v>533</v>
      </c>
      <c r="F1392" s="630" t="s">
        <v>534</v>
      </c>
      <c r="G1392" s="630" t="s">
        <v>367</v>
      </c>
      <c r="H1392" s="630" t="s">
        <v>552</v>
      </c>
      <c r="I1392" s="630"/>
      <c r="J1392" s="630" t="s">
        <v>547</v>
      </c>
      <c r="K1392" s="630"/>
      <c r="L1392" s="630"/>
      <c r="M1392" s="630"/>
      <c r="N1392" s="630"/>
      <c r="O1392" s="630"/>
      <c r="P1392" s="630"/>
      <c r="Q1392" s="630"/>
      <c r="R1392" s="630"/>
      <c r="S1392" s="630" t="s">
        <v>589</v>
      </c>
      <c r="T1392" s="630"/>
      <c r="U1392" s="630" t="s">
        <v>538</v>
      </c>
      <c r="V1392" s="630">
        <v>2</v>
      </c>
      <c r="W1392" s="630" t="s">
        <v>545</v>
      </c>
      <c r="X1392" s="630" t="s">
        <v>540</v>
      </c>
      <c r="Y1392" s="630" t="s">
        <v>549</v>
      </c>
      <c r="Z1392" s="630">
        <v>0.95486300000000002</v>
      </c>
      <c r="AA1392" s="630">
        <v>1.5367059999999999</v>
      </c>
      <c r="AB1392" s="631">
        <v>73983</v>
      </c>
      <c r="AC1392" s="631">
        <v>7748144</v>
      </c>
      <c r="AD1392" s="631">
        <f t="shared" si="21"/>
        <v>7398416.0242720004</v>
      </c>
    </row>
    <row r="1393" spans="2:30" x14ac:dyDescent="0.15">
      <c r="B1393" s="630">
        <v>17031009491</v>
      </c>
      <c r="C1393" s="630">
        <v>17031007589</v>
      </c>
      <c r="D1393" s="630">
        <v>17031007579</v>
      </c>
      <c r="E1393" s="630" t="s">
        <v>533</v>
      </c>
      <c r="F1393" s="630" t="s">
        <v>534</v>
      </c>
      <c r="G1393" s="630" t="s">
        <v>365</v>
      </c>
      <c r="H1393" s="630" t="s">
        <v>535</v>
      </c>
      <c r="I1393" s="630"/>
      <c r="J1393" s="630" t="s">
        <v>547</v>
      </c>
      <c r="K1393" s="630"/>
      <c r="L1393" s="630"/>
      <c r="M1393" s="630"/>
      <c r="N1393" s="630"/>
      <c r="O1393" s="630"/>
      <c r="P1393" s="630"/>
      <c r="Q1393" s="630"/>
      <c r="R1393" s="630"/>
      <c r="S1393" s="630" t="s">
        <v>548</v>
      </c>
      <c r="T1393" s="630"/>
      <c r="U1393" s="630" t="s">
        <v>538</v>
      </c>
      <c r="V1393" s="630">
        <v>2</v>
      </c>
      <c r="W1393" s="630" t="s">
        <v>545</v>
      </c>
      <c r="X1393" s="630" t="s">
        <v>546</v>
      </c>
      <c r="Y1393" s="630" t="s">
        <v>549</v>
      </c>
      <c r="Z1393" s="630">
        <v>0.40125499999999997</v>
      </c>
      <c r="AA1393" s="630">
        <v>0.64575800000000005</v>
      </c>
      <c r="AB1393" s="631">
        <v>805460</v>
      </c>
      <c r="AC1393" s="631">
        <v>39336999</v>
      </c>
      <c r="AD1393" s="631">
        <f t="shared" si="21"/>
        <v>15784167.533744998</v>
      </c>
    </row>
    <row r="1394" spans="2:30" x14ac:dyDescent="0.15">
      <c r="B1394" s="630">
        <v>17043008201</v>
      </c>
      <c r="C1394" s="630">
        <v>17043006568</v>
      </c>
      <c r="D1394" s="630">
        <v>17043006569</v>
      </c>
      <c r="E1394" s="630" t="s">
        <v>533</v>
      </c>
      <c r="F1394" s="630" t="s">
        <v>534</v>
      </c>
      <c r="G1394" s="630" t="s">
        <v>367</v>
      </c>
      <c r="H1394" s="630" t="s">
        <v>382</v>
      </c>
      <c r="I1394" s="630"/>
      <c r="J1394" s="630"/>
      <c r="K1394" s="630"/>
      <c r="L1394" s="630"/>
      <c r="M1394" s="630"/>
      <c r="N1394" s="630"/>
      <c r="O1394" s="630"/>
      <c r="P1394" s="630"/>
      <c r="Q1394" s="630"/>
      <c r="R1394" s="630"/>
      <c r="S1394" s="630" t="s">
        <v>635</v>
      </c>
      <c r="T1394" s="630" t="s">
        <v>587</v>
      </c>
      <c r="U1394" s="630" t="s">
        <v>559</v>
      </c>
      <c r="V1394" s="630">
        <v>1</v>
      </c>
      <c r="W1394" s="630" t="s">
        <v>560</v>
      </c>
      <c r="X1394" s="630" t="s">
        <v>541</v>
      </c>
      <c r="Y1394" s="630" t="s">
        <v>541</v>
      </c>
      <c r="Z1394" s="630">
        <v>4.6547999999999999E-2</v>
      </c>
      <c r="AA1394" s="630">
        <v>7.4912000000000006E-2</v>
      </c>
      <c r="AB1394" s="631">
        <v>0</v>
      </c>
      <c r="AC1394" s="631">
        <v>0</v>
      </c>
      <c r="AD1394" s="631">
        <f t="shared" si="21"/>
        <v>0</v>
      </c>
    </row>
    <row r="1395" spans="2:30" x14ac:dyDescent="0.15">
      <c r="B1395" s="630">
        <v>17031009835</v>
      </c>
      <c r="C1395" s="630">
        <v>17031007900</v>
      </c>
      <c r="D1395" s="630">
        <v>17031001565</v>
      </c>
      <c r="E1395" s="630" t="s">
        <v>533</v>
      </c>
      <c r="F1395" s="630" t="s">
        <v>534</v>
      </c>
      <c r="G1395" s="630" t="s">
        <v>365</v>
      </c>
      <c r="H1395" s="630" t="s">
        <v>535</v>
      </c>
      <c r="I1395" s="630"/>
      <c r="J1395" s="630" t="s">
        <v>382</v>
      </c>
      <c r="K1395" s="630"/>
      <c r="L1395" s="630"/>
      <c r="M1395" s="630"/>
      <c r="N1395" s="630"/>
      <c r="O1395" s="630"/>
      <c r="P1395" s="630"/>
      <c r="Q1395" s="630"/>
      <c r="R1395" s="630"/>
      <c r="S1395" s="630"/>
      <c r="T1395" s="630"/>
      <c r="U1395" s="630" t="s">
        <v>538</v>
      </c>
      <c r="V1395" s="630">
        <v>1</v>
      </c>
      <c r="W1395" s="630" t="s">
        <v>560</v>
      </c>
      <c r="X1395" s="630" t="s">
        <v>554</v>
      </c>
      <c r="Y1395" s="630" t="s">
        <v>554</v>
      </c>
      <c r="Z1395" s="630">
        <v>0.37528299999999998</v>
      </c>
      <c r="AA1395" s="630">
        <v>0.60396099999999997</v>
      </c>
      <c r="AB1395" s="631">
        <v>1720</v>
      </c>
      <c r="AC1395" s="631">
        <v>151960</v>
      </c>
      <c r="AD1395" s="631">
        <f t="shared" si="21"/>
        <v>57028.004679999998</v>
      </c>
    </row>
    <row r="1396" spans="2:30" x14ac:dyDescent="0.15">
      <c r="B1396" s="630">
        <v>17031001947</v>
      </c>
      <c r="C1396" s="630">
        <v>17031000929</v>
      </c>
      <c r="D1396" s="630">
        <v>17031000917</v>
      </c>
      <c r="E1396" s="630" t="s">
        <v>533</v>
      </c>
      <c r="F1396" s="630" t="s">
        <v>534</v>
      </c>
      <c r="G1396" s="630" t="s">
        <v>365</v>
      </c>
      <c r="H1396" s="630" t="s">
        <v>557</v>
      </c>
      <c r="I1396" s="630"/>
      <c r="J1396" s="630" t="s">
        <v>381</v>
      </c>
      <c r="K1396" s="630" t="s">
        <v>535</v>
      </c>
      <c r="L1396" s="630" t="s">
        <v>552</v>
      </c>
      <c r="M1396" s="630" t="s">
        <v>551</v>
      </c>
      <c r="N1396" s="630" t="s">
        <v>543</v>
      </c>
      <c r="O1396" s="630" t="s">
        <v>382</v>
      </c>
      <c r="P1396" s="630"/>
      <c r="Q1396" s="630"/>
      <c r="R1396" s="630"/>
      <c r="S1396" s="630" t="s">
        <v>570</v>
      </c>
      <c r="T1396" s="630" t="s">
        <v>690</v>
      </c>
      <c r="U1396" s="630" t="s">
        <v>538</v>
      </c>
      <c r="V1396" s="630">
        <v>2</v>
      </c>
      <c r="W1396" s="630" t="s">
        <v>545</v>
      </c>
      <c r="X1396" s="630" t="s">
        <v>575</v>
      </c>
      <c r="Y1396" s="630" t="s">
        <v>554</v>
      </c>
      <c r="Z1396" s="630">
        <v>0.41084999999999999</v>
      </c>
      <c r="AA1396" s="630">
        <v>0.66120100000000004</v>
      </c>
      <c r="AB1396" s="631">
        <v>1446506</v>
      </c>
      <c r="AC1396" s="631">
        <v>72915461</v>
      </c>
      <c r="AD1396" s="631">
        <f t="shared" si="21"/>
        <v>29957317.15185</v>
      </c>
    </row>
    <row r="1397" spans="2:30" x14ac:dyDescent="0.15">
      <c r="B1397" s="630">
        <v>17031002412</v>
      </c>
      <c r="C1397" s="630">
        <v>17031004785</v>
      </c>
      <c r="D1397" s="630">
        <v>17031001236</v>
      </c>
      <c r="E1397" s="630" t="s">
        <v>533</v>
      </c>
      <c r="F1397" s="630" t="s">
        <v>534</v>
      </c>
      <c r="G1397" s="630" t="s">
        <v>365</v>
      </c>
      <c r="H1397" s="630" t="s">
        <v>535</v>
      </c>
      <c r="I1397" s="630"/>
      <c r="J1397" s="630" t="s">
        <v>542</v>
      </c>
      <c r="K1397" s="630" t="s">
        <v>572</v>
      </c>
      <c r="L1397" s="630" t="s">
        <v>547</v>
      </c>
      <c r="M1397" s="630" t="s">
        <v>382</v>
      </c>
      <c r="N1397" s="630"/>
      <c r="O1397" s="630"/>
      <c r="P1397" s="630"/>
      <c r="Q1397" s="630"/>
      <c r="R1397" s="630"/>
      <c r="S1397" s="630" t="s">
        <v>601</v>
      </c>
      <c r="T1397" s="630"/>
      <c r="U1397" s="630" t="s">
        <v>538</v>
      </c>
      <c r="V1397" s="630">
        <v>2</v>
      </c>
      <c r="W1397" s="630" t="s">
        <v>545</v>
      </c>
      <c r="X1397" s="630" t="s">
        <v>540</v>
      </c>
      <c r="Y1397" s="630" t="s">
        <v>549</v>
      </c>
      <c r="Z1397" s="630">
        <v>1.0573729999999999</v>
      </c>
      <c r="AA1397" s="630">
        <v>1.701681</v>
      </c>
      <c r="AB1397" s="631">
        <v>43880</v>
      </c>
      <c r="AC1397" s="631">
        <v>1364920</v>
      </c>
      <c r="AD1397" s="631">
        <f t="shared" si="21"/>
        <v>1443229.5551599998</v>
      </c>
    </row>
    <row r="1398" spans="2:30" x14ac:dyDescent="0.15">
      <c r="B1398" s="630">
        <v>17031003897</v>
      </c>
      <c r="C1398" s="630">
        <v>17031000514</v>
      </c>
      <c r="D1398" s="630">
        <v>17031000505</v>
      </c>
      <c r="E1398" s="630" t="s">
        <v>533</v>
      </c>
      <c r="F1398" s="630" t="s">
        <v>534</v>
      </c>
      <c r="G1398" s="630" t="s">
        <v>365</v>
      </c>
      <c r="H1398" s="630" t="s">
        <v>382</v>
      </c>
      <c r="I1398" s="630"/>
      <c r="J1398" s="630"/>
      <c r="K1398" s="630"/>
      <c r="L1398" s="630"/>
      <c r="M1398" s="630"/>
      <c r="N1398" s="630"/>
      <c r="O1398" s="630"/>
      <c r="P1398" s="630"/>
      <c r="Q1398" s="630"/>
      <c r="R1398" s="630"/>
      <c r="S1398" s="630" t="s">
        <v>586</v>
      </c>
      <c r="T1398" s="630"/>
      <c r="U1398" s="630" t="s">
        <v>538</v>
      </c>
      <c r="V1398" s="630">
        <v>2</v>
      </c>
      <c r="W1398" s="630" t="s">
        <v>582</v>
      </c>
      <c r="X1398" s="630" t="s">
        <v>549</v>
      </c>
      <c r="Y1398" s="630" t="s">
        <v>554</v>
      </c>
      <c r="Z1398" s="630">
        <v>0.52910800000000002</v>
      </c>
      <c r="AA1398" s="630">
        <v>0.851518</v>
      </c>
      <c r="AB1398" s="631">
        <v>94962</v>
      </c>
      <c r="AC1398" s="631">
        <v>10396324</v>
      </c>
      <c r="AD1398" s="631">
        <f t="shared" si="21"/>
        <v>5500778.198992</v>
      </c>
    </row>
    <row r="1399" spans="2:30" x14ac:dyDescent="0.15">
      <c r="B1399" s="630">
        <v>17031003933</v>
      </c>
      <c r="C1399" s="630">
        <v>17031001096</v>
      </c>
      <c r="D1399" s="630">
        <v>17031001073</v>
      </c>
      <c r="E1399" s="630" t="s">
        <v>533</v>
      </c>
      <c r="F1399" s="630" t="s">
        <v>534</v>
      </c>
      <c r="G1399" s="630" t="s">
        <v>365</v>
      </c>
      <c r="H1399" s="630" t="s">
        <v>577</v>
      </c>
      <c r="I1399" s="630"/>
      <c r="J1399" s="630"/>
      <c r="K1399" s="630"/>
      <c r="L1399" s="630"/>
      <c r="M1399" s="630"/>
      <c r="N1399" s="630"/>
      <c r="O1399" s="630"/>
      <c r="P1399" s="630"/>
      <c r="Q1399" s="630"/>
      <c r="R1399" s="630"/>
      <c r="S1399" s="630"/>
      <c r="T1399" s="630"/>
      <c r="U1399" s="630" t="s">
        <v>538</v>
      </c>
      <c r="V1399" s="630">
        <v>1</v>
      </c>
      <c r="W1399" s="630" t="s">
        <v>560</v>
      </c>
      <c r="X1399" s="630" t="s">
        <v>541</v>
      </c>
      <c r="Y1399" s="630" t="s">
        <v>541</v>
      </c>
      <c r="Z1399" s="630">
        <v>0.75925799999999999</v>
      </c>
      <c r="AA1399" s="630">
        <v>1.2219089999999999</v>
      </c>
      <c r="AB1399" s="631">
        <v>0</v>
      </c>
      <c r="AC1399" s="631">
        <v>0</v>
      </c>
      <c r="AD1399" s="631">
        <f t="shared" si="21"/>
        <v>0</v>
      </c>
    </row>
    <row r="1400" spans="2:30" x14ac:dyDescent="0.15">
      <c r="B1400" s="630">
        <v>17031003953</v>
      </c>
      <c r="C1400" s="630">
        <v>17031001151</v>
      </c>
      <c r="D1400" s="630">
        <v>17031001118</v>
      </c>
      <c r="E1400" s="630" t="s">
        <v>533</v>
      </c>
      <c r="F1400" s="630" t="s">
        <v>534</v>
      </c>
      <c r="G1400" s="630" t="s">
        <v>365</v>
      </c>
      <c r="H1400" s="630" t="s">
        <v>543</v>
      </c>
      <c r="I1400" s="630"/>
      <c r="J1400" s="630" t="s">
        <v>542</v>
      </c>
      <c r="K1400" s="630" t="s">
        <v>552</v>
      </c>
      <c r="L1400" s="630" t="s">
        <v>557</v>
      </c>
      <c r="M1400" s="630" t="s">
        <v>661</v>
      </c>
      <c r="N1400" s="630"/>
      <c r="O1400" s="630"/>
      <c r="P1400" s="630"/>
      <c r="Q1400" s="630"/>
      <c r="R1400" s="630"/>
      <c r="S1400" s="630" t="s">
        <v>630</v>
      </c>
      <c r="T1400" s="630"/>
      <c r="U1400" s="630" t="s">
        <v>538</v>
      </c>
      <c r="V1400" s="630">
        <v>4</v>
      </c>
      <c r="W1400" s="630" t="s">
        <v>545</v>
      </c>
      <c r="X1400" s="630" t="s">
        <v>575</v>
      </c>
      <c r="Y1400" s="630" t="s">
        <v>540</v>
      </c>
      <c r="Z1400" s="630">
        <v>0.91646499999999997</v>
      </c>
      <c r="AA1400" s="630">
        <v>1.4749099999999999</v>
      </c>
      <c r="AB1400" s="631">
        <v>2791131</v>
      </c>
      <c r="AC1400" s="631">
        <v>78507378</v>
      </c>
      <c r="AD1400" s="631">
        <f t="shared" si="21"/>
        <v>71949264.178769991</v>
      </c>
    </row>
    <row r="1401" spans="2:30" x14ac:dyDescent="0.15">
      <c r="B1401" s="630">
        <v>17031006338</v>
      </c>
      <c r="C1401" s="630">
        <v>17031004587</v>
      </c>
      <c r="D1401" s="630">
        <v>17031000370</v>
      </c>
      <c r="E1401" s="630" t="s">
        <v>533</v>
      </c>
      <c r="F1401" s="630" t="s">
        <v>534</v>
      </c>
      <c r="G1401" s="630" t="s">
        <v>365</v>
      </c>
      <c r="H1401" s="630" t="s">
        <v>382</v>
      </c>
      <c r="I1401" s="630"/>
      <c r="J1401" s="630"/>
      <c r="K1401" s="630"/>
      <c r="L1401" s="630"/>
      <c r="M1401" s="630"/>
      <c r="N1401" s="630"/>
      <c r="O1401" s="630"/>
      <c r="P1401" s="630"/>
      <c r="Q1401" s="630"/>
      <c r="R1401" s="630"/>
      <c r="S1401" s="630" t="s">
        <v>616</v>
      </c>
      <c r="T1401" s="630"/>
      <c r="U1401" s="630" t="s">
        <v>559</v>
      </c>
      <c r="V1401" s="630">
        <v>1</v>
      </c>
      <c r="W1401" s="630" t="s">
        <v>560</v>
      </c>
      <c r="X1401" s="630" t="s">
        <v>541</v>
      </c>
      <c r="Y1401" s="630" t="s">
        <v>541</v>
      </c>
      <c r="Z1401" s="630">
        <v>0.28519600000000001</v>
      </c>
      <c r="AA1401" s="630">
        <v>0.45898</v>
      </c>
      <c r="AB1401" s="631">
        <v>0</v>
      </c>
      <c r="AC1401" s="631">
        <v>0</v>
      </c>
      <c r="AD1401" s="631">
        <f t="shared" si="21"/>
        <v>0</v>
      </c>
    </row>
    <row r="1402" spans="2:30" x14ac:dyDescent="0.15">
      <c r="B1402" s="630">
        <v>17031006443</v>
      </c>
      <c r="C1402" s="630">
        <v>17031001118</v>
      </c>
      <c r="D1402" s="630">
        <v>17031001124</v>
      </c>
      <c r="E1402" s="630" t="s">
        <v>533</v>
      </c>
      <c r="F1402" s="630" t="s">
        <v>534</v>
      </c>
      <c r="G1402" s="630" t="s">
        <v>365</v>
      </c>
      <c r="H1402" s="630" t="s">
        <v>543</v>
      </c>
      <c r="I1402" s="630"/>
      <c r="J1402" s="630" t="s">
        <v>542</v>
      </c>
      <c r="K1402" s="630" t="s">
        <v>552</v>
      </c>
      <c r="L1402" s="630" t="s">
        <v>557</v>
      </c>
      <c r="M1402" s="630" t="s">
        <v>661</v>
      </c>
      <c r="N1402" s="630"/>
      <c r="O1402" s="630"/>
      <c r="P1402" s="630"/>
      <c r="Q1402" s="630"/>
      <c r="R1402" s="630"/>
      <c r="S1402" s="630" t="s">
        <v>630</v>
      </c>
      <c r="T1402" s="630"/>
      <c r="U1402" s="630" t="s">
        <v>538</v>
      </c>
      <c r="V1402" s="630">
        <v>2</v>
      </c>
      <c r="W1402" s="630" t="s">
        <v>545</v>
      </c>
      <c r="X1402" s="630" t="s">
        <v>575</v>
      </c>
      <c r="Y1402" s="630" t="s">
        <v>540</v>
      </c>
      <c r="Z1402" s="630">
        <v>5.5612000000000002E-2</v>
      </c>
      <c r="AA1402" s="630">
        <v>8.9497999999999994E-2</v>
      </c>
      <c r="AB1402" s="631">
        <v>2791131</v>
      </c>
      <c r="AC1402" s="631">
        <v>78507378</v>
      </c>
      <c r="AD1402" s="631">
        <f t="shared" si="21"/>
        <v>4365952.3053360004</v>
      </c>
    </row>
    <row r="1403" spans="2:30" x14ac:dyDescent="0.15">
      <c r="B1403" s="630">
        <v>17031008361</v>
      </c>
      <c r="C1403" s="630">
        <v>17031006666</v>
      </c>
      <c r="D1403" s="630">
        <v>17031000539</v>
      </c>
      <c r="E1403" s="630" t="s">
        <v>533</v>
      </c>
      <c r="F1403" s="630" t="s">
        <v>534</v>
      </c>
      <c r="G1403" s="630" t="s">
        <v>365</v>
      </c>
      <c r="H1403" s="630" t="s">
        <v>382</v>
      </c>
      <c r="I1403" s="630"/>
      <c r="J1403" s="630"/>
      <c r="K1403" s="630"/>
      <c r="L1403" s="630"/>
      <c r="M1403" s="630"/>
      <c r="N1403" s="630"/>
      <c r="O1403" s="630"/>
      <c r="P1403" s="630"/>
      <c r="Q1403" s="630"/>
      <c r="R1403" s="630"/>
      <c r="S1403" s="630"/>
      <c r="T1403" s="630" t="s">
        <v>626</v>
      </c>
      <c r="U1403" s="630" t="s">
        <v>559</v>
      </c>
      <c r="V1403" s="630">
        <v>1</v>
      </c>
      <c r="W1403" s="630" t="s">
        <v>539</v>
      </c>
      <c r="X1403" s="630" t="s">
        <v>540</v>
      </c>
      <c r="Y1403" s="630" t="s">
        <v>541</v>
      </c>
      <c r="Z1403" s="630">
        <v>0.144181</v>
      </c>
      <c r="AA1403" s="630">
        <v>0.23203699999999999</v>
      </c>
      <c r="AB1403" s="631">
        <v>0</v>
      </c>
      <c r="AC1403" s="631">
        <v>0</v>
      </c>
      <c r="AD1403" s="631">
        <f t="shared" si="21"/>
        <v>0</v>
      </c>
    </row>
    <row r="1404" spans="2:30" x14ac:dyDescent="0.15">
      <c r="B1404" s="630">
        <v>17031008549</v>
      </c>
      <c r="C1404" s="630">
        <v>17031001336</v>
      </c>
      <c r="D1404" s="630">
        <v>17031007033</v>
      </c>
      <c r="E1404" s="630" t="s">
        <v>533</v>
      </c>
      <c r="F1404" s="630" t="s">
        <v>534</v>
      </c>
      <c r="G1404" s="630" t="s">
        <v>365</v>
      </c>
      <c r="H1404" s="630" t="s">
        <v>557</v>
      </c>
      <c r="I1404" s="630"/>
      <c r="J1404" s="630"/>
      <c r="K1404" s="630"/>
      <c r="L1404" s="630"/>
      <c r="M1404" s="630"/>
      <c r="N1404" s="630"/>
      <c r="O1404" s="630"/>
      <c r="P1404" s="630"/>
      <c r="Q1404" s="630"/>
      <c r="R1404" s="630"/>
      <c r="S1404" s="630" t="s">
        <v>567</v>
      </c>
      <c r="T1404" s="630" t="s">
        <v>568</v>
      </c>
      <c r="U1404" s="630" t="s">
        <v>559</v>
      </c>
      <c r="V1404" s="630">
        <v>1</v>
      </c>
      <c r="W1404" s="630" t="s">
        <v>560</v>
      </c>
      <c r="X1404" s="630" t="s">
        <v>541</v>
      </c>
      <c r="Y1404" s="630" t="s">
        <v>541</v>
      </c>
      <c r="Z1404" s="630">
        <v>4.2465999999999997E-2</v>
      </c>
      <c r="AA1404" s="630">
        <v>6.8342E-2</v>
      </c>
      <c r="AB1404" s="631">
        <v>284</v>
      </c>
      <c r="AC1404" s="631">
        <v>28772</v>
      </c>
      <c r="AD1404" s="631">
        <f t="shared" si="21"/>
        <v>1221.8317519999998</v>
      </c>
    </row>
    <row r="1405" spans="2:30" x14ac:dyDescent="0.15">
      <c r="B1405" s="630">
        <v>17197009015</v>
      </c>
      <c r="C1405" s="630">
        <v>17197007229</v>
      </c>
      <c r="D1405" s="630">
        <v>17197007228</v>
      </c>
      <c r="E1405" s="630" t="s">
        <v>533</v>
      </c>
      <c r="F1405" s="630" t="s">
        <v>534</v>
      </c>
      <c r="G1405" s="630" t="s">
        <v>377</v>
      </c>
      <c r="H1405" s="630" t="s">
        <v>381</v>
      </c>
      <c r="I1405" s="630"/>
      <c r="J1405" s="630"/>
      <c r="K1405" s="630"/>
      <c r="L1405" s="630"/>
      <c r="M1405" s="630"/>
      <c r="N1405" s="630"/>
      <c r="O1405" s="630"/>
      <c r="P1405" s="630"/>
      <c r="Q1405" s="630"/>
      <c r="R1405" s="630"/>
      <c r="S1405" s="630" t="s">
        <v>591</v>
      </c>
      <c r="T1405" s="630"/>
      <c r="U1405" s="630" t="s">
        <v>559</v>
      </c>
      <c r="V1405" s="630">
        <v>1</v>
      </c>
      <c r="W1405" s="630" t="s">
        <v>560</v>
      </c>
      <c r="X1405" s="630" t="s">
        <v>541</v>
      </c>
      <c r="Y1405" s="630" t="s">
        <v>541</v>
      </c>
      <c r="Z1405" s="630">
        <v>6.9569000000000006E-2</v>
      </c>
      <c r="AA1405" s="630">
        <v>0.111961</v>
      </c>
      <c r="AB1405" s="631">
        <v>0</v>
      </c>
      <c r="AC1405" s="631">
        <v>0</v>
      </c>
      <c r="AD1405" s="631">
        <f t="shared" si="21"/>
        <v>0</v>
      </c>
    </row>
    <row r="1406" spans="2:30" x14ac:dyDescent="0.15">
      <c r="B1406" s="630">
        <v>17197002011</v>
      </c>
      <c r="C1406" s="630">
        <v>17197007461</v>
      </c>
      <c r="D1406" s="630">
        <v>17197007445</v>
      </c>
      <c r="E1406" s="630" t="s">
        <v>533</v>
      </c>
      <c r="F1406" s="630" t="s">
        <v>534</v>
      </c>
      <c r="G1406" s="630" t="s">
        <v>377</v>
      </c>
      <c r="H1406" s="630" t="s">
        <v>535</v>
      </c>
      <c r="I1406" s="630"/>
      <c r="J1406" s="630" t="s">
        <v>382</v>
      </c>
      <c r="K1406" s="630" t="s">
        <v>536</v>
      </c>
      <c r="L1406" s="630"/>
      <c r="M1406" s="630"/>
      <c r="N1406" s="630"/>
      <c r="O1406" s="630"/>
      <c r="P1406" s="630"/>
      <c r="Q1406" s="630"/>
      <c r="R1406" s="630"/>
      <c r="S1406" s="630" t="s">
        <v>550</v>
      </c>
      <c r="T1406" s="630"/>
      <c r="U1406" s="630" t="s">
        <v>538</v>
      </c>
      <c r="V1406" s="630">
        <v>1</v>
      </c>
      <c r="W1406" s="630" t="s">
        <v>545</v>
      </c>
      <c r="X1406" s="630" t="s">
        <v>540</v>
      </c>
      <c r="Y1406" s="630" t="s">
        <v>549</v>
      </c>
      <c r="Z1406" s="630">
        <v>1.916623</v>
      </c>
      <c r="AA1406" s="630">
        <v>3.0845120000000001</v>
      </c>
      <c r="AB1406" s="631">
        <v>23785</v>
      </c>
      <c r="AC1406" s="631">
        <v>2276384</v>
      </c>
      <c r="AD1406" s="631">
        <f t="shared" si="21"/>
        <v>4362969.9312319998</v>
      </c>
    </row>
    <row r="1407" spans="2:30" x14ac:dyDescent="0.15">
      <c r="B1407" s="630">
        <v>17031003111</v>
      </c>
      <c r="C1407" s="630">
        <v>17031000821</v>
      </c>
      <c r="D1407" s="630">
        <v>17031004717</v>
      </c>
      <c r="E1407" s="630" t="s">
        <v>533</v>
      </c>
      <c r="F1407" s="630" t="s">
        <v>534</v>
      </c>
      <c r="G1407" s="630" t="s">
        <v>365</v>
      </c>
      <c r="H1407" s="630" t="s">
        <v>543</v>
      </c>
      <c r="I1407" s="630"/>
      <c r="J1407" s="630"/>
      <c r="K1407" s="630"/>
      <c r="L1407" s="630"/>
      <c r="M1407" s="630"/>
      <c r="N1407" s="630"/>
      <c r="O1407" s="630"/>
      <c r="P1407" s="630"/>
      <c r="Q1407" s="630"/>
      <c r="R1407" s="630"/>
      <c r="S1407" s="630" t="s">
        <v>658</v>
      </c>
      <c r="T1407" s="630"/>
      <c r="U1407" s="630" t="s">
        <v>559</v>
      </c>
      <c r="V1407" s="630">
        <v>1</v>
      </c>
      <c r="W1407" s="630" t="s">
        <v>560</v>
      </c>
      <c r="X1407" s="630" t="s">
        <v>541</v>
      </c>
      <c r="Y1407" s="630" t="s">
        <v>541</v>
      </c>
      <c r="Z1407" s="630">
        <v>0.96862199999999998</v>
      </c>
      <c r="AA1407" s="630">
        <v>1.5588489999999999</v>
      </c>
      <c r="AB1407" s="631">
        <v>0</v>
      </c>
      <c r="AC1407" s="631">
        <v>0</v>
      </c>
      <c r="AD1407" s="631">
        <f t="shared" si="21"/>
        <v>0</v>
      </c>
    </row>
    <row r="1408" spans="2:30" x14ac:dyDescent="0.15">
      <c r="B1408" s="630">
        <v>17031002614</v>
      </c>
      <c r="C1408" s="630">
        <v>17031004689</v>
      </c>
      <c r="D1408" s="630">
        <v>17031001057</v>
      </c>
      <c r="E1408" s="630" t="s">
        <v>533</v>
      </c>
      <c r="F1408" s="630" t="s">
        <v>534</v>
      </c>
      <c r="G1408" s="630" t="s">
        <v>365</v>
      </c>
      <c r="H1408" s="630" t="s">
        <v>547</v>
      </c>
      <c r="I1408" s="630"/>
      <c r="J1408" s="630" t="s">
        <v>543</v>
      </c>
      <c r="K1408" s="630"/>
      <c r="L1408" s="630"/>
      <c r="M1408" s="630"/>
      <c r="N1408" s="630"/>
      <c r="O1408" s="630"/>
      <c r="P1408" s="630"/>
      <c r="Q1408" s="630"/>
      <c r="R1408" s="630"/>
      <c r="S1408" s="630" t="s">
        <v>602</v>
      </c>
      <c r="T1408" s="630"/>
      <c r="U1408" s="630" t="s">
        <v>538</v>
      </c>
      <c r="V1408" s="630">
        <v>2</v>
      </c>
      <c r="W1408" s="630" t="s">
        <v>582</v>
      </c>
      <c r="X1408" s="630" t="s">
        <v>541</v>
      </c>
      <c r="Y1408" s="630" t="s">
        <v>540</v>
      </c>
      <c r="Z1408" s="630">
        <v>2.4249200000000002</v>
      </c>
      <c r="AA1408" s="630">
        <v>3.9025379999999998</v>
      </c>
      <c r="AB1408" s="631">
        <v>0</v>
      </c>
      <c r="AC1408" s="631">
        <v>0</v>
      </c>
      <c r="AD1408" s="631">
        <f t="shared" si="21"/>
        <v>0</v>
      </c>
    </row>
    <row r="1409" spans="2:30" x14ac:dyDescent="0.15">
      <c r="B1409" s="630">
        <v>17043006535</v>
      </c>
      <c r="C1409" s="630">
        <v>17043006561</v>
      </c>
      <c r="D1409" s="630">
        <v>17043004780</v>
      </c>
      <c r="E1409" s="630" t="s">
        <v>533</v>
      </c>
      <c r="F1409" s="630" t="s">
        <v>534</v>
      </c>
      <c r="G1409" s="630" t="s">
        <v>367</v>
      </c>
      <c r="H1409" s="630" t="s">
        <v>382</v>
      </c>
      <c r="I1409" s="630"/>
      <c r="J1409" s="630"/>
      <c r="K1409" s="630"/>
      <c r="L1409" s="630"/>
      <c r="M1409" s="630"/>
      <c r="N1409" s="630"/>
      <c r="O1409" s="630"/>
      <c r="P1409" s="630"/>
      <c r="Q1409" s="630"/>
      <c r="R1409" s="630"/>
      <c r="S1409" s="630"/>
      <c r="T1409" s="630"/>
      <c r="U1409" s="630" t="s">
        <v>559</v>
      </c>
      <c r="V1409" s="630">
        <v>1</v>
      </c>
      <c r="W1409" s="630" t="s">
        <v>560</v>
      </c>
      <c r="X1409" s="630" t="s">
        <v>541</v>
      </c>
      <c r="Y1409" s="630" t="s">
        <v>541</v>
      </c>
      <c r="Z1409" s="630">
        <v>0.121878</v>
      </c>
      <c r="AA1409" s="630">
        <v>0.19614400000000001</v>
      </c>
      <c r="AB1409" s="631">
        <v>0</v>
      </c>
      <c r="AC1409" s="631">
        <v>0</v>
      </c>
      <c r="AD1409" s="631">
        <f t="shared" si="21"/>
        <v>0</v>
      </c>
    </row>
    <row r="1410" spans="2:30" x14ac:dyDescent="0.15">
      <c r="B1410" s="630">
        <v>17031008292</v>
      </c>
      <c r="C1410" s="630">
        <v>17031006632</v>
      </c>
      <c r="D1410" s="630">
        <v>17031001577</v>
      </c>
      <c r="E1410" s="630" t="s">
        <v>533</v>
      </c>
      <c r="F1410" s="630" t="s">
        <v>534</v>
      </c>
      <c r="G1410" s="630" t="s">
        <v>365</v>
      </c>
      <c r="H1410" s="630" t="s">
        <v>382</v>
      </c>
      <c r="I1410" s="630"/>
      <c r="J1410" s="630"/>
      <c r="K1410" s="630"/>
      <c r="L1410" s="630"/>
      <c r="M1410" s="630"/>
      <c r="N1410" s="630"/>
      <c r="O1410" s="630"/>
      <c r="P1410" s="630"/>
      <c r="Q1410" s="630"/>
      <c r="R1410" s="630"/>
      <c r="S1410" s="630" t="s">
        <v>576</v>
      </c>
      <c r="T1410" s="630" t="s">
        <v>599</v>
      </c>
      <c r="U1410" s="630" t="s">
        <v>559</v>
      </c>
      <c r="V1410" s="630">
        <v>1</v>
      </c>
      <c r="W1410" s="630" t="s">
        <v>560</v>
      </c>
      <c r="X1410" s="630" t="s">
        <v>541</v>
      </c>
      <c r="Y1410" s="630" t="s">
        <v>541</v>
      </c>
      <c r="Z1410" s="630">
        <v>2.2890000000000001E-2</v>
      </c>
      <c r="AA1410" s="630">
        <v>3.6838999999999997E-2</v>
      </c>
      <c r="AB1410" s="631">
        <v>0</v>
      </c>
      <c r="AC1410" s="631">
        <v>0</v>
      </c>
      <c r="AD1410" s="631">
        <f t="shared" si="21"/>
        <v>0</v>
      </c>
    </row>
    <row r="1411" spans="2:30" x14ac:dyDescent="0.15">
      <c r="B1411" s="630">
        <v>17097001928</v>
      </c>
      <c r="C1411" s="630">
        <v>17097000078</v>
      </c>
      <c r="D1411" s="630">
        <v>17097000077</v>
      </c>
      <c r="E1411" s="630" t="s">
        <v>533</v>
      </c>
      <c r="F1411" s="630" t="s">
        <v>534</v>
      </c>
      <c r="G1411" s="630" t="s">
        <v>373</v>
      </c>
      <c r="H1411" s="630" t="s">
        <v>552</v>
      </c>
      <c r="I1411" s="630"/>
      <c r="J1411" s="630" t="s">
        <v>547</v>
      </c>
      <c r="K1411" s="630" t="s">
        <v>563</v>
      </c>
      <c r="L1411" s="630"/>
      <c r="M1411" s="630"/>
      <c r="N1411" s="630"/>
      <c r="O1411" s="630"/>
      <c r="P1411" s="630"/>
      <c r="Q1411" s="630"/>
      <c r="R1411" s="630"/>
      <c r="S1411" s="630" t="s">
        <v>629</v>
      </c>
      <c r="T1411" s="630"/>
      <c r="U1411" s="630" t="s">
        <v>538</v>
      </c>
      <c r="V1411" s="630">
        <v>1</v>
      </c>
      <c r="W1411" s="630" t="s">
        <v>582</v>
      </c>
      <c r="X1411" s="630" t="s">
        <v>554</v>
      </c>
      <c r="Y1411" s="630" t="s">
        <v>540</v>
      </c>
      <c r="Z1411" s="630">
        <v>2.2519809999999998</v>
      </c>
      <c r="AA1411" s="630">
        <v>3.6242200000000002</v>
      </c>
      <c r="AB1411" s="631">
        <v>27578</v>
      </c>
      <c r="AC1411" s="631">
        <v>2612533</v>
      </c>
      <c r="AD1411" s="631">
        <f t="shared" si="21"/>
        <v>5883374.6778729996</v>
      </c>
    </row>
    <row r="1412" spans="2:30" x14ac:dyDescent="0.15">
      <c r="B1412" s="630">
        <v>17031001940</v>
      </c>
      <c r="C1412" s="630">
        <v>17031000824</v>
      </c>
      <c r="D1412" s="630">
        <v>17031000812</v>
      </c>
      <c r="E1412" s="630" t="s">
        <v>533</v>
      </c>
      <c r="F1412" s="630" t="s">
        <v>534</v>
      </c>
      <c r="G1412" s="630" t="s">
        <v>365</v>
      </c>
      <c r="H1412" s="630" t="s">
        <v>535</v>
      </c>
      <c r="I1412" s="630"/>
      <c r="J1412" s="630" t="s">
        <v>542</v>
      </c>
      <c r="K1412" s="630" t="s">
        <v>572</v>
      </c>
      <c r="L1412" s="630" t="s">
        <v>547</v>
      </c>
      <c r="M1412" s="630" t="s">
        <v>382</v>
      </c>
      <c r="N1412" s="630"/>
      <c r="O1412" s="630"/>
      <c r="P1412" s="630"/>
      <c r="Q1412" s="630"/>
      <c r="R1412" s="630"/>
      <c r="S1412" s="630" t="s">
        <v>601</v>
      </c>
      <c r="T1412" s="630"/>
      <c r="U1412" s="630" t="s">
        <v>538</v>
      </c>
      <c r="V1412" s="630">
        <v>2</v>
      </c>
      <c r="W1412" s="630" t="s">
        <v>545</v>
      </c>
      <c r="X1412" s="630" t="s">
        <v>540</v>
      </c>
      <c r="Y1412" s="630" t="s">
        <v>549</v>
      </c>
      <c r="Z1412" s="630">
        <v>1.454353</v>
      </c>
      <c r="AA1412" s="630">
        <v>2.3405589999999998</v>
      </c>
      <c r="AB1412" s="631">
        <v>1360</v>
      </c>
      <c r="AC1412" s="631">
        <v>119080</v>
      </c>
      <c r="AD1412" s="631">
        <f t="shared" si="21"/>
        <v>173184.35524</v>
      </c>
    </row>
    <row r="1413" spans="2:30" x14ac:dyDescent="0.15">
      <c r="B1413" s="630">
        <v>17097002105</v>
      </c>
      <c r="C1413" s="630">
        <v>17097004561</v>
      </c>
      <c r="D1413" s="630">
        <v>17097004560</v>
      </c>
      <c r="E1413" s="630" t="s">
        <v>533</v>
      </c>
      <c r="F1413" s="630" t="s">
        <v>534</v>
      </c>
      <c r="G1413" s="630" t="s">
        <v>373</v>
      </c>
      <c r="H1413" s="630" t="s">
        <v>535</v>
      </c>
      <c r="I1413" s="630"/>
      <c r="J1413" s="630" t="s">
        <v>547</v>
      </c>
      <c r="K1413" s="630"/>
      <c r="L1413" s="630"/>
      <c r="M1413" s="630"/>
      <c r="N1413" s="630"/>
      <c r="O1413" s="630"/>
      <c r="P1413" s="630"/>
      <c r="Q1413" s="630"/>
      <c r="R1413" s="630"/>
      <c r="S1413" s="630" t="s">
        <v>548</v>
      </c>
      <c r="T1413" s="630"/>
      <c r="U1413" s="630" t="s">
        <v>538</v>
      </c>
      <c r="V1413" s="630">
        <v>2</v>
      </c>
      <c r="W1413" s="630" t="s">
        <v>545</v>
      </c>
      <c r="X1413" s="630" t="s">
        <v>546</v>
      </c>
      <c r="Y1413" s="630" t="s">
        <v>549</v>
      </c>
      <c r="Z1413" s="630">
        <v>1.0895649999999999</v>
      </c>
      <c r="AA1413" s="630">
        <v>1.7534879999999999</v>
      </c>
      <c r="AB1413" s="631">
        <v>805376</v>
      </c>
      <c r="AC1413" s="631">
        <v>39329111</v>
      </c>
      <c r="AD1413" s="631">
        <f t="shared" si="21"/>
        <v>42851622.826714993</v>
      </c>
    </row>
    <row r="1414" spans="2:30" x14ac:dyDescent="0.15">
      <c r="B1414" s="630">
        <v>17031002123</v>
      </c>
      <c r="C1414" s="630">
        <v>17031004607</v>
      </c>
      <c r="D1414" s="630">
        <v>17031004606</v>
      </c>
      <c r="E1414" s="630" t="s">
        <v>533</v>
      </c>
      <c r="F1414" s="630" t="s">
        <v>534</v>
      </c>
      <c r="G1414" s="630" t="s">
        <v>365</v>
      </c>
      <c r="H1414" s="630" t="s">
        <v>382</v>
      </c>
      <c r="I1414" s="630"/>
      <c r="J1414" s="630" t="s">
        <v>547</v>
      </c>
      <c r="K1414" s="630"/>
      <c r="L1414" s="630"/>
      <c r="M1414" s="630"/>
      <c r="N1414" s="630"/>
      <c r="O1414" s="630"/>
      <c r="P1414" s="630"/>
      <c r="Q1414" s="630"/>
      <c r="R1414" s="630"/>
      <c r="S1414" s="630" t="s">
        <v>608</v>
      </c>
      <c r="T1414" s="630"/>
      <c r="U1414" s="630" t="s">
        <v>538</v>
      </c>
      <c r="V1414" s="630">
        <v>3</v>
      </c>
      <c r="W1414" s="630" t="s">
        <v>566</v>
      </c>
      <c r="X1414" s="630" t="s">
        <v>554</v>
      </c>
      <c r="Y1414" s="630" t="s">
        <v>549</v>
      </c>
      <c r="Z1414" s="630">
        <v>0.87966699999999998</v>
      </c>
      <c r="AA1414" s="630">
        <v>1.415689</v>
      </c>
      <c r="AB1414" s="631">
        <v>0</v>
      </c>
      <c r="AC1414" s="631">
        <v>0</v>
      </c>
      <c r="AD1414" s="631">
        <f t="shared" ref="AD1414:AD1477" si="22">AC1414*Z1414</f>
        <v>0</v>
      </c>
    </row>
    <row r="1415" spans="2:30" x14ac:dyDescent="0.15">
      <c r="B1415" s="630">
        <v>17031002209</v>
      </c>
      <c r="C1415" s="630">
        <v>17031000293</v>
      </c>
      <c r="D1415" s="630">
        <v>17031004602</v>
      </c>
      <c r="E1415" s="630" t="s">
        <v>533</v>
      </c>
      <c r="F1415" s="630" t="s">
        <v>534</v>
      </c>
      <c r="G1415" s="630" t="s">
        <v>365</v>
      </c>
      <c r="H1415" s="630" t="s">
        <v>382</v>
      </c>
      <c r="I1415" s="630"/>
      <c r="J1415" s="630" t="s">
        <v>535</v>
      </c>
      <c r="K1415" s="630" t="s">
        <v>547</v>
      </c>
      <c r="L1415" s="630"/>
      <c r="M1415" s="630"/>
      <c r="N1415" s="630"/>
      <c r="O1415" s="630"/>
      <c r="P1415" s="630"/>
      <c r="Q1415" s="630"/>
      <c r="R1415" s="630"/>
      <c r="S1415" s="630" t="s">
        <v>608</v>
      </c>
      <c r="T1415" s="630"/>
      <c r="U1415" s="630" t="s">
        <v>538</v>
      </c>
      <c r="V1415" s="630">
        <v>3</v>
      </c>
      <c r="W1415" s="630" t="s">
        <v>566</v>
      </c>
      <c r="X1415" s="630" t="s">
        <v>549</v>
      </c>
      <c r="Y1415" s="630" t="s">
        <v>549</v>
      </c>
      <c r="Z1415" s="630">
        <v>1.2297199999999999</v>
      </c>
      <c r="AA1415" s="630">
        <v>1.979047</v>
      </c>
      <c r="AB1415" s="631">
        <v>8906</v>
      </c>
      <c r="AC1415" s="631">
        <v>840677</v>
      </c>
      <c r="AD1415" s="631">
        <f t="shared" si="22"/>
        <v>1033797.3204399999</v>
      </c>
    </row>
    <row r="1416" spans="2:30" x14ac:dyDescent="0.15">
      <c r="B1416" s="630">
        <v>17031002297</v>
      </c>
      <c r="C1416" s="630">
        <v>17031001094</v>
      </c>
      <c r="D1416" s="630">
        <v>17031001096</v>
      </c>
      <c r="E1416" s="630" t="s">
        <v>533</v>
      </c>
      <c r="F1416" s="630" t="s">
        <v>534</v>
      </c>
      <c r="G1416" s="630" t="s">
        <v>365</v>
      </c>
      <c r="H1416" s="630" t="s">
        <v>571</v>
      </c>
      <c r="I1416" s="630"/>
      <c r="J1416" s="630" t="s">
        <v>552</v>
      </c>
      <c r="K1416" s="630" t="s">
        <v>577</v>
      </c>
      <c r="L1416" s="630" t="s">
        <v>543</v>
      </c>
      <c r="M1416" s="630"/>
      <c r="N1416" s="630"/>
      <c r="O1416" s="630"/>
      <c r="P1416" s="630"/>
      <c r="Q1416" s="630"/>
      <c r="R1416" s="630"/>
      <c r="S1416" s="630" t="s">
        <v>573</v>
      </c>
      <c r="T1416" s="630"/>
      <c r="U1416" s="630" t="s">
        <v>538</v>
      </c>
      <c r="V1416" s="630">
        <v>1</v>
      </c>
      <c r="W1416" s="630" t="s">
        <v>545</v>
      </c>
      <c r="X1416" s="630" t="s">
        <v>580</v>
      </c>
      <c r="Y1416" s="630" t="s">
        <v>554</v>
      </c>
      <c r="Z1416" s="630">
        <v>8.3282999999999996E-2</v>
      </c>
      <c r="AA1416" s="630">
        <v>0.13403100000000001</v>
      </c>
      <c r="AB1416" s="631">
        <v>178717</v>
      </c>
      <c r="AC1416" s="631">
        <v>9467630</v>
      </c>
      <c r="AD1416" s="631">
        <f t="shared" si="22"/>
        <v>788492.62928999995</v>
      </c>
    </row>
    <row r="1417" spans="2:30" x14ac:dyDescent="0.15">
      <c r="B1417" s="630">
        <v>17031002299</v>
      </c>
      <c r="C1417" s="630">
        <v>17031001349</v>
      </c>
      <c r="D1417" s="630">
        <v>17031001298</v>
      </c>
      <c r="E1417" s="630" t="s">
        <v>533</v>
      </c>
      <c r="F1417" s="630" t="s">
        <v>534</v>
      </c>
      <c r="G1417" s="630" t="s">
        <v>365</v>
      </c>
      <c r="H1417" s="630" t="s">
        <v>543</v>
      </c>
      <c r="I1417" s="630"/>
      <c r="J1417" s="630" t="s">
        <v>557</v>
      </c>
      <c r="K1417" s="630"/>
      <c r="L1417" s="630"/>
      <c r="M1417" s="630"/>
      <c r="N1417" s="630"/>
      <c r="O1417" s="630"/>
      <c r="P1417" s="630"/>
      <c r="Q1417" s="630"/>
      <c r="R1417" s="630"/>
      <c r="S1417" s="630" t="s">
        <v>558</v>
      </c>
      <c r="T1417" s="630"/>
      <c r="U1417" s="630" t="s">
        <v>559</v>
      </c>
      <c r="V1417" s="630">
        <v>1</v>
      </c>
      <c r="W1417" s="630" t="s">
        <v>560</v>
      </c>
      <c r="X1417" s="630" t="s">
        <v>541</v>
      </c>
      <c r="Y1417" s="630" t="s">
        <v>541</v>
      </c>
      <c r="Z1417" s="630">
        <v>0.51014400000000004</v>
      </c>
      <c r="AA1417" s="630">
        <v>0.82099900000000003</v>
      </c>
      <c r="AB1417" s="631">
        <v>0</v>
      </c>
      <c r="AC1417" s="631">
        <v>0</v>
      </c>
      <c r="AD1417" s="631">
        <f t="shared" si="22"/>
        <v>0</v>
      </c>
    </row>
    <row r="1418" spans="2:30" x14ac:dyDescent="0.15">
      <c r="B1418" s="630">
        <v>17031002313</v>
      </c>
      <c r="C1418" s="630">
        <v>17031001565</v>
      </c>
      <c r="D1418" s="630">
        <v>17031007613</v>
      </c>
      <c r="E1418" s="630" t="s">
        <v>533</v>
      </c>
      <c r="F1418" s="630" t="s">
        <v>534</v>
      </c>
      <c r="G1418" s="630" t="s">
        <v>365</v>
      </c>
      <c r="H1418" s="630" t="s">
        <v>535</v>
      </c>
      <c r="I1418" s="630"/>
      <c r="J1418" s="630" t="s">
        <v>382</v>
      </c>
      <c r="K1418" s="630" t="s">
        <v>536</v>
      </c>
      <c r="L1418" s="630"/>
      <c r="M1418" s="630"/>
      <c r="N1418" s="630"/>
      <c r="O1418" s="630"/>
      <c r="P1418" s="630"/>
      <c r="Q1418" s="630"/>
      <c r="R1418" s="630"/>
      <c r="S1418" s="630" t="s">
        <v>537</v>
      </c>
      <c r="T1418" s="630"/>
      <c r="U1418" s="630" t="s">
        <v>538</v>
      </c>
      <c r="V1418" s="630">
        <v>2</v>
      </c>
      <c r="W1418" s="630" t="s">
        <v>582</v>
      </c>
      <c r="X1418" s="630" t="s">
        <v>540</v>
      </c>
      <c r="Y1418" s="630" t="s">
        <v>549</v>
      </c>
      <c r="Z1418" s="630">
        <v>2.5687509999999998</v>
      </c>
      <c r="AA1418" s="630">
        <v>4.1340120000000002</v>
      </c>
      <c r="AB1418" s="631">
        <v>6964</v>
      </c>
      <c r="AC1418" s="631">
        <v>605196</v>
      </c>
      <c r="AD1418" s="631">
        <f t="shared" si="22"/>
        <v>1554597.8301959999</v>
      </c>
    </row>
    <row r="1419" spans="2:30" x14ac:dyDescent="0.15">
      <c r="B1419" s="630">
        <v>17031003224</v>
      </c>
      <c r="C1419" s="630">
        <v>17031000934</v>
      </c>
      <c r="D1419" s="630">
        <v>17031000882</v>
      </c>
      <c r="E1419" s="630" t="s">
        <v>533</v>
      </c>
      <c r="F1419" s="630" t="s">
        <v>534</v>
      </c>
      <c r="G1419" s="630" t="s">
        <v>365</v>
      </c>
      <c r="H1419" s="630" t="s">
        <v>535</v>
      </c>
      <c r="I1419" s="630"/>
      <c r="J1419" s="630" t="s">
        <v>542</v>
      </c>
      <c r="K1419" s="630" t="s">
        <v>572</v>
      </c>
      <c r="L1419" s="630" t="s">
        <v>547</v>
      </c>
      <c r="M1419" s="630" t="s">
        <v>382</v>
      </c>
      <c r="N1419" s="630" t="s">
        <v>552</v>
      </c>
      <c r="O1419" s="630" t="s">
        <v>381</v>
      </c>
      <c r="P1419" s="630"/>
      <c r="Q1419" s="630"/>
      <c r="R1419" s="630"/>
      <c r="S1419" s="630" t="s">
        <v>601</v>
      </c>
      <c r="T1419" s="630"/>
      <c r="U1419" s="630" t="s">
        <v>538</v>
      </c>
      <c r="V1419" s="630">
        <v>2</v>
      </c>
      <c r="W1419" s="630" t="s">
        <v>545</v>
      </c>
      <c r="X1419" s="630" t="s">
        <v>540</v>
      </c>
      <c r="Y1419" s="630" t="s">
        <v>549</v>
      </c>
      <c r="Z1419" s="630">
        <v>1.0298499999999999</v>
      </c>
      <c r="AA1419" s="630">
        <v>1.6573869999999999</v>
      </c>
      <c r="AB1419" s="631">
        <v>2020</v>
      </c>
      <c r="AC1419" s="631">
        <v>180608</v>
      </c>
      <c r="AD1419" s="631">
        <f t="shared" si="22"/>
        <v>185999.1488</v>
      </c>
    </row>
    <row r="1420" spans="2:30" x14ac:dyDescent="0.15">
      <c r="B1420" s="630">
        <v>17031003592</v>
      </c>
      <c r="C1420" s="630">
        <v>17031004749</v>
      </c>
      <c r="D1420" s="630">
        <v>17031001394</v>
      </c>
      <c r="E1420" s="630" t="s">
        <v>533</v>
      </c>
      <c r="F1420" s="630" t="s">
        <v>534</v>
      </c>
      <c r="G1420" s="630" t="s">
        <v>365</v>
      </c>
      <c r="H1420" s="630" t="s">
        <v>551</v>
      </c>
      <c r="I1420" s="630"/>
      <c r="J1420" s="630"/>
      <c r="K1420" s="630"/>
      <c r="L1420" s="630"/>
      <c r="M1420" s="630"/>
      <c r="N1420" s="630"/>
      <c r="O1420" s="630"/>
      <c r="P1420" s="630"/>
      <c r="Q1420" s="630"/>
      <c r="R1420" s="630"/>
      <c r="S1420" s="630" t="s">
        <v>686</v>
      </c>
      <c r="T1420" s="630"/>
      <c r="U1420" s="630" t="s">
        <v>559</v>
      </c>
      <c r="V1420" s="630">
        <v>1</v>
      </c>
      <c r="W1420" s="630" t="s">
        <v>560</v>
      </c>
      <c r="X1420" s="630" t="s">
        <v>541</v>
      </c>
      <c r="Y1420" s="630" t="s">
        <v>541</v>
      </c>
      <c r="Z1420" s="630">
        <v>0.543404</v>
      </c>
      <c r="AA1420" s="630">
        <v>0.87452600000000003</v>
      </c>
      <c r="AB1420" s="631">
        <v>0</v>
      </c>
      <c r="AC1420" s="631">
        <v>0</v>
      </c>
      <c r="AD1420" s="631">
        <f t="shared" si="22"/>
        <v>0</v>
      </c>
    </row>
    <row r="1421" spans="2:30" x14ac:dyDescent="0.15">
      <c r="B1421" s="630">
        <v>17031003835</v>
      </c>
      <c r="C1421" s="630">
        <v>17031000908</v>
      </c>
      <c r="D1421" s="630">
        <v>17031000873</v>
      </c>
      <c r="E1421" s="630" t="s">
        <v>533</v>
      </c>
      <c r="F1421" s="630" t="s">
        <v>534</v>
      </c>
      <c r="G1421" s="630" t="s">
        <v>365</v>
      </c>
      <c r="H1421" s="630" t="s">
        <v>571</v>
      </c>
      <c r="I1421" s="630"/>
      <c r="J1421" s="630" t="s">
        <v>381</v>
      </c>
      <c r="K1421" s="630" t="s">
        <v>535</v>
      </c>
      <c r="L1421" s="630" t="s">
        <v>552</v>
      </c>
      <c r="M1421" s="630" t="s">
        <v>551</v>
      </c>
      <c r="N1421" s="630" t="s">
        <v>382</v>
      </c>
      <c r="O1421" s="630" t="s">
        <v>563</v>
      </c>
      <c r="P1421" s="630"/>
      <c r="Q1421" s="630"/>
      <c r="R1421" s="630"/>
      <c r="S1421" s="630" t="s">
        <v>652</v>
      </c>
      <c r="T1421" s="630"/>
      <c r="U1421" s="630" t="s">
        <v>538</v>
      </c>
      <c r="V1421" s="630">
        <v>2</v>
      </c>
      <c r="W1421" s="630" t="s">
        <v>545</v>
      </c>
      <c r="X1421" s="630" t="s">
        <v>546</v>
      </c>
      <c r="Y1421" s="630" t="s">
        <v>554</v>
      </c>
      <c r="Z1421" s="630">
        <v>2.7841610000000001</v>
      </c>
      <c r="AA1421" s="630">
        <v>4.4806809999999997</v>
      </c>
      <c r="AB1421" s="631">
        <v>93514</v>
      </c>
      <c r="AC1421" s="631">
        <v>5176370</v>
      </c>
      <c r="AD1421" s="631">
        <f t="shared" si="22"/>
        <v>14411847.475570001</v>
      </c>
    </row>
    <row r="1422" spans="2:30" x14ac:dyDescent="0.15">
      <c r="B1422" s="630">
        <v>17031003863</v>
      </c>
      <c r="C1422" s="630">
        <v>17031001187</v>
      </c>
      <c r="D1422" s="630">
        <v>17031001209</v>
      </c>
      <c r="E1422" s="630" t="s">
        <v>533</v>
      </c>
      <c r="F1422" s="630" t="s">
        <v>534</v>
      </c>
      <c r="G1422" s="630" t="s">
        <v>365</v>
      </c>
      <c r="H1422" s="630" t="s">
        <v>543</v>
      </c>
      <c r="I1422" s="630"/>
      <c r="J1422" s="630"/>
      <c r="K1422" s="630"/>
      <c r="L1422" s="630"/>
      <c r="M1422" s="630"/>
      <c r="N1422" s="630"/>
      <c r="O1422" s="630"/>
      <c r="P1422" s="630"/>
      <c r="Q1422" s="630"/>
      <c r="R1422" s="630"/>
      <c r="S1422" s="630" t="s">
        <v>604</v>
      </c>
      <c r="T1422" s="630"/>
      <c r="U1422" s="630" t="s">
        <v>538</v>
      </c>
      <c r="V1422" s="630">
        <v>2</v>
      </c>
      <c r="W1422" s="630" t="s">
        <v>545</v>
      </c>
      <c r="X1422" s="630" t="s">
        <v>546</v>
      </c>
      <c r="Y1422" s="630" t="s">
        <v>554</v>
      </c>
      <c r="Z1422" s="630">
        <v>0.74676100000000001</v>
      </c>
      <c r="AA1422" s="630">
        <v>1.2017979999999999</v>
      </c>
      <c r="AB1422" s="631">
        <v>10277</v>
      </c>
      <c r="AC1422" s="631">
        <v>921789</v>
      </c>
      <c r="AD1422" s="631">
        <f t="shared" si="22"/>
        <v>688356.07542899996</v>
      </c>
    </row>
    <row r="1423" spans="2:30" x14ac:dyDescent="0.15">
      <c r="B1423" s="630">
        <v>17197003874</v>
      </c>
      <c r="C1423" s="630">
        <v>17197004802</v>
      </c>
      <c r="D1423" s="630">
        <v>17999022465</v>
      </c>
      <c r="E1423" s="630" t="s">
        <v>533</v>
      </c>
      <c r="F1423" s="630" t="s">
        <v>534</v>
      </c>
      <c r="G1423" s="630" t="s">
        <v>377</v>
      </c>
      <c r="H1423" s="630" t="s">
        <v>535</v>
      </c>
      <c r="I1423" s="630"/>
      <c r="J1423" s="630" t="s">
        <v>542</v>
      </c>
      <c r="K1423" s="630" t="s">
        <v>572</v>
      </c>
      <c r="L1423" s="630" t="s">
        <v>547</v>
      </c>
      <c r="M1423" s="630" t="s">
        <v>382</v>
      </c>
      <c r="N1423" s="630"/>
      <c r="O1423" s="630"/>
      <c r="P1423" s="630"/>
      <c r="Q1423" s="630"/>
      <c r="R1423" s="630"/>
      <c r="S1423" s="630" t="s">
        <v>601</v>
      </c>
      <c r="T1423" s="630"/>
      <c r="U1423" s="630" t="s">
        <v>538</v>
      </c>
      <c r="V1423" s="630">
        <v>2</v>
      </c>
      <c r="W1423" s="630" t="s">
        <v>545</v>
      </c>
      <c r="X1423" s="630" t="s">
        <v>540</v>
      </c>
      <c r="Y1423" s="630" t="s">
        <v>549</v>
      </c>
      <c r="Z1423" s="630">
        <v>0.459984</v>
      </c>
      <c r="AA1423" s="630">
        <v>0.74027399999999999</v>
      </c>
      <c r="AB1423" s="631">
        <v>43880</v>
      </c>
      <c r="AC1423" s="631">
        <v>1364920</v>
      </c>
      <c r="AD1423" s="631">
        <f t="shared" si="22"/>
        <v>627841.36127999995</v>
      </c>
    </row>
    <row r="1424" spans="2:30" x14ac:dyDescent="0.15">
      <c r="B1424" s="630">
        <v>17031004073</v>
      </c>
      <c r="C1424" s="630">
        <v>17031000623</v>
      </c>
      <c r="D1424" s="630">
        <v>17031000622</v>
      </c>
      <c r="E1424" s="630" t="s">
        <v>533</v>
      </c>
      <c r="F1424" s="630" t="s">
        <v>534</v>
      </c>
      <c r="G1424" s="630" t="s">
        <v>365</v>
      </c>
      <c r="H1424" s="630" t="s">
        <v>551</v>
      </c>
      <c r="I1424" s="630"/>
      <c r="J1424" s="630" t="s">
        <v>535</v>
      </c>
      <c r="K1424" s="630"/>
      <c r="L1424" s="630"/>
      <c r="M1424" s="630"/>
      <c r="N1424" s="630"/>
      <c r="O1424" s="630"/>
      <c r="P1424" s="630"/>
      <c r="Q1424" s="630"/>
      <c r="R1424" s="630"/>
      <c r="S1424" s="630" t="s">
        <v>667</v>
      </c>
      <c r="T1424" s="630"/>
      <c r="U1424" s="630" t="s">
        <v>538</v>
      </c>
      <c r="V1424" s="630">
        <v>2</v>
      </c>
      <c r="W1424" s="630" t="s">
        <v>582</v>
      </c>
      <c r="X1424" s="630" t="s">
        <v>541</v>
      </c>
      <c r="Y1424" s="630" t="s">
        <v>541</v>
      </c>
      <c r="Z1424" s="630">
        <v>4.9210999999999998E-2</v>
      </c>
      <c r="AA1424" s="630">
        <v>7.9197000000000004E-2</v>
      </c>
      <c r="AB1424" s="631">
        <v>0</v>
      </c>
      <c r="AC1424" s="631">
        <v>0</v>
      </c>
      <c r="AD1424" s="631">
        <f t="shared" si="22"/>
        <v>0</v>
      </c>
    </row>
    <row r="1425" spans="2:30" x14ac:dyDescent="0.15">
      <c r="B1425" s="630">
        <v>17031004206</v>
      </c>
      <c r="C1425" s="630">
        <v>17031000332</v>
      </c>
      <c r="D1425" s="630">
        <v>17031000348</v>
      </c>
      <c r="E1425" s="630" t="s">
        <v>533</v>
      </c>
      <c r="F1425" s="630" t="s">
        <v>534</v>
      </c>
      <c r="G1425" s="630" t="s">
        <v>365</v>
      </c>
      <c r="H1425" s="630" t="s">
        <v>590</v>
      </c>
      <c r="I1425" s="630"/>
      <c r="J1425" s="630"/>
      <c r="K1425" s="630"/>
      <c r="L1425" s="630"/>
      <c r="M1425" s="630"/>
      <c r="N1425" s="630"/>
      <c r="O1425" s="630"/>
      <c r="P1425" s="630"/>
      <c r="Q1425" s="630"/>
      <c r="R1425" s="630"/>
      <c r="S1425" s="630"/>
      <c r="T1425" s="630"/>
      <c r="U1425" s="630" t="s">
        <v>559</v>
      </c>
      <c r="V1425" s="630">
        <v>1</v>
      </c>
      <c r="W1425" s="630" t="s">
        <v>560</v>
      </c>
      <c r="X1425" s="630" t="s">
        <v>541</v>
      </c>
      <c r="Y1425" s="630" t="s">
        <v>541</v>
      </c>
      <c r="Z1425" s="630">
        <v>0.19484599999999999</v>
      </c>
      <c r="AA1425" s="630">
        <v>0.31357499999999999</v>
      </c>
      <c r="AB1425" s="631">
        <v>0</v>
      </c>
      <c r="AC1425" s="631">
        <v>0</v>
      </c>
      <c r="AD1425" s="631">
        <f t="shared" si="22"/>
        <v>0</v>
      </c>
    </row>
    <row r="1426" spans="2:30" x14ac:dyDescent="0.15">
      <c r="B1426" s="630">
        <v>17031005369</v>
      </c>
      <c r="C1426" s="630">
        <v>17031001303</v>
      </c>
      <c r="D1426" s="630">
        <v>17031001294</v>
      </c>
      <c r="E1426" s="630" t="s">
        <v>533</v>
      </c>
      <c r="F1426" s="630" t="s">
        <v>534</v>
      </c>
      <c r="G1426" s="630" t="s">
        <v>365</v>
      </c>
      <c r="H1426" s="630" t="s">
        <v>557</v>
      </c>
      <c r="I1426" s="630"/>
      <c r="J1426" s="630" t="s">
        <v>381</v>
      </c>
      <c r="K1426" s="630" t="s">
        <v>535</v>
      </c>
      <c r="L1426" s="630" t="s">
        <v>552</v>
      </c>
      <c r="M1426" s="630" t="s">
        <v>551</v>
      </c>
      <c r="N1426" s="630" t="s">
        <v>615</v>
      </c>
      <c r="O1426" s="630" t="s">
        <v>543</v>
      </c>
      <c r="P1426" s="630" t="s">
        <v>382</v>
      </c>
      <c r="Q1426" s="630"/>
      <c r="R1426" s="630"/>
      <c r="S1426" s="630" t="s">
        <v>570</v>
      </c>
      <c r="T1426" s="630"/>
      <c r="U1426" s="630" t="s">
        <v>538</v>
      </c>
      <c r="V1426" s="630">
        <v>2</v>
      </c>
      <c r="W1426" s="630" t="s">
        <v>545</v>
      </c>
      <c r="X1426" s="630" t="s">
        <v>546</v>
      </c>
      <c r="Y1426" s="630" t="s">
        <v>540</v>
      </c>
      <c r="Z1426" s="630">
        <v>0.41764499999999999</v>
      </c>
      <c r="AA1426" s="630">
        <v>0.67213599999999996</v>
      </c>
      <c r="AB1426" s="631">
        <v>1294995</v>
      </c>
      <c r="AC1426" s="631">
        <v>47100133</v>
      </c>
      <c r="AD1426" s="631">
        <f t="shared" si="22"/>
        <v>19671135.046785001</v>
      </c>
    </row>
    <row r="1427" spans="2:30" x14ac:dyDescent="0.15">
      <c r="B1427" s="630">
        <v>17031005507</v>
      </c>
      <c r="C1427" s="630">
        <v>17031000754</v>
      </c>
      <c r="D1427" s="630">
        <v>17031000759</v>
      </c>
      <c r="E1427" s="630" t="s">
        <v>533</v>
      </c>
      <c r="F1427" s="630" t="s">
        <v>534</v>
      </c>
      <c r="G1427" s="630" t="s">
        <v>365</v>
      </c>
      <c r="H1427" s="630" t="s">
        <v>571</v>
      </c>
      <c r="I1427" s="630"/>
      <c r="J1427" s="630" t="s">
        <v>535</v>
      </c>
      <c r="K1427" s="630"/>
      <c r="L1427" s="630"/>
      <c r="M1427" s="630"/>
      <c r="N1427" s="630"/>
      <c r="O1427" s="630"/>
      <c r="P1427" s="630"/>
      <c r="Q1427" s="630"/>
      <c r="R1427" s="630"/>
      <c r="S1427" s="630"/>
      <c r="T1427" s="630"/>
      <c r="U1427" s="630" t="s">
        <v>559</v>
      </c>
      <c r="V1427" s="630">
        <v>1</v>
      </c>
      <c r="W1427" s="630" t="s">
        <v>560</v>
      </c>
      <c r="X1427" s="630" t="s">
        <v>541</v>
      </c>
      <c r="Y1427" s="630" t="s">
        <v>541</v>
      </c>
      <c r="Z1427" s="630">
        <v>0.22309699999999999</v>
      </c>
      <c r="AA1427" s="630">
        <v>0.359041</v>
      </c>
      <c r="AB1427" s="631">
        <v>0</v>
      </c>
      <c r="AC1427" s="631">
        <v>0</v>
      </c>
      <c r="AD1427" s="631">
        <f t="shared" si="22"/>
        <v>0</v>
      </c>
    </row>
    <row r="1428" spans="2:30" x14ac:dyDescent="0.15">
      <c r="B1428" s="630">
        <v>17097009430</v>
      </c>
      <c r="C1428" s="630">
        <v>17097007533</v>
      </c>
      <c r="D1428" s="630">
        <v>17097007531</v>
      </c>
      <c r="E1428" s="630" t="s">
        <v>533</v>
      </c>
      <c r="F1428" s="630" t="s">
        <v>534</v>
      </c>
      <c r="G1428" s="630" t="s">
        <v>373</v>
      </c>
      <c r="H1428" s="630" t="s">
        <v>382</v>
      </c>
      <c r="I1428" s="630"/>
      <c r="J1428" s="630"/>
      <c r="K1428" s="630"/>
      <c r="L1428" s="630"/>
      <c r="M1428" s="630"/>
      <c r="N1428" s="630"/>
      <c r="O1428" s="630"/>
      <c r="P1428" s="630"/>
      <c r="Q1428" s="630"/>
      <c r="R1428" s="630"/>
      <c r="S1428" s="630" t="s">
        <v>586</v>
      </c>
      <c r="T1428" s="630"/>
      <c r="U1428" s="630" t="s">
        <v>538</v>
      </c>
      <c r="V1428" s="630">
        <v>2</v>
      </c>
      <c r="W1428" s="630" t="s">
        <v>582</v>
      </c>
      <c r="X1428" s="630" t="s">
        <v>549</v>
      </c>
      <c r="Y1428" s="630" t="s">
        <v>549</v>
      </c>
      <c r="Z1428" s="630">
        <v>6.8984000000000004E-2</v>
      </c>
      <c r="AA1428" s="630">
        <v>0.11101999999999999</v>
      </c>
      <c r="AB1428" s="631">
        <v>83089</v>
      </c>
      <c r="AC1428" s="631">
        <v>9284627</v>
      </c>
      <c r="AD1428" s="631">
        <f t="shared" si="22"/>
        <v>640490.70896800002</v>
      </c>
    </row>
    <row r="1429" spans="2:30" x14ac:dyDescent="0.15">
      <c r="B1429" s="630">
        <v>17031001974</v>
      </c>
      <c r="C1429" s="630">
        <v>17031000992</v>
      </c>
      <c r="D1429" s="630">
        <v>17031000958</v>
      </c>
      <c r="E1429" s="630" t="s">
        <v>533</v>
      </c>
      <c r="F1429" s="630" t="s">
        <v>534</v>
      </c>
      <c r="G1429" s="630" t="s">
        <v>365</v>
      </c>
      <c r="H1429" s="630" t="s">
        <v>547</v>
      </c>
      <c r="I1429" s="630"/>
      <c r="J1429" s="630"/>
      <c r="K1429" s="630"/>
      <c r="L1429" s="630"/>
      <c r="M1429" s="630"/>
      <c r="N1429" s="630"/>
      <c r="O1429" s="630"/>
      <c r="P1429" s="630"/>
      <c r="Q1429" s="630"/>
      <c r="R1429" s="630"/>
      <c r="S1429" s="630"/>
      <c r="T1429" s="630"/>
      <c r="U1429" s="630" t="s">
        <v>538</v>
      </c>
      <c r="V1429" s="630">
        <v>2</v>
      </c>
      <c r="W1429" s="630" t="s">
        <v>545</v>
      </c>
      <c r="X1429" s="630" t="s">
        <v>541</v>
      </c>
      <c r="Y1429" s="630" t="s">
        <v>540</v>
      </c>
      <c r="Z1429" s="630">
        <v>0.44772899999999999</v>
      </c>
      <c r="AA1429" s="630">
        <v>0.72055199999999997</v>
      </c>
      <c r="AB1429" s="631">
        <v>0</v>
      </c>
      <c r="AC1429" s="631">
        <v>0</v>
      </c>
      <c r="AD1429" s="631">
        <f t="shared" si="22"/>
        <v>0</v>
      </c>
    </row>
    <row r="1430" spans="2:30" x14ac:dyDescent="0.15">
      <c r="B1430" s="630">
        <v>17031002096</v>
      </c>
      <c r="C1430" s="630">
        <v>17031000462</v>
      </c>
      <c r="D1430" s="630">
        <v>17031000437</v>
      </c>
      <c r="E1430" s="630" t="s">
        <v>533</v>
      </c>
      <c r="F1430" s="630" t="s">
        <v>534</v>
      </c>
      <c r="G1430" s="630" t="s">
        <v>365</v>
      </c>
      <c r="H1430" s="630" t="s">
        <v>557</v>
      </c>
      <c r="I1430" s="630"/>
      <c r="J1430" s="630" t="s">
        <v>535</v>
      </c>
      <c r="K1430" s="630" t="s">
        <v>552</v>
      </c>
      <c r="L1430" s="630" t="s">
        <v>543</v>
      </c>
      <c r="M1430" s="630" t="s">
        <v>382</v>
      </c>
      <c r="N1430" s="630"/>
      <c r="O1430" s="630"/>
      <c r="P1430" s="630"/>
      <c r="Q1430" s="630"/>
      <c r="R1430" s="630"/>
      <c r="S1430" s="630" t="s">
        <v>570</v>
      </c>
      <c r="T1430" s="630"/>
      <c r="U1430" s="630" t="s">
        <v>538</v>
      </c>
      <c r="V1430" s="630">
        <v>2</v>
      </c>
      <c r="W1430" s="630" t="s">
        <v>545</v>
      </c>
      <c r="X1430" s="630" t="s">
        <v>546</v>
      </c>
      <c r="Y1430" s="630" t="s">
        <v>554</v>
      </c>
      <c r="Z1430" s="630">
        <v>0.49052000000000001</v>
      </c>
      <c r="AA1430" s="630">
        <v>0.78941799999999995</v>
      </c>
      <c r="AB1430" s="631">
        <v>943691</v>
      </c>
      <c r="AC1430" s="631">
        <v>50467379</v>
      </c>
      <c r="AD1430" s="631">
        <f t="shared" si="22"/>
        <v>24755258.747080002</v>
      </c>
    </row>
    <row r="1431" spans="2:30" x14ac:dyDescent="0.15">
      <c r="B1431" s="630">
        <v>17097002107</v>
      </c>
      <c r="C1431" s="630">
        <v>17097004559</v>
      </c>
      <c r="D1431" s="630">
        <v>17097007515</v>
      </c>
      <c r="E1431" s="630" t="s">
        <v>533</v>
      </c>
      <c r="F1431" s="630" t="s">
        <v>534</v>
      </c>
      <c r="G1431" s="630" t="s">
        <v>373</v>
      </c>
      <c r="H1431" s="630" t="s">
        <v>535</v>
      </c>
      <c r="I1431" s="630"/>
      <c r="J1431" s="630" t="s">
        <v>547</v>
      </c>
      <c r="K1431" s="630"/>
      <c r="L1431" s="630"/>
      <c r="M1431" s="630"/>
      <c r="N1431" s="630"/>
      <c r="O1431" s="630"/>
      <c r="P1431" s="630"/>
      <c r="Q1431" s="630"/>
      <c r="R1431" s="630"/>
      <c r="S1431" s="630" t="s">
        <v>548</v>
      </c>
      <c r="T1431" s="630"/>
      <c r="U1431" s="630" t="s">
        <v>538</v>
      </c>
      <c r="V1431" s="630">
        <v>2</v>
      </c>
      <c r="W1431" s="630" t="s">
        <v>545</v>
      </c>
      <c r="X1431" s="630" t="s">
        <v>546</v>
      </c>
      <c r="Y1431" s="630" t="s">
        <v>549</v>
      </c>
      <c r="Z1431" s="630">
        <v>1.305717</v>
      </c>
      <c r="AA1431" s="630">
        <v>2.1013519999999999</v>
      </c>
      <c r="AB1431" s="631">
        <v>805376</v>
      </c>
      <c r="AC1431" s="631">
        <v>39329111</v>
      </c>
      <c r="AD1431" s="631">
        <f t="shared" si="22"/>
        <v>51352688.827587001</v>
      </c>
    </row>
    <row r="1432" spans="2:30" x14ac:dyDescent="0.15">
      <c r="B1432" s="630">
        <v>17097002145</v>
      </c>
      <c r="C1432" s="630">
        <v>17097004550</v>
      </c>
      <c r="D1432" s="630">
        <v>17097000038</v>
      </c>
      <c r="E1432" s="630" t="s">
        <v>533</v>
      </c>
      <c r="F1432" s="630" t="s">
        <v>534</v>
      </c>
      <c r="G1432" s="630" t="s">
        <v>373</v>
      </c>
      <c r="H1432" s="630" t="s">
        <v>382</v>
      </c>
      <c r="I1432" s="630"/>
      <c r="J1432" s="630" t="s">
        <v>535</v>
      </c>
      <c r="K1432" s="630" t="s">
        <v>547</v>
      </c>
      <c r="L1432" s="630"/>
      <c r="M1432" s="630"/>
      <c r="N1432" s="630"/>
      <c r="O1432" s="630"/>
      <c r="P1432" s="630"/>
      <c r="Q1432" s="630"/>
      <c r="R1432" s="630"/>
      <c r="S1432" s="630" t="s">
        <v>565</v>
      </c>
      <c r="T1432" s="630"/>
      <c r="U1432" s="630" t="s">
        <v>538</v>
      </c>
      <c r="V1432" s="630">
        <v>2</v>
      </c>
      <c r="W1432" s="630" t="s">
        <v>566</v>
      </c>
      <c r="X1432" s="630" t="s">
        <v>540</v>
      </c>
      <c r="Y1432" s="630" t="s">
        <v>549</v>
      </c>
      <c r="Z1432" s="630">
        <v>3.3994200000000001</v>
      </c>
      <c r="AA1432" s="630">
        <v>5.470847</v>
      </c>
      <c r="AB1432" s="631">
        <v>4940</v>
      </c>
      <c r="AC1432" s="631">
        <v>456256</v>
      </c>
      <c r="AD1432" s="631">
        <f t="shared" si="22"/>
        <v>1551005.77152</v>
      </c>
    </row>
    <row r="1433" spans="2:30" x14ac:dyDescent="0.15">
      <c r="B1433" s="630">
        <v>17031002168</v>
      </c>
      <c r="C1433" s="630">
        <v>17031004697</v>
      </c>
      <c r="D1433" s="630">
        <v>17031001284</v>
      </c>
      <c r="E1433" s="630" t="s">
        <v>533</v>
      </c>
      <c r="F1433" s="630" t="s">
        <v>534</v>
      </c>
      <c r="G1433" s="630" t="s">
        <v>365</v>
      </c>
      <c r="H1433" s="630" t="s">
        <v>547</v>
      </c>
      <c r="I1433" s="630"/>
      <c r="J1433" s="630" t="s">
        <v>577</v>
      </c>
      <c r="K1433" s="630" t="s">
        <v>615</v>
      </c>
      <c r="L1433" s="630"/>
      <c r="M1433" s="630"/>
      <c r="N1433" s="630"/>
      <c r="O1433" s="630"/>
      <c r="P1433" s="630"/>
      <c r="Q1433" s="630"/>
      <c r="R1433" s="630"/>
      <c r="S1433" s="630" t="s">
        <v>581</v>
      </c>
      <c r="T1433" s="630"/>
      <c r="U1433" s="630" t="s">
        <v>538</v>
      </c>
      <c r="V1433" s="630">
        <v>2</v>
      </c>
      <c r="W1433" s="630" t="s">
        <v>582</v>
      </c>
      <c r="X1433" s="630" t="s">
        <v>541</v>
      </c>
      <c r="Y1433" s="630" t="s">
        <v>540</v>
      </c>
      <c r="Z1433" s="630">
        <v>0.118881</v>
      </c>
      <c r="AA1433" s="630">
        <v>0.19132099999999999</v>
      </c>
      <c r="AB1433" s="631">
        <v>0</v>
      </c>
      <c r="AC1433" s="631">
        <v>0</v>
      </c>
      <c r="AD1433" s="631">
        <f t="shared" si="22"/>
        <v>0</v>
      </c>
    </row>
    <row r="1434" spans="2:30" x14ac:dyDescent="0.15">
      <c r="B1434" s="630">
        <v>17031004583</v>
      </c>
      <c r="C1434" s="630">
        <v>17031001205</v>
      </c>
      <c r="D1434" s="630">
        <v>17031001211</v>
      </c>
      <c r="E1434" s="630" t="s">
        <v>533</v>
      </c>
      <c r="F1434" s="630" t="s">
        <v>534</v>
      </c>
      <c r="G1434" s="630" t="s">
        <v>365</v>
      </c>
      <c r="H1434" s="630" t="s">
        <v>577</v>
      </c>
      <c r="I1434" s="630"/>
      <c r="J1434" s="630"/>
      <c r="K1434" s="630"/>
      <c r="L1434" s="630"/>
      <c r="M1434" s="630"/>
      <c r="N1434" s="630"/>
      <c r="O1434" s="630"/>
      <c r="P1434" s="630"/>
      <c r="Q1434" s="630"/>
      <c r="R1434" s="630"/>
      <c r="S1434" s="630"/>
      <c r="T1434" s="630"/>
      <c r="U1434" s="630" t="s">
        <v>559</v>
      </c>
      <c r="V1434" s="630">
        <v>1</v>
      </c>
      <c r="W1434" s="630" t="s">
        <v>560</v>
      </c>
      <c r="X1434" s="630" t="s">
        <v>541</v>
      </c>
      <c r="Y1434" s="630" t="s">
        <v>541</v>
      </c>
      <c r="Z1434" s="630">
        <v>2.2676999999999999E-2</v>
      </c>
      <c r="AA1434" s="630">
        <v>3.6496000000000001E-2</v>
      </c>
      <c r="AB1434" s="631">
        <v>0</v>
      </c>
      <c r="AC1434" s="631">
        <v>0</v>
      </c>
      <c r="AD1434" s="631">
        <f t="shared" si="22"/>
        <v>0</v>
      </c>
    </row>
    <row r="1435" spans="2:30" x14ac:dyDescent="0.15">
      <c r="B1435" s="630">
        <v>17031005482</v>
      </c>
      <c r="C1435" s="630">
        <v>17031001031</v>
      </c>
      <c r="D1435" s="630">
        <v>17031000994</v>
      </c>
      <c r="E1435" s="630" t="s">
        <v>533</v>
      </c>
      <c r="F1435" s="630" t="s">
        <v>534</v>
      </c>
      <c r="G1435" s="630" t="s">
        <v>365</v>
      </c>
      <c r="H1435" s="630" t="s">
        <v>571</v>
      </c>
      <c r="I1435" s="630"/>
      <c r="J1435" s="630"/>
      <c r="K1435" s="630"/>
      <c r="L1435" s="630"/>
      <c r="M1435" s="630"/>
      <c r="N1435" s="630"/>
      <c r="O1435" s="630"/>
      <c r="P1435" s="630"/>
      <c r="Q1435" s="630"/>
      <c r="R1435" s="630"/>
      <c r="S1435" s="630"/>
      <c r="T1435" s="630"/>
      <c r="U1435" s="630" t="s">
        <v>559</v>
      </c>
      <c r="V1435" s="630">
        <v>1</v>
      </c>
      <c r="W1435" s="630" t="s">
        <v>560</v>
      </c>
      <c r="X1435" s="630" t="s">
        <v>541</v>
      </c>
      <c r="Y1435" s="630" t="s">
        <v>541</v>
      </c>
      <c r="Z1435" s="630">
        <v>2.0527229999999999</v>
      </c>
      <c r="AA1435" s="630">
        <v>3.303544</v>
      </c>
      <c r="AB1435" s="631">
        <v>0</v>
      </c>
      <c r="AC1435" s="631">
        <v>0</v>
      </c>
      <c r="AD1435" s="631">
        <f t="shared" si="22"/>
        <v>0</v>
      </c>
    </row>
    <row r="1436" spans="2:30" x14ac:dyDescent="0.15">
      <c r="B1436" s="630">
        <v>17089006581</v>
      </c>
      <c r="C1436" s="630">
        <v>17089004872</v>
      </c>
      <c r="D1436" s="630">
        <v>17089000509</v>
      </c>
      <c r="E1436" s="630" t="s">
        <v>533</v>
      </c>
      <c r="F1436" s="630" t="s">
        <v>534</v>
      </c>
      <c r="G1436" s="630" t="s">
        <v>369</v>
      </c>
      <c r="H1436" s="630" t="s">
        <v>382</v>
      </c>
      <c r="I1436" s="630"/>
      <c r="J1436" s="630"/>
      <c r="K1436" s="630"/>
      <c r="L1436" s="630"/>
      <c r="M1436" s="630"/>
      <c r="N1436" s="630"/>
      <c r="O1436" s="630"/>
      <c r="P1436" s="630"/>
      <c r="Q1436" s="630"/>
      <c r="R1436" s="630"/>
      <c r="S1436" s="630" t="s">
        <v>583</v>
      </c>
      <c r="T1436" s="630"/>
      <c r="U1436" s="630" t="s">
        <v>538</v>
      </c>
      <c r="V1436" s="630">
        <v>3</v>
      </c>
      <c r="W1436" s="630" t="s">
        <v>588</v>
      </c>
      <c r="X1436" s="630" t="s">
        <v>575</v>
      </c>
      <c r="Y1436" s="630" t="s">
        <v>549</v>
      </c>
      <c r="Z1436" s="630">
        <v>1.810265</v>
      </c>
      <c r="AA1436" s="630">
        <v>2.9133460000000002</v>
      </c>
      <c r="AB1436" s="631">
        <v>1830185</v>
      </c>
      <c r="AC1436" s="631">
        <v>58575731</v>
      </c>
      <c r="AD1436" s="631">
        <f t="shared" si="22"/>
        <v>106037595.67871501</v>
      </c>
    </row>
    <row r="1437" spans="2:30" x14ac:dyDescent="0.15">
      <c r="B1437" s="630">
        <v>17031003877</v>
      </c>
      <c r="C1437" s="630">
        <v>17031004651</v>
      </c>
      <c r="D1437" s="630">
        <v>17031000555</v>
      </c>
      <c r="E1437" s="630" t="s">
        <v>533</v>
      </c>
      <c r="F1437" s="630" t="s">
        <v>534</v>
      </c>
      <c r="G1437" s="630" t="s">
        <v>365</v>
      </c>
      <c r="H1437" s="630" t="s">
        <v>382</v>
      </c>
      <c r="I1437" s="630"/>
      <c r="J1437" s="630" t="s">
        <v>572</v>
      </c>
      <c r="K1437" s="630" t="s">
        <v>547</v>
      </c>
      <c r="L1437" s="630"/>
      <c r="M1437" s="630"/>
      <c r="N1437" s="630"/>
      <c r="O1437" s="630"/>
      <c r="P1437" s="630"/>
      <c r="Q1437" s="630"/>
      <c r="R1437" s="630"/>
      <c r="S1437" s="630" t="s">
        <v>583</v>
      </c>
      <c r="T1437" s="630"/>
      <c r="U1437" s="630" t="s">
        <v>538</v>
      </c>
      <c r="V1437" s="630">
        <v>3</v>
      </c>
      <c r="W1437" s="630" t="s">
        <v>545</v>
      </c>
      <c r="X1437" s="630" t="s">
        <v>580</v>
      </c>
      <c r="Y1437" s="630" t="s">
        <v>549</v>
      </c>
      <c r="Z1437" s="630">
        <v>0.210149</v>
      </c>
      <c r="AA1437" s="630">
        <v>0.33820299999999998</v>
      </c>
      <c r="AB1437" s="631">
        <v>858441</v>
      </c>
      <c r="AC1437" s="631">
        <v>28505526</v>
      </c>
      <c r="AD1437" s="631">
        <f t="shared" si="22"/>
        <v>5990407.7833740003</v>
      </c>
    </row>
    <row r="1438" spans="2:30" x14ac:dyDescent="0.15">
      <c r="B1438" s="630">
        <v>17031001965</v>
      </c>
      <c r="C1438" s="630">
        <v>17031001453</v>
      </c>
      <c r="D1438" s="630">
        <v>17031004712</v>
      </c>
      <c r="E1438" s="630" t="s">
        <v>533</v>
      </c>
      <c r="F1438" s="630" t="s">
        <v>534</v>
      </c>
      <c r="G1438" s="630" t="s">
        <v>365</v>
      </c>
      <c r="H1438" s="630" t="s">
        <v>551</v>
      </c>
      <c r="I1438" s="630"/>
      <c r="J1438" s="630"/>
      <c r="K1438" s="630"/>
      <c r="L1438" s="630"/>
      <c r="M1438" s="630"/>
      <c r="N1438" s="630"/>
      <c r="O1438" s="630"/>
      <c r="P1438" s="630"/>
      <c r="Q1438" s="630"/>
      <c r="R1438" s="630"/>
      <c r="S1438" s="630" t="s">
        <v>628</v>
      </c>
      <c r="T1438" s="630"/>
      <c r="U1438" s="630" t="s">
        <v>538</v>
      </c>
      <c r="V1438" s="630">
        <v>1</v>
      </c>
      <c r="W1438" s="630" t="s">
        <v>560</v>
      </c>
      <c r="X1438" s="630" t="s">
        <v>541</v>
      </c>
      <c r="Y1438" s="630" t="s">
        <v>541</v>
      </c>
      <c r="Z1438" s="630">
        <v>1.907653</v>
      </c>
      <c r="AA1438" s="630">
        <v>3.0700759999999998</v>
      </c>
      <c r="AB1438" s="631">
        <v>0</v>
      </c>
      <c r="AC1438" s="631">
        <v>0</v>
      </c>
      <c r="AD1438" s="631">
        <f t="shared" si="22"/>
        <v>0</v>
      </c>
    </row>
    <row r="1439" spans="2:30" x14ac:dyDescent="0.15">
      <c r="B1439" s="630">
        <v>17097002136</v>
      </c>
      <c r="C1439" s="630">
        <v>17097004524</v>
      </c>
      <c r="D1439" s="630">
        <v>17097000055</v>
      </c>
      <c r="E1439" s="630" t="s">
        <v>533</v>
      </c>
      <c r="F1439" s="630" t="s">
        <v>534</v>
      </c>
      <c r="G1439" s="630" t="s">
        <v>373</v>
      </c>
      <c r="H1439" s="630" t="s">
        <v>552</v>
      </c>
      <c r="I1439" s="630"/>
      <c r="J1439" s="630" t="s">
        <v>542</v>
      </c>
      <c r="K1439" s="630"/>
      <c r="L1439" s="630"/>
      <c r="M1439" s="630"/>
      <c r="N1439" s="630"/>
      <c r="O1439" s="630"/>
      <c r="P1439" s="630"/>
      <c r="Q1439" s="630"/>
      <c r="R1439" s="630"/>
      <c r="S1439" s="630" t="s">
        <v>564</v>
      </c>
      <c r="T1439" s="630"/>
      <c r="U1439" s="630" t="s">
        <v>538</v>
      </c>
      <c r="V1439" s="630">
        <v>2</v>
      </c>
      <c r="W1439" s="630" t="s">
        <v>545</v>
      </c>
      <c r="X1439" s="630" t="s">
        <v>549</v>
      </c>
      <c r="Y1439" s="630" t="s">
        <v>549</v>
      </c>
      <c r="Z1439" s="630">
        <v>4.3400670000000003</v>
      </c>
      <c r="AA1439" s="630">
        <v>6.9846750000000002</v>
      </c>
      <c r="AB1439" s="631">
        <v>502101</v>
      </c>
      <c r="AC1439" s="631">
        <v>30386712</v>
      </c>
      <c r="AD1439" s="631">
        <f t="shared" si="22"/>
        <v>131880365.98970401</v>
      </c>
    </row>
    <row r="1440" spans="2:30" x14ac:dyDescent="0.15">
      <c r="B1440" s="630">
        <v>17031002418</v>
      </c>
      <c r="C1440" s="630">
        <v>17031000459</v>
      </c>
      <c r="D1440" s="630">
        <v>17031000409</v>
      </c>
      <c r="E1440" s="630" t="s">
        <v>533</v>
      </c>
      <c r="F1440" s="630" t="s">
        <v>534</v>
      </c>
      <c r="G1440" s="630" t="s">
        <v>365</v>
      </c>
      <c r="H1440" s="630" t="s">
        <v>552</v>
      </c>
      <c r="I1440" s="630"/>
      <c r="J1440" s="630" t="s">
        <v>542</v>
      </c>
      <c r="K1440" s="630" t="s">
        <v>547</v>
      </c>
      <c r="L1440" s="630" t="s">
        <v>563</v>
      </c>
      <c r="M1440" s="630"/>
      <c r="N1440" s="630"/>
      <c r="O1440" s="630"/>
      <c r="P1440" s="630"/>
      <c r="Q1440" s="630"/>
      <c r="R1440" s="630"/>
      <c r="S1440" s="630" t="s">
        <v>564</v>
      </c>
      <c r="T1440" s="630"/>
      <c r="U1440" s="630" t="s">
        <v>538</v>
      </c>
      <c r="V1440" s="630">
        <v>2</v>
      </c>
      <c r="W1440" s="630" t="s">
        <v>545</v>
      </c>
      <c r="X1440" s="630" t="s">
        <v>541</v>
      </c>
      <c r="Y1440" s="630" t="s">
        <v>549</v>
      </c>
      <c r="Z1440" s="630">
        <v>1.709824</v>
      </c>
      <c r="AA1440" s="630">
        <v>2.7517</v>
      </c>
      <c r="AB1440" s="631">
        <v>27538</v>
      </c>
      <c r="AC1440" s="631">
        <v>2609253</v>
      </c>
      <c r="AD1440" s="631">
        <f t="shared" si="22"/>
        <v>4461363.4014720004</v>
      </c>
    </row>
    <row r="1441" spans="2:30" x14ac:dyDescent="0.15">
      <c r="B1441" s="630">
        <v>17197003230</v>
      </c>
      <c r="C1441" s="630">
        <v>17197001617</v>
      </c>
      <c r="D1441" s="630">
        <v>17197007386</v>
      </c>
      <c r="E1441" s="630" t="s">
        <v>533</v>
      </c>
      <c r="F1441" s="630" t="s">
        <v>534</v>
      </c>
      <c r="G1441" s="630" t="s">
        <v>377</v>
      </c>
      <c r="H1441" s="630" t="s">
        <v>535</v>
      </c>
      <c r="I1441" s="630"/>
      <c r="J1441" s="630" t="s">
        <v>542</v>
      </c>
      <c r="K1441" s="630" t="s">
        <v>543</v>
      </c>
      <c r="L1441" s="630" t="s">
        <v>382</v>
      </c>
      <c r="M1441" s="630"/>
      <c r="N1441" s="630"/>
      <c r="O1441" s="630"/>
      <c r="P1441" s="630"/>
      <c r="Q1441" s="630"/>
      <c r="R1441" s="630"/>
      <c r="S1441" s="630" t="s">
        <v>544</v>
      </c>
      <c r="T1441" s="630"/>
      <c r="U1441" s="630" t="s">
        <v>538</v>
      </c>
      <c r="V1441" s="630">
        <v>1</v>
      </c>
      <c r="W1441" s="630" t="s">
        <v>545</v>
      </c>
      <c r="X1441" s="630" t="s">
        <v>546</v>
      </c>
      <c r="Y1441" s="630" t="s">
        <v>549</v>
      </c>
      <c r="Z1441" s="630">
        <v>0.81872699999999998</v>
      </c>
      <c r="AA1441" s="630">
        <v>1.3176159999999999</v>
      </c>
      <c r="AB1441" s="631">
        <v>436246</v>
      </c>
      <c r="AC1441" s="631">
        <v>24014023</v>
      </c>
      <c r="AD1441" s="631">
        <f t="shared" si="22"/>
        <v>19660929.008720998</v>
      </c>
    </row>
    <row r="1442" spans="2:30" x14ac:dyDescent="0.15">
      <c r="B1442" s="630">
        <v>17031003333</v>
      </c>
      <c r="C1442" s="630">
        <v>17031000567</v>
      </c>
      <c r="D1442" s="630">
        <v>17031000574</v>
      </c>
      <c r="E1442" s="630" t="s">
        <v>533</v>
      </c>
      <c r="F1442" s="630" t="s">
        <v>534</v>
      </c>
      <c r="G1442" s="630" t="s">
        <v>365</v>
      </c>
      <c r="H1442" s="630" t="s">
        <v>552</v>
      </c>
      <c r="I1442" s="630"/>
      <c r="J1442" s="630" t="s">
        <v>542</v>
      </c>
      <c r="K1442" s="630" t="s">
        <v>547</v>
      </c>
      <c r="L1442" s="630"/>
      <c r="M1442" s="630"/>
      <c r="N1442" s="630"/>
      <c r="O1442" s="630"/>
      <c r="P1442" s="630"/>
      <c r="Q1442" s="630"/>
      <c r="R1442" s="630"/>
      <c r="S1442" s="630" t="s">
        <v>564</v>
      </c>
      <c r="T1442" s="630"/>
      <c r="U1442" s="630" t="s">
        <v>538</v>
      </c>
      <c r="V1442" s="630">
        <v>3</v>
      </c>
      <c r="W1442" s="630" t="s">
        <v>545</v>
      </c>
      <c r="X1442" s="630" t="s">
        <v>541</v>
      </c>
      <c r="Y1442" s="630" t="s">
        <v>541</v>
      </c>
      <c r="Z1442" s="630">
        <v>1.786279</v>
      </c>
      <c r="AA1442" s="630">
        <v>2.874743</v>
      </c>
      <c r="AB1442" s="631">
        <v>26416</v>
      </c>
      <c r="AC1442" s="631">
        <v>1321473</v>
      </c>
      <c r="AD1442" s="631">
        <f t="shared" si="22"/>
        <v>2360519.468967</v>
      </c>
    </row>
    <row r="1443" spans="2:30" x14ac:dyDescent="0.15">
      <c r="B1443" s="630">
        <v>17031003896</v>
      </c>
      <c r="C1443" s="630">
        <v>17031000501</v>
      </c>
      <c r="D1443" s="630">
        <v>17031000490</v>
      </c>
      <c r="E1443" s="630" t="s">
        <v>533</v>
      </c>
      <c r="F1443" s="630" t="s">
        <v>534</v>
      </c>
      <c r="G1443" s="630" t="s">
        <v>365</v>
      </c>
      <c r="H1443" s="630" t="s">
        <v>382</v>
      </c>
      <c r="I1443" s="630"/>
      <c r="J1443" s="630"/>
      <c r="K1443" s="630"/>
      <c r="L1443" s="630"/>
      <c r="M1443" s="630"/>
      <c r="N1443" s="630"/>
      <c r="O1443" s="630"/>
      <c r="P1443" s="630"/>
      <c r="Q1443" s="630"/>
      <c r="R1443" s="630"/>
      <c r="S1443" s="630" t="s">
        <v>586</v>
      </c>
      <c r="T1443" s="630" t="s">
        <v>689</v>
      </c>
      <c r="U1443" s="630" t="s">
        <v>538</v>
      </c>
      <c r="V1443" s="630">
        <v>2</v>
      </c>
      <c r="W1443" s="630" t="s">
        <v>582</v>
      </c>
      <c r="X1443" s="630" t="s">
        <v>549</v>
      </c>
      <c r="Y1443" s="630" t="s">
        <v>554</v>
      </c>
      <c r="Z1443" s="630">
        <v>0.20158899999999999</v>
      </c>
      <c r="AA1443" s="630">
        <v>0.32442599999999999</v>
      </c>
      <c r="AB1443" s="631">
        <v>91188</v>
      </c>
      <c r="AC1443" s="631">
        <v>10090202</v>
      </c>
      <c r="AD1443" s="631">
        <f t="shared" si="22"/>
        <v>2034073.730978</v>
      </c>
    </row>
    <row r="1444" spans="2:30" x14ac:dyDescent="0.15">
      <c r="B1444" s="630">
        <v>17031005640</v>
      </c>
      <c r="C1444" s="630">
        <v>17031001296</v>
      </c>
      <c r="D1444" s="630">
        <v>17031001319</v>
      </c>
      <c r="E1444" s="630" t="s">
        <v>533</v>
      </c>
      <c r="F1444" s="630" t="s">
        <v>534</v>
      </c>
      <c r="G1444" s="630" t="s">
        <v>365</v>
      </c>
      <c r="H1444" s="630" t="s">
        <v>615</v>
      </c>
      <c r="I1444" s="630"/>
      <c r="J1444" s="630" t="s">
        <v>577</v>
      </c>
      <c r="K1444" s="630" t="s">
        <v>551</v>
      </c>
      <c r="L1444" s="630"/>
      <c r="M1444" s="630"/>
      <c r="N1444" s="630"/>
      <c r="O1444" s="630"/>
      <c r="P1444" s="630"/>
      <c r="Q1444" s="630"/>
      <c r="R1444" s="630"/>
      <c r="S1444" s="630"/>
      <c r="T1444" s="630"/>
      <c r="U1444" s="630" t="s">
        <v>559</v>
      </c>
      <c r="V1444" s="630">
        <v>1</v>
      </c>
      <c r="W1444" s="630" t="s">
        <v>560</v>
      </c>
      <c r="X1444" s="630" t="s">
        <v>541</v>
      </c>
      <c r="Y1444" s="630" t="s">
        <v>541</v>
      </c>
      <c r="Z1444" s="630">
        <v>9.5517000000000005E-2</v>
      </c>
      <c r="AA1444" s="630">
        <v>0.15372</v>
      </c>
      <c r="AB1444" s="631">
        <v>89629</v>
      </c>
      <c r="AC1444" s="631">
        <v>8779272</v>
      </c>
      <c r="AD1444" s="631">
        <f t="shared" si="22"/>
        <v>838569.72362400009</v>
      </c>
    </row>
    <row r="1445" spans="2:30" x14ac:dyDescent="0.15">
      <c r="B1445" s="630">
        <v>17031006133</v>
      </c>
      <c r="C1445" s="630">
        <v>17031000657</v>
      </c>
      <c r="D1445" s="630">
        <v>17031000663</v>
      </c>
      <c r="E1445" s="630" t="s">
        <v>533</v>
      </c>
      <c r="F1445" s="630" t="s">
        <v>534</v>
      </c>
      <c r="G1445" s="630" t="s">
        <v>365</v>
      </c>
      <c r="H1445" s="630" t="s">
        <v>382</v>
      </c>
      <c r="I1445" s="630"/>
      <c r="J1445" s="630" t="s">
        <v>572</v>
      </c>
      <c r="K1445" s="630"/>
      <c r="L1445" s="630"/>
      <c r="M1445" s="630"/>
      <c r="N1445" s="630"/>
      <c r="O1445" s="630"/>
      <c r="P1445" s="630"/>
      <c r="Q1445" s="630"/>
      <c r="R1445" s="630"/>
      <c r="S1445" s="630"/>
      <c r="T1445" s="630"/>
      <c r="U1445" s="630" t="s">
        <v>538</v>
      </c>
      <c r="V1445" s="630">
        <v>1</v>
      </c>
      <c r="W1445" s="630" t="s">
        <v>539</v>
      </c>
      <c r="X1445" s="630" t="s">
        <v>541</v>
      </c>
      <c r="Y1445" s="630" t="s">
        <v>541</v>
      </c>
      <c r="Z1445" s="630">
        <v>6.1226999999999997E-2</v>
      </c>
      <c r="AA1445" s="630">
        <v>9.8534999999999998E-2</v>
      </c>
      <c r="AB1445" s="631">
        <v>512644</v>
      </c>
      <c r="AC1445" s="631">
        <v>20980116</v>
      </c>
      <c r="AD1445" s="631">
        <f t="shared" si="22"/>
        <v>1284549.5623319999</v>
      </c>
    </row>
    <row r="1446" spans="2:30" x14ac:dyDescent="0.15">
      <c r="B1446" s="630">
        <v>17031006175</v>
      </c>
      <c r="C1446" s="630">
        <v>17031000673</v>
      </c>
      <c r="D1446" s="630">
        <v>17031000653</v>
      </c>
      <c r="E1446" s="630" t="s">
        <v>533</v>
      </c>
      <c r="F1446" s="630" t="s">
        <v>534</v>
      </c>
      <c r="G1446" s="630" t="s">
        <v>365</v>
      </c>
      <c r="H1446" s="630" t="s">
        <v>577</v>
      </c>
      <c r="I1446" s="630"/>
      <c r="J1446" s="630"/>
      <c r="K1446" s="630"/>
      <c r="L1446" s="630"/>
      <c r="M1446" s="630"/>
      <c r="N1446" s="630"/>
      <c r="O1446" s="630"/>
      <c r="P1446" s="630"/>
      <c r="Q1446" s="630"/>
      <c r="R1446" s="630"/>
      <c r="S1446" s="630"/>
      <c r="T1446" s="630"/>
      <c r="U1446" s="630" t="s">
        <v>538</v>
      </c>
      <c r="V1446" s="630">
        <v>1</v>
      </c>
      <c r="W1446" s="630" t="s">
        <v>560</v>
      </c>
      <c r="X1446" s="630" t="s">
        <v>541</v>
      </c>
      <c r="Y1446" s="630" t="s">
        <v>541</v>
      </c>
      <c r="Z1446" s="630">
        <v>0.146785</v>
      </c>
      <c r="AA1446" s="630">
        <v>0.23622699999999999</v>
      </c>
      <c r="AB1446" s="631">
        <v>0</v>
      </c>
      <c r="AC1446" s="631">
        <v>0</v>
      </c>
      <c r="AD1446" s="631">
        <f t="shared" si="22"/>
        <v>0</v>
      </c>
    </row>
    <row r="1447" spans="2:30" x14ac:dyDescent="0.15">
      <c r="B1447" s="630">
        <v>17031006404</v>
      </c>
      <c r="C1447" s="630">
        <v>17031004696</v>
      </c>
      <c r="D1447" s="630">
        <v>17031001333</v>
      </c>
      <c r="E1447" s="630" t="s">
        <v>533</v>
      </c>
      <c r="F1447" s="630" t="s">
        <v>534</v>
      </c>
      <c r="G1447" s="630" t="s">
        <v>365</v>
      </c>
      <c r="H1447" s="630" t="s">
        <v>547</v>
      </c>
      <c r="I1447" s="630"/>
      <c r="J1447" s="630" t="s">
        <v>577</v>
      </c>
      <c r="K1447" s="630" t="s">
        <v>551</v>
      </c>
      <c r="L1447" s="630" t="s">
        <v>615</v>
      </c>
      <c r="M1447" s="630"/>
      <c r="N1447" s="630"/>
      <c r="O1447" s="630"/>
      <c r="P1447" s="630"/>
      <c r="Q1447" s="630"/>
      <c r="R1447" s="630"/>
      <c r="S1447" s="630" t="s">
        <v>581</v>
      </c>
      <c r="T1447" s="630"/>
      <c r="U1447" s="630" t="s">
        <v>538</v>
      </c>
      <c r="V1447" s="630">
        <v>2</v>
      </c>
      <c r="W1447" s="630" t="s">
        <v>582</v>
      </c>
      <c r="X1447" s="630" t="s">
        <v>540</v>
      </c>
      <c r="Y1447" s="630" t="s">
        <v>540</v>
      </c>
      <c r="Z1447" s="630">
        <v>2.3904000000000002E-2</v>
      </c>
      <c r="AA1447" s="630">
        <v>3.8469000000000003E-2</v>
      </c>
      <c r="AB1447" s="631">
        <v>89629</v>
      </c>
      <c r="AC1447" s="631">
        <v>8779272</v>
      </c>
      <c r="AD1447" s="631">
        <f t="shared" si="22"/>
        <v>209859.71788800001</v>
      </c>
    </row>
    <row r="1448" spans="2:30" x14ac:dyDescent="0.15">
      <c r="B1448" s="630">
        <v>17197008960</v>
      </c>
      <c r="C1448" s="630">
        <v>17197007179</v>
      </c>
      <c r="D1448" s="630">
        <v>17197007178</v>
      </c>
      <c r="E1448" s="630" t="s">
        <v>533</v>
      </c>
      <c r="F1448" s="630" t="s">
        <v>534</v>
      </c>
      <c r="G1448" s="630" t="s">
        <v>377</v>
      </c>
      <c r="H1448" s="630" t="s">
        <v>535</v>
      </c>
      <c r="I1448" s="630"/>
      <c r="J1448" s="630" t="s">
        <v>542</v>
      </c>
      <c r="K1448" s="630" t="s">
        <v>572</v>
      </c>
      <c r="L1448" s="630" t="s">
        <v>547</v>
      </c>
      <c r="M1448" s="630" t="s">
        <v>382</v>
      </c>
      <c r="N1448" s="630"/>
      <c r="O1448" s="630"/>
      <c r="P1448" s="630"/>
      <c r="Q1448" s="630"/>
      <c r="R1448" s="630"/>
      <c r="S1448" s="630" t="s">
        <v>601</v>
      </c>
      <c r="T1448" s="630"/>
      <c r="U1448" s="630" t="s">
        <v>538</v>
      </c>
      <c r="V1448" s="630">
        <v>2</v>
      </c>
      <c r="W1448" s="630" t="s">
        <v>545</v>
      </c>
      <c r="X1448" s="630" t="s">
        <v>540</v>
      </c>
      <c r="Y1448" s="630" t="s">
        <v>549</v>
      </c>
      <c r="Z1448" s="630">
        <v>0.45243800000000001</v>
      </c>
      <c r="AA1448" s="630">
        <v>0.72813000000000005</v>
      </c>
      <c r="AB1448" s="631">
        <v>43880</v>
      </c>
      <c r="AC1448" s="631">
        <v>1364920</v>
      </c>
      <c r="AD1448" s="631">
        <f t="shared" si="22"/>
        <v>617541.67495999997</v>
      </c>
    </row>
    <row r="1449" spans="2:30" x14ac:dyDescent="0.15">
      <c r="B1449" s="630">
        <v>17097009360</v>
      </c>
      <c r="C1449" s="630">
        <v>17097004567</v>
      </c>
      <c r="D1449" s="630">
        <v>17097007479</v>
      </c>
      <c r="E1449" s="630" t="s">
        <v>533</v>
      </c>
      <c r="F1449" s="630" t="s">
        <v>534</v>
      </c>
      <c r="G1449" s="630" t="s">
        <v>373</v>
      </c>
      <c r="H1449" s="630" t="s">
        <v>382</v>
      </c>
      <c r="I1449" s="630"/>
      <c r="J1449" s="630" t="s">
        <v>535</v>
      </c>
      <c r="K1449" s="630" t="s">
        <v>547</v>
      </c>
      <c r="L1449" s="630"/>
      <c r="M1449" s="630"/>
      <c r="N1449" s="630"/>
      <c r="O1449" s="630"/>
      <c r="P1449" s="630"/>
      <c r="Q1449" s="630"/>
      <c r="R1449" s="630"/>
      <c r="S1449" s="630" t="s">
        <v>565</v>
      </c>
      <c r="T1449" s="630"/>
      <c r="U1449" s="630" t="s">
        <v>538</v>
      </c>
      <c r="V1449" s="630">
        <v>2</v>
      </c>
      <c r="W1449" s="630" t="s">
        <v>566</v>
      </c>
      <c r="X1449" s="630" t="s">
        <v>549</v>
      </c>
      <c r="Y1449" s="630" t="s">
        <v>549</v>
      </c>
      <c r="Z1449" s="630">
        <v>0.47429399999999999</v>
      </c>
      <c r="AA1449" s="630">
        <v>0.76330399999999998</v>
      </c>
      <c r="AB1449" s="631">
        <v>11334</v>
      </c>
      <c r="AC1449" s="631">
        <v>1200930</v>
      </c>
      <c r="AD1449" s="631">
        <f t="shared" si="22"/>
        <v>569593.89341999998</v>
      </c>
    </row>
    <row r="1450" spans="2:30" x14ac:dyDescent="0.15">
      <c r="B1450" s="630">
        <v>17097009386</v>
      </c>
      <c r="C1450" s="630">
        <v>17097007500</v>
      </c>
      <c r="D1450" s="630">
        <v>99999016983</v>
      </c>
      <c r="E1450" s="630" t="s">
        <v>533</v>
      </c>
      <c r="F1450" s="630" t="s">
        <v>534</v>
      </c>
      <c r="G1450" s="630" t="s">
        <v>373</v>
      </c>
      <c r="H1450" s="630" t="s">
        <v>535</v>
      </c>
      <c r="I1450" s="630"/>
      <c r="J1450" s="630"/>
      <c r="K1450" s="630"/>
      <c r="L1450" s="630"/>
      <c r="M1450" s="630"/>
      <c r="N1450" s="630"/>
      <c r="O1450" s="630"/>
      <c r="P1450" s="630"/>
      <c r="Q1450" s="630"/>
      <c r="R1450" s="630"/>
      <c r="S1450" s="630" t="s">
        <v>548</v>
      </c>
      <c r="T1450" s="630"/>
      <c r="U1450" s="630" t="s">
        <v>538</v>
      </c>
      <c r="V1450" s="630">
        <v>2</v>
      </c>
      <c r="W1450" s="630" t="s">
        <v>545</v>
      </c>
      <c r="X1450" s="630" t="s">
        <v>546</v>
      </c>
      <c r="Y1450" s="630" t="s">
        <v>549</v>
      </c>
      <c r="Z1450" s="630">
        <v>0.45537</v>
      </c>
      <c r="AA1450" s="630">
        <v>0.73284800000000005</v>
      </c>
      <c r="AB1450" s="631">
        <v>777546</v>
      </c>
      <c r="AC1450" s="631">
        <v>36667833</v>
      </c>
      <c r="AD1450" s="631">
        <f t="shared" si="22"/>
        <v>16697431.11321</v>
      </c>
    </row>
    <row r="1451" spans="2:30" x14ac:dyDescent="0.15">
      <c r="B1451" s="630">
        <v>17097009423</v>
      </c>
      <c r="C1451" s="630">
        <v>17097007531</v>
      </c>
      <c r="D1451" s="630">
        <v>17097000053</v>
      </c>
      <c r="E1451" s="630" t="s">
        <v>533</v>
      </c>
      <c r="F1451" s="630" t="s">
        <v>534</v>
      </c>
      <c r="G1451" s="630" t="s">
        <v>373</v>
      </c>
      <c r="H1451" s="630" t="s">
        <v>382</v>
      </c>
      <c r="I1451" s="630"/>
      <c r="J1451" s="630"/>
      <c r="K1451" s="630"/>
      <c r="L1451" s="630"/>
      <c r="M1451" s="630"/>
      <c r="N1451" s="630"/>
      <c r="O1451" s="630"/>
      <c r="P1451" s="630"/>
      <c r="Q1451" s="630"/>
      <c r="R1451" s="630"/>
      <c r="S1451" s="630" t="s">
        <v>586</v>
      </c>
      <c r="T1451" s="630"/>
      <c r="U1451" s="630" t="s">
        <v>538</v>
      </c>
      <c r="V1451" s="630">
        <v>2</v>
      </c>
      <c r="W1451" s="630" t="s">
        <v>582</v>
      </c>
      <c r="X1451" s="630" t="s">
        <v>549</v>
      </c>
      <c r="Y1451" s="630" t="s">
        <v>549</v>
      </c>
      <c r="Z1451" s="630">
        <v>0.10194</v>
      </c>
      <c r="AA1451" s="630">
        <v>0.16405700000000001</v>
      </c>
      <c r="AB1451" s="631">
        <v>83089</v>
      </c>
      <c r="AC1451" s="631">
        <v>9284627</v>
      </c>
      <c r="AD1451" s="631">
        <f t="shared" si="22"/>
        <v>946474.87638000003</v>
      </c>
    </row>
    <row r="1452" spans="2:30" x14ac:dyDescent="0.15">
      <c r="B1452" s="630">
        <v>17031009528</v>
      </c>
      <c r="C1452" s="630">
        <v>17031001561</v>
      </c>
      <c r="D1452" s="630">
        <v>17031007626</v>
      </c>
      <c r="E1452" s="630" t="s">
        <v>533</v>
      </c>
      <c r="F1452" s="630" t="s">
        <v>534</v>
      </c>
      <c r="G1452" s="630" t="s">
        <v>365</v>
      </c>
      <c r="H1452" s="630" t="s">
        <v>382</v>
      </c>
      <c r="I1452" s="630"/>
      <c r="J1452" s="630"/>
      <c r="K1452" s="630"/>
      <c r="L1452" s="630"/>
      <c r="M1452" s="630"/>
      <c r="N1452" s="630"/>
      <c r="O1452" s="630"/>
      <c r="P1452" s="630"/>
      <c r="Q1452" s="630"/>
      <c r="R1452" s="630"/>
      <c r="S1452" s="630" t="s">
        <v>576</v>
      </c>
      <c r="T1452" s="630"/>
      <c r="U1452" s="630" t="s">
        <v>559</v>
      </c>
      <c r="V1452" s="630">
        <v>1</v>
      </c>
      <c r="W1452" s="630" t="s">
        <v>560</v>
      </c>
      <c r="X1452" s="630" t="s">
        <v>541</v>
      </c>
      <c r="Y1452" s="630" t="s">
        <v>541</v>
      </c>
      <c r="Z1452" s="630">
        <v>3.2427999999999998E-2</v>
      </c>
      <c r="AA1452" s="630">
        <v>5.2187999999999998E-2</v>
      </c>
      <c r="AB1452" s="631">
        <v>0</v>
      </c>
      <c r="AC1452" s="631">
        <v>0</v>
      </c>
      <c r="AD1452" s="631">
        <f t="shared" si="22"/>
        <v>0</v>
      </c>
    </row>
    <row r="1453" spans="2:30" x14ac:dyDescent="0.15">
      <c r="B1453" s="630">
        <v>17031009838</v>
      </c>
      <c r="C1453" s="630">
        <v>17031007908</v>
      </c>
      <c r="D1453" s="630">
        <v>17031001193</v>
      </c>
      <c r="E1453" s="630" t="s">
        <v>533</v>
      </c>
      <c r="F1453" s="630" t="s">
        <v>534</v>
      </c>
      <c r="G1453" s="630" t="s">
        <v>365</v>
      </c>
      <c r="H1453" s="630" t="s">
        <v>577</v>
      </c>
      <c r="I1453" s="630"/>
      <c r="J1453" s="630"/>
      <c r="K1453" s="630"/>
      <c r="L1453" s="630"/>
      <c r="M1453" s="630"/>
      <c r="N1453" s="630"/>
      <c r="O1453" s="630"/>
      <c r="P1453" s="630"/>
      <c r="Q1453" s="630"/>
      <c r="R1453" s="630"/>
      <c r="S1453" s="630"/>
      <c r="T1453" s="630"/>
      <c r="U1453" s="630" t="s">
        <v>538</v>
      </c>
      <c r="V1453" s="630">
        <v>1</v>
      </c>
      <c r="W1453" s="630" t="s">
        <v>560</v>
      </c>
      <c r="X1453" s="630" t="s">
        <v>541</v>
      </c>
      <c r="Y1453" s="630" t="s">
        <v>541</v>
      </c>
      <c r="Z1453" s="630">
        <v>0.17807400000000001</v>
      </c>
      <c r="AA1453" s="630">
        <v>0.28658299999999998</v>
      </c>
      <c r="AB1453" s="631">
        <v>0</v>
      </c>
      <c r="AC1453" s="631">
        <v>0</v>
      </c>
      <c r="AD1453" s="631">
        <f t="shared" si="22"/>
        <v>0</v>
      </c>
    </row>
    <row r="1454" spans="2:30" x14ac:dyDescent="0.15">
      <c r="B1454" s="630">
        <v>17031002226</v>
      </c>
      <c r="C1454" s="630">
        <v>17031006684</v>
      </c>
      <c r="D1454" s="630">
        <v>17031006673</v>
      </c>
      <c r="E1454" s="630" t="s">
        <v>533</v>
      </c>
      <c r="F1454" s="630" t="s">
        <v>534</v>
      </c>
      <c r="G1454" s="630" t="s">
        <v>365</v>
      </c>
      <c r="H1454" s="630" t="s">
        <v>382</v>
      </c>
      <c r="I1454" s="630"/>
      <c r="J1454" s="630" t="s">
        <v>535</v>
      </c>
      <c r="K1454" s="630" t="s">
        <v>552</v>
      </c>
      <c r="L1454" s="630" t="s">
        <v>572</v>
      </c>
      <c r="M1454" s="630" t="s">
        <v>557</v>
      </c>
      <c r="N1454" s="630" t="s">
        <v>543</v>
      </c>
      <c r="O1454" s="630"/>
      <c r="P1454" s="630"/>
      <c r="Q1454" s="630"/>
      <c r="R1454" s="630"/>
      <c r="S1454" s="630" t="s">
        <v>650</v>
      </c>
      <c r="T1454" s="630" t="s">
        <v>626</v>
      </c>
      <c r="U1454" s="630" t="s">
        <v>559</v>
      </c>
      <c r="V1454" s="630">
        <v>1</v>
      </c>
      <c r="W1454" s="630" t="s">
        <v>539</v>
      </c>
      <c r="X1454" s="630" t="s">
        <v>541</v>
      </c>
      <c r="Y1454" s="630" t="s">
        <v>541</v>
      </c>
      <c r="Z1454" s="630">
        <v>0.81534600000000002</v>
      </c>
      <c r="AA1454" s="630">
        <v>1.3121750000000001</v>
      </c>
      <c r="AB1454" s="631">
        <v>7104</v>
      </c>
      <c r="AC1454" s="631">
        <v>508792</v>
      </c>
      <c r="AD1454" s="631">
        <f t="shared" si="22"/>
        <v>414841.52203200001</v>
      </c>
    </row>
    <row r="1455" spans="2:30" x14ac:dyDescent="0.15">
      <c r="B1455" s="630">
        <v>17197002628</v>
      </c>
      <c r="C1455" s="630">
        <v>17197001555</v>
      </c>
      <c r="D1455" s="630">
        <v>17197004789</v>
      </c>
      <c r="E1455" s="630" t="s">
        <v>533</v>
      </c>
      <c r="F1455" s="630" t="s">
        <v>534</v>
      </c>
      <c r="G1455" s="630" t="s">
        <v>377</v>
      </c>
      <c r="H1455" s="630" t="s">
        <v>551</v>
      </c>
      <c r="I1455" s="630"/>
      <c r="J1455" s="630" t="s">
        <v>535</v>
      </c>
      <c r="K1455" s="630" t="s">
        <v>615</v>
      </c>
      <c r="L1455" s="630"/>
      <c r="M1455" s="630"/>
      <c r="N1455" s="630"/>
      <c r="O1455" s="630"/>
      <c r="P1455" s="630"/>
      <c r="Q1455" s="630"/>
      <c r="R1455" s="630"/>
      <c r="S1455" s="630" t="s">
        <v>663</v>
      </c>
      <c r="T1455" s="630"/>
      <c r="U1455" s="630" t="s">
        <v>538</v>
      </c>
      <c r="V1455" s="630">
        <v>1</v>
      </c>
      <c r="W1455" s="630" t="s">
        <v>539</v>
      </c>
      <c r="X1455" s="630" t="s">
        <v>540</v>
      </c>
      <c r="Y1455" s="630" t="s">
        <v>554</v>
      </c>
      <c r="Z1455" s="630">
        <v>1.531077</v>
      </c>
      <c r="AA1455" s="630">
        <v>2.464035</v>
      </c>
      <c r="AB1455" s="631">
        <v>86109</v>
      </c>
      <c r="AC1455" s="631">
        <v>8449584</v>
      </c>
      <c r="AD1455" s="631">
        <f t="shared" si="22"/>
        <v>12936963.721968001</v>
      </c>
    </row>
    <row r="1456" spans="2:30" x14ac:dyDescent="0.15">
      <c r="B1456" s="630">
        <v>17031003871</v>
      </c>
      <c r="C1456" s="630">
        <v>17031001354</v>
      </c>
      <c r="D1456" s="630">
        <v>17031001374</v>
      </c>
      <c r="E1456" s="630" t="s">
        <v>533</v>
      </c>
      <c r="F1456" s="630" t="s">
        <v>534</v>
      </c>
      <c r="G1456" s="630" t="s">
        <v>365</v>
      </c>
      <c r="H1456" s="630" t="s">
        <v>382</v>
      </c>
      <c r="I1456" s="630"/>
      <c r="J1456" s="630" t="s">
        <v>542</v>
      </c>
      <c r="K1456" s="630" t="s">
        <v>555</v>
      </c>
      <c r="L1456" s="630"/>
      <c r="M1456" s="630"/>
      <c r="N1456" s="630"/>
      <c r="O1456" s="630"/>
      <c r="P1456" s="630"/>
      <c r="Q1456" s="630"/>
      <c r="R1456" s="630"/>
      <c r="S1456" s="630" t="s">
        <v>556</v>
      </c>
      <c r="T1456" s="630"/>
      <c r="U1456" s="630" t="s">
        <v>538</v>
      </c>
      <c r="V1456" s="630">
        <v>2</v>
      </c>
      <c r="W1456" s="630" t="s">
        <v>545</v>
      </c>
      <c r="X1456" s="630" t="s">
        <v>540</v>
      </c>
      <c r="Y1456" s="630" t="s">
        <v>540</v>
      </c>
      <c r="Z1456" s="630">
        <v>0.25470599999999999</v>
      </c>
      <c r="AA1456" s="630">
        <v>0.40991</v>
      </c>
      <c r="AB1456" s="631">
        <v>45400</v>
      </c>
      <c r="AC1456" s="631">
        <v>2103988</v>
      </c>
      <c r="AD1456" s="631">
        <f t="shared" si="22"/>
        <v>535898.36752800003</v>
      </c>
    </row>
    <row r="1457" spans="2:30" x14ac:dyDescent="0.15">
      <c r="B1457" s="630">
        <v>17031003977</v>
      </c>
      <c r="C1457" s="630">
        <v>17031000705</v>
      </c>
      <c r="D1457" s="630">
        <v>17031000695</v>
      </c>
      <c r="E1457" s="630" t="s">
        <v>533</v>
      </c>
      <c r="F1457" s="630" t="s">
        <v>534</v>
      </c>
      <c r="G1457" s="630" t="s">
        <v>365</v>
      </c>
      <c r="H1457" s="630" t="s">
        <v>543</v>
      </c>
      <c r="I1457" s="630"/>
      <c r="J1457" s="630" t="s">
        <v>542</v>
      </c>
      <c r="K1457" s="630" t="s">
        <v>547</v>
      </c>
      <c r="L1457" s="630"/>
      <c r="M1457" s="630"/>
      <c r="N1457" s="630"/>
      <c r="O1457" s="630"/>
      <c r="P1457" s="630"/>
      <c r="Q1457" s="630"/>
      <c r="R1457" s="630"/>
      <c r="S1457" s="630" t="s">
        <v>630</v>
      </c>
      <c r="T1457" s="630"/>
      <c r="U1457" s="630" t="s">
        <v>538</v>
      </c>
      <c r="V1457" s="630">
        <v>2</v>
      </c>
      <c r="W1457" s="630" t="s">
        <v>545</v>
      </c>
      <c r="X1457" s="630" t="s">
        <v>549</v>
      </c>
      <c r="Y1457" s="630" t="s">
        <v>554</v>
      </c>
      <c r="Z1457" s="630">
        <v>0.25978600000000002</v>
      </c>
      <c r="AA1457" s="630">
        <v>0.41808499999999998</v>
      </c>
      <c r="AB1457" s="631">
        <v>93356</v>
      </c>
      <c r="AC1457" s="631">
        <v>3932501</v>
      </c>
      <c r="AD1457" s="631">
        <f t="shared" si="22"/>
        <v>1021608.7047860001</v>
      </c>
    </row>
    <row r="1458" spans="2:30" x14ac:dyDescent="0.15">
      <c r="B1458" s="630">
        <v>17043004004</v>
      </c>
      <c r="C1458" s="630">
        <v>17043000503</v>
      </c>
      <c r="D1458" s="630">
        <v>17043000510</v>
      </c>
      <c r="E1458" s="630" t="s">
        <v>533</v>
      </c>
      <c r="F1458" s="630" t="s">
        <v>534</v>
      </c>
      <c r="G1458" s="630" t="s">
        <v>367</v>
      </c>
      <c r="H1458" s="630" t="s">
        <v>382</v>
      </c>
      <c r="I1458" s="630"/>
      <c r="J1458" s="630" t="s">
        <v>535</v>
      </c>
      <c r="K1458" s="630"/>
      <c r="L1458" s="630"/>
      <c r="M1458" s="630"/>
      <c r="N1458" s="630"/>
      <c r="O1458" s="630"/>
      <c r="P1458" s="630"/>
      <c r="Q1458" s="630"/>
      <c r="R1458" s="630"/>
      <c r="S1458" s="630" t="s">
        <v>653</v>
      </c>
      <c r="T1458" s="630"/>
      <c r="U1458" s="630" t="s">
        <v>559</v>
      </c>
      <c r="V1458" s="630">
        <v>1</v>
      </c>
      <c r="W1458" s="630" t="s">
        <v>560</v>
      </c>
      <c r="X1458" s="630" t="s">
        <v>541</v>
      </c>
      <c r="Y1458" s="630" t="s">
        <v>541</v>
      </c>
      <c r="Z1458" s="630">
        <v>0.88567499999999999</v>
      </c>
      <c r="AA1458" s="630">
        <v>1.425359</v>
      </c>
      <c r="AB1458" s="631">
        <v>0</v>
      </c>
      <c r="AC1458" s="631">
        <v>0</v>
      </c>
      <c r="AD1458" s="631">
        <f t="shared" si="22"/>
        <v>0</v>
      </c>
    </row>
    <row r="1459" spans="2:30" x14ac:dyDescent="0.15">
      <c r="B1459" s="630">
        <v>17031005366</v>
      </c>
      <c r="C1459" s="630">
        <v>17031001276</v>
      </c>
      <c r="D1459" s="630">
        <v>17031001281</v>
      </c>
      <c r="E1459" s="630" t="s">
        <v>533</v>
      </c>
      <c r="F1459" s="630" t="s">
        <v>534</v>
      </c>
      <c r="G1459" s="630" t="s">
        <v>365</v>
      </c>
      <c r="H1459" s="630" t="s">
        <v>543</v>
      </c>
      <c r="I1459" s="630"/>
      <c r="J1459" s="630"/>
      <c r="K1459" s="630"/>
      <c r="L1459" s="630"/>
      <c r="M1459" s="630"/>
      <c r="N1459" s="630"/>
      <c r="O1459" s="630"/>
      <c r="P1459" s="630"/>
      <c r="Q1459" s="630"/>
      <c r="R1459" s="630"/>
      <c r="S1459" s="630" t="s">
        <v>604</v>
      </c>
      <c r="T1459" s="630"/>
      <c r="U1459" s="630" t="s">
        <v>538</v>
      </c>
      <c r="V1459" s="630">
        <v>2</v>
      </c>
      <c r="W1459" s="630" t="s">
        <v>545</v>
      </c>
      <c r="X1459" s="630" t="s">
        <v>546</v>
      </c>
      <c r="Y1459" s="630" t="s">
        <v>554</v>
      </c>
      <c r="Z1459" s="630">
        <v>0.246253</v>
      </c>
      <c r="AA1459" s="630">
        <v>0.39630599999999999</v>
      </c>
      <c r="AB1459" s="631">
        <v>10277</v>
      </c>
      <c r="AC1459" s="631">
        <v>921789</v>
      </c>
      <c r="AD1459" s="631">
        <f t="shared" si="22"/>
        <v>226993.30661699999</v>
      </c>
    </row>
    <row r="1460" spans="2:30" x14ac:dyDescent="0.15">
      <c r="B1460" s="630">
        <v>17031006158</v>
      </c>
      <c r="C1460" s="630">
        <v>17031001494</v>
      </c>
      <c r="D1460" s="630">
        <v>17031001498</v>
      </c>
      <c r="E1460" s="630" t="s">
        <v>533</v>
      </c>
      <c r="F1460" s="630" t="s">
        <v>534</v>
      </c>
      <c r="G1460" s="630" t="s">
        <v>365</v>
      </c>
      <c r="H1460" s="630" t="s">
        <v>382</v>
      </c>
      <c r="I1460" s="630"/>
      <c r="J1460" s="630"/>
      <c r="K1460" s="630"/>
      <c r="L1460" s="630"/>
      <c r="M1460" s="630"/>
      <c r="N1460" s="630"/>
      <c r="O1460" s="630"/>
      <c r="P1460" s="630"/>
      <c r="Q1460" s="630"/>
      <c r="R1460" s="630"/>
      <c r="S1460" s="630" t="s">
        <v>576</v>
      </c>
      <c r="T1460" s="630"/>
      <c r="U1460" s="630" t="s">
        <v>559</v>
      </c>
      <c r="V1460" s="630">
        <v>1</v>
      </c>
      <c r="W1460" s="630" t="s">
        <v>560</v>
      </c>
      <c r="X1460" s="630" t="s">
        <v>541</v>
      </c>
      <c r="Y1460" s="630" t="s">
        <v>541</v>
      </c>
      <c r="Z1460" s="630">
        <v>5.8499000000000002E-2</v>
      </c>
      <c r="AA1460" s="630">
        <v>9.4145999999999994E-2</v>
      </c>
      <c r="AB1460" s="631">
        <v>0</v>
      </c>
      <c r="AC1460" s="631">
        <v>0</v>
      </c>
      <c r="AD1460" s="631">
        <f t="shared" si="22"/>
        <v>0</v>
      </c>
    </row>
    <row r="1461" spans="2:30" x14ac:dyDescent="0.15">
      <c r="B1461" s="630">
        <v>17031006181</v>
      </c>
      <c r="C1461" s="630">
        <v>17031000645</v>
      </c>
      <c r="D1461" s="630">
        <v>17031000673</v>
      </c>
      <c r="E1461" s="630" t="s">
        <v>533</v>
      </c>
      <c r="F1461" s="630" t="s">
        <v>534</v>
      </c>
      <c r="G1461" s="630" t="s">
        <v>365</v>
      </c>
      <c r="H1461" s="630" t="s">
        <v>547</v>
      </c>
      <c r="I1461" s="630"/>
      <c r="J1461" s="630"/>
      <c r="K1461" s="630"/>
      <c r="L1461" s="630"/>
      <c r="M1461" s="630"/>
      <c r="N1461" s="630"/>
      <c r="O1461" s="630"/>
      <c r="P1461" s="630"/>
      <c r="Q1461" s="630"/>
      <c r="R1461" s="630"/>
      <c r="S1461" s="630" t="s">
        <v>581</v>
      </c>
      <c r="T1461" s="630"/>
      <c r="U1461" s="630" t="s">
        <v>538</v>
      </c>
      <c r="V1461" s="630">
        <v>2</v>
      </c>
      <c r="W1461" s="630" t="s">
        <v>582</v>
      </c>
      <c r="X1461" s="630" t="s">
        <v>541</v>
      </c>
      <c r="Y1461" s="630" t="s">
        <v>540</v>
      </c>
      <c r="Z1461" s="630">
        <v>0.17441200000000001</v>
      </c>
      <c r="AA1461" s="630">
        <v>0.28069</v>
      </c>
      <c r="AB1461" s="631">
        <v>0</v>
      </c>
      <c r="AC1461" s="631">
        <v>0</v>
      </c>
      <c r="AD1461" s="631">
        <f t="shared" si="22"/>
        <v>0</v>
      </c>
    </row>
    <row r="1462" spans="2:30" x14ac:dyDescent="0.15">
      <c r="B1462" s="630">
        <v>17031006239</v>
      </c>
      <c r="C1462" s="630">
        <v>17031000549</v>
      </c>
      <c r="D1462" s="630">
        <v>17031000568</v>
      </c>
      <c r="E1462" s="630" t="s">
        <v>533</v>
      </c>
      <c r="F1462" s="630" t="s">
        <v>534</v>
      </c>
      <c r="G1462" s="630" t="s">
        <v>365</v>
      </c>
      <c r="H1462" s="630" t="s">
        <v>382</v>
      </c>
      <c r="I1462" s="630"/>
      <c r="J1462" s="630"/>
      <c r="K1462" s="630"/>
      <c r="L1462" s="630"/>
      <c r="M1462" s="630"/>
      <c r="N1462" s="630"/>
      <c r="O1462" s="630"/>
      <c r="P1462" s="630"/>
      <c r="Q1462" s="630"/>
      <c r="R1462" s="630"/>
      <c r="S1462" s="630" t="s">
        <v>646</v>
      </c>
      <c r="T1462" s="630"/>
      <c r="U1462" s="630" t="s">
        <v>559</v>
      </c>
      <c r="V1462" s="630">
        <v>1</v>
      </c>
      <c r="W1462" s="630" t="s">
        <v>560</v>
      </c>
      <c r="X1462" s="630" t="s">
        <v>541</v>
      </c>
      <c r="Y1462" s="630" t="s">
        <v>541</v>
      </c>
      <c r="Z1462" s="630">
        <v>0.24591399999999999</v>
      </c>
      <c r="AA1462" s="630">
        <v>0.39576099999999997</v>
      </c>
      <c r="AB1462" s="631">
        <v>0</v>
      </c>
      <c r="AC1462" s="631">
        <v>0</v>
      </c>
      <c r="AD1462" s="631">
        <f t="shared" si="22"/>
        <v>0</v>
      </c>
    </row>
    <row r="1463" spans="2:30" x14ac:dyDescent="0.15">
      <c r="B1463" s="630">
        <v>17031006343</v>
      </c>
      <c r="C1463" s="630">
        <v>17031004622</v>
      </c>
      <c r="D1463" s="630">
        <v>17031000600</v>
      </c>
      <c r="E1463" s="630" t="s">
        <v>533</v>
      </c>
      <c r="F1463" s="630" t="s">
        <v>534</v>
      </c>
      <c r="G1463" s="630" t="s">
        <v>365</v>
      </c>
      <c r="H1463" s="630" t="s">
        <v>552</v>
      </c>
      <c r="I1463" s="630"/>
      <c r="J1463" s="630" t="s">
        <v>542</v>
      </c>
      <c r="K1463" s="630" t="s">
        <v>547</v>
      </c>
      <c r="L1463" s="630"/>
      <c r="M1463" s="630"/>
      <c r="N1463" s="630"/>
      <c r="O1463" s="630"/>
      <c r="P1463" s="630"/>
      <c r="Q1463" s="630"/>
      <c r="R1463" s="630"/>
      <c r="S1463" s="630" t="s">
        <v>564</v>
      </c>
      <c r="T1463" s="630"/>
      <c r="U1463" s="630" t="s">
        <v>538</v>
      </c>
      <c r="V1463" s="630">
        <v>3</v>
      </c>
      <c r="W1463" s="630" t="s">
        <v>545</v>
      </c>
      <c r="X1463" s="630" t="s">
        <v>541</v>
      </c>
      <c r="Y1463" s="630" t="s">
        <v>541</v>
      </c>
      <c r="Z1463" s="630">
        <v>0.51033700000000004</v>
      </c>
      <c r="AA1463" s="630">
        <v>0.82130899999999996</v>
      </c>
      <c r="AB1463" s="631">
        <v>26416</v>
      </c>
      <c r="AC1463" s="631">
        <v>1321473</v>
      </c>
      <c r="AD1463" s="631">
        <f t="shared" si="22"/>
        <v>674396.56640100002</v>
      </c>
    </row>
    <row r="1464" spans="2:30" x14ac:dyDescent="0.15">
      <c r="B1464" s="630">
        <v>17197000604</v>
      </c>
      <c r="C1464" s="630">
        <v>17197007426</v>
      </c>
      <c r="D1464" s="630">
        <v>17197007432</v>
      </c>
      <c r="E1464" s="630" t="s">
        <v>533</v>
      </c>
      <c r="F1464" s="630" t="s">
        <v>534</v>
      </c>
      <c r="G1464" s="630" t="s">
        <v>377</v>
      </c>
      <c r="H1464" s="630" t="s">
        <v>551</v>
      </c>
      <c r="I1464" s="630"/>
      <c r="J1464" s="630" t="s">
        <v>535</v>
      </c>
      <c r="K1464" s="630"/>
      <c r="L1464" s="630"/>
      <c r="M1464" s="630"/>
      <c r="N1464" s="630"/>
      <c r="O1464" s="630"/>
      <c r="P1464" s="630"/>
      <c r="Q1464" s="630"/>
      <c r="R1464" s="630"/>
      <c r="S1464" s="630" t="s">
        <v>594</v>
      </c>
      <c r="T1464" s="630"/>
      <c r="U1464" s="630" t="s">
        <v>559</v>
      </c>
      <c r="V1464" s="630">
        <v>1</v>
      </c>
      <c r="W1464" s="630" t="s">
        <v>560</v>
      </c>
      <c r="X1464" s="630" t="s">
        <v>541</v>
      </c>
      <c r="Y1464" s="630" t="s">
        <v>541</v>
      </c>
      <c r="Z1464" s="630">
        <v>0.470277</v>
      </c>
      <c r="AA1464" s="630">
        <v>0.75683999999999996</v>
      </c>
      <c r="AB1464" s="631">
        <v>0</v>
      </c>
      <c r="AC1464" s="631">
        <v>0</v>
      </c>
      <c r="AD1464" s="631">
        <f t="shared" si="22"/>
        <v>0</v>
      </c>
    </row>
    <row r="1465" spans="2:30" x14ac:dyDescent="0.15">
      <c r="B1465" s="630">
        <v>17031003495</v>
      </c>
      <c r="C1465" s="630">
        <v>17031000936</v>
      </c>
      <c r="D1465" s="630">
        <v>17031000932</v>
      </c>
      <c r="E1465" s="630" t="s">
        <v>533</v>
      </c>
      <c r="F1465" s="630" t="s">
        <v>534</v>
      </c>
      <c r="G1465" s="630" t="s">
        <v>365</v>
      </c>
      <c r="H1465" s="630" t="s">
        <v>557</v>
      </c>
      <c r="I1465" s="630"/>
      <c r="J1465" s="630"/>
      <c r="K1465" s="630"/>
      <c r="L1465" s="630"/>
      <c r="M1465" s="630"/>
      <c r="N1465" s="630"/>
      <c r="O1465" s="630"/>
      <c r="P1465" s="630"/>
      <c r="Q1465" s="630"/>
      <c r="R1465" s="630"/>
      <c r="S1465" s="630" t="s">
        <v>666</v>
      </c>
      <c r="T1465" s="630"/>
      <c r="U1465" s="630" t="s">
        <v>559</v>
      </c>
      <c r="V1465" s="630">
        <v>1</v>
      </c>
      <c r="W1465" s="630" t="s">
        <v>560</v>
      </c>
      <c r="X1465" s="630" t="s">
        <v>541</v>
      </c>
      <c r="Y1465" s="630" t="s">
        <v>541</v>
      </c>
      <c r="Z1465" s="630">
        <v>0.108419</v>
      </c>
      <c r="AA1465" s="630">
        <v>0.174484</v>
      </c>
      <c r="AB1465" s="631">
        <v>0</v>
      </c>
      <c r="AC1465" s="631">
        <v>0</v>
      </c>
      <c r="AD1465" s="631">
        <f t="shared" si="22"/>
        <v>0</v>
      </c>
    </row>
    <row r="1466" spans="2:30" x14ac:dyDescent="0.15">
      <c r="B1466" s="630">
        <v>17031005471</v>
      </c>
      <c r="C1466" s="630">
        <v>17031000969</v>
      </c>
      <c r="D1466" s="630">
        <v>17031000957</v>
      </c>
      <c r="E1466" s="630" t="s">
        <v>533</v>
      </c>
      <c r="F1466" s="630" t="s">
        <v>534</v>
      </c>
      <c r="G1466" s="630" t="s">
        <v>365</v>
      </c>
      <c r="H1466" s="630" t="s">
        <v>571</v>
      </c>
      <c r="I1466" s="630"/>
      <c r="J1466" s="630" t="s">
        <v>381</v>
      </c>
      <c r="K1466" s="630" t="s">
        <v>535</v>
      </c>
      <c r="L1466" s="630" t="s">
        <v>552</v>
      </c>
      <c r="M1466" s="630" t="s">
        <v>572</v>
      </c>
      <c r="N1466" s="630" t="s">
        <v>551</v>
      </c>
      <c r="O1466" s="630" t="s">
        <v>555</v>
      </c>
      <c r="P1466" s="630" t="s">
        <v>543</v>
      </c>
      <c r="Q1466" s="630" t="s">
        <v>382</v>
      </c>
      <c r="R1466" s="630" t="s">
        <v>563</v>
      </c>
      <c r="S1466" s="630" t="s">
        <v>605</v>
      </c>
      <c r="T1466" s="630" t="s">
        <v>574</v>
      </c>
      <c r="U1466" s="630" t="s">
        <v>538</v>
      </c>
      <c r="V1466" s="630">
        <v>2</v>
      </c>
      <c r="W1466" s="630" t="s">
        <v>545</v>
      </c>
      <c r="X1466" s="630" t="s">
        <v>575</v>
      </c>
      <c r="Y1466" s="630" t="s">
        <v>554</v>
      </c>
      <c r="Z1466" s="630">
        <v>0.32166400000000001</v>
      </c>
      <c r="AA1466" s="630">
        <v>0.51766900000000005</v>
      </c>
      <c r="AB1466" s="631">
        <v>269567</v>
      </c>
      <c r="AC1466" s="631">
        <v>14123853</v>
      </c>
      <c r="AD1466" s="631">
        <f t="shared" si="22"/>
        <v>4543135.0513920002</v>
      </c>
    </row>
    <row r="1467" spans="2:30" x14ac:dyDescent="0.15">
      <c r="B1467" s="630">
        <v>17043003098</v>
      </c>
      <c r="C1467" s="630">
        <v>17043000569</v>
      </c>
      <c r="D1467" s="630">
        <v>17043004763</v>
      </c>
      <c r="E1467" s="630" t="s">
        <v>533</v>
      </c>
      <c r="F1467" s="630" t="s">
        <v>534</v>
      </c>
      <c r="G1467" s="630" t="s">
        <v>367</v>
      </c>
      <c r="H1467" s="630" t="s">
        <v>535</v>
      </c>
      <c r="I1467" s="630"/>
      <c r="J1467" s="630" t="s">
        <v>536</v>
      </c>
      <c r="K1467" s="630" t="s">
        <v>382</v>
      </c>
      <c r="L1467" s="630"/>
      <c r="M1467" s="630"/>
      <c r="N1467" s="630"/>
      <c r="O1467" s="630"/>
      <c r="P1467" s="630"/>
      <c r="Q1467" s="630"/>
      <c r="R1467" s="630"/>
      <c r="S1467" s="630" t="s">
        <v>550</v>
      </c>
      <c r="T1467" s="630"/>
      <c r="U1467" s="630" t="s">
        <v>538</v>
      </c>
      <c r="V1467" s="630">
        <v>1</v>
      </c>
      <c r="W1467" s="630" t="s">
        <v>545</v>
      </c>
      <c r="X1467" s="630" t="s">
        <v>540</v>
      </c>
      <c r="Y1467" s="630" t="s">
        <v>541</v>
      </c>
      <c r="Z1467" s="630">
        <v>0.22248999999999999</v>
      </c>
      <c r="AA1467" s="630">
        <v>0.35806300000000002</v>
      </c>
      <c r="AB1467" s="631">
        <v>15471</v>
      </c>
      <c r="AC1467" s="631">
        <v>1527453</v>
      </c>
      <c r="AD1467" s="631">
        <f t="shared" si="22"/>
        <v>339843.01796999999</v>
      </c>
    </row>
    <row r="1468" spans="2:30" x14ac:dyDescent="0.15">
      <c r="B1468" s="630">
        <v>17043006529</v>
      </c>
      <c r="C1468" s="630">
        <v>17043000579</v>
      </c>
      <c r="D1468" s="630">
        <v>17043000569</v>
      </c>
      <c r="E1468" s="630" t="s">
        <v>533</v>
      </c>
      <c r="F1468" s="630" t="s">
        <v>534</v>
      </c>
      <c r="G1468" s="630" t="s">
        <v>367</v>
      </c>
      <c r="H1468" s="630" t="s">
        <v>382</v>
      </c>
      <c r="I1468" s="630"/>
      <c r="J1468" s="630"/>
      <c r="K1468" s="630"/>
      <c r="L1468" s="630"/>
      <c r="M1468" s="630"/>
      <c r="N1468" s="630"/>
      <c r="O1468" s="630"/>
      <c r="P1468" s="630"/>
      <c r="Q1468" s="630"/>
      <c r="R1468" s="630"/>
      <c r="S1468" s="630"/>
      <c r="T1468" s="630"/>
      <c r="U1468" s="630" t="s">
        <v>559</v>
      </c>
      <c r="V1468" s="630">
        <v>1</v>
      </c>
      <c r="W1468" s="630" t="s">
        <v>560</v>
      </c>
      <c r="X1468" s="630" t="s">
        <v>541</v>
      </c>
      <c r="Y1468" s="630" t="s">
        <v>541</v>
      </c>
      <c r="Z1468" s="630">
        <v>0.329127</v>
      </c>
      <c r="AA1468" s="630">
        <v>0.52968000000000004</v>
      </c>
      <c r="AB1468" s="631">
        <v>5730</v>
      </c>
      <c r="AC1468" s="631">
        <v>588728</v>
      </c>
      <c r="AD1468" s="631">
        <f t="shared" si="22"/>
        <v>193766.28045600001</v>
      </c>
    </row>
    <row r="1469" spans="2:30" x14ac:dyDescent="0.15">
      <c r="B1469" s="630">
        <v>17031010240</v>
      </c>
      <c r="C1469" s="630">
        <v>17999019985</v>
      </c>
      <c r="D1469" s="630">
        <v>17031007549</v>
      </c>
      <c r="E1469" s="630" t="s">
        <v>533</v>
      </c>
      <c r="F1469" s="630" t="s">
        <v>534</v>
      </c>
      <c r="G1469" s="630" t="s">
        <v>365</v>
      </c>
      <c r="H1469" s="630" t="s">
        <v>535</v>
      </c>
      <c r="I1469" s="630"/>
      <c r="J1469" s="630" t="s">
        <v>536</v>
      </c>
      <c r="K1469" s="630" t="s">
        <v>382</v>
      </c>
      <c r="L1469" s="630"/>
      <c r="M1469" s="630"/>
      <c r="N1469" s="630"/>
      <c r="O1469" s="630"/>
      <c r="P1469" s="630"/>
      <c r="Q1469" s="630"/>
      <c r="R1469" s="630"/>
      <c r="S1469" s="630" t="s">
        <v>550</v>
      </c>
      <c r="T1469" s="630"/>
      <c r="U1469" s="630" t="s">
        <v>538</v>
      </c>
      <c r="V1469" s="630">
        <v>1</v>
      </c>
      <c r="W1469" s="630" t="s">
        <v>545</v>
      </c>
      <c r="X1469" s="630" t="s">
        <v>540</v>
      </c>
      <c r="Y1469" s="630" t="s">
        <v>549</v>
      </c>
      <c r="Z1469" s="630">
        <v>0.48236099999999998</v>
      </c>
      <c r="AA1469" s="630">
        <v>0.77628699999999995</v>
      </c>
      <c r="AB1469" s="631">
        <v>36212</v>
      </c>
      <c r="AC1469" s="631">
        <v>3416314</v>
      </c>
      <c r="AD1469" s="631">
        <f t="shared" si="22"/>
        <v>1647896.637354</v>
      </c>
    </row>
    <row r="1470" spans="2:30" x14ac:dyDescent="0.15">
      <c r="B1470" s="630">
        <v>17043002499</v>
      </c>
      <c r="C1470" s="630">
        <v>17043000386</v>
      </c>
      <c r="D1470" s="630">
        <v>17043000363</v>
      </c>
      <c r="E1470" s="630" t="s">
        <v>533</v>
      </c>
      <c r="F1470" s="630" t="s">
        <v>534</v>
      </c>
      <c r="G1470" s="630" t="s">
        <v>367</v>
      </c>
      <c r="H1470" s="630" t="s">
        <v>552</v>
      </c>
      <c r="I1470" s="630"/>
      <c r="J1470" s="630" t="s">
        <v>638</v>
      </c>
      <c r="K1470" s="630" t="s">
        <v>382</v>
      </c>
      <c r="L1470" s="630"/>
      <c r="M1470" s="630"/>
      <c r="N1470" s="630"/>
      <c r="O1470" s="630"/>
      <c r="P1470" s="630"/>
      <c r="Q1470" s="630"/>
      <c r="R1470" s="630"/>
      <c r="S1470" s="630" t="s">
        <v>684</v>
      </c>
      <c r="T1470" s="630"/>
      <c r="U1470" s="630" t="s">
        <v>538</v>
      </c>
      <c r="V1470" s="630">
        <v>2</v>
      </c>
      <c r="W1470" s="630" t="s">
        <v>545</v>
      </c>
      <c r="X1470" s="630" t="s">
        <v>549</v>
      </c>
      <c r="Y1470" s="630" t="s">
        <v>549</v>
      </c>
      <c r="Z1470" s="630">
        <v>1.133067</v>
      </c>
      <c r="AA1470" s="630">
        <v>1.8234980000000001</v>
      </c>
      <c r="AB1470" s="631">
        <v>517374</v>
      </c>
      <c r="AC1470" s="631">
        <v>31857612</v>
      </c>
      <c r="AD1470" s="631">
        <f t="shared" si="22"/>
        <v>36096808.856004</v>
      </c>
    </row>
    <row r="1471" spans="2:30" x14ac:dyDescent="0.15">
      <c r="B1471" s="630">
        <v>17031003492</v>
      </c>
      <c r="C1471" s="630">
        <v>17031000529</v>
      </c>
      <c r="D1471" s="630">
        <v>17031004621</v>
      </c>
      <c r="E1471" s="630" t="s">
        <v>533</v>
      </c>
      <c r="F1471" s="630" t="s">
        <v>534</v>
      </c>
      <c r="G1471" s="630" t="s">
        <v>365</v>
      </c>
      <c r="H1471" s="630" t="s">
        <v>552</v>
      </c>
      <c r="I1471" s="630"/>
      <c r="J1471" s="630" t="s">
        <v>542</v>
      </c>
      <c r="K1471" s="630" t="s">
        <v>547</v>
      </c>
      <c r="L1471" s="630"/>
      <c r="M1471" s="630"/>
      <c r="N1471" s="630"/>
      <c r="O1471" s="630"/>
      <c r="P1471" s="630"/>
      <c r="Q1471" s="630"/>
      <c r="R1471" s="630"/>
      <c r="S1471" s="630" t="s">
        <v>564</v>
      </c>
      <c r="T1471" s="630"/>
      <c r="U1471" s="630" t="s">
        <v>538</v>
      </c>
      <c r="V1471" s="630">
        <v>3</v>
      </c>
      <c r="W1471" s="630" t="s">
        <v>545</v>
      </c>
      <c r="X1471" s="630" t="s">
        <v>541</v>
      </c>
      <c r="Y1471" s="630" t="s">
        <v>540</v>
      </c>
      <c r="Z1471" s="630">
        <v>1.351256</v>
      </c>
      <c r="AA1471" s="630">
        <v>2.1746400000000001</v>
      </c>
      <c r="AB1471" s="631">
        <v>26416</v>
      </c>
      <c r="AC1471" s="631">
        <v>1321473</v>
      </c>
      <c r="AD1471" s="631">
        <f t="shared" si="22"/>
        <v>1785648.320088</v>
      </c>
    </row>
    <row r="1472" spans="2:30" x14ac:dyDescent="0.15">
      <c r="B1472" s="630">
        <v>17031003675</v>
      </c>
      <c r="C1472" s="630">
        <v>17031001009</v>
      </c>
      <c r="D1472" s="630">
        <v>17031001021</v>
      </c>
      <c r="E1472" s="630" t="s">
        <v>533</v>
      </c>
      <c r="F1472" s="630" t="s">
        <v>534</v>
      </c>
      <c r="G1472" s="630" t="s">
        <v>365</v>
      </c>
      <c r="H1472" s="630" t="s">
        <v>551</v>
      </c>
      <c r="I1472" s="630"/>
      <c r="J1472" s="630"/>
      <c r="K1472" s="630"/>
      <c r="L1472" s="630"/>
      <c r="M1472" s="630"/>
      <c r="N1472" s="630"/>
      <c r="O1472" s="630"/>
      <c r="P1472" s="630"/>
      <c r="Q1472" s="630"/>
      <c r="R1472" s="630"/>
      <c r="S1472" s="630" t="s">
        <v>600</v>
      </c>
      <c r="T1472" s="630"/>
      <c r="U1472" s="630" t="s">
        <v>538</v>
      </c>
      <c r="V1472" s="630">
        <v>2</v>
      </c>
      <c r="W1472" s="630" t="s">
        <v>582</v>
      </c>
      <c r="X1472" s="630" t="s">
        <v>575</v>
      </c>
      <c r="Y1472" s="630" t="s">
        <v>554</v>
      </c>
      <c r="Z1472" s="630">
        <v>0.165823</v>
      </c>
      <c r="AA1472" s="630">
        <v>0.26686599999999999</v>
      </c>
      <c r="AB1472" s="631">
        <v>463665</v>
      </c>
      <c r="AC1472" s="631">
        <v>9721522</v>
      </c>
      <c r="AD1472" s="631">
        <f t="shared" si="22"/>
        <v>1612051.942606</v>
      </c>
    </row>
    <row r="1473" spans="2:30" x14ac:dyDescent="0.15">
      <c r="B1473" s="630">
        <v>17031003819</v>
      </c>
      <c r="C1473" s="630">
        <v>17031001331</v>
      </c>
      <c r="D1473" s="630">
        <v>99999022676</v>
      </c>
      <c r="E1473" s="630" t="s">
        <v>533</v>
      </c>
      <c r="F1473" s="630" t="s">
        <v>534</v>
      </c>
      <c r="G1473" s="630" t="s">
        <v>365</v>
      </c>
      <c r="H1473" s="630" t="s">
        <v>557</v>
      </c>
      <c r="I1473" s="630"/>
      <c r="J1473" s="630"/>
      <c r="K1473" s="630"/>
      <c r="L1473" s="630"/>
      <c r="M1473" s="630"/>
      <c r="N1473" s="630"/>
      <c r="O1473" s="630"/>
      <c r="P1473" s="630"/>
      <c r="Q1473" s="630"/>
      <c r="R1473" s="630"/>
      <c r="S1473" s="630"/>
      <c r="T1473" s="630"/>
      <c r="U1473" s="630" t="s">
        <v>559</v>
      </c>
      <c r="V1473" s="630">
        <v>1</v>
      </c>
      <c r="W1473" s="630" t="s">
        <v>560</v>
      </c>
      <c r="X1473" s="630" t="s">
        <v>541</v>
      </c>
      <c r="Y1473" s="630" t="s">
        <v>541</v>
      </c>
      <c r="Z1473" s="630">
        <v>1.4226000000000001E-2</v>
      </c>
      <c r="AA1473" s="630">
        <v>2.2894999999999999E-2</v>
      </c>
      <c r="AB1473" s="631">
        <v>0</v>
      </c>
      <c r="AC1473" s="631">
        <v>0</v>
      </c>
      <c r="AD1473" s="631">
        <f t="shared" si="22"/>
        <v>0</v>
      </c>
    </row>
    <row r="1474" spans="2:30" x14ac:dyDescent="0.15">
      <c r="B1474" s="630">
        <v>17089003970</v>
      </c>
      <c r="C1474" s="630">
        <v>17089000960</v>
      </c>
      <c r="D1474" s="630">
        <v>17999021568</v>
      </c>
      <c r="E1474" s="630" t="s">
        <v>533</v>
      </c>
      <c r="F1474" s="630" t="s">
        <v>534</v>
      </c>
      <c r="G1474" s="630" t="s">
        <v>369</v>
      </c>
      <c r="H1474" s="630" t="s">
        <v>381</v>
      </c>
      <c r="I1474" s="630"/>
      <c r="J1474" s="630" t="s">
        <v>542</v>
      </c>
      <c r="K1474" s="630" t="s">
        <v>578</v>
      </c>
      <c r="L1474" s="630" t="s">
        <v>547</v>
      </c>
      <c r="M1474" s="630" t="s">
        <v>382</v>
      </c>
      <c r="N1474" s="630"/>
      <c r="O1474" s="630"/>
      <c r="P1474" s="630"/>
      <c r="Q1474" s="630"/>
      <c r="R1474" s="630"/>
      <c r="S1474" s="630" t="s">
        <v>579</v>
      </c>
      <c r="T1474" s="630" t="s">
        <v>694</v>
      </c>
      <c r="U1474" s="630" t="s">
        <v>538</v>
      </c>
      <c r="V1474" s="630">
        <v>3</v>
      </c>
      <c r="W1474" s="630" t="s">
        <v>545</v>
      </c>
      <c r="X1474" s="630" t="s">
        <v>575</v>
      </c>
      <c r="Y1474" s="630" t="s">
        <v>540</v>
      </c>
      <c r="Z1474" s="630">
        <v>0.608039</v>
      </c>
      <c r="AA1474" s="630">
        <v>0.97854600000000003</v>
      </c>
      <c r="AB1474" s="631">
        <v>1187105</v>
      </c>
      <c r="AC1474" s="631">
        <v>47005432</v>
      </c>
      <c r="AD1474" s="631">
        <f t="shared" si="22"/>
        <v>28581135.867848001</v>
      </c>
    </row>
    <row r="1475" spans="2:30" x14ac:dyDescent="0.15">
      <c r="B1475" s="630">
        <v>17031004024</v>
      </c>
      <c r="C1475" s="630">
        <v>17031001422</v>
      </c>
      <c r="D1475" s="630">
        <v>17031001421</v>
      </c>
      <c r="E1475" s="630" t="s">
        <v>533</v>
      </c>
      <c r="F1475" s="630" t="s">
        <v>534</v>
      </c>
      <c r="G1475" s="630" t="s">
        <v>365</v>
      </c>
      <c r="H1475" s="630" t="s">
        <v>535</v>
      </c>
      <c r="I1475" s="630"/>
      <c r="J1475" s="630" t="s">
        <v>542</v>
      </c>
      <c r="K1475" s="630" t="s">
        <v>543</v>
      </c>
      <c r="L1475" s="630" t="s">
        <v>382</v>
      </c>
      <c r="M1475" s="630" t="s">
        <v>552</v>
      </c>
      <c r="N1475" s="630"/>
      <c r="O1475" s="630"/>
      <c r="P1475" s="630"/>
      <c r="Q1475" s="630"/>
      <c r="R1475" s="630"/>
      <c r="S1475" s="630" t="s">
        <v>544</v>
      </c>
      <c r="T1475" s="630" t="s">
        <v>621</v>
      </c>
      <c r="U1475" s="630" t="s">
        <v>538</v>
      </c>
      <c r="V1475" s="630">
        <v>2</v>
      </c>
      <c r="W1475" s="630" t="s">
        <v>545</v>
      </c>
      <c r="X1475" s="630" t="s">
        <v>546</v>
      </c>
      <c r="Y1475" s="630" t="s">
        <v>549</v>
      </c>
      <c r="Z1475" s="630">
        <v>0.154305</v>
      </c>
      <c r="AA1475" s="630">
        <v>0.24833</v>
      </c>
      <c r="AB1475" s="631">
        <v>679575</v>
      </c>
      <c r="AC1475" s="631">
        <v>26221683</v>
      </c>
      <c r="AD1475" s="631">
        <f t="shared" si="22"/>
        <v>4046136.7953149998</v>
      </c>
    </row>
    <row r="1476" spans="2:30" x14ac:dyDescent="0.15">
      <c r="B1476" s="630">
        <v>17031005506</v>
      </c>
      <c r="C1476" s="630">
        <v>17031000752</v>
      </c>
      <c r="D1476" s="630">
        <v>17031000759</v>
      </c>
      <c r="E1476" s="630" t="s">
        <v>533</v>
      </c>
      <c r="F1476" s="630" t="s">
        <v>534</v>
      </c>
      <c r="G1476" s="630" t="s">
        <v>365</v>
      </c>
      <c r="H1476" s="630" t="s">
        <v>535</v>
      </c>
      <c r="I1476" s="630"/>
      <c r="J1476" s="630" t="s">
        <v>571</v>
      </c>
      <c r="K1476" s="630" t="s">
        <v>563</v>
      </c>
      <c r="L1476" s="630"/>
      <c r="M1476" s="630"/>
      <c r="N1476" s="630"/>
      <c r="O1476" s="630"/>
      <c r="P1476" s="630"/>
      <c r="Q1476" s="630"/>
      <c r="R1476" s="630"/>
      <c r="S1476" s="630"/>
      <c r="T1476" s="630"/>
      <c r="U1476" s="630" t="s">
        <v>538</v>
      </c>
      <c r="V1476" s="630">
        <v>1</v>
      </c>
      <c r="W1476" s="630" t="s">
        <v>560</v>
      </c>
      <c r="X1476" s="630" t="s">
        <v>541</v>
      </c>
      <c r="Y1476" s="630" t="s">
        <v>541</v>
      </c>
      <c r="Z1476" s="630">
        <v>0.23077300000000001</v>
      </c>
      <c r="AA1476" s="630">
        <v>0.37139299999999997</v>
      </c>
      <c r="AB1476" s="631">
        <v>80</v>
      </c>
      <c r="AC1476" s="631">
        <v>4200</v>
      </c>
      <c r="AD1476" s="631">
        <f t="shared" si="22"/>
        <v>969.24660000000006</v>
      </c>
    </row>
    <row r="1477" spans="2:30" x14ac:dyDescent="0.15">
      <c r="B1477" s="630">
        <v>17031002207</v>
      </c>
      <c r="C1477" s="630">
        <v>17031004602</v>
      </c>
      <c r="D1477" s="630">
        <v>17031007754</v>
      </c>
      <c r="E1477" s="630" t="s">
        <v>533</v>
      </c>
      <c r="F1477" s="630" t="s">
        <v>534</v>
      </c>
      <c r="G1477" s="630" t="s">
        <v>365</v>
      </c>
      <c r="H1477" s="630" t="s">
        <v>382</v>
      </c>
      <c r="I1477" s="630"/>
      <c r="J1477" s="630" t="s">
        <v>535</v>
      </c>
      <c r="K1477" s="630" t="s">
        <v>547</v>
      </c>
      <c r="L1477" s="630"/>
      <c r="M1477" s="630"/>
      <c r="N1477" s="630"/>
      <c r="O1477" s="630"/>
      <c r="P1477" s="630"/>
      <c r="Q1477" s="630"/>
      <c r="R1477" s="630"/>
      <c r="S1477" s="630" t="s">
        <v>608</v>
      </c>
      <c r="T1477" s="630"/>
      <c r="U1477" s="630" t="s">
        <v>538</v>
      </c>
      <c r="V1477" s="630">
        <v>3</v>
      </c>
      <c r="W1477" s="630" t="s">
        <v>566</v>
      </c>
      <c r="X1477" s="630" t="s">
        <v>549</v>
      </c>
      <c r="Y1477" s="630" t="s">
        <v>549</v>
      </c>
      <c r="Z1477" s="630">
        <v>2.2397559999999999</v>
      </c>
      <c r="AA1477" s="630">
        <v>3.6045449999999999</v>
      </c>
      <c r="AB1477" s="631">
        <v>8906</v>
      </c>
      <c r="AC1477" s="631">
        <v>840677</v>
      </c>
      <c r="AD1477" s="631">
        <f t="shared" si="22"/>
        <v>1882911.3548119999</v>
      </c>
    </row>
    <row r="1478" spans="2:30" x14ac:dyDescent="0.15">
      <c r="B1478" s="630">
        <v>17111003009</v>
      </c>
      <c r="C1478" s="630">
        <v>17111000040</v>
      </c>
      <c r="D1478" s="630">
        <v>17111000041</v>
      </c>
      <c r="E1478" s="630" t="s">
        <v>533</v>
      </c>
      <c r="F1478" s="630" t="s">
        <v>534</v>
      </c>
      <c r="G1478" s="630" t="s">
        <v>375</v>
      </c>
      <c r="H1478" s="630" t="s">
        <v>636</v>
      </c>
      <c r="I1478" s="630"/>
      <c r="J1478" s="630"/>
      <c r="K1478" s="630"/>
      <c r="L1478" s="630"/>
      <c r="M1478" s="630"/>
      <c r="N1478" s="630"/>
      <c r="O1478" s="630"/>
      <c r="P1478" s="630"/>
      <c r="Q1478" s="630"/>
      <c r="R1478" s="630"/>
      <c r="S1478" s="630"/>
      <c r="T1478" s="630"/>
      <c r="U1478" s="630" t="s">
        <v>538</v>
      </c>
      <c r="V1478" s="630">
        <v>1</v>
      </c>
      <c r="W1478" s="630" t="s">
        <v>560</v>
      </c>
      <c r="X1478" s="630" t="s">
        <v>541</v>
      </c>
      <c r="Y1478" s="630" t="s">
        <v>637</v>
      </c>
      <c r="Z1478" s="630">
        <v>0.187055</v>
      </c>
      <c r="AA1478" s="630">
        <v>0.301037</v>
      </c>
      <c r="AB1478" s="631">
        <v>0</v>
      </c>
      <c r="AC1478" s="631">
        <v>0</v>
      </c>
      <c r="AD1478" s="631">
        <f t="shared" ref="AD1478:AD1541" si="23">AC1478*Z1478</f>
        <v>0</v>
      </c>
    </row>
    <row r="1479" spans="2:30" x14ac:dyDescent="0.15">
      <c r="B1479" s="630">
        <v>17031003501</v>
      </c>
      <c r="C1479" s="630">
        <v>17031000343</v>
      </c>
      <c r="D1479" s="630">
        <v>17031004594</v>
      </c>
      <c r="E1479" s="630" t="s">
        <v>533</v>
      </c>
      <c r="F1479" s="630" t="s">
        <v>534</v>
      </c>
      <c r="G1479" s="630" t="s">
        <v>365</v>
      </c>
      <c r="H1479" s="630" t="s">
        <v>535</v>
      </c>
      <c r="I1479" s="630"/>
      <c r="J1479" s="630" t="s">
        <v>552</v>
      </c>
      <c r="K1479" s="630" t="s">
        <v>536</v>
      </c>
      <c r="L1479" s="630" t="s">
        <v>382</v>
      </c>
      <c r="M1479" s="630"/>
      <c r="N1479" s="630"/>
      <c r="O1479" s="630"/>
      <c r="P1479" s="630"/>
      <c r="Q1479" s="630"/>
      <c r="R1479" s="630"/>
      <c r="S1479" s="630" t="s">
        <v>550</v>
      </c>
      <c r="T1479" s="630"/>
      <c r="U1479" s="630" t="s">
        <v>538</v>
      </c>
      <c r="V1479" s="630">
        <v>1</v>
      </c>
      <c r="W1479" s="630" t="s">
        <v>545</v>
      </c>
      <c r="X1479" s="630" t="s">
        <v>540</v>
      </c>
      <c r="Y1479" s="630" t="s">
        <v>549</v>
      </c>
      <c r="Z1479" s="630">
        <v>0.1042</v>
      </c>
      <c r="AA1479" s="630">
        <v>0.16769400000000001</v>
      </c>
      <c r="AB1479" s="631">
        <v>36888</v>
      </c>
      <c r="AC1479" s="631">
        <v>3477706</v>
      </c>
      <c r="AD1479" s="631">
        <f t="shared" si="23"/>
        <v>362376.96519999998</v>
      </c>
    </row>
    <row r="1480" spans="2:30" x14ac:dyDescent="0.15">
      <c r="B1480" s="630">
        <v>17031004677</v>
      </c>
      <c r="C1480" s="630">
        <v>17031001161</v>
      </c>
      <c r="D1480" s="630">
        <v>17031001150</v>
      </c>
      <c r="E1480" s="630" t="s">
        <v>533</v>
      </c>
      <c r="F1480" s="630" t="s">
        <v>534</v>
      </c>
      <c r="G1480" s="630" t="s">
        <v>365</v>
      </c>
      <c r="H1480" s="630" t="s">
        <v>543</v>
      </c>
      <c r="I1480" s="630"/>
      <c r="J1480" s="630" t="s">
        <v>577</v>
      </c>
      <c r="K1480" s="630"/>
      <c r="L1480" s="630"/>
      <c r="M1480" s="630"/>
      <c r="N1480" s="630"/>
      <c r="O1480" s="630"/>
      <c r="P1480" s="630"/>
      <c r="Q1480" s="630"/>
      <c r="R1480" s="630"/>
      <c r="S1480" s="630" t="s">
        <v>656</v>
      </c>
      <c r="T1480" s="630"/>
      <c r="U1480" s="630" t="s">
        <v>559</v>
      </c>
      <c r="V1480" s="630">
        <v>1</v>
      </c>
      <c r="W1480" s="630" t="s">
        <v>560</v>
      </c>
      <c r="X1480" s="630" t="s">
        <v>541</v>
      </c>
      <c r="Y1480" s="630" t="s">
        <v>541</v>
      </c>
      <c r="Z1480" s="630">
        <v>0.27153300000000002</v>
      </c>
      <c r="AA1480" s="630">
        <v>0.43699100000000002</v>
      </c>
      <c r="AB1480" s="631">
        <v>0</v>
      </c>
      <c r="AC1480" s="631">
        <v>0</v>
      </c>
      <c r="AD1480" s="631">
        <f t="shared" si="23"/>
        <v>0</v>
      </c>
    </row>
    <row r="1481" spans="2:30" x14ac:dyDescent="0.15">
      <c r="B1481" s="630">
        <v>17043004085</v>
      </c>
      <c r="C1481" s="630">
        <v>17043000431</v>
      </c>
      <c r="D1481" s="630">
        <v>17043007311</v>
      </c>
      <c r="E1481" s="630" t="s">
        <v>533</v>
      </c>
      <c r="F1481" s="630" t="s">
        <v>534</v>
      </c>
      <c r="G1481" s="630" t="s">
        <v>367</v>
      </c>
      <c r="H1481" s="630" t="s">
        <v>535</v>
      </c>
      <c r="I1481" s="630"/>
      <c r="J1481" s="630"/>
      <c r="K1481" s="630"/>
      <c r="L1481" s="630"/>
      <c r="M1481" s="630"/>
      <c r="N1481" s="630"/>
      <c r="O1481" s="630"/>
      <c r="P1481" s="630"/>
      <c r="Q1481" s="630"/>
      <c r="R1481" s="630"/>
      <c r="S1481" s="630" t="s">
        <v>624</v>
      </c>
      <c r="T1481" s="630"/>
      <c r="U1481" s="630" t="s">
        <v>538</v>
      </c>
      <c r="V1481" s="630">
        <v>1</v>
      </c>
      <c r="W1481" s="630" t="s">
        <v>582</v>
      </c>
      <c r="X1481" s="630" t="s">
        <v>554</v>
      </c>
      <c r="Y1481" s="630" t="s">
        <v>540</v>
      </c>
      <c r="Z1481" s="630">
        <v>4.389888</v>
      </c>
      <c r="AA1481" s="630">
        <v>7.0648540000000004</v>
      </c>
      <c r="AB1481" s="631">
        <v>440</v>
      </c>
      <c r="AC1481" s="631">
        <v>36560</v>
      </c>
      <c r="AD1481" s="631">
        <f t="shared" si="23"/>
        <v>160494.30528</v>
      </c>
    </row>
    <row r="1482" spans="2:30" x14ac:dyDescent="0.15">
      <c r="B1482" s="630">
        <v>17031006283</v>
      </c>
      <c r="C1482" s="630">
        <v>17031007544</v>
      </c>
      <c r="D1482" s="630">
        <v>17031004594</v>
      </c>
      <c r="E1482" s="630" t="s">
        <v>533</v>
      </c>
      <c r="F1482" s="630" t="s">
        <v>534</v>
      </c>
      <c r="G1482" s="630" t="s">
        <v>365</v>
      </c>
      <c r="H1482" s="630" t="s">
        <v>552</v>
      </c>
      <c r="I1482" s="630"/>
      <c r="J1482" s="630"/>
      <c r="K1482" s="630"/>
      <c r="L1482" s="630"/>
      <c r="M1482" s="630"/>
      <c r="N1482" s="630"/>
      <c r="O1482" s="630"/>
      <c r="P1482" s="630"/>
      <c r="Q1482" s="630"/>
      <c r="R1482" s="630"/>
      <c r="S1482" s="630"/>
      <c r="T1482" s="630"/>
      <c r="U1482" s="630" t="s">
        <v>538</v>
      </c>
      <c r="V1482" s="630">
        <v>1</v>
      </c>
      <c r="W1482" s="630" t="s">
        <v>560</v>
      </c>
      <c r="X1482" s="630" t="s">
        <v>541</v>
      </c>
      <c r="Y1482" s="630" t="s">
        <v>541</v>
      </c>
      <c r="Z1482" s="630">
        <v>0.10692699999999999</v>
      </c>
      <c r="AA1482" s="630">
        <v>0.17208300000000001</v>
      </c>
      <c r="AB1482" s="631">
        <v>0</v>
      </c>
      <c r="AC1482" s="631">
        <v>0</v>
      </c>
      <c r="AD1482" s="631">
        <f t="shared" si="23"/>
        <v>0</v>
      </c>
    </row>
    <row r="1483" spans="2:30" x14ac:dyDescent="0.15">
      <c r="B1483" s="630">
        <v>17097006328</v>
      </c>
      <c r="C1483" s="630">
        <v>17097000057</v>
      </c>
      <c r="D1483" s="630">
        <v>17097004565</v>
      </c>
      <c r="E1483" s="630" t="s">
        <v>533</v>
      </c>
      <c r="F1483" s="630" t="s">
        <v>534</v>
      </c>
      <c r="G1483" s="630" t="s">
        <v>373</v>
      </c>
      <c r="H1483" s="630" t="s">
        <v>382</v>
      </c>
      <c r="I1483" s="630"/>
      <c r="J1483" s="630" t="s">
        <v>535</v>
      </c>
      <c r="K1483" s="630" t="s">
        <v>547</v>
      </c>
      <c r="L1483" s="630"/>
      <c r="M1483" s="630"/>
      <c r="N1483" s="630"/>
      <c r="O1483" s="630"/>
      <c r="P1483" s="630"/>
      <c r="Q1483" s="630"/>
      <c r="R1483" s="630"/>
      <c r="S1483" s="630" t="s">
        <v>565</v>
      </c>
      <c r="T1483" s="630" t="s">
        <v>701</v>
      </c>
      <c r="U1483" s="630" t="s">
        <v>538</v>
      </c>
      <c r="V1483" s="630">
        <v>2</v>
      </c>
      <c r="W1483" s="630" t="s">
        <v>566</v>
      </c>
      <c r="X1483" s="630" t="s">
        <v>549</v>
      </c>
      <c r="Y1483" s="630" t="s">
        <v>549</v>
      </c>
      <c r="Z1483" s="630">
        <v>0.61029599999999995</v>
      </c>
      <c r="AA1483" s="630">
        <v>0.982178</v>
      </c>
      <c r="AB1483" s="631">
        <v>4940</v>
      </c>
      <c r="AC1483" s="631">
        <v>456256</v>
      </c>
      <c r="AD1483" s="631">
        <f t="shared" si="23"/>
        <v>278451.21177599998</v>
      </c>
    </row>
    <row r="1484" spans="2:30" x14ac:dyDescent="0.15">
      <c r="B1484" s="630">
        <v>17031006437</v>
      </c>
      <c r="C1484" s="630">
        <v>17031001346</v>
      </c>
      <c r="D1484" s="630">
        <v>17031001347</v>
      </c>
      <c r="E1484" s="630" t="s">
        <v>533</v>
      </c>
      <c r="F1484" s="630" t="s">
        <v>534</v>
      </c>
      <c r="G1484" s="630" t="s">
        <v>365</v>
      </c>
      <c r="H1484" s="630" t="s">
        <v>543</v>
      </c>
      <c r="I1484" s="630"/>
      <c r="J1484" s="630"/>
      <c r="K1484" s="630"/>
      <c r="L1484" s="630"/>
      <c r="M1484" s="630"/>
      <c r="N1484" s="630"/>
      <c r="O1484" s="630"/>
      <c r="P1484" s="630"/>
      <c r="Q1484" s="630"/>
      <c r="R1484" s="630"/>
      <c r="S1484" s="630"/>
      <c r="T1484" s="630" t="s">
        <v>669</v>
      </c>
      <c r="U1484" s="630" t="s">
        <v>559</v>
      </c>
      <c r="V1484" s="630">
        <v>1</v>
      </c>
      <c r="W1484" s="630" t="s">
        <v>560</v>
      </c>
      <c r="X1484" s="630" t="s">
        <v>541</v>
      </c>
      <c r="Y1484" s="630" t="s">
        <v>541</v>
      </c>
      <c r="Z1484" s="630">
        <v>5.1479999999999998E-2</v>
      </c>
      <c r="AA1484" s="630">
        <v>8.2849000000000006E-2</v>
      </c>
      <c r="AB1484" s="631">
        <v>0</v>
      </c>
      <c r="AC1484" s="631">
        <v>0</v>
      </c>
      <c r="AD1484" s="631">
        <f t="shared" si="23"/>
        <v>0</v>
      </c>
    </row>
    <row r="1485" spans="2:30" x14ac:dyDescent="0.15">
      <c r="B1485" s="630">
        <v>17031006468</v>
      </c>
      <c r="C1485" s="630">
        <v>17031000818</v>
      </c>
      <c r="D1485" s="630">
        <v>17031000821</v>
      </c>
      <c r="E1485" s="630" t="s">
        <v>533</v>
      </c>
      <c r="F1485" s="630" t="s">
        <v>534</v>
      </c>
      <c r="G1485" s="630" t="s">
        <v>365</v>
      </c>
      <c r="H1485" s="630" t="s">
        <v>543</v>
      </c>
      <c r="I1485" s="630"/>
      <c r="J1485" s="630" t="s">
        <v>535</v>
      </c>
      <c r="K1485" s="630"/>
      <c r="L1485" s="630"/>
      <c r="M1485" s="630"/>
      <c r="N1485" s="630"/>
      <c r="O1485" s="630"/>
      <c r="P1485" s="630"/>
      <c r="Q1485" s="630"/>
      <c r="R1485" s="630"/>
      <c r="S1485" s="630" t="s">
        <v>658</v>
      </c>
      <c r="T1485" s="630"/>
      <c r="U1485" s="630" t="s">
        <v>559</v>
      </c>
      <c r="V1485" s="630">
        <v>1</v>
      </c>
      <c r="W1485" s="630" t="s">
        <v>560</v>
      </c>
      <c r="X1485" s="630" t="s">
        <v>541</v>
      </c>
      <c r="Y1485" s="630" t="s">
        <v>541</v>
      </c>
      <c r="Z1485" s="630">
        <v>6.5822000000000006E-2</v>
      </c>
      <c r="AA1485" s="630">
        <v>0.105931</v>
      </c>
      <c r="AB1485" s="631">
        <v>63280</v>
      </c>
      <c r="AC1485" s="631">
        <v>3022040</v>
      </c>
      <c r="AD1485" s="631">
        <f t="shared" si="23"/>
        <v>198916.71688000002</v>
      </c>
    </row>
    <row r="1486" spans="2:30" x14ac:dyDescent="0.15">
      <c r="B1486" s="630">
        <v>17031004045</v>
      </c>
      <c r="C1486" s="630">
        <v>17031001391</v>
      </c>
      <c r="D1486" s="630">
        <v>17031001397</v>
      </c>
      <c r="E1486" s="630" t="s">
        <v>533</v>
      </c>
      <c r="F1486" s="630" t="s">
        <v>534</v>
      </c>
      <c r="G1486" s="630" t="s">
        <v>365</v>
      </c>
      <c r="H1486" s="630" t="s">
        <v>551</v>
      </c>
      <c r="I1486" s="630"/>
      <c r="J1486" s="630"/>
      <c r="K1486" s="630"/>
      <c r="L1486" s="630"/>
      <c r="M1486" s="630"/>
      <c r="N1486" s="630"/>
      <c r="O1486" s="630"/>
      <c r="P1486" s="630"/>
      <c r="Q1486" s="630"/>
      <c r="R1486" s="630"/>
      <c r="S1486" s="630" t="s">
        <v>603</v>
      </c>
      <c r="T1486" s="630"/>
      <c r="U1486" s="630" t="s">
        <v>538</v>
      </c>
      <c r="V1486" s="630">
        <v>1</v>
      </c>
      <c r="W1486" s="630" t="s">
        <v>545</v>
      </c>
      <c r="X1486" s="630" t="s">
        <v>575</v>
      </c>
      <c r="Y1486" s="630" t="s">
        <v>554</v>
      </c>
      <c r="Z1486" s="630">
        <v>0.124469</v>
      </c>
      <c r="AA1486" s="630">
        <v>0.20031399999999999</v>
      </c>
      <c r="AB1486" s="631">
        <v>1464997</v>
      </c>
      <c r="AC1486" s="631">
        <v>50040672</v>
      </c>
      <c r="AD1486" s="631">
        <f t="shared" si="23"/>
        <v>6228512.4031680003</v>
      </c>
    </row>
    <row r="1487" spans="2:30" x14ac:dyDescent="0.15">
      <c r="B1487" s="630">
        <v>17043002991</v>
      </c>
      <c r="C1487" s="630">
        <v>17043000503</v>
      </c>
      <c r="D1487" s="630">
        <v>17043004896</v>
      </c>
      <c r="E1487" s="630" t="s">
        <v>533</v>
      </c>
      <c r="F1487" s="630" t="s">
        <v>534</v>
      </c>
      <c r="G1487" s="630" t="s">
        <v>367</v>
      </c>
      <c r="H1487" s="630" t="s">
        <v>535</v>
      </c>
      <c r="I1487" s="630"/>
      <c r="J1487" s="630" t="s">
        <v>536</v>
      </c>
      <c r="K1487" s="630" t="s">
        <v>382</v>
      </c>
      <c r="L1487" s="630"/>
      <c r="M1487" s="630"/>
      <c r="N1487" s="630"/>
      <c r="O1487" s="630"/>
      <c r="P1487" s="630"/>
      <c r="Q1487" s="630"/>
      <c r="R1487" s="630"/>
      <c r="S1487" s="630" t="s">
        <v>550</v>
      </c>
      <c r="T1487" s="630"/>
      <c r="U1487" s="630" t="s">
        <v>538</v>
      </c>
      <c r="V1487" s="630">
        <v>2</v>
      </c>
      <c r="W1487" s="630" t="s">
        <v>545</v>
      </c>
      <c r="X1487" s="630" t="s">
        <v>540</v>
      </c>
      <c r="Y1487" s="630" t="s">
        <v>540</v>
      </c>
      <c r="Z1487" s="630">
        <v>1.8327150000000001</v>
      </c>
      <c r="AA1487" s="630">
        <v>2.9494739999999999</v>
      </c>
      <c r="AB1487" s="631">
        <v>16613</v>
      </c>
      <c r="AC1487" s="631">
        <v>1595981</v>
      </c>
      <c r="AD1487" s="631">
        <f t="shared" si="23"/>
        <v>2924978.3184150001</v>
      </c>
    </row>
    <row r="1488" spans="2:30" x14ac:dyDescent="0.15">
      <c r="B1488" s="630">
        <v>17111005950</v>
      </c>
      <c r="C1488" s="630">
        <v>17111004841</v>
      </c>
      <c r="D1488" s="630">
        <v>17111000169</v>
      </c>
      <c r="E1488" s="630" t="s">
        <v>533</v>
      </c>
      <c r="F1488" s="630" t="s">
        <v>534</v>
      </c>
      <c r="G1488" s="630" t="s">
        <v>375</v>
      </c>
      <c r="H1488" s="630" t="s">
        <v>678</v>
      </c>
      <c r="I1488" s="630"/>
      <c r="J1488" s="630"/>
      <c r="K1488" s="630"/>
      <c r="L1488" s="630"/>
      <c r="M1488" s="630"/>
      <c r="N1488" s="630"/>
      <c r="O1488" s="630"/>
      <c r="P1488" s="630"/>
      <c r="Q1488" s="630"/>
      <c r="R1488" s="630"/>
      <c r="S1488" s="630"/>
      <c r="T1488" s="630"/>
      <c r="U1488" s="630" t="s">
        <v>538</v>
      </c>
      <c r="V1488" s="630">
        <v>1</v>
      </c>
      <c r="W1488" s="630" t="s">
        <v>560</v>
      </c>
      <c r="X1488" s="630" t="s">
        <v>541</v>
      </c>
      <c r="Y1488" s="630" t="s">
        <v>541</v>
      </c>
      <c r="Z1488" s="630">
        <v>3.8404289999999999</v>
      </c>
      <c r="AA1488" s="630">
        <v>6.1805839999999996</v>
      </c>
      <c r="AB1488" s="631">
        <v>0</v>
      </c>
      <c r="AC1488" s="631">
        <v>0</v>
      </c>
      <c r="AD1488" s="631">
        <f t="shared" si="23"/>
        <v>0</v>
      </c>
    </row>
    <row r="1489" spans="2:30" x14ac:dyDescent="0.15">
      <c r="B1489" s="630">
        <v>17031006406</v>
      </c>
      <c r="C1489" s="630">
        <v>17031004706</v>
      </c>
      <c r="D1489" s="630">
        <v>17031004705</v>
      </c>
      <c r="E1489" s="630" t="s">
        <v>533</v>
      </c>
      <c r="F1489" s="630" t="s">
        <v>534</v>
      </c>
      <c r="G1489" s="630" t="s">
        <v>365</v>
      </c>
      <c r="H1489" s="630" t="s">
        <v>547</v>
      </c>
      <c r="I1489" s="630"/>
      <c r="J1489" s="630"/>
      <c r="K1489" s="630"/>
      <c r="L1489" s="630"/>
      <c r="M1489" s="630"/>
      <c r="N1489" s="630"/>
      <c r="O1489" s="630"/>
      <c r="P1489" s="630"/>
      <c r="Q1489" s="630"/>
      <c r="R1489" s="630"/>
      <c r="S1489" s="630" t="s">
        <v>611</v>
      </c>
      <c r="T1489" s="630"/>
      <c r="U1489" s="630" t="s">
        <v>538</v>
      </c>
      <c r="V1489" s="630">
        <v>2</v>
      </c>
      <c r="W1489" s="630" t="s">
        <v>582</v>
      </c>
      <c r="X1489" s="630" t="s">
        <v>541</v>
      </c>
      <c r="Y1489" s="630" t="s">
        <v>540</v>
      </c>
      <c r="Z1489" s="630">
        <v>0.55696599999999996</v>
      </c>
      <c r="AA1489" s="630">
        <v>0.89635200000000004</v>
      </c>
      <c r="AB1489" s="631">
        <v>0</v>
      </c>
      <c r="AC1489" s="631">
        <v>0</v>
      </c>
      <c r="AD1489" s="631">
        <f t="shared" si="23"/>
        <v>0</v>
      </c>
    </row>
    <row r="1490" spans="2:30" x14ac:dyDescent="0.15">
      <c r="B1490" s="630">
        <v>17197008957</v>
      </c>
      <c r="C1490" s="630">
        <v>17197007178</v>
      </c>
      <c r="D1490" s="630">
        <v>17197001465</v>
      </c>
      <c r="E1490" s="630" t="s">
        <v>533</v>
      </c>
      <c r="F1490" s="630" t="s">
        <v>534</v>
      </c>
      <c r="G1490" s="630" t="s">
        <v>377</v>
      </c>
      <c r="H1490" s="630" t="s">
        <v>535</v>
      </c>
      <c r="I1490" s="630"/>
      <c r="J1490" s="630" t="s">
        <v>542</v>
      </c>
      <c r="K1490" s="630" t="s">
        <v>572</v>
      </c>
      <c r="L1490" s="630" t="s">
        <v>547</v>
      </c>
      <c r="M1490" s="630" t="s">
        <v>382</v>
      </c>
      <c r="N1490" s="630"/>
      <c r="O1490" s="630"/>
      <c r="P1490" s="630"/>
      <c r="Q1490" s="630"/>
      <c r="R1490" s="630"/>
      <c r="S1490" s="630" t="s">
        <v>601</v>
      </c>
      <c r="T1490" s="630"/>
      <c r="U1490" s="630" t="s">
        <v>538</v>
      </c>
      <c r="V1490" s="630">
        <v>2</v>
      </c>
      <c r="W1490" s="630" t="s">
        <v>545</v>
      </c>
      <c r="X1490" s="630" t="s">
        <v>540</v>
      </c>
      <c r="Y1490" s="630" t="s">
        <v>549</v>
      </c>
      <c r="Z1490" s="630">
        <v>0.168827</v>
      </c>
      <c r="AA1490" s="630">
        <v>0.2717</v>
      </c>
      <c r="AB1490" s="631">
        <v>43880</v>
      </c>
      <c r="AC1490" s="631">
        <v>1364920</v>
      </c>
      <c r="AD1490" s="631">
        <f t="shared" si="23"/>
        <v>230435.34884000002</v>
      </c>
    </row>
    <row r="1491" spans="2:30" x14ac:dyDescent="0.15">
      <c r="B1491" s="630">
        <v>17089002033</v>
      </c>
      <c r="C1491" s="630">
        <v>17089004850</v>
      </c>
      <c r="D1491" s="630">
        <v>17089000297</v>
      </c>
      <c r="E1491" s="630" t="s">
        <v>533</v>
      </c>
      <c r="F1491" s="630" t="s">
        <v>534</v>
      </c>
      <c r="G1491" s="630" t="s">
        <v>369</v>
      </c>
      <c r="H1491" s="630" t="s">
        <v>535</v>
      </c>
      <c r="I1491" s="630"/>
      <c r="J1491" s="630"/>
      <c r="K1491" s="630"/>
      <c r="L1491" s="630"/>
      <c r="M1491" s="630"/>
      <c r="N1491" s="630"/>
      <c r="O1491" s="630"/>
      <c r="P1491" s="630"/>
      <c r="Q1491" s="630"/>
      <c r="R1491" s="630"/>
      <c r="S1491" s="630" t="s">
        <v>624</v>
      </c>
      <c r="T1491" s="630"/>
      <c r="U1491" s="630" t="s">
        <v>538</v>
      </c>
      <c r="V1491" s="630">
        <v>1</v>
      </c>
      <c r="W1491" s="630" t="s">
        <v>582</v>
      </c>
      <c r="X1491" s="630" t="s">
        <v>554</v>
      </c>
      <c r="Y1491" s="630" t="s">
        <v>549</v>
      </c>
      <c r="Z1491" s="630">
        <v>4.8643510000000001</v>
      </c>
      <c r="AA1491" s="630">
        <v>7.82843</v>
      </c>
      <c r="AB1491" s="631">
        <v>46181</v>
      </c>
      <c r="AC1491" s="631">
        <v>4487359</v>
      </c>
      <c r="AD1491" s="631">
        <f t="shared" si="23"/>
        <v>21828089.239009</v>
      </c>
    </row>
    <row r="1492" spans="2:30" x14ac:dyDescent="0.15">
      <c r="B1492" s="630">
        <v>17031002289</v>
      </c>
      <c r="C1492" s="630">
        <v>17031000665</v>
      </c>
      <c r="D1492" s="630">
        <v>17031000663</v>
      </c>
      <c r="E1492" s="630" t="s">
        <v>533</v>
      </c>
      <c r="F1492" s="630" t="s">
        <v>534</v>
      </c>
      <c r="G1492" s="630" t="s">
        <v>365</v>
      </c>
      <c r="H1492" s="630" t="s">
        <v>381</v>
      </c>
      <c r="I1492" s="630"/>
      <c r="J1492" s="630" t="s">
        <v>542</v>
      </c>
      <c r="K1492" s="630" t="s">
        <v>577</v>
      </c>
      <c r="L1492" s="630" t="s">
        <v>572</v>
      </c>
      <c r="M1492" s="630" t="s">
        <v>547</v>
      </c>
      <c r="N1492" s="630" t="s">
        <v>382</v>
      </c>
      <c r="O1492" s="630"/>
      <c r="P1492" s="630"/>
      <c r="Q1492" s="630"/>
      <c r="R1492" s="630"/>
      <c r="S1492" s="630" t="s">
        <v>579</v>
      </c>
      <c r="T1492" s="630"/>
      <c r="U1492" s="630" t="s">
        <v>538</v>
      </c>
      <c r="V1492" s="630">
        <v>4</v>
      </c>
      <c r="W1492" s="630" t="s">
        <v>545</v>
      </c>
      <c r="X1492" s="630" t="s">
        <v>549</v>
      </c>
      <c r="Y1492" s="630" t="s">
        <v>540</v>
      </c>
      <c r="Z1492" s="630">
        <v>0.40699600000000002</v>
      </c>
      <c r="AA1492" s="630">
        <v>0.65499799999999997</v>
      </c>
      <c r="AB1492" s="631">
        <v>175840</v>
      </c>
      <c r="AC1492" s="631">
        <v>7419918</v>
      </c>
      <c r="AD1492" s="631">
        <f t="shared" si="23"/>
        <v>3019876.9463280002</v>
      </c>
    </row>
    <row r="1493" spans="2:30" x14ac:dyDescent="0.15">
      <c r="B1493" s="630">
        <v>17031002296</v>
      </c>
      <c r="C1493" s="630">
        <v>17031000668</v>
      </c>
      <c r="D1493" s="630">
        <v>17031000661</v>
      </c>
      <c r="E1493" s="630" t="s">
        <v>533</v>
      </c>
      <c r="F1493" s="630" t="s">
        <v>534</v>
      </c>
      <c r="G1493" s="630" t="s">
        <v>365</v>
      </c>
      <c r="H1493" s="630" t="s">
        <v>535</v>
      </c>
      <c r="I1493" s="630"/>
      <c r="J1493" s="630" t="s">
        <v>572</v>
      </c>
      <c r="K1493" s="630"/>
      <c r="L1493" s="630"/>
      <c r="M1493" s="630"/>
      <c r="N1493" s="630"/>
      <c r="O1493" s="630"/>
      <c r="P1493" s="630"/>
      <c r="Q1493" s="630"/>
      <c r="R1493" s="630"/>
      <c r="S1493" s="630" t="s">
        <v>624</v>
      </c>
      <c r="T1493" s="630"/>
      <c r="U1493" s="630" t="s">
        <v>538</v>
      </c>
      <c r="V1493" s="630">
        <v>2</v>
      </c>
      <c r="W1493" s="630" t="s">
        <v>582</v>
      </c>
      <c r="X1493" s="630" t="s">
        <v>540</v>
      </c>
      <c r="Y1493" s="630" t="s">
        <v>541</v>
      </c>
      <c r="Z1493" s="630">
        <v>8.1625000000000003E-2</v>
      </c>
      <c r="AA1493" s="630">
        <v>0.13136200000000001</v>
      </c>
      <c r="AB1493" s="631">
        <v>840</v>
      </c>
      <c r="AC1493" s="631">
        <v>81960</v>
      </c>
      <c r="AD1493" s="631">
        <f t="shared" si="23"/>
        <v>6689.9850000000006</v>
      </c>
    </row>
    <row r="1494" spans="2:30" x14ac:dyDescent="0.15">
      <c r="B1494" s="630">
        <v>17111002548</v>
      </c>
      <c r="C1494" s="630">
        <v>17111004836</v>
      </c>
      <c r="D1494" s="630">
        <v>17111004837</v>
      </c>
      <c r="E1494" s="630" t="s">
        <v>533</v>
      </c>
      <c r="F1494" s="630" t="s">
        <v>534</v>
      </c>
      <c r="G1494" s="630" t="s">
        <v>375</v>
      </c>
      <c r="H1494" s="630" t="s">
        <v>382</v>
      </c>
      <c r="I1494" s="630"/>
      <c r="J1494" s="630" t="s">
        <v>547</v>
      </c>
      <c r="K1494" s="630"/>
      <c r="L1494" s="630"/>
      <c r="M1494" s="630"/>
      <c r="N1494" s="630"/>
      <c r="O1494" s="630"/>
      <c r="P1494" s="630"/>
      <c r="Q1494" s="630"/>
      <c r="R1494" s="630"/>
      <c r="S1494" s="630" t="s">
        <v>608</v>
      </c>
      <c r="T1494" s="630"/>
      <c r="U1494" s="630" t="s">
        <v>538</v>
      </c>
      <c r="V1494" s="630">
        <v>2</v>
      </c>
      <c r="W1494" s="630" t="s">
        <v>566</v>
      </c>
      <c r="X1494" s="630" t="s">
        <v>549</v>
      </c>
      <c r="Y1494" s="630" t="s">
        <v>549</v>
      </c>
      <c r="Z1494" s="630">
        <v>4.4494369999999996</v>
      </c>
      <c r="AA1494" s="630">
        <v>7.1606880000000004</v>
      </c>
      <c r="AB1494" s="631">
        <v>8924</v>
      </c>
      <c r="AC1494" s="631">
        <v>814709</v>
      </c>
      <c r="AD1494" s="631">
        <f t="shared" si="23"/>
        <v>3624996.3688329998</v>
      </c>
    </row>
    <row r="1495" spans="2:30" x14ac:dyDescent="0.15">
      <c r="B1495" s="630">
        <v>17031002577</v>
      </c>
      <c r="C1495" s="630">
        <v>17031000437</v>
      </c>
      <c r="D1495" s="630">
        <v>17031000438</v>
      </c>
      <c r="E1495" s="630" t="s">
        <v>533</v>
      </c>
      <c r="F1495" s="630" t="s">
        <v>534</v>
      </c>
      <c r="G1495" s="630" t="s">
        <v>365</v>
      </c>
      <c r="H1495" s="630" t="s">
        <v>535</v>
      </c>
      <c r="I1495" s="630"/>
      <c r="J1495" s="630"/>
      <c r="K1495" s="630"/>
      <c r="L1495" s="630"/>
      <c r="M1495" s="630"/>
      <c r="N1495" s="630"/>
      <c r="O1495" s="630"/>
      <c r="P1495" s="630"/>
      <c r="Q1495" s="630"/>
      <c r="R1495" s="630"/>
      <c r="S1495" s="630" t="s">
        <v>548</v>
      </c>
      <c r="T1495" s="630"/>
      <c r="U1495" s="630" t="s">
        <v>538</v>
      </c>
      <c r="V1495" s="630">
        <v>2</v>
      </c>
      <c r="W1495" s="630" t="s">
        <v>545</v>
      </c>
      <c r="X1495" s="630" t="s">
        <v>549</v>
      </c>
      <c r="Y1495" s="630" t="s">
        <v>554</v>
      </c>
      <c r="Z1495" s="630">
        <v>5.5482999999999998E-2</v>
      </c>
      <c r="AA1495" s="630">
        <v>8.9290999999999995E-2</v>
      </c>
      <c r="AB1495" s="631">
        <v>805460</v>
      </c>
      <c r="AC1495" s="631">
        <v>39336999</v>
      </c>
      <c r="AD1495" s="631">
        <f t="shared" si="23"/>
        <v>2182534.7155169998</v>
      </c>
    </row>
    <row r="1496" spans="2:30" x14ac:dyDescent="0.15">
      <c r="B1496" s="630">
        <v>17197002626</v>
      </c>
      <c r="C1496" s="630">
        <v>17197001591</v>
      </c>
      <c r="D1496" s="630">
        <v>17197001569</v>
      </c>
      <c r="E1496" s="630" t="s">
        <v>533</v>
      </c>
      <c r="F1496" s="630" t="s">
        <v>534</v>
      </c>
      <c r="G1496" s="630" t="s">
        <v>377</v>
      </c>
      <c r="H1496" s="630" t="s">
        <v>551</v>
      </c>
      <c r="I1496" s="630"/>
      <c r="J1496" s="630" t="s">
        <v>535</v>
      </c>
      <c r="K1496" s="630" t="s">
        <v>615</v>
      </c>
      <c r="L1496" s="630"/>
      <c r="M1496" s="630"/>
      <c r="N1496" s="630"/>
      <c r="O1496" s="630"/>
      <c r="P1496" s="630"/>
      <c r="Q1496" s="630"/>
      <c r="R1496" s="630"/>
      <c r="S1496" s="630" t="s">
        <v>663</v>
      </c>
      <c r="T1496" s="630"/>
      <c r="U1496" s="630" t="s">
        <v>538</v>
      </c>
      <c r="V1496" s="630">
        <v>1</v>
      </c>
      <c r="W1496" s="630" t="s">
        <v>539</v>
      </c>
      <c r="X1496" s="630" t="s">
        <v>540</v>
      </c>
      <c r="Y1496" s="630" t="s">
        <v>554</v>
      </c>
      <c r="Z1496" s="630">
        <v>1.480262</v>
      </c>
      <c r="AA1496" s="630">
        <v>2.3822559999999999</v>
      </c>
      <c r="AB1496" s="631">
        <v>86109</v>
      </c>
      <c r="AC1496" s="631">
        <v>8449584</v>
      </c>
      <c r="AD1496" s="631">
        <f t="shared" si="23"/>
        <v>12507598.111008</v>
      </c>
    </row>
    <row r="1497" spans="2:30" x14ac:dyDescent="0.15">
      <c r="B1497" s="630">
        <v>17031003853</v>
      </c>
      <c r="C1497" s="630">
        <v>17031001320</v>
      </c>
      <c r="D1497" s="630">
        <v>17031001331</v>
      </c>
      <c r="E1497" s="630" t="s">
        <v>533</v>
      </c>
      <c r="F1497" s="630" t="s">
        <v>534</v>
      </c>
      <c r="G1497" s="630" t="s">
        <v>365</v>
      </c>
      <c r="H1497" s="630" t="s">
        <v>557</v>
      </c>
      <c r="I1497" s="630"/>
      <c r="J1497" s="630"/>
      <c r="K1497" s="630"/>
      <c r="L1497" s="630"/>
      <c r="M1497" s="630"/>
      <c r="N1497" s="630"/>
      <c r="O1497" s="630"/>
      <c r="P1497" s="630"/>
      <c r="Q1497" s="630"/>
      <c r="R1497" s="630"/>
      <c r="S1497" s="630" t="s">
        <v>665</v>
      </c>
      <c r="T1497" s="630"/>
      <c r="U1497" s="630" t="s">
        <v>559</v>
      </c>
      <c r="V1497" s="630">
        <v>1</v>
      </c>
      <c r="W1497" s="630" t="s">
        <v>560</v>
      </c>
      <c r="X1497" s="630" t="s">
        <v>541</v>
      </c>
      <c r="Y1497" s="630" t="s">
        <v>541</v>
      </c>
      <c r="Z1497" s="630">
        <v>2.5669000000000001E-2</v>
      </c>
      <c r="AA1497" s="630">
        <v>4.1309999999999999E-2</v>
      </c>
      <c r="AB1497" s="631">
        <v>284</v>
      </c>
      <c r="AC1497" s="631">
        <v>28772</v>
      </c>
      <c r="AD1497" s="631">
        <f t="shared" si="23"/>
        <v>738.54846800000007</v>
      </c>
    </row>
    <row r="1498" spans="2:30" x14ac:dyDescent="0.15">
      <c r="B1498" s="630">
        <v>17197005162</v>
      </c>
      <c r="C1498" s="630">
        <v>17197001468</v>
      </c>
      <c r="D1498" s="630">
        <v>17197001469</v>
      </c>
      <c r="E1498" s="630" t="s">
        <v>533</v>
      </c>
      <c r="F1498" s="630" t="s">
        <v>534</v>
      </c>
      <c r="G1498" s="630" t="s">
        <v>377</v>
      </c>
      <c r="H1498" s="630" t="s">
        <v>535</v>
      </c>
      <c r="I1498" s="630"/>
      <c r="J1498" s="630"/>
      <c r="K1498" s="630"/>
      <c r="L1498" s="630"/>
      <c r="M1498" s="630"/>
      <c r="N1498" s="630"/>
      <c r="O1498" s="630"/>
      <c r="P1498" s="630"/>
      <c r="Q1498" s="630"/>
      <c r="R1498" s="630"/>
      <c r="S1498" s="630"/>
      <c r="T1498" s="630"/>
      <c r="U1498" s="630" t="s">
        <v>559</v>
      </c>
      <c r="V1498" s="630">
        <v>1</v>
      </c>
      <c r="W1498" s="630" t="s">
        <v>560</v>
      </c>
      <c r="X1498" s="630" t="s">
        <v>541</v>
      </c>
      <c r="Y1498" s="630" t="s">
        <v>541</v>
      </c>
      <c r="Z1498" s="630">
        <v>0.17567099999999999</v>
      </c>
      <c r="AA1498" s="630">
        <v>0.28271600000000002</v>
      </c>
      <c r="AB1498" s="631">
        <v>38880</v>
      </c>
      <c r="AC1498" s="631">
        <v>893480</v>
      </c>
      <c r="AD1498" s="631">
        <f t="shared" si="23"/>
        <v>156958.52507999999</v>
      </c>
    </row>
    <row r="1499" spans="2:30" x14ac:dyDescent="0.15">
      <c r="B1499" s="630">
        <v>17031008472</v>
      </c>
      <c r="C1499" s="630">
        <v>17031000520</v>
      </c>
      <c r="D1499" s="630">
        <v>17031006979</v>
      </c>
      <c r="E1499" s="630" t="s">
        <v>533</v>
      </c>
      <c r="F1499" s="630" t="s">
        <v>534</v>
      </c>
      <c r="G1499" s="630" t="s">
        <v>365</v>
      </c>
      <c r="H1499" s="630" t="s">
        <v>382</v>
      </c>
      <c r="I1499" s="630"/>
      <c r="J1499" s="630" t="s">
        <v>547</v>
      </c>
      <c r="K1499" s="630"/>
      <c r="L1499" s="630"/>
      <c r="M1499" s="630"/>
      <c r="N1499" s="630"/>
      <c r="O1499" s="630"/>
      <c r="P1499" s="630"/>
      <c r="Q1499" s="630"/>
      <c r="R1499" s="630"/>
      <c r="S1499" s="630" t="s">
        <v>608</v>
      </c>
      <c r="T1499" s="630"/>
      <c r="U1499" s="630" t="s">
        <v>538</v>
      </c>
      <c r="V1499" s="630">
        <v>4</v>
      </c>
      <c r="W1499" s="630" t="s">
        <v>545</v>
      </c>
      <c r="X1499" s="630" t="s">
        <v>541</v>
      </c>
      <c r="Y1499" s="630" t="s">
        <v>540</v>
      </c>
      <c r="Z1499" s="630">
        <v>0.31862499999999999</v>
      </c>
      <c r="AA1499" s="630">
        <v>0.51277899999999998</v>
      </c>
      <c r="AB1499" s="631">
        <v>0</v>
      </c>
      <c r="AC1499" s="631">
        <v>0</v>
      </c>
      <c r="AD1499" s="631">
        <f t="shared" si="23"/>
        <v>0</v>
      </c>
    </row>
    <row r="1500" spans="2:30" x14ac:dyDescent="0.15">
      <c r="B1500" s="630">
        <v>17031003657</v>
      </c>
      <c r="C1500" s="630">
        <v>17031001062</v>
      </c>
      <c r="D1500" s="630">
        <v>17031001072</v>
      </c>
      <c r="E1500" s="630" t="s">
        <v>533</v>
      </c>
      <c r="F1500" s="630" t="s">
        <v>534</v>
      </c>
      <c r="G1500" s="630" t="s">
        <v>365</v>
      </c>
      <c r="H1500" s="630" t="s">
        <v>571</v>
      </c>
      <c r="I1500" s="630"/>
      <c r="J1500" s="630" t="s">
        <v>552</v>
      </c>
      <c r="K1500" s="630" t="s">
        <v>572</v>
      </c>
      <c r="L1500" s="630" t="s">
        <v>543</v>
      </c>
      <c r="M1500" s="630"/>
      <c r="N1500" s="630"/>
      <c r="O1500" s="630"/>
      <c r="P1500" s="630"/>
      <c r="Q1500" s="630"/>
      <c r="R1500" s="630"/>
      <c r="S1500" s="630" t="s">
        <v>573</v>
      </c>
      <c r="T1500" s="630"/>
      <c r="U1500" s="630" t="s">
        <v>538</v>
      </c>
      <c r="V1500" s="630">
        <v>2</v>
      </c>
      <c r="W1500" s="630" t="s">
        <v>545</v>
      </c>
      <c r="X1500" s="630" t="s">
        <v>546</v>
      </c>
      <c r="Y1500" s="630" t="s">
        <v>554</v>
      </c>
      <c r="Z1500" s="630">
        <v>0.64177799999999996</v>
      </c>
      <c r="AA1500" s="630">
        <v>1.0328440000000001</v>
      </c>
      <c r="AB1500" s="631">
        <v>173014</v>
      </c>
      <c r="AC1500" s="631">
        <v>8999987</v>
      </c>
      <c r="AD1500" s="631">
        <f t="shared" si="23"/>
        <v>5775993.6568859993</v>
      </c>
    </row>
    <row r="1501" spans="2:30" x14ac:dyDescent="0.15">
      <c r="B1501" s="630">
        <v>17031003873</v>
      </c>
      <c r="C1501" s="630">
        <v>17031000752</v>
      </c>
      <c r="D1501" s="630">
        <v>17031000748</v>
      </c>
      <c r="E1501" s="630" t="s">
        <v>533</v>
      </c>
      <c r="F1501" s="630" t="s">
        <v>534</v>
      </c>
      <c r="G1501" s="630" t="s">
        <v>365</v>
      </c>
      <c r="H1501" s="630" t="s">
        <v>535</v>
      </c>
      <c r="I1501" s="630"/>
      <c r="J1501" s="630"/>
      <c r="K1501" s="630"/>
      <c r="L1501" s="630"/>
      <c r="M1501" s="630"/>
      <c r="N1501" s="630"/>
      <c r="O1501" s="630"/>
      <c r="P1501" s="630"/>
      <c r="Q1501" s="630"/>
      <c r="R1501" s="630"/>
      <c r="S1501" s="630" t="s">
        <v>624</v>
      </c>
      <c r="T1501" s="630"/>
      <c r="U1501" s="630" t="s">
        <v>538</v>
      </c>
      <c r="V1501" s="630">
        <v>2</v>
      </c>
      <c r="W1501" s="630" t="s">
        <v>582</v>
      </c>
      <c r="X1501" s="630" t="s">
        <v>554</v>
      </c>
      <c r="Y1501" s="630" t="s">
        <v>554</v>
      </c>
      <c r="Z1501" s="630">
        <v>0.256212</v>
      </c>
      <c r="AA1501" s="630">
        <v>0.41233399999999998</v>
      </c>
      <c r="AB1501" s="631">
        <v>0</v>
      </c>
      <c r="AC1501" s="631">
        <v>0</v>
      </c>
      <c r="AD1501" s="631">
        <f t="shared" si="23"/>
        <v>0</v>
      </c>
    </row>
    <row r="1502" spans="2:30" x14ac:dyDescent="0.15">
      <c r="B1502" s="630">
        <v>17031006487</v>
      </c>
      <c r="C1502" s="630">
        <v>17031004747</v>
      </c>
      <c r="D1502" s="630">
        <v>17031001397</v>
      </c>
      <c r="E1502" s="630" t="s">
        <v>533</v>
      </c>
      <c r="F1502" s="630" t="s">
        <v>534</v>
      </c>
      <c r="G1502" s="630" t="s">
        <v>365</v>
      </c>
      <c r="H1502" s="630" t="s">
        <v>557</v>
      </c>
      <c r="I1502" s="630"/>
      <c r="J1502" s="630"/>
      <c r="K1502" s="630"/>
      <c r="L1502" s="630"/>
      <c r="M1502" s="630"/>
      <c r="N1502" s="630"/>
      <c r="O1502" s="630"/>
      <c r="P1502" s="630"/>
      <c r="Q1502" s="630"/>
      <c r="R1502" s="630"/>
      <c r="S1502" s="630"/>
      <c r="T1502" s="630"/>
      <c r="U1502" s="630" t="s">
        <v>559</v>
      </c>
      <c r="V1502" s="630">
        <v>1</v>
      </c>
      <c r="W1502" s="630" t="s">
        <v>560</v>
      </c>
      <c r="X1502" s="630" t="s">
        <v>541</v>
      </c>
      <c r="Y1502" s="630" t="s">
        <v>541</v>
      </c>
      <c r="Z1502" s="630">
        <v>5.4996999999999997E-2</v>
      </c>
      <c r="AA1502" s="630">
        <v>8.8509000000000004E-2</v>
      </c>
      <c r="AB1502" s="631">
        <v>0</v>
      </c>
      <c r="AC1502" s="631">
        <v>0</v>
      </c>
      <c r="AD1502" s="631">
        <f t="shared" si="23"/>
        <v>0</v>
      </c>
    </row>
    <row r="1503" spans="2:30" x14ac:dyDescent="0.15">
      <c r="B1503" s="630">
        <v>17031003616</v>
      </c>
      <c r="C1503" s="630">
        <v>17031000580</v>
      </c>
      <c r="D1503" s="630">
        <v>17031000578</v>
      </c>
      <c r="E1503" s="630" t="s">
        <v>533</v>
      </c>
      <c r="F1503" s="630" t="s">
        <v>534</v>
      </c>
      <c r="G1503" s="630" t="s">
        <v>365</v>
      </c>
      <c r="H1503" s="630" t="s">
        <v>382</v>
      </c>
      <c r="I1503" s="630"/>
      <c r="J1503" s="630" t="s">
        <v>572</v>
      </c>
      <c r="K1503" s="630" t="s">
        <v>547</v>
      </c>
      <c r="L1503" s="630"/>
      <c r="M1503" s="630"/>
      <c r="N1503" s="630"/>
      <c r="O1503" s="630"/>
      <c r="P1503" s="630"/>
      <c r="Q1503" s="630"/>
      <c r="R1503" s="630"/>
      <c r="S1503" s="630" t="s">
        <v>583</v>
      </c>
      <c r="T1503" s="630"/>
      <c r="U1503" s="630" t="s">
        <v>538</v>
      </c>
      <c r="V1503" s="630">
        <v>3</v>
      </c>
      <c r="W1503" s="630" t="s">
        <v>545</v>
      </c>
      <c r="X1503" s="630" t="s">
        <v>580</v>
      </c>
      <c r="Y1503" s="630" t="s">
        <v>549</v>
      </c>
      <c r="Z1503" s="630">
        <v>1.252599</v>
      </c>
      <c r="AA1503" s="630">
        <v>2.0158670000000001</v>
      </c>
      <c r="AB1503" s="631">
        <v>858401</v>
      </c>
      <c r="AC1503" s="631">
        <v>28501686</v>
      </c>
      <c r="AD1503" s="631">
        <f t="shared" si="23"/>
        <v>35701183.381913997</v>
      </c>
    </row>
    <row r="1504" spans="2:30" x14ac:dyDescent="0.15">
      <c r="B1504" s="630">
        <v>17197009265</v>
      </c>
      <c r="C1504" s="630">
        <v>17197001609</v>
      </c>
      <c r="D1504" s="630">
        <v>17197007391</v>
      </c>
      <c r="E1504" s="630" t="s">
        <v>533</v>
      </c>
      <c r="F1504" s="630" t="s">
        <v>534</v>
      </c>
      <c r="G1504" s="630" t="s">
        <v>377</v>
      </c>
      <c r="H1504" s="630" t="s">
        <v>535</v>
      </c>
      <c r="I1504" s="630"/>
      <c r="J1504" s="630" t="s">
        <v>382</v>
      </c>
      <c r="K1504" s="630"/>
      <c r="L1504" s="630"/>
      <c r="M1504" s="630"/>
      <c r="N1504" s="630"/>
      <c r="O1504" s="630"/>
      <c r="P1504" s="630"/>
      <c r="Q1504" s="630"/>
      <c r="R1504" s="630"/>
      <c r="S1504" s="630"/>
      <c r="T1504" s="630"/>
      <c r="U1504" s="630" t="s">
        <v>559</v>
      </c>
      <c r="V1504" s="630">
        <v>1</v>
      </c>
      <c r="W1504" s="630" t="s">
        <v>560</v>
      </c>
      <c r="X1504" s="630" t="s">
        <v>541</v>
      </c>
      <c r="Y1504" s="630" t="s">
        <v>541</v>
      </c>
      <c r="Z1504" s="630">
        <v>0.718669</v>
      </c>
      <c r="AA1504" s="630">
        <v>1.156587</v>
      </c>
      <c r="AB1504" s="631">
        <v>0</v>
      </c>
      <c r="AC1504" s="631">
        <v>0</v>
      </c>
      <c r="AD1504" s="631">
        <f t="shared" si="23"/>
        <v>0</v>
      </c>
    </row>
    <row r="1505" spans="2:30" x14ac:dyDescent="0.15">
      <c r="B1505" s="630">
        <v>17031001944</v>
      </c>
      <c r="C1505" s="630">
        <v>17031000914</v>
      </c>
      <c r="D1505" s="630">
        <v>17031000900</v>
      </c>
      <c r="E1505" s="630" t="s">
        <v>533</v>
      </c>
      <c r="F1505" s="630" t="s">
        <v>534</v>
      </c>
      <c r="G1505" s="630" t="s">
        <v>365</v>
      </c>
      <c r="H1505" s="630" t="s">
        <v>557</v>
      </c>
      <c r="I1505" s="630"/>
      <c r="J1505" s="630" t="s">
        <v>381</v>
      </c>
      <c r="K1505" s="630" t="s">
        <v>535</v>
      </c>
      <c r="L1505" s="630" t="s">
        <v>552</v>
      </c>
      <c r="M1505" s="630" t="s">
        <v>551</v>
      </c>
      <c r="N1505" s="630" t="s">
        <v>543</v>
      </c>
      <c r="O1505" s="630" t="s">
        <v>382</v>
      </c>
      <c r="P1505" s="630"/>
      <c r="Q1505" s="630"/>
      <c r="R1505" s="630"/>
      <c r="S1505" s="630" t="s">
        <v>570</v>
      </c>
      <c r="T1505" s="630"/>
      <c r="U1505" s="630" t="s">
        <v>538</v>
      </c>
      <c r="V1505" s="630">
        <v>2</v>
      </c>
      <c r="W1505" s="630" t="s">
        <v>545</v>
      </c>
      <c r="X1505" s="630" t="s">
        <v>575</v>
      </c>
      <c r="Y1505" s="630" t="s">
        <v>540</v>
      </c>
      <c r="Z1505" s="630">
        <v>0.53015999999999996</v>
      </c>
      <c r="AA1505" s="630">
        <v>0.85321100000000005</v>
      </c>
      <c r="AB1505" s="631">
        <v>1477806</v>
      </c>
      <c r="AC1505" s="631">
        <v>73126733</v>
      </c>
      <c r="AD1505" s="631">
        <f t="shared" si="23"/>
        <v>38768868.767279997</v>
      </c>
    </row>
    <row r="1506" spans="2:30" x14ac:dyDescent="0.15">
      <c r="B1506" s="630">
        <v>17031002093</v>
      </c>
      <c r="C1506" s="630">
        <v>17031000566</v>
      </c>
      <c r="D1506" s="630">
        <v>17031000565</v>
      </c>
      <c r="E1506" s="630" t="s">
        <v>533</v>
      </c>
      <c r="F1506" s="630" t="s">
        <v>534</v>
      </c>
      <c r="G1506" s="630" t="s">
        <v>365</v>
      </c>
      <c r="H1506" s="630" t="s">
        <v>382</v>
      </c>
      <c r="I1506" s="630"/>
      <c r="J1506" s="630" t="s">
        <v>547</v>
      </c>
      <c r="K1506" s="630"/>
      <c r="L1506" s="630"/>
      <c r="M1506" s="630"/>
      <c r="N1506" s="630"/>
      <c r="O1506" s="630"/>
      <c r="P1506" s="630"/>
      <c r="Q1506" s="630"/>
      <c r="R1506" s="630"/>
      <c r="S1506" s="630" t="s">
        <v>583</v>
      </c>
      <c r="T1506" s="630"/>
      <c r="U1506" s="630" t="s">
        <v>538</v>
      </c>
      <c r="V1506" s="630">
        <v>4</v>
      </c>
      <c r="W1506" s="630" t="s">
        <v>545</v>
      </c>
      <c r="X1506" s="630" t="s">
        <v>541</v>
      </c>
      <c r="Y1506" s="630" t="s">
        <v>540</v>
      </c>
      <c r="Z1506" s="630">
        <v>1.2385390000000001</v>
      </c>
      <c r="AA1506" s="630">
        <v>1.993239</v>
      </c>
      <c r="AB1506" s="631">
        <v>0</v>
      </c>
      <c r="AC1506" s="631">
        <v>0</v>
      </c>
      <c r="AD1506" s="631">
        <f t="shared" si="23"/>
        <v>0</v>
      </c>
    </row>
    <row r="1507" spans="2:30" x14ac:dyDescent="0.15">
      <c r="B1507" s="630">
        <v>17097002132</v>
      </c>
      <c r="C1507" s="630">
        <v>17097004532</v>
      </c>
      <c r="D1507" s="630">
        <v>17097000056</v>
      </c>
      <c r="E1507" s="630" t="s">
        <v>533</v>
      </c>
      <c r="F1507" s="630" t="s">
        <v>534</v>
      </c>
      <c r="G1507" s="630" t="s">
        <v>373</v>
      </c>
      <c r="H1507" s="630" t="s">
        <v>552</v>
      </c>
      <c r="I1507" s="630"/>
      <c r="J1507" s="630" t="s">
        <v>547</v>
      </c>
      <c r="K1507" s="630" t="s">
        <v>563</v>
      </c>
      <c r="L1507" s="630"/>
      <c r="M1507" s="630"/>
      <c r="N1507" s="630"/>
      <c r="O1507" s="630"/>
      <c r="P1507" s="630"/>
      <c r="Q1507" s="630"/>
      <c r="R1507" s="630"/>
      <c r="S1507" s="630" t="s">
        <v>629</v>
      </c>
      <c r="T1507" s="630"/>
      <c r="U1507" s="630" t="s">
        <v>538</v>
      </c>
      <c r="V1507" s="630">
        <v>1</v>
      </c>
      <c r="W1507" s="630" t="s">
        <v>582</v>
      </c>
      <c r="X1507" s="630" t="s">
        <v>554</v>
      </c>
      <c r="Y1507" s="630" t="s">
        <v>540</v>
      </c>
      <c r="Z1507" s="630">
        <v>1.969595</v>
      </c>
      <c r="AA1507" s="630">
        <v>3.169762</v>
      </c>
      <c r="AB1507" s="631">
        <v>27538</v>
      </c>
      <c r="AC1507" s="631">
        <v>2609253</v>
      </c>
      <c r="AD1507" s="631">
        <f t="shared" si="23"/>
        <v>5139171.6625349997</v>
      </c>
    </row>
    <row r="1508" spans="2:30" x14ac:dyDescent="0.15">
      <c r="B1508" s="630">
        <v>17097002160</v>
      </c>
      <c r="C1508" s="630">
        <v>17097007465</v>
      </c>
      <c r="D1508" s="630">
        <v>17999018890</v>
      </c>
      <c r="E1508" s="630" t="s">
        <v>533</v>
      </c>
      <c r="F1508" s="630" t="s">
        <v>534</v>
      </c>
      <c r="G1508" s="630" t="s">
        <v>373</v>
      </c>
      <c r="H1508" s="630" t="s">
        <v>382</v>
      </c>
      <c r="I1508" s="630"/>
      <c r="J1508" s="630" t="s">
        <v>547</v>
      </c>
      <c r="K1508" s="630"/>
      <c r="L1508" s="630"/>
      <c r="M1508" s="630"/>
      <c r="N1508" s="630"/>
      <c r="O1508" s="630"/>
      <c r="P1508" s="630"/>
      <c r="Q1508" s="630"/>
      <c r="R1508" s="630"/>
      <c r="S1508" s="630" t="s">
        <v>608</v>
      </c>
      <c r="T1508" s="630"/>
      <c r="U1508" s="630" t="s">
        <v>538</v>
      </c>
      <c r="V1508" s="630">
        <v>2</v>
      </c>
      <c r="W1508" s="630" t="s">
        <v>566</v>
      </c>
      <c r="X1508" s="630" t="s">
        <v>549</v>
      </c>
      <c r="Y1508" s="630" t="s">
        <v>549</v>
      </c>
      <c r="Z1508" s="630">
        <v>3.247544</v>
      </c>
      <c r="AA1508" s="630">
        <v>5.226426</v>
      </c>
      <c r="AB1508" s="631">
        <v>9672</v>
      </c>
      <c r="AC1508" s="631">
        <v>874093</v>
      </c>
      <c r="AD1508" s="631">
        <f t="shared" si="23"/>
        <v>2838655.4775919998</v>
      </c>
    </row>
    <row r="1509" spans="2:30" x14ac:dyDescent="0.15">
      <c r="B1509" s="630">
        <v>17031003115</v>
      </c>
      <c r="C1509" s="630">
        <v>17031001166</v>
      </c>
      <c r="D1509" s="630">
        <v>17031001100</v>
      </c>
      <c r="E1509" s="630" t="s">
        <v>533</v>
      </c>
      <c r="F1509" s="630" t="s">
        <v>534</v>
      </c>
      <c r="G1509" s="630" t="s">
        <v>365</v>
      </c>
      <c r="H1509" s="630" t="s">
        <v>535</v>
      </c>
      <c r="I1509" s="630"/>
      <c r="J1509" s="630"/>
      <c r="K1509" s="630"/>
      <c r="L1509" s="630"/>
      <c r="M1509" s="630"/>
      <c r="N1509" s="630"/>
      <c r="O1509" s="630"/>
      <c r="P1509" s="630"/>
      <c r="Q1509" s="630"/>
      <c r="R1509" s="630"/>
      <c r="S1509" s="630" t="s">
        <v>597</v>
      </c>
      <c r="T1509" s="630"/>
      <c r="U1509" s="630" t="s">
        <v>538</v>
      </c>
      <c r="V1509" s="630">
        <v>1</v>
      </c>
      <c r="W1509" s="630" t="s">
        <v>539</v>
      </c>
      <c r="X1509" s="630" t="s">
        <v>541</v>
      </c>
      <c r="Y1509" s="630" t="s">
        <v>554</v>
      </c>
      <c r="Z1509" s="630">
        <v>1.2001109999999999</v>
      </c>
      <c r="AA1509" s="630">
        <v>1.9313959999999999</v>
      </c>
      <c r="AB1509" s="631">
        <v>5840</v>
      </c>
      <c r="AC1509" s="631">
        <v>552320</v>
      </c>
      <c r="AD1509" s="631">
        <f t="shared" si="23"/>
        <v>662845.30751999991</v>
      </c>
    </row>
    <row r="1510" spans="2:30" x14ac:dyDescent="0.15">
      <c r="B1510" s="630">
        <v>17031003581</v>
      </c>
      <c r="C1510" s="630">
        <v>17031007797</v>
      </c>
      <c r="D1510" s="630">
        <v>17031000944</v>
      </c>
      <c r="E1510" s="630" t="s">
        <v>533</v>
      </c>
      <c r="F1510" s="630" t="s">
        <v>534</v>
      </c>
      <c r="G1510" s="630" t="s">
        <v>365</v>
      </c>
      <c r="H1510" s="630" t="s">
        <v>557</v>
      </c>
      <c r="I1510" s="630"/>
      <c r="J1510" s="630" t="s">
        <v>381</v>
      </c>
      <c r="K1510" s="630" t="s">
        <v>535</v>
      </c>
      <c r="L1510" s="630" t="s">
        <v>552</v>
      </c>
      <c r="M1510" s="630" t="s">
        <v>551</v>
      </c>
      <c r="N1510" s="630" t="s">
        <v>543</v>
      </c>
      <c r="O1510" s="630" t="s">
        <v>382</v>
      </c>
      <c r="P1510" s="630"/>
      <c r="Q1510" s="630"/>
      <c r="R1510" s="630"/>
      <c r="S1510" s="630" t="s">
        <v>570</v>
      </c>
      <c r="T1510" s="630"/>
      <c r="U1510" s="630" t="s">
        <v>538</v>
      </c>
      <c r="V1510" s="630">
        <v>2</v>
      </c>
      <c r="W1510" s="630" t="s">
        <v>545</v>
      </c>
      <c r="X1510" s="630" t="s">
        <v>575</v>
      </c>
      <c r="Y1510" s="630" t="s">
        <v>540</v>
      </c>
      <c r="Z1510" s="630">
        <v>0.47727700000000001</v>
      </c>
      <c r="AA1510" s="630">
        <v>0.76810400000000001</v>
      </c>
      <c r="AB1510" s="631">
        <v>1721663</v>
      </c>
      <c r="AC1510" s="631">
        <v>55339553</v>
      </c>
      <c r="AD1510" s="631">
        <f t="shared" si="23"/>
        <v>26412295.837181002</v>
      </c>
    </row>
    <row r="1511" spans="2:30" x14ac:dyDescent="0.15">
      <c r="B1511" s="630">
        <v>17031004270</v>
      </c>
      <c r="C1511" s="630">
        <v>17031000802</v>
      </c>
      <c r="D1511" s="630">
        <v>17031007918</v>
      </c>
      <c r="E1511" s="630" t="s">
        <v>533</v>
      </c>
      <c r="F1511" s="630" t="s">
        <v>534</v>
      </c>
      <c r="G1511" s="630" t="s">
        <v>365</v>
      </c>
      <c r="H1511" s="630" t="s">
        <v>543</v>
      </c>
      <c r="I1511" s="630"/>
      <c r="J1511" s="630" t="s">
        <v>382</v>
      </c>
      <c r="K1511" s="630"/>
      <c r="L1511" s="630"/>
      <c r="M1511" s="630"/>
      <c r="N1511" s="630"/>
      <c r="O1511" s="630"/>
      <c r="P1511" s="630"/>
      <c r="Q1511" s="630"/>
      <c r="R1511" s="630"/>
      <c r="S1511" s="630" t="s">
        <v>639</v>
      </c>
      <c r="T1511" s="630" t="s">
        <v>702</v>
      </c>
      <c r="U1511" s="630" t="s">
        <v>538</v>
      </c>
      <c r="V1511" s="630">
        <v>2</v>
      </c>
      <c r="W1511" s="630" t="s">
        <v>560</v>
      </c>
      <c r="X1511" s="630" t="s">
        <v>540</v>
      </c>
      <c r="Y1511" s="630" t="s">
        <v>541</v>
      </c>
      <c r="Z1511" s="630">
        <v>1.1205290000000001</v>
      </c>
      <c r="AA1511" s="630">
        <v>1.80332</v>
      </c>
      <c r="AB1511" s="631">
        <v>2733953</v>
      </c>
      <c r="AC1511" s="631">
        <v>73726359</v>
      </c>
      <c r="AD1511" s="631">
        <f t="shared" si="23"/>
        <v>82612523.323911011</v>
      </c>
    </row>
    <row r="1512" spans="2:30" x14ac:dyDescent="0.15">
      <c r="B1512" s="630">
        <v>17031004842</v>
      </c>
      <c r="C1512" s="630">
        <v>17031001215</v>
      </c>
      <c r="D1512" s="630">
        <v>17031001228</v>
      </c>
      <c r="E1512" s="630" t="s">
        <v>533</v>
      </c>
      <c r="F1512" s="630" t="s">
        <v>534</v>
      </c>
      <c r="G1512" s="630" t="s">
        <v>365</v>
      </c>
      <c r="H1512" s="630" t="s">
        <v>577</v>
      </c>
      <c r="I1512" s="630"/>
      <c r="J1512" s="630"/>
      <c r="K1512" s="630"/>
      <c r="L1512" s="630"/>
      <c r="M1512" s="630"/>
      <c r="N1512" s="630"/>
      <c r="O1512" s="630"/>
      <c r="P1512" s="630"/>
      <c r="Q1512" s="630"/>
      <c r="R1512" s="630"/>
      <c r="S1512" s="630"/>
      <c r="T1512" s="630"/>
      <c r="U1512" s="630" t="s">
        <v>559</v>
      </c>
      <c r="V1512" s="630">
        <v>1</v>
      </c>
      <c r="W1512" s="630" t="s">
        <v>560</v>
      </c>
      <c r="X1512" s="630" t="s">
        <v>541</v>
      </c>
      <c r="Y1512" s="630" t="s">
        <v>541</v>
      </c>
      <c r="Z1512" s="630">
        <v>1.2626949999999999</v>
      </c>
      <c r="AA1512" s="630">
        <v>2.032114</v>
      </c>
      <c r="AB1512" s="631">
        <v>0</v>
      </c>
      <c r="AC1512" s="631">
        <v>0</v>
      </c>
      <c r="AD1512" s="631">
        <f t="shared" si="23"/>
        <v>0</v>
      </c>
    </row>
    <row r="1513" spans="2:30" x14ac:dyDescent="0.15">
      <c r="B1513" s="630">
        <v>17031006169</v>
      </c>
      <c r="C1513" s="630">
        <v>17031000688</v>
      </c>
      <c r="D1513" s="630">
        <v>17031000684</v>
      </c>
      <c r="E1513" s="630" t="s">
        <v>533</v>
      </c>
      <c r="F1513" s="630" t="s">
        <v>534</v>
      </c>
      <c r="G1513" s="630" t="s">
        <v>365</v>
      </c>
      <c r="H1513" s="630" t="s">
        <v>381</v>
      </c>
      <c r="I1513" s="630"/>
      <c r="J1513" s="630"/>
      <c r="K1513" s="630"/>
      <c r="L1513" s="630"/>
      <c r="M1513" s="630"/>
      <c r="N1513" s="630"/>
      <c r="O1513" s="630"/>
      <c r="P1513" s="630"/>
      <c r="Q1513" s="630"/>
      <c r="R1513" s="630"/>
      <c r="S1513" s="630"/>
      <c r="T1513" s="630"/>
      <c r="U1513" s="630" t="s">
        <v>559</v>
      </c>
      <c r="V1513" s="630">
        <v>1</v>
      </c>
      <c r="W1513" s="630" t="s">
        <v>560</v>
      </c>
      <c r="X1513" s="630" t="s">
        <v>541</v>
      </c>
      <c r="Y1513" s="630" t="s">
        <v>541</v>
      </c>
      <c r="Z1513" s="630">
        <v>0.31592700000000001</v>
      </c>
      <c r="AA1513" s="630">
        <v>0.50843499999999997</v>
      </c>
      <c r="AB1513" s="631">
        <v>0</v>
      </c>
      <c r="AC1513" s="631">
        <v>0</v>
      </c>
      <c r="AD1513" s="631">
        <f t="shared" si="23"/>
        <v>0</v>
      </c>
    </row>
    <row r="1514" spans="2:30" x14ac:dyDescent="0.15">
      <c r="B1514" s="630">
        <v>17031006192</v>
      </c>
      <c r="C1514" s="630">
        <v>17031001113</v>
      </c>
      <c r="D1514" s="630">
        <v>17031004741</v>
      </c>
      <c r="E1514" s="630" t="s">
        <v>533</v>
      </c>
      <c r="F1514" s="630" t="s">
        <v>534</v>
      </c>
      <c r="G1514" s="630" t="s">
        <v>365</v>
      </c>
      <c r="H1514" s="630" t="s">
        <v>543</v>
      </c>
      <c r="I1514" s="630"/>
      <c r="J1514" s="630"/>
      <c r="K1514" s="630"/>
      <c r="L1514" s="630"/>
      <c r="M1514" s="630"/>
      <c r="N1514" s="630"/>
      <c r="O1514" s="630"/>
      <c r="P1514" s="630"/>
      <c r="Q1514" s="630"/>
      <c r="R1514" s="630"/>
      <c r="S1514" s="630" t="s">
        <v>604</v>
      </c>
      <c r="T1514" s="630"/>
      <c r="U1514" s="630" t="s">
        <v>538</v>
      </c>
      <c r="V1514" s="630">
        <v>1</v>
      </c>
      <c r="W1514" s="630" t="s">
        <v>545</v>
      </c>
      <c r="X1514" s="630" t="s">
        <v>546</v>
      </c>
      <c r="Y1514" s="630" t="s">
        <v>554</v>
      </c>
      <c r="Z1514" s="630">
        <v>8.8622999999999993E-2</v>
      </c>
      <c r="AA1514" s="630">
        <v>0.142625</v>
      </c>
      <c r="AB1514" s="631">
        <v>0</v>
      </c>
      <c r="AC1514" s="631">
        <v>0</v>
      </c>
      <c r="AD1514" s="631">
        <f t="shared" si="23"/>
        <v>0</v>
      </c>
    </row>
    <row r="1515" spans="2:30" x14ac:dyDescent="0.15">
      <c r="B1515" s="630">
        <v>17093009943</v>
      </c>
      <c r="C1515" s="630">
        <v>17093008041</v>
      </c>
      <c r="D1515" s="630">
        <v>17093001210</v>
      </c>
      <c r="E1515" s="630" t="s">
        <v>533</v>
      </c>
      <c r="F1515" s="630" t="s">
        <v>534</v>
      </c>
      <c r="G1515" s="630" t="s">
        <v>371</v>
      </c>
      <c r="H1515" s="630" t="s">
        <v>381</v>
      </c>
      <c r="I1515" s="630"/>
      <c r="J1515" s="630" t="s">
        <v>542</v>
      </c>
      <c r="K1515" s="630" t="s">
        <v>382</v>
      </c>
      <c r="L1515" s="630"/>
      <c r="M1515" s="630"/>
      <c r="N1515" s="630"/>
      <c r="O1515" s="630"/>
      <c r="P1515" s="630"/>
      <c r="Q1515" s="630"/>
      <c r="R1515" s="630"/>
      <c r="S1515" s="630" t="s">
        <v>619</v>
      </c>
      <c r="T1515" s="630"/>
      <c r="U1515" s="630" t="s">
        <v>538</v>
      </c>
      <c r="V1515" s="630">
        <v>2</v>
      </c>
      <c r="W1515" s="630" t="s">
        <v>545</v>
      </c>
      <c r="X1515" s="630" t="s">
        <v>580</v>
      </c>
      <c r="Y1515" s="630" t="s">
        <v>549</v>
      </c>
      <c r="Z1515" s="630">
        <v>1.2420869999999999</v>
      </c>
      <c r="AA1515" s="630">
        <v>1.9989490000000001</v>
      </c>
      <c r="AB1515" s="631">
        <v>345346</v>
      </c>
      <c r="AC1515" s="631">
        <v>23246524</v>
      </c>
      <c r="AD1515" s="631">
        <f t="shared" si="23"/>
        <v>28874205.255587999</v>
      </c>
    </row>
    <row r="1516" spans="2:30" x14ac:dyDescent="0.15">
      <c r="B1516" s="630">
        <v>17097001931</v>
      </c>
      <c r="C1516" s="630">
        <v>17097000097</v>
      </c>
      <c r="D1516" s="630">
        <v>17097000080</v>
      </c>
      <c r="E1516" s="630" t="s">
        <v>533</v>
      </c>
      <c r="F1516" s="630" t="s">
        <v>534</v>
      </c>
      <c r="G1516" s="630" t="s">
        <v>373</v>
      </c>
      <c r="H1516" s="630" t="s">
        <v>382</v>
      </c>
      <c r="I1516" s="630"/>
      <c r="J1516" s="630" t="s">
        <v>535</v>
      </c>
      <c r="K1516" s="630"/>
      <c r="L1516" s="630"/>
      <c r="M1516" s="630"/>
      <c r="N1516" s="630"/>
      <c r="O1516" s="630"/>
      <c r="P1516" s="630"/>
      <c r="Q1516" s="630"/>
      <c r="R1516" s="630"/>
      <c r="S1516" s="630" t="s">
        <v>703</v>
      </c>
      <c r="T1516" s="630"/>
      <c r="U1516" s="630" t="s">
        <v>538</v>
      </c>
      <c r="V1516" s="630">
        <v>1</v>
      </c>
      <c r="W1516" s="630" t="s">
        <v>582</v>
      </c>
      <c r="X1516" s="630" t="s">
        <v>540</v>
      </c>
      <c r="Y1516" s="630" t="s">
        <v>540</v>
      </c>
      <c r="Z1516" s="630">
        <v>2.0672169999999999</v>
      </c>
      <c r="AA1516" s="630">
        <v>3.32687</v>
      </c>
      <c r="AB1516" s="631">
        <v>11334</v>
      </c>
      <c r="AC1516" s="631">
        <v>1200930</v>
      </c>
      <c r="AD1516" s="631">
        <f t="shared" si="23"/>
        <v>2482582.91181</v>
      </c>
    </row>
    <row r="1517" spans="2:30" x14ac:dyDescent="0.15">
      <c r="B1517" s="630">
        <v>17031004241</v>
      </c>
      <c r="C1517" s="630">
        <v>17031001164</v>
      </c>
      <c r="D1517" s="630">
        <v>17031001153</v>
      </c>
      <c r="E1517" s="630" t="s">
        <v>533</v>
      </c>
      <c r="F1517" s="630" t="s">
        <v>534</v>
      </c>
      <c r="G1517" s="630" t="s">
        <v>365</v>
      </c>
      <c r="H1517" s="630" t="s">
        <v>547</v>
      </c>
      <c r="I1517" s="630"/>
      <c r="J1517" s="630" t="s">
        <v>543</v>
      </c>
      <c r="K1517" s="630"/>
      <c r="L1517" s="630"/>
      <c r="M1517" s="630"/>
      <c r="N1517" s="630"/>
      <c r="O1517" s="630"/>
      <c r="P1517" s="630"/>
      <c r="Q1517" s="630"/>
      <c r="R1517" s="630"/>
      <c r="S1517" s="630" t="s">
        <v>602</v>
      </c>
      <c r="T1517" s="630"/>
      <c r="U1517" s="630" t="s">
        <v>538</v>
      </c>
      <c r="V1517" s="630">
        <v>2</v>
      </c>
      <c r="W1517" s="630" t="s">
        <v>582</v>
      </c>
      <c r="X1517" s="630" t="s">
        <v>541</v>
      </c>
      <c r="Y1517" s="630" t="s">
        <v>540</v>
      </c>
      <c r="Z1517" s="630">
        <v>0.21712600000000001</v>
      </c>
      <c r="AA1517" s="630">
        <v>0.34943200000000002</v>
      </c>
      <c r="AB1517" s="631">
        <v>320</v>
      </c>
      <c r="AC1517" s="631">
        <v>23200</v>
      </c>
      <c r="AD1517" s="631">
        <f t="shared" si="23"/>
        <v>5037.3232000000007</v>
      </c>
    </row>
    <row r="1518" spans="2:30" x14ac:dyDescent="0.15">
      <c r="B1518" s="630">
        <v>17031006355</v>
      </c>
      <c r="C1518" s="630">
        <v>17031000484</v>
      </c>
      <c r="D1518" s="630">
        <v>17031004641</v>
      </c>
      <c r="E1518" s="630" t="s">
        <v>533</v>
      </c>
      <c r="F1518" s="630" t="s">
        <v>534</v>
      </c>
      <c r="G1518" s="630" t="s">
        <v>365</v>
      </c>
      <c r="H1518" s="630" t="s">
        <v>552</v>
      </c>
      <c r="I1518" s="630"/>
      <c r="J1518" s="630" t="s">
        <v>551</v>
      </c>
      <c r="K1518" s="630" t="s">
        <v>547</v>
      </c>
      <c r="L1518" s="630" t="s">
        <v>382</v>
      </c>
      <c r="M1518" s="630" t="s">
        <v>563</v>
      </c>
      <c r="N1518" s="630"/>
      <c r="O1518" s="630"/>
      <c r="P1518" s="630"/>
      <c r="Q1518" s="630"/>
      <c r="R1518" s="630"/>
      <c r="S1518" s="630" t="s">
        <v>589</v>
      </c>
      <c r="T1518" s="630" t="s">
        <v>691</v>
      </c>
      <c r="U1518" s="630" t="s">
        <v>538</v>
      </c>
      <c r="V1518" s="630">
        <v>3</v>
      </c>
      <c r="W1518" s="630" t="s">
        <v>545</v>
      </c>
      <c r="X1518" s="630" t="s">
        <v>549</v>
      </c>
      <c r="Y1518" s="630" t="s">
        <v>549</v>
      </c>
      <c r="Z1518" s="630">
        <v>0.44048100000000001</v>
      </c>
      <c r="AA1518" s="630">
        <v>0.70888700000000004</v>
      </c>
      <c r="AB1518" s="631">
        <v>313574</v>
      </c>
      <c r="AC1518" s="631">
        <v>20645328</v>
      </c>
      <c r="AD1518" s="631">
        <f t="shared" si="23"/>
        <v>9093874.7227679994</v>
      </c>
    </row>
    <row r="1519" spans="2:30" x14ac:dyDescent="0.15">
      <c r="B1519" s="630">
        <v>17031006458</v>
      </c>
      <c r="C1519" s="630">
        <v>17031001453</v>
      </c>
      <c r="D1519" s="630">
        <v>17031001449</v>
      </c>
      <c r="E1519" s="630" t="s">
        <v>533</v>
      </c>
      <c r="F1519" s="630" t="s">
        <v>534</v>
      </c>
      <c r="G1519" s="630" t="s">
        <v>365</v>
      </c>
      <c r="H1519" s="630" t="s">
        <v>551</v>
      </c>
      <c r="I1519" s="630"/>
      <c r="J1519" s="630"/>
      <c r="K1519" s="630"/>
      <c r="L1519" s="630"/>
      <c r="M1519" s="630"/>
      <c r="N1519" s="630"/>
      <c r="O1519" s="630"/>
      <c r="P1519" s="630"/>
      <c r="Q1519" s="630"/>
      <c r="R1519" s="630"/>
      <c r="S1519" s="630"/>
      <c r="T1519" s="630"/>
      <c r="U1519" s="630" t="s">
        <v>559</v>
      </c>
      <c r="V1519" s="630">
        <v>1</v>
      </c>
      <c r="W1519" s="630" t="s">
        <v>560</v>
      </c>
      <c r="X1519" s="630" t="s">
        <v>541</v>
      </c>
      <c r="Y1519" s="630" t="s">
        <v>541</v>
      </c>
      <c r="Z1519" s="630">
        <v>0.16144500000000001</v>
      </c>
      <c r="AA1519" s="630">
        <v>0.25982</v>
      </c>
      <c r="AB1519" s="631">
        <v>0</v>
      </c>
      <c r="AC1519" s="631">
        <v>0</v>
      </c>
      <c r="AD1519" s="631">
        <f t="shared" si="23"/>
        <v>0</v>
      </c>
    </row>
    <row r="1520" spans="2:30" x14ac:dyDescent="0.15">
      <c r="B1520" s="630">
        <v>17031002333</v>
      </c>
      <c r="C1520" s="630">
        <v>17031001543</v>
      </c>
      <c r="D1520" s="630">
        <v>17031001489</v>
      </c>
      <c r="E1520" s="630" t="s">
        <v>533</v>
      </c>
      <c r="F1520" s="630" t="s">
        <v>534</v>
      </c>
      <c r="G1520" s="630" t="s">
        <v>365</v>
      </c>
      <c r="H1520" s="630" t="s">
        <v>382</v>
      </c>
      <c r="I1520" s="630"/>
      <c r="J1520" s="630" t="s">
        <v>551</v>
      </c>
      <c r="K1520" s="630" t="s">
        <v>555</v>
      </c>
      <c r="L1520" s="630" t="s">
        <v>552</v>
      </c>
      <c r="M1520" s="630"/>
      <c r="N1520" s="630"/>
      <c r="O1520" s="630"/>
      <c r="P1520" s="630"/>
      <c r="Q1520" s="630"/>
      <c r="R1520" s="630"/>
      <c r="S1520" s="630" t="s">
        <v>556</v>
      </c>
      <c r="T1520" s="630"/>
      <c r="U1520" s="630" t="s">
        <v>538</v>
      </c>
      <c r="V1520" s="630">
        <v>2</v>
      </c>
      <c r="W1520" s="630" t="s">
        <v>545</v>
      </c>
      <c r="X1520" s="630" t="s">
        <v>580</v>
      </c>
      <c r="Y1520" s="630" t="s">
        <v>540</v>
      </c>
      <c r="Z1520" s="630">
        <v>1.4970330000000001</v>
      </c>
      <c r="AA1520" s="630">
        <v>2.409246</v>
      </c>
      <c r="AB1520" s="631">
        <v>863416</v>
      </c>
      <c r="AC1520" s="631">
        <v>33596941</v>
      </c>
      <c r="AD1520" s="631">
        <f t="shared" si="23"/>
        <v>50295729.376053005</v>
      </c>
    </row>
    <row r="1521" spans="2:30" x14ac:dyDescent="0.15">
      <c r="B1521" s="630">
        <v>17111002558</v>
      </c>
      <c r="C1521" s="630">
        <v>17111004841</v>
      </c>
      <c r="D1521" s="630">
        <v>17111000158</v>
      </c>
      <c r="E1521" s="630" t="s">
        <v>533</v>
      </c>
      <c r="F1521" s="630" t="s">
        <v>534</v>
      </c>
      <c r="G1521" s="630" t="s">
        <v>375</v>
      </c>
      <c r="H1521" s="630" t="s">
        <v>678</v>
      </c>
      <c r="I1521" s="630"/>
      <c r="J1521" s="630"/>
      <c r="K1521" s="630"/>
      <c r="L1521" s="630"/>
      <c r="M1521" s="630"/>
      <c r="N1521" s="630"/>
      <c r="O1521" s="630"/>
      <c r="P1521" s="630"/>
      <c r="Q1521" s="630"/>
      <c r="R1521" s="630"/>
      <c r="S1521" s="630"/>
      <c r="T1521" s="630"/>
      <c r="U1521" s="630" t="s">
        <v>538</v>
      </c>
      <c r="V1521" s="630">
        <v>1</v>
      </c>
      <c r="W1521" s="630" t="s">
        <v>560</v>
      </c>
      <c r="X1521" s="630" t="s">
        <v>541</v>
      </c>
      <c r="Y1521" s="630" t="s">
        <v>541</v>
      </c>
      <c r="Z1521" s="630">
        <v>0.14360500000000001</v>
      </c>
      <c r="AA1521" s="630">
        <v>0.23111100000000001</v>
      </c>
      <c r="AB1521" s="631">
        <v>0</v>
      </c>
      <c r="AC1521" s="631">
        <v>0</v>
      </c>
      <c r="AD1521" s="631">
        <f t="shared" si="23"/>
        <v>0</v>
      </c>
    </row>
    <row r="1522" spans="2:30" x14ac:dyDescent="0.15">
      <c r="B1522" s="630">
        <v>17197002637</v>
      </c>
      <c r="C1522" s="630">
        <v>17999026478</v>
      </c>
      <c r="D1522" s="630">
        <v>17197001810</v>
      </c>
      <c r="E1522" s="630" t="s">
        <v>533</v>
      </c>
      <c r="F1522" s="630" t="s">
        <v>534</v>
      </c>
      <c r="G1522" s="630" t="s">
        <v>377</v>
      </c>
      <c r="H1522" s="630" t="s">
        <v>382</v>
      </c>
      <c r="I1522" s="630"/>
      <c r="J1522" s="630" t="s">
        <v>542</v>
      </c>
      <c r="K1522" s="630"/>
      <c r="L1522" s="630"/>
      <c r="M1522" s="630"/>
      <c r="N1522" s="630"/>
      <c r="O1522" s="630"/>
      <c r="P1522" s="630"/>
      <c r="Q1522" s="630"/>
      <c r="R1522" s="630"/>
      <c r="S1522" s="630" t="s">
        <v>606</v>
      </c>
      <c r="T1522" s="630"/>
      <c r="U1522" s="630" t="s">
        <v>538</v>
      </c>
      <c r="V1522" s="630">
        <v>1</v>
      </c>
      <c r="W1522" s="630" t="s">
        <v>545</v>
      </c>
      <c r="X1522" s="630" t="s">
        <v>541</v>
      </c>
      <c r="Y1522" s="630" t="s">
        <v>549</v>
      </c>
      <c r="Z1522" s="630">
        <v>1.058281</v>
      </c>
      <c r="AA1522" s="630">
        <v>1.7031419999999999</v>
      </c>
      <c r="AB1522" s="631">
        <v>0</v>
      </c>
      <c r="AC1522" s="631">
        <v>0</v>
      </c>
      <c r="AD1522" s="631">
        <f t="shared" si="23"/>
        <v>0</v>
      </c>
    </row>
    <row r="1523" spans="2:30" x14ac:dyDescent="0.15">
      <c r="B1523" s="630">
        <v>17097003237</v>
      </c>
      <c r="C1523" s="630">
        <v>17097004543</v>
      </c>
      <c r="D1523" s="630">
        <v>17097000097</v>
      </c>
      <c r="E1523" s="630" t="s">
        <v>533</v>
      </c>
      <c r="F1523" s="630" t="s">
        <v>534</v>
      </c>
      <c r="G1523" s="630" t="s">
        <v>373</v>
      </c>
      <c r="H1523" s="630" t="s">
        <v>382</v>
      </c>
      <c r="I1523" s="630"/>
      <c r="J1523" s="630" t="s">
        <v>535</v>
      </c>
      <c r="K1523" s="630"/>
      <c r="L1523" s="630"/>
      <c r="M1523" s="630"/>
      <c r="N1523" s="630"/>
      <c r="O1523" s="630"/>
      <c r="P1523" s="630"/>
      <c r="Q1523" s="630"/>
      <c r="R1523" s="630"/>
      <c r="S1523" s="630" t="s">
        <v>586</v>
      </c>
      <c r="T1523" s="630"/>
      <c r="U1523" s="630" t="s">
        <v>538</v>
      </c>
      <c r="V1523" s="630">
        <v>2</v>
      </c>
      <c r="W1523" s="630" t="s">
        <v>582</v>
      </c>
      <c r="X1523" s="630" t="s">
        <v>549</v>
      </c>
      <c r="Y1523" s="630" t="s">
        <v>549</v>
      </c>
      <c r="Z1523" s="630">
        <v>0.59916100000000005</v>
      </c>
      <c r="AA1523" s="630">
        <v>0.96425799999999995</v>
      </c>
      <c r="AB1523" s="631">
        <v>92223</v>
      </c>
      <c r="AC1523" s="631">
        <v>10277729</v>
      </c>
      <c r="AD1523" s="631">
        <f t="shared" si="23"/>
        <v>6158014.385369001</v>
      </c>
    </row>
    <row r="1524" spans="2:30" x14ac:dyDescent="0.15">
      <c r="B1524" s="630">
        <v>17031003782</v>
      </c>
      <c r="C1524" s="630">
        <v>17031000698</v>
      </c>
      <c r="D1524" s="630">
        <v>17031000668</v>
      </c>
      <c r="E1524" s="630" t="s">
        <v>533</v>
      </c>
      <c r="F1524" s="630" t="s">
        <v>534</v>
      </c>
      <c r="G1524" s="630" t="s">
        <v>365</v>
      </c>
      <c r="H1524" s="630" t="s">
        <v>535</v>
      </c>
      <c r="I1524" s="630"/>
      <c r="J1524" s="630" t="s">
        <v>572</v>
      </c>
      <c r="K1524" s="630"/>
      <c r="L1524" s="630"/>
      <c r="M1524" s="630"/>
      <c r="N1524" s="630"/>
      <c r="O1524" s="630"/>
      <c r="P1524" s="630"/>
      <c r="Q1524" s="630"/>
      <c r="R1524" s="630"/>
      <c r="S1524" s="630" t="s">
        <v>624</v>
      </c>
      <c r="T1524" s="630"/>
      <c r="U1524" s="630" t="s">
        <v>538</v>
      </c>
      <c r="V1524" s="630">
        <v>2</v>
      </c>
      <c r="W1524" s="630" t="s">
        <v>582</v>
      </c>
      <c r="X1524" s="630" t="s">
        <v>540</v>
      </c>
      <c r="Y1524" s="630" t="s">
        <v>541</v>
      </c>
      <c r="Z1524" s="630">
        <v>0.72874700000000003</v>
      </c>
      <c r="AA1524" s="630">
        <v>1.1728080000000001</v>
      </c>
      <c r="AB1524" s="631">
        <v>840</v>
      </c>
      <c r="AC1524" s="631">
        <v>81960</v>
      </c>
      <c r="AD1524" s="631">
        <f t="shared" si="23"/>
        <v>59728.104120000004</v>
      </c>
    </row>
    <row r="1525" spans="2:30" x14ac:dyDescent="0.15">
      <c r="B1525" s="630">
        <v>17031006273</v>
      </c>
      <c r="C1525" s="630">
        <v>17031000910</v>
      </c>
      <c r="D1525" s="630">
        <v>17031000914</v>
      </c>
      <c r="E1525" s="630" t="s">
        <v>533</v>
      </c>
      <c r="F1525" s="630" t="s">
        <v>534</v>
      </c>
      <c r="G1525" s="630" t="s">
        <v>365</v>
      </c>
      <c r="H1525" s="630" t="s">
        <v>557</v>
      </c>
      <c r="I1525" s="630"/>
      <c r="J1525" s="630" t="s">
        <v>535</v>
      </c>
      <c r="K1525" s="630" t="s">
        <v>382</v>
      </c>
      <c r="L1525" s="630" t="s">
        <v>552</v>
      </c>
      <c r="M1525" s="630" t="s">
        <v>381</v>
      </c>
      <c r="N1525" s="630"/>
      <c r="O1525" s="630"/>
      <c r="P1525" s="630"/>
      <c r="Q1525" s="630"/>
      <c r="R1525" s="630"/>
      <c r="S1525" s="630"/>
      <c r="T1525" s="630"/>
      <c r="U1525" s="630" t="s">
        <v>538</v>
      </c>
      <c r="V1525" s="630">
        <v>1</v>
      </c>
      <c r="W1525" s="630" t="s">
        <v>560</v>
      </c>
      <c r="X1525" s="630" t="s">
        <v>541</v>
      </c>
      <c r="Y1525" s="630" t="s">
        <v>541</v>
      </c>
      <c r="Z1525" s="630">
        <v>0.148925</v>
      </c>
      <c r="AA1525" s="630">
        <v>0.239671</v>
      </c>
      <c r="AB1525" s="631">
        <v>660</v>
      </c>
      <c r="AC1525" s="631">
        <v>61528</v>
      </c>
      <c r="AD1525" s="631">
        <f t="shared" si="23"/>
        <v>9163.0573999999997</v>
      </c>
    </row>
    <row r="1526" spans="2:30" x14ac:dyDescent="0.15">
      <c r="B1526" s="630">
        <v>17197007045</v>
      </c>
      <c r="C1526" s="630">
        <v>17197005594</v>
      </c>
      <c r="D1526" s="630">
        <v>17197005595</v>
      </c>
      <c r="E1526" s="630" t="s">
        <v>533</v>
      </c>
      <c r="F1526" s="630" t="s">
        <v>534</v>
      </c>
      <c r="G1526" s="630" t="s">
        <v>377</v>
      </c>
      <c r="H1526" s="630" t="s">
        <v>382</v>
      </c>
      <c r="I1526" s="630"/>
      <c r="J1526" s="630"/>
      <c r="K1526" s="630"/>
      <c r="L1526" s="630"/>
      <c r="M1526" s="630"/>
      <c r="N1526" s="630"/>
      <c r="O1526" s="630"/>
      <c r="P1526" s="630"/>
      <c r="Q1526" s="630"/>
      <c r="R1526" s="630"/>
      <c r="S1526" s="630" t="s">
        <v>592</v>
      </c>
      <c r="T1526" s="630"/>
      <c r="U1526" s="630" t="s">
        <v>559</v>
      </c>
      <c r="V1526" s="630">
        <v>1</v>
      </c>
      <c r="W1526" s="630" t="s">
        <v>539</v>
      </c>
      <c r="X1526" s="630" t="s">
        <v>541</v>
      </c>
      <c r="Y1526" s="630" t="s">
        <v>541</v>
      </c>
      <c r="Z1526" s="630">
        <v>0.644841</v>
      </c>
      <c r="AA1526" s="630">
        <v>1.0377730000000001</v>
      </c>
      <c r="AB1526" s="631">
        <v>0</v>
      </c>
      <c r="AC1526" s="631">
        <v>0</v>
      </c>
      <c r="AD1526" s="631">
        <f t="shared" si="23"/>
        <v>0</v>
      </c>
    </row>
    <row r="1527" spans="2:30" x14ac:dyDescent="0.15">
      <c r="B1527" s="630">
        <v>17031008648</v>
      </c>
      <c r="C1527" s="630">
        <v>17031006727</v>
      </c>
      <c r="D1527" s="630">
        <v>17031001228</v>
      </c>
      <c r="E1527" s="630" t="s">
        <v>533</v>
      </c>
      <c r="F1527" s="630" t="s">
        <v>534</v>
      </c>
      <c r="G1527" s="630" t="s">
        <v>365</v>
      </c>
      <c r="H1527" s="630" t="s">
        <v>577</v>
      </c>
      <c r="I1527" s="630"/>
      <c r="J1527" s="630"/>
      <c r="K1527" s="630"/>
      <c r="L1527" s="630"/>
      <c r="M1527" s="630"/>
      <c r="N1527" s="630"/>
      <c r="O1527" s="630"/>
      <c r="P1527" s="630"/>
      <c r="Q1527" s="630"/>
      <c r="R1527" s="630"/>
      <c r="S1527" s="630"/>
      <c r="T1527" s="630"/>
      <c r="U1527" s="630" t="s">
        <v>559</v>
      </c>
      <c r="V1527" s="630">
        <v>1</v>
      </c>
      <c r="W1527" s="630" t="s">
        <v>560</v>
      </c>
      <c r="X1527" s="630" t="s">
        <v>541</v>
      </c>
      <c r="Y1527" s="630" t="s">
        <v>541</v>
      </c>
      <c r="Z1527" s="630">
        <v>4.6232000000000002E-2</v>
      </c>
      <c r="AA1527" s="630">
        <v>7.4403999999999998E-2</v>
      </c>
      <c r="AB1527" s="631">
        <v>0</v>
      </c>
      <c r="AC1527" s="631">
        <v>0</v>
      </c>
      <c r="AD1527" s="631">
        <f t="shared" si="23"/>
        <v>0</v>
      </c>
    </row>
    <row r="1528" spans="2:30" x14ac:dyDescent="0.15">
      <c r="B1528" s="630">
        <v>17031009545</v>
      </c>
      <c r="C1528" s="630">
        <v>17031007641</v>
      </c>
      <c r="D1528" s="630">
        <v>17031001562</v>
      </c>
      <c r="E1528" s="630" t="s">
        <v>533</v>
      </c>
      <c r="F1528" s="630" t="s">
        <v>534</v>
      </c>
      <c r="G1528" s="630" t="s">
        <v>365</v>
      </c>
      <c r="H1528" s="630" t="s">
        <v>535</v>
      </c>
      <c r="I1528" s="630"/>
      <c r="J1528" s="630" t="s">
        <v>382</v>
      </c>
      <c r="K1528" s="630" t="s">
        <v>536</v>
      </c>
      <c r="L1528" s="630"/>
      <c r="M1528" s="630"/>
      <c r="N1528" s="630"/>
      <c r="O1528" s="630"/>
      <c r="P1528" s="630"/>
      <c r="Q1528" s="630"/>
      <c r="R1528" s="630"/>
      <c r="S1528" s="630" t="s">
        <v>537</v>
      </c>
      <c r="T1528" s="630"/>
      <c r="U1528" s="630" t="s">
        <v>538</v>
      </c>
      <c r="V1528" s="630">
        <v>2</v>
      </c>
      <c r="W1528" s="630" t="s">
        <v>582</v>
      </c>
      <c r="X1528" s="630" t="s">
        <v>540</v>
      </c>
      <c r="Y1528" s="630" t="s">
        <v>549</v>
      </c>
      <c r="Z1528" s="630">
        <v>0.99671699999999996</v>
      </c>
      <c r="AA1528" s="630">
        <v>1.6040639999999999</v>
      </c>
      <c r="AB1528" s="631">
        <v>10720</v>
      </c>
      <c r="AC1528" s="631">
        <v>853160</v>
      </c>
      <c r="AD1528" s="631">
        <f t="shared" si="23"/>
        <v>850359.07571999996</v>
      </c>
    </row>
    <row r="1529" spans="2:30" x14ac:dyDescent="0.15">
      <c r="B1529" s="630">
        <v>17031010209</v>
      </c>
      <c r="C1529" s="630">
        <v>17031008300</v>
      </c>
      <c r="D1529" s="630">
        <v>17031008301</v>
      </c>
      <c r="E1529" s="630" t="s">
        <v>533</v>
      </c>
      <c r="F1529" s="630" t="s">
        <v>534</v>
      </c>
      <c r="G1529" s="630" t="s">
        <v>365</v>
      </c>
      <c r="H1529" s="630" t="s">
        <v>382</v>
      </c>
      <c r="I1529" s="630"/>
      <c r="J1529" s="630"/>
      <c r="K1529" s="630"/>
      <c r="L1529" s="630"/>
      <c r="M1529" s="630"/>
      <c r="N1529" s="630"/>
      <c r="O1529" s="630"/>
      <c r="P1529" s="630"/>
      <c r="Q1529" s="630"/>
      <c r="R1529" s="630"/>
      <c r="S1529" s="630" t="s">
        <v>586</v>
      </c>
      <c r="T1529" s="630" t="s">
        <v>689</v>
      </c>
      <c r="U1529" s="630" t="s">
        <v>538</v>
      </c>
      <c r="V1529" s="630">
        <v>2</v>
      </c>
      <c r="W1529" s="630" t="s">
        <v>582</v>
      </c>
      <c r="X1529" s="630" t="s">
        <v>549</v>
      </c>
      <c r="Y1529" s="630" t="s">
        <v>554</v>
      </c>
      <c r="Z1529" s="630">
        <v>0.101521</v>
      </c>
      <c r="AA1529" s="630">
        <v>0.163382</v>
      </c>
      <c r="AB1529" s="631">
        <v>88508</v>
      </c>
      <c r="AC1529" s="631">
        <v>9870362</v>
      </c>
      <c r="AD1529" s="631">
        <f t="shared" si="23"/>
        <v>1002049.0206019999</v>
      </c>
    </row>
    <row r="1530" spans="2:30" x14ac:dyDescent="0.15">
      <c r="B1530" s="630">
        <v>17089003255</v>
      </c>
      <c r="C1530" s="630">
        <v>17089001010</v>
      </c>
      <c r="D1530" s="630">
        <v>17089000990</v>
      </c>
      <c r="E1530" s="630" t="s">
        <v>533</v>
      </c>
      <c r="F1530" s="630" t="s">
        <v>534</v>
      </c>
      <c r="G1530" s="630" t="s">
        <v>369</v>
      </c>
      <c r="H1530" s="630" t="s">
        <v>547</v>
      </c>
      <c r="I1530" s="630"/>
      <c r="J1530" s="630"/>
      <c r="K1530" s="630"/>
      <c r="L1530" s="630"/>
      <c r="M1530" s="630"/>
      <c r="N1530" s="630"/>
      <c r="O1530" s="630"/>
      <c r="P1530" s="630"/>
      <c r="Q1530" s="630"/>
      <c r="R1530" s="630"/>
      <c r="S1530" s="630"/>
      <c r="T1530" s="630"/>
      <c r="U1530" s="630" t="s">
        <v>538</v>
      </c>
      <c r="V1530" s="630">
        <v>2</v>
      </c>
      <c r="W1530" s="630" t="s">
        <v>545</v>
      </c>
      <c r="X1530" s="630" t="s">
        <v>541</v>
      </c>
      <c r="Y1530" s="630" t="s">
        <v>554</v>
      </c>
      <c r="Z1530" s="630">
        <v>0.52129300000000001</v>
      </c>
      <c r="AA1530" s="630">
        <v>0.83894199999999997</v>
      </c>
      <c r="AB1530" s="631">
        <v>0</v>
      </c>
      <c r="AC1530" s="631">
        <v>0</v>
      </c>
      <c r="AD1530" s="631">
        <f t="shared" si="23"/>
        <v>0</v>
      </c>
    </row>
    <row r="1531" spans="2:30" x14ac:dyDescent="0.15">
      <c r="B1531" s="630">
        <v>17031006428</v>
      </c>
      <c r="C1531" s="630">
        <v>17031001108</v>
      </c>
      <c r="D1531" s="630">
        <v>17031001128</v>
      </c>
      <c r="E1531" s="630" t="s">
        <v>533</v>
      </c>
      <c r="F1531" s="630" t="s">
        <v>534</v>
      </c>
      <c r="G1531" s="630" t="s">
        <v>365</v>
      </c>
      <c r="H1531" s="630" t="s">
        <v>577</v>
      </c>
      <c r="I1531" s="630"/>
      <c r="J1531" s="630" t="s">
        <v>543</v>
      </c>
      <c r="K1531" s="630"/>
      <c r="L1531" s="630"/>
      <c r="M1531" s="630"/>
      <c r="N1531" s="630"/>
      <c r="O1531" s="630"/>
      <c r="P1531" s="630"/>
      <c r="Q1531" s="630"/>
      <c r="R1531" s="630"/>
      <c r="S1531" s="630"/>
      <c r="T1531" s="630"/>
      <c r="U1531" s="630" t="s">
        <v>538</v>
      </c>
      <c r="V1531" s="630">
        <v>1</v>
      </c>
      <c r="W1531" s="630" t="s">
        <v>560</v>
      </c>
      <c r="X1531" s="630" t="s">
        <v>541</v>
      </c>
      <c r="Y1531" s="630" t="s">
        <v>541</v>
      </c>
      <c r="Z1531" s="630">
        <v>0.11260100000000001</v>
      </c>
      <c r="AA1531" s="630">
        <v>0.18121499999999999</v>
      </c>
      <c r="AB1531" s="631">
        <v>0</v>
      </c>
      <c r="AC1531" s="631">
        <v>0</v>
      </c>
      <c r="AD1531" s="631">
        <f t="shared" si="23"/>
        <v>0</v>
      </c>
    </row>
    <row r="1532" spans="2:30" x14ac:dyDescent="0.15">
      <c r="B1532" s="630">
        <v>17031006451</v>
      </c>
      <c r="C1532" s="630">
        <v>17031004710</v>
      </c>
      <c r="D1532" s="630">
        <v>17031001476</v>
      </c>
      <c r="E1532" s="630" t="s">
        <v>533</v>
      </c>
      <c r="F1532" s="630" t="s">
        <v>534</v>
      </c>
      <c r="G1532" s="630" t="s">
        <v>365</v>
      </c>
      <c r="H1532" s="630" t="s">
        <v>382</v>
      </c>
      <c r="I1532" s="630"/>
      <c r="J1532" s="630"/>
      <c r="K1532" s="630"/>
      <c r="L1532" s="630"/>
      <c r="M1532" s="630"/>
      <c r="N1532" s="630"/>
      <c r="O1532" s="630"/>
      <c r="P1532" s="630"/>
      <c r="Q1532" s="630"/>
      <c r="R1532" s="630"/>
      <c r="S1532" s="630"/>
      <c r="T1532" s="630"/>
      <c r="U1532" s="630" t="s">
        <v>559</v>
      </c>
      <c r="V1532" s="630">
        <v>1</v>
      </c>
      <c r="W1532" s="630" t="s">
        <v>560</v>
      </c>
      <c r="X1532" s="630" t="s">
        <v>541</v>
      </c>
      <c r="Y1532" s="630" t="s">
        <v>541</v>
      </c>
      <c r="Z1532" s="630">
        <v>0.23141999999999999</v>
      </c>
      <c r="AA1532" s="630">
        <v>0.37243399999999999</v>
      </c>
      <c r="AB1532" s="631">
        <v>0</v>
      </c>
      <c r="AC1532" s="631">
        <v>0</v>
      </c>
      <c r="AD1532" s="631">
        <f t="shared" si="23"/>
        <v>0</v>
      </c>
    </row>
    <row r="1533" spans="2:30" x14ac:dyDescent="0.15">
      <c r="B1533" s="630">
        <v>17197009263</v>
      </c>
      <c r="C1533" s="630">
        <v>17197007389</v>
      </c>
      <c r="D1533" s="630">
        <v>17197007388</v>
      </c>
      <c r="E1533" s="630" t="s">
        <v>533</v>
      </c>
      <c r="F1533" s="630" t="s">
        <v>534</v>
      </c>
      <c r="G1533" s="630" t="s">
        <v>377</v>
      </c>
      <c r="H1533" s="630" t="s">
        <v>535</v>
      </c>
      <c r="I1533" s="630"/>
      <c r="J1533" s="630" t="s">
        <v>382</v>
      </c>
      <c r="K1533" s="630"/>
      <c r="L1533" s="630"/>
      <c r="M1533" s="630"/>
      <c r="N1533" s="630"/>
      <c r="O1533" s="630"/>
      <c r="P1533" s="630"/>
      <c r="Q1533" s="630"/>
      <c r="R1533" s="630"/>
      <c r="S1533" s="630"/>
      <c r="T1533" s="630"/>
      <c r="U1533" s="630" t="s">
        <v>559</v>
      </c>
      <c r="V1533" s="630">
        <v>1</v>
      </c>
      <c r="W1533" s="630" t="s">
        <v>560</v>
      </c>
      <c r="X1533" s="630" t="s">
        <v>541</v>
      </c>
      <c r="Y1533" s="630" t="s">
        <v>541</v>
      </c>
      <c r="Z1533" s="630">
        <v>1.6865999999999999E-2</v>
      </c>
      <c r="AA1533" s="630">
        <v>2.7143E-2</v>
      </c>
      <c r="AB1533" s="631">
        <v>0</v>
      </c>
      <c r="AC1533" s="631">
        <v>0</v>
      </c>
      <c r="AD1533" s="631">
        <f t="shared" si="23"/>
        <v>0</v>
      </c>
    </row>
    <row r="1534" spans="2:30" x14ac:dyDescent="0.15">
      <c r="B1534" s="630">
        <v>17197009284</v>
      </c>
      <c r="C1534" s="630">
        <v>17197007408</v>
      </c>
      <c r="D1534" s="630">
        <v>17197007406</v>
      </c>
      <c r="E1534" s="630" t="s">
        <v>533</v>
      </c>
      <c r="F1534" s="630" t="s">
        <v>534</v>
      </c>
      <c r="G1534" s="630" t="s">
        <v>377</v>
      </c>
      <c r="H1534" s="630" t="s">
        <v>551</v>
      </c>
      <c r="I1534" s="630"/>
      <c r="J1534" s="630" t="s">
        <v>535</v>
      </c>
      <c r="K1534" s="630"/>
      <c r="L1534" s="630"/>
      <c r="M1534" s="630"/>
      <c r="N1534" s="630"/>
      <c r="O1534" s="630"/>
      <c r="P1534" s="630"/>
      <c r="Q1534" s="630"/>
      <c r="R1534" s="630"/>
      <c r="S1534" s="630" t="s">
        <v>594</v>
      </c>
      <c r="T1534" s="630"/>
      <c r="U1534" s="630" t="s">
        <v>559</v>
      </c>
      <c r="V1534" s="630">
        <v>1</v>
      </c>
      <c r="W1534" s="630" t="s">
        <v>560</v>
      </c>
      <c r="X1534" s="630" t="s">
        <v>541</v>
      </c>
      <c r="Y1534" s="630" t="s">
        <v>541</v>
      </c>
      <c r="Z1534" s="630">
        <v>0.11058</v>
      </c>
      <c r="AA1534" s="630">
        <v>0.17796200000000001</v>
      </c>
      <c r="AB1534" s="631">
        <v>0</v>
      </c>
      <c r="AC1534" s="631">
        <v>0</v>
      </c>
      <c r="AD1534" s="631">
        <f t="shared" si="23"/>
        <v>0</v>
      </c>
    </row>
    <row r="1535" spans="2:30" x14ac:dyDescent="0.15">
      <c r="B1535" s="630">
        <v>17031009617</v>
      </c>
      <c r="C1535" s="630">
        <v>17031007705</v>
      </c>
      <c r="D1535" s="630">
        <v>17031000916</v>
      </c>
      <c r="E1535" s="630" t="s">
        <v>533</v>
      </c>
      <c r="F1535" s="630" t="s">
        <v>534</v>
      </c>
      <c r="G1535" s="630" t="s">
        <v>365</v>
      </c>
      <c r="H1535" s="630" t="s">
        <v>535</v>
      </c>
      <c r="I1535" s="630"/>
      <c r="J1535" s="630" t="s">
        <v>542</v>
      </c>
      <c r="K1535" s="630" t="s">
        <v>572</v>
      </c>
      <c r="L1535" s="630" t="s">
        <v>547</v>
      </c>
      <c r="M1535" s="630" t="s">
        <v>382</v>
      </c>
      <c r="N1535" s="630"/>
      <c r="O1535" s="630"/>
      <c r="P1535" s="630"/>
      <c r="Q1535" s="630"/>
      <c r="R1535" s="630"/>
      <c r="S1535" s="630" t="s">
        <v>601</v>
      </c>
      <c r="T1535" s="630"/>
      <c r="U1535" s="630" t="s">
        <v>538</v>
      </c>
      <c r="V1535" s="630">
        <v>2</v>
      </c>
      <c r="W1535" s="630" t="s">
        <v>545</v>
      </c>
      <c r="X1535" s="630" t="s">
        <v>540</v>
      </c>
      <c r="Y1535" s="630" t="s">
        <v>549</v>
      </c>
      <c r="Z1535" s="630">
        <v>2.7733000000000001E-2</v>
      </c>
      <c r="AA1535" s="630">
        <v>4.4631999999999998E-2</v>
      </c>
      <c r="AB1535" s="631">
        <v>48760</v>
      </c>
      <c r="AC1535" s="631">
        <v>1832520</v>
      </c>
      <c r="AD1535" s="631">
        <f t="shared" si="23"/>
        <v>50821.277159999998</v>
      </c>
    </row>
    <row r="1536" spans="2:30" x14ac:dyDescent="0.15">
      <c r="B1536" s="630">
        <v>17097002261</v>
      </c>
      <c r="C1536" s="630">
        <v>17097000082</v>
      </c>
      <c r="D1536" s="630">
        <v>17097000083</v>
      </c>
      <c r="E1536" s="630" t="s">
        <v>533</v>
      </c>
      <c r="F1536" s="630" t="s">
        <v>534</v>
      </c>
      <c r="G1536" s="630" t="s">
        <v>373</v>
      </c>
      <c r="H1536" s="630" t="s">
        <v>535</v>
      </c>
      <c r="I1536" s="630"/>
      <c r="J1536" s="630" t="s">
        <v>382</v>
      </c>
      <c r="K1536" s="630"/>
      <c r="L1536" s="630"/>
      <c r="M1536" s="630"/>
      <c r="N1536" s="630"/>
      <c r="O1536" s="630"/>
      <c r="P1536" s="630"/>
      <c r="Q1536" s="630"/>
      <c r="R1536" s="630"/>
      <c r="S1536" s="630"/>
      <c r="T1536" s="630"/>
      <c r="U1536" s="630" t="s">
        <v>538</v>
      </c>
      <c r="V1536" s="630">
        <v>1</v>
      </c>
      <c r="W1536" s="630" t="s">
        <v>560</v>
      </c>
      <c r="X1536" s="630" t="s">
        <v>541</v>
      </c>
      <c r="Y1536" s="630" t="s">
        <v>541</v>
      </c>
      <c r="Z1536" s="630">
        <v>0.195961</v>
      </c>
      <c r="AA1536" s="630">
        <v>0.31536900000000001</v>
      </c>
      <c r="AB1536" s="631">
        <v>0</v>
      </c>
      <c r="AC1536" s="631">
        <v>0</v>
      </c>
      <c r="AD1536" s="631">
        <f t="shared" si="23"/>
        <v>0</v>
      </c>
    </row>
    <row r="1537" spans="2:30" x14ac:dyDescent="0.15">
      <c r="B1537" s="630">
        <v>17097003096</v>
      </c>
      <c r="C1537" s="630">
        <v>17097000181</v>
      </c>
      <c r="D1537" s="630">
        <v>17097004547</v>
      </c>
      <c r="E1537" s="630" t="s">
        <v>533</v>
      </c>
      <c r="F1537" s="630" t="s">
        <v>534</v>
      </c>
      <c r="G1537" s="630" t="s">
        <v>373</v>
      </c>
      <c r="H1537" s="630" t="s">
        <v>535</v>
      </c>
      <c r="I1537" s="630"/>
      <c r="J1537" s="630" t="s">
        <v>382</v>
      </c>
      <c r="K1537" s="630" t="s">
        <v>536</v>
      </c>
      <c r="L1537" s="630"/>
      <c r="M1537" s="630"/>
      <c r="N1537" s="630"/>
      <c r="O1537" s="630"/>
      <c r="P1537" s="630"/>
      <c r="Q1537" s="630"/>
      <c r="R1537" s="630"/>
      <c r="S1537" s="630" t="s">
        <v>550</v>
      </c>
      <c r="T1537" s="630"/>
      <c r="U1537" s="630" t="s">
        <v>538</v>
      </c>
      <c r="V1537" s="630">
        <v>1</v>
      </c>
      <c r="W1537" s="630" t="s">
        <v>545</v>
      </c>
      <c r="X1537" s="630" t="s">
        <v>540</v>
      </c>
      <c r="Y1537" s="630" t="s">
        <v>549</v>
      </c>
      <c r="Z1537" s="630">
        <v>2.4038560000000002</v>
      </c>
      <c r="AA1537" s="630">
        <v>3.8686379999999998</v>
      </c>
      <c r="AB1537" s="631">
        <v>36082</v>
      </c>
      <c r="AC1537" s="631">
        <v>3440570</v>
      </c>
      <c r="AD1537" s="631">
        <f t="shared" si="23"/>
        <v>8270634.8379200008</v>
      </c>
    </row>
    <row r="1538" spans="2:30" x14ac:dyDescent="0.15">
      <c r="B1538" s="630">
        <v>17197003487</v>
      </c>
      <c r="C1538" s="630">
        <v>17197001697</v>
      </c>
      <c r="D1538" s="630">
        <v>17197001640</v>
      </c>
      <c r="E1538" s="630" t="s">
        <v>533</v>
      </c>
      <c r="F1538" s="630" t="s">
        <v>534</v>
      </c>
      <c r="G1538" s="630" t="s">
        <v>377</v>
      </c>
      <c r="H1538" s="630" t="s">
        <v>382</v>
      </c>
      <c r="I1538" s="630"/>
      <c r="J1538" s="630" t="s">
        <v>542</v>
      </c>
      <c r="K1538" s="630"/>
      <c r="L1538" s="630"/>
      <c r="M1538" s="630"/>
      <c r="N1538" s="630"/>
      <c r="O1538" s="630"/>
      <c r="P1538" s="630"/>
      <c r="Q1538" s="630"/>
      <c r="R1538" s="630"/>
      <c r="S1538" s="630" t="s">
        <v>606</v>
      </c>
      <c r="T1538" s="630"/>
      <c r="U1538" s="630" t="s">
        <v>538</v>
      </c>
      <c r="V1538" s="630">
        <v>1</v>
      </c>
      <c r="W1538" s="630" t="s">
        <v>545</v>
      </c>
      <c r="X1538" s="630" t="s">
        <v>541</v>
      </c>
      <c r="Y1538" s="630" t="s">
        <v>549</v>
      </c>
      <c r="Z1538" s="630">
        <v>3.0607920000000002</v>
      </c>
      <c r="AA1538" s="630">
        <v>4.925878</v>
      </c>
      <c r="AB1538" s="631">
        <v>80</v>
      </c>
      <c r="AC1538" s="631">
        <v>7840</v>
      </c>
      <c r="AD1538" s="631">
        <f t="shared" si="23"/>
        <v>23996.609280000001</v>
      </c>
    </row>
    <row r="1539" spans="2:30" x14ac:dyDescent="0.15">
      <c r="B1539" s="630">
        <v>17031004905</v>
      </c>
      <c r="C1539" s="630">
        <v>17031001522</v>
      </c>
      <c r="D1539" s="630">
        <v>17031001518</v>
      </c>
      <c r="E1539" s="630" t="s">
        <v>533</v>
      </c>
      <c r="F1539" s="630" t="s">
        <v>534</v>
      </c>
      <c r="G1539" s="630" t="s">
        <v>365</v>
      </c>
      <c r="H1539" s="630" t="s">
        <v>382</v>
      </c>
      <c r="I1539" s="630"/>
      <c r="J1539" s="630"/>
      <c r="K1539" s="630"/>
      <c r="L1539" s="630"/>
      <c r="M1539" s="630"/>
      <c r="N1539" s="630"/>
      <c r="O1539" s="630"/>
      <c r="P1539" s="630"/>
      <c r="Q1539" s="630"/>
      <c r="R1539" s="630"/>
      <c r="S1539" s="630" t="s">
        <v>576</v>
      </c>
      <c r="T1539" s="630"/>
      <c r="U1539" s="630" t="s">
        <v>559</v>
      </c>
      <c r="V1539" s="630">
        <v>1</v>
      </c>
      <c r="W1539" s="630" t="s">
        <v>560</v>
      </c>
      <c r="X1539" s="630" t="s">
        <v>541</v>
      </c>
      <c r="Y1539" s="630" t="s">
        <v>541</v>
      </c>
      <c r="Z1539" s="630">
        <v>0.20543500000000001</v>
      </c>
      <c r="AA1539" s="630">
        <v>0.33061600000000002</v>
      </c>
      <c r="AB1539" s="631">
        <v>0</v>
      </c>
      <c r="AC1539" s="631">
        <v>0</v>
      </c>
      <c r="AD1539" s="631">
        <f t="shared" si="23"/>
        <v>0</v>
      </c>
    </row>
    <row r="1540" spans="2:30" x14ac:dyDescent="0.15">
      <c r="B1540" s="630">
        <v>17031002295</v>
      </c>
      <c r="C1540" s="630">
        <v>17031001049</v>
      </c>
      <c r="D1540" s="630">
        <v>17031001025</v>
      </c>
      <c r="E1540" s="630" t="s">
        <v>533</v>
      </c>
      <c r="F1540" s="630" t="s">
        <v>534</v>
      </c>
      <c r="G1540" s="630" t="s">
        <v>365</v>
      </c>
      <c r="H1540" s="630" t="s">
        <v>535</v>
      </c>
      <c r="I1540" s="630"/>
      <c r="J1540" s="630" t="s">
        <v>542</v>
      </c>
      <c r="K1540" s="630" t="s">
        <v>572</v>
      </c>
      <c r="L1540" s="630"/>
      <c r="M1540" s="630"/>
      <c r="N1540" s="630"/>
      <c r="O1540" s="630"/>
      <c r="P1540" s="630"/>
      <c r="Q1540" s="630"/>
      <c r="R1540" s="630"/>
      <c r="S1540" s="630" t="s">
        <v>544</v>
      </c>
      <c r="T1540" s="630"/>
      <c r="U1540" s="630" t="s">
        <v>538</v>
      </c>
      <c r="V1540" s="630">
        <v>2</v>
      </c>
      <c r="W1540" s="630" t="s">
        <v>545</v>
      </c>
      <c r="X1540" s="630" t="s">
        <v>549</v>
      </c>
      <c r="Y1540" s="630" t="s">
        <v>549</v>
      </c>
      <c r="Z1540" s="630">
        <v>0.652841</v>
      </c>
      <c r="AA1540" s="630">
        <v>1.0506489999999999</v>
      </c>
      <c r="AB1540" s="631">
        <v>16696</v>
      </c>
      <c r="AC1540" s="631">
        <v>1424574</v>
      </c>
      <c r="AD1540" s="631">
        <f t="shared" si="23"/>
        <v>930020.31473400001</v>
      </c>
    </row>
    <row r="1541" spans="2:30" x14ac:dyDescent="0.15">
      <c r="B1541" s="630">
        <v>17097009368</v>
      </c>
      <c r="C1541" s="630">
        <v>17097007487</v>
      </c>
      <c r="D1541" s="630">
        <v>17097004566</v>
      </c>
      <c r="E1541" s="630" t="s">
        <v>533</v>
      </c>
      <c r="F1541" s="630" t="s">
        <v>534</v>
      </c>
      <c r="G1541" s="630" t="s">
        <v>373</v>
      </c>
      <c r="H1541" s="630" t="s">
        <v>382</v>
      </c>
      <c r="I1541" s="630"/>
      <c r="J1541" s="630" t="s">
        <v>535</v>
      </c>
      <c r="K1541" s="630" t="s">
        <v>547</v>
      </c>
      <c r="L1541" s="630"/>
      <c r="M1541" s="630"/>
      <c r="N1541" s="630"/>
      <c r="O1541" s="630"/>
      <c r="P1541" s="630"/>
      <c r="Q1541" s="630"/>
      <c r="R1541" s="630"/>
      <c r="S1541" s="630" t="s">
        <v>565</v>
      </c>
      <c r="T1541" s="630"/>
      <c r="U1541" s="630" t="s">
        <v>538</v>
      </c>
      <c r="V1541" s="630">
        <v>2</v>
      </c>
      <c r="W1541" s="630" t="s">
        <v>566</v>
      </c>
      <c r="X1541" s="630" t="s">
        <v>549</v>
      </c>
      <c r="Y1541" s="630" t="s">
        <v>549</v>
      </c>
      <c r="Z1541" s="630">
        <v>0.30727500000000002</v>
      </c>
      <c r="AA1541" s="630">
        <v>0.49451099999999998</v>
      </c>
      <c r="AB1541" s="631">
        <v>11334</v>
      </c>
      <c r="AC1541" s="631">
        <v>1200930</v>
      </c>
      <c r="AD1541" s="631">
        <f t="shared" si="23"/>
        <v>369015.76575000002</v>
      </c>
    </row>
    <row r="1542" spans="2:30" x14ac:dyDescent="0.15">
      <c r="B1542" s="630">
        <v>17031002206</v>
      </c>
      <c r="C1542" s="630">
        <v>17031000301</v>
      </c>
      <c r="D1542" s="630">
        <v>17031000298</v>
      </c>
      <c r="E1542" s="630" t="s">
        <v>533</v>
      </c>
      <c r="F1542" s="630" t="s">
        <v>534</v>
      </c>
      <c r="G1542" s="630" t="s">
        <v>365</v>
      </c>
      <c r="H1542" s="630" t="s">
        <v>382</v>
      </c>
      <c r="I1542" s="630"/>
      <c r="J1542" s="630" t="s">
        <v>547</v>
      </c>
      <c r="K1542" s="630"/>
      <c r="L1542" s="630"/>
      <c r="M1542" s="630"/>
      <c r="N1542" s="630"/>
      <c r="O1542" s="630"/>
      <c r="P1542" s="630"/>
      <c r="Q1542" s="630"/>
      <c r="R1542" s="630"/>
      <c r="S1542" s="630" t="s">
        <v>608</v>
      </c>
      <c r="T1542" s="630"/>
      <c r="U1542" s="630" t="s">
        <v>538</v>
      </c>
      <c r="V1542" s="630">
        <v>3</v>
      </c>
      <c r="W1542" s="630" t="s">
        <v>566</v>
      </c>
      <c r="X1542" s="630" t="s">
        <v>554</v>
      </c>
      <c r="Y1542" s="630" t="s">
        <v>549</v>
      </c>
      <c r="Z1542" s="630">
        <v>0.85831599999999997</v>
      </c>
      <c r="AA1542" s="630">
        <v>1.3813279999999999</v>
      </c>
      <c r="AB1542" s="631">
        <v>40</v>
      </c>
      <c r="AC1542" s="631">
        <v>2520</v>
      </c>
      <c r="AD1542" s="631">
        <f t="shared" ref="AD1542:AD1605" si="24">AC1542*Z1542</f>
        <v>2162.9563199999998</v>
      </c>
    </row>
    <row r="1543" spans="2:30" x14ac:dyDescent="0.15">
      <c r="B1543" s="630">
        <v>17031003612</v>
      </c>
      <c r="C1543" s="630">
        <v>17031001024</v>
      </c>
      <c r="D1543" s="630">
        <v>17031001022</v>
      </c>
      <c r="E1543" s="630" t="s">
        <v>533</v>
      </c>
      <c r="F1543" s="630" t="s">
        <v>534</v>
      </c>
      <c r="G1543" s="630" t="s">
        <v>365</v>
      </c>
      <c r="H1543" s="630" t="s">
        <v>571</v>
      </c>
      <c r="I1543" s="630"/>
      <c r="J1543" s="630" t="s">
        <v>552</v>
      </c>
      <c r="K1543" s="630" t="s">
        <v>572</v>
      </c>
      <c r="L1543" s="630" t="s">
        <v>551</v>
      </c>
      <c r="M1543" s="630" t="s">
        <v>555</v>
      </c>
      <c r="N1543" s="630" t="s">
        <v>543</v>
      </c>
      <c r="O1543" s="630" t="s">
        <v>382</v>
      </c>
      <c r="P1543" s="630" t="s">
        <v>535</v>
      </c>
      <c r="Q1543" s="630" t="s">
        <v>381</v>
      </c>
      <c r="R1543" s="630"/>
      <c r="S1543" s="630" t="s">
        <v>573</v>
      </c>
      <c r="T1543" s="630"/>
      <c r="U1543" s="630" t="s">
        <v>538</v>
      </c>
      <c r="V1543" s="630">
        <v>2</v>
      </c>
      <c r="W1543" s="630" t="s">
        <v>545</v>
      </c>
      <c r="X1543" s="630" t="s">
        <v>580</v>
      </c>
      <c r="Y1543" s="630" t="s">
        <v>554</v>
      </c>
      <c r="Z1543" s="630">
        <v>0.229212</v>
      </c>
      <c r="AA1543" s="630">
        <v>0.36888100000000001</v>
      </c>
      <c r="AB1543" s="631">
        <v>371285</v>
      </c>
      <c r="AC1543" s="631">
        <v>16601511</v>
      </c>
      <c r="AD1543" s="631">
        <f t="shared" si="24"/>
        <v>3805265.5393320001</v>
      </c>
    </row>
    <row r="1544" spans="2:30" x14ac:dyDescent="0.15">
      <c r="B1544" s="630">
        <v>17031003656</v>
      </c>
      <c r="C1544" s="630">
        <v>17031001048</v>
      </c>
      <c r="D1544" s="630">
        <v>17031001062</v>
      </c>
      <c r="E1544" s="630" t="s">
        <v>533</v>
      </c>
      <c r="F1544" s="630" t="s">
        <v>534</v>
      </c>
      <c r="G1544" s="630" t="s">
        <v>365</v>
      </c>
      <c r="H1544" s="630" t="s">
        <v>571</v>
      </c>
      <c r="I1544" s="630"/>
      <c r="J1544" s="630" t="s">
        <v>552</v>
      </c>
      <c r="K1544" s="630" t="s">
        <v>572</v>
      </c>
      <c r="L1544" s="630" t="s">
        <v>543</v>
      </c>
      <c r="M1544" s="630"/>
      <c r="N1544" s="630"/>
      <c r="O1544" s="630"/>
      <c r="P1544" s="630"/>
      <c r="Q1544" s="630"/>
      <c r="R1544" s="630"/>
      <c r="S1544" s="630" t="s">
        <v>573</v>
      </c>
      <c r="T1544" s="630"/>
      <c r="U1544" s="630" t="s">
        <v>538</v>
      </c>
      <c r="V1544" s="630">
        <v>2</v>
      </c>
      <c r="W1544" s="630" t="s">
        <v>545</v>
      </c>
      <c r="X1544" s="630" t="s">
        <v>546</v>
      </c>
      <c r="Y1544" s="630" t="s">
        <v>554</v>
      </c>
      <c r="Z1544" s="630">
        <v>0.91779599999999995</v>
      </c>
      <c r="AA1544" s="630">
        <v>1.477052</v>
      </c>
      <c r="AB1544" s="631">
        <v>173014</v>
      </c>
      <c r="AC1544" s="631">
        <v>8999987</v>
      </c>
      <c r="AD1544" s="631">
        <f t="shared" si="24"/>
        <v>8260152.0686519993</v>
      </c>
    </row>
    <row r="1545" spans="2:30" x14ac:dyDescent="0.15">
      <c r="B1545" s="630">
        <v>17197009262</v>
      </c>
      <c r="C1545" s="630">
        <v>17197001618</v>
      </c>
      <c r="D1545" s="630">
        <v>17197007389</v>
      </c>
      <c r="E1545" s="630" t="s">
        <v>533</v>
      </c>
      <c r="F1545" s="630" t="s">
        <v>534</v>
      </c>
      <c r="G1545" s="630" t="s">
        <v>377</v>
      </c>
      <c r="H1545" s="630" t="s">
        <v>535</v>
      </c>
      <c r="I1545" s="630"/>
      <c r="J1545" s="630" t="s">
        <v>382</v>
      </c>
      <c r="K1545" s="630"/>
      <c r="L1545" s="630"/>
      <c r="M1545" s="630"/>
      <c r="N1545" s="630"/>
      <c r="O1545" s="630"/>
      <c r="P1545" s="630"/>
      <c r="Q1545" s="630"/>
      <c r="R1545" s="630"/>
      <c r="S1545" s="630"/>
      <c r="T1545" s="630"/>
      <c r="U1545" s="630" t="s">
        <v>559</v>
      </c>
      <c r="V1545" s="630">
        <v>1</v>
      </c>
      <c r="W1545" s="630" t="s">
        <v>560</v>
      </c>
      <c r="X1545" s="630" t="s">
        <v>541</v>
      </c>
      <c r="Y1545" s="630" t="s">
        <v>541</v>
      </c>
      <c r="Z1545" s="630">
        <v>0.24926899999999999</v>
      </c>
      <c r="AA1545" s="630">
        <v>0.40116000000000002</v>
      </c>
      <c r="AB1545" s="631">
        <v>0</v>
      </c>
      <c r="AC1545" s="631">
        <v>0</v>
      </c>
      <c r="AD1545" s="631">
        <f t="shared" si="24"/>
        <v>0</v>
      </c>
    </row>
    <row r="1546" spans="2:30" x14ac:dyDescent="0.15">
      <c r="B1546" s="630">
        <v>17031002223</v>
      </c>
      <c r="C1546" s="630">
        <v>17031000543</v>
      </c>
      <c r="D1546" s="630">
        <v>17031006666</v>
      </c>
      <c r="E1546" s="630" t="s">
        <v>533</v>
      </c>
      <c r="F1546" s="630" t="s">
        <v>534</v>
      </c>
      <c r="G1546" s="630" t="s">
        <v>365</v>
      </c>
      <c r="H1546" s="630" t="s">
        <v>382</v>
      </c>
      <c r="I1546" s="630"/>
      <c r="J1546" s="630"/>
      <c r="K1546" s="630"/>
      <c r="L1546" s="630"/>
      <c r="M1546" s="630"/>
      <c r="N1546" s="630"/>
      <c r="O1546" s="630"/>
      <c r="P1546" s="630"/>
      <c r="Q1546" s="630"/>
      <c r="R1546" s="630"/>
      <c r="S1546" s="630"/>
      <c r="T1546" s="630" t="s">
        <v>626</v>
      </c>
      <c r="U1546" s="630" t="s">
        <v>559</v>
      </c>
      <c r="V1546" s="630">
        <v>1</v>
      </c>
      <c r="W1546" s="630" t="s">
        <v>539</v>
      </c>
      <c r="X1546" s="630" t="s">
        <v>541</v>
      </c>
      <c r="Y1546" s="630" t="s">
        <v>541</v>
      </c>
      <c r="Z1546" s="630">
        <v>0.60232600000000003</v>
      </c>
      <c r="AA1546" s="630">
        <v>0.96935199999999999</v>
      </c>
      <c r="AB1546" s="631">
        <v>0</v>
      </c>
      <c r="AC1546" s="631">
        <v>0</v>
      </c>
      <c r="AD1546" s="631">
        <f t="shared" si="24"/>
        <v>0</v>
      </c>
    </row>
    <row r="1547" spans="2:30" x14ac:dyDescent="0.15">
      <c r="B1547" s="630">
        <v>17043002229</v>
      </c>
      <c r="C1547" s="630">
        <v>17043000367</v>
      </c>
      <c r="D1547" s="630">
        <v>17043004769</v>
      </c>
      <c r="E1547" s="630" t="s">
        <v>533</v>
      </c>
      <c r="F1547" s="630" t="s">
        <v>534</v>
      </c>
      <c r="G1547" s="630" t="s">
        <v>367</v>
      </c>
      <c r="H1547" s="630" t="s">
        <v>552</v>
      </c>
      <c r="I1547" s="630"/>
      <c r="J1547" s="630" t="s">
        <v>547</v>
      </c>
      <c r="K1547" s="630"/>
      <c r="L1547" s="630"/>
      <c r="M1547" s="630"/>
      <c r="N1547" s="630"/>
      <c r="O1547" s="630"/>
      <c r="P1547" s="630"/>
      <c r="Q1547" s="630"/>
      <c r="R1547" s="630"/>
      <c r="S1547" s="630" t="s">
        <v>589</v>
      </c>
      <c r="T1547" s="630"/>
      <c r="U1547" s="630" t="s">
        <v>538</v>
      </c>
      <c r="V1547" s="630">
        <v>2</v>
      </c>
      <c r="W1547" s="630" t="s">
        <v>545</v>
      </c>
      <c r="X1547" s="630" t="s">
        <v>540</v>
      </c>
      <c r="Y1547" s="630" t="s">
        <v>549</v>
      </c>
      <c r="Z1547" s="630">
        <v>0.37988300000000003</v>
      </c>
      <c r="AA1547" s="630">
        <v>0.61136299999999999</v>
      </c>
      <c r="AB1547" s="631">
        <v>74103</v>
      </c>
      <c r="AC1547" s="631">
        <v>7759864</v>
      </c>
      <c r="AD1547" s="631">
        <f t="shared" si="24"/>
        <v>2947840.415912</v>
      </c>
    </row>
    <row r="1548" spans="2:30" x14ac:dyDescent="0.15">
      <c r="B1548" s="630">
        <v>17031002589</v>
      </c>
      <c r="C1548" s="630">
        <v>17031004667</v>
      </c>
      <c r="D1548" s="630">
        <v>17031004668</v>
      </c>
      <c r="E1548" s="630" t="s">
        <v>533</v>
      </c>
      <c r="F1548" s="630" t="s">
        <v>534</v>
      </c>
      <c r="G1548" s="630" t="s">
        <v>365</v>
      </c>
      <c r="H1548" s="630" t="s">
        <v>535</v>
      </c>
      <c r="I1548" s="630"/>
      <c r="J1548" s="630" t="s">
        <v>542</v>
      </c>
      <c r="K1548" s="630" t="s">
        <v>572</v>
      </c>
      <c r="L1548" s="630" t="s">
        <v>547</v>
      </c>
      <c r="M1548" s="630" t="s">
        <v>382</v>
      </c>
      <c r="N1548" s="630"/>
      <c r="O1548" s="630"/>
      <c r="P1548" s="630"/>
      <c r="Q1548" s="630"/>
      <c r="R1548" s="630"/>
      <c r="S1548" s="630" t="s">
        <v>601</v>
      </c>
      <c r="T1548" s="630"/>
      <c r="U1548" s="630" t="s">
        <v>538</v>
      </c>
      <c r="V1548" s="630">
        <v>2</v>
      </c>
      <c r="W1548" s="630" t="s">
        <v>545</v>
      </c>
      <c r="X1548" s="630" t="s">
        <v>540</v>
      </c>
      <c r="Y1548" s="630" t="s">
        <v>549</v>
      </c>
      <c r="Z1548" s="630">
        <v>2.3972190000000002</v>
      </c>
      <c r="AA1548" s="630">
        <v>3.8579569999999999</v>
      </c>
      <c r="AB1548" s="631">
        <v>46240</v>
      </c>
      <c r="AC1548" s="631">
        <v>1585480</v>
      </c>
      <c r="AD1548" s="631">
        <f t="shared" si="24"/>
        <v>3800742.7801200002</v>
      </c>
    </row>
    <row r="1549" spans="2:30" x14ac:dyDescent="0.15">
      <c r="B1549" s="630">
        <v>17043003146</v>
      </c>
      <c r="C1549" s="630">
        <v>17043004768</v>
      </c>
      <c r="D1549" s="630">
        <v>17043000368</v>
      </c>
      <c r="E1549" s="630" t="s">
        <v>533</v>
      </c>
      <c r="F1549" s="630" t="s">
        <v>534</v>
      </c>
      <c r="G1549" s="630" t="s">
        <v>367</v>
      </c>
      <c r="H1549" s="630" t="s">
        <v>552</v>
      </c>
      <c r="I1549" s="630"/>
      <c r="J1549" s="630" t="s">
        <v>547</v>
      </c>
      <c r="K1549" s="630"/>
      <c r="L1549" s="630"/>
      <c r="M1549" s="630"/>
      <c r="N1549" s="630"/>
      <c r="O1549" s="630"/>
      <c r="P1549" s="630"/>
      <c r="Q1549" s="630"/>
      <c r="R1549" s="630"/>
      <c r="S1549" s="630" t="s">
        <v>589</v>
      </c>
      <c r="T1549" s="630"/>
      <c r="U1549" s="630" t="s">
        <v>538</v>
      </c>
      <c r="V1549" s="630">
        <v>2</v>
      </c>
      <c r="W1549" s="630" t="s">
        <v>545</v>
      </c>
      <c r="X1549" s="630" t="s">
        <v>540</v>
      </c>
      <c r="Y1549" s="630" t="s">
        <v>549</v>
      </c>
      <c r="Z1549" s="630">
        <v>1.407643</v>
      </c>
      <c r="AA1549" s="630">
        <v>2.2653859999999999</v>
      </c>
      <c r="AB1549" s="631">
        <v>74103</v>
      </c>
      <c r="AC1549" s="631">
        <v>7759864</v>
      </c>
      <c r="AD1549" s="631">
        <f t="shared" si="24"/>
        <v>10923118.240552001</v>
      </c>
    </row>
    <row r="1550" spans="2:30" x14ac:dyDescent="0.15">
      <c r="B1550" s="630">
        <v>17031003268</v>
      </c>
      <c r="C1550" s="630">
        <v>17031000653</v>
      </c>
      <c r="D1550" s="630">
        <v>17031000658</v>
      </c>
      <c r="E1550" s="630" t="s">
        <v>533</v>
      </c>
      <c r="F1550" s="630" t="s">
        <v>534</v>
      </c>
      <c r="G1550" s="630" t="s">
        <v>365</v>
      </c>
      <c r="H1550" s="630" t="s">
        <v>535</v>
      </c>
      <c r="I1550" s="630"/>
      <c r="J1550" s="630" t="s">
        <v>542</v>
      </c>
      <c r="K1550" s="630" t="s">
        <v>577</v>
      </c>
      <c r="L1550" s="630" t="s">
        <v>572</v>
      </c>
      <c r="M1550" s="630"/>
      <c r="N1550" s="630"/>
      <c r="O1550" s="630"/>
      <c r="P1550" s="630"/>
      <c r="Q1550" s="630"/>
      <c r="R1550" s="630"/>
      <c r="S1550" s="630"/>
      <c r="T1550" s="630"/>
      <c r="U1550" s="630" t="s">
        <v>538</v>
      </c>
      <c r="V1550" s="630">
        <v>2</v>
      </c>
      <c r="W1550" s="630" t="s">
        <v>539</v>
      </c>
      <c r="X1550" s="630" t="s">
        <v>554</v>
      </c>
      <c r="Y1550" s="630" t="s">
        <v>541</v>
      </c>
      <c r="Z1550" s="630">
        <v>0.66009200000000001</v>
      </c>
      <c r="AA1550" s="630">
        <v>1.062317</v>
      </c>
      <c r="AB1550" s="631">
        <v>15856</v>
      </c>
      <c r="AC1550" s="631">
        <v>1342614</v>
      </c>
      <c r="AD1550" s="631">
        <f t="shared" si="24"/>
        <v>886248.760488</v>
      </c>
    </row>
    <row r="1551" spans="2:30" x14ac:dyDescent="0.15">
      <c r="B1551" s="630">
        <v>17031003628</v>
      </c>
      <c r="C1551" s="630">
        <v>17031000915</v>
      </c>
      <c r="D1551" s="630">
        <v>17031000953</v>
      </c>
      <c r="E1551" s="630" t="s">
        <v>533</v>
      </c>
      <c r="F1551" s="630" t="s">
        <v>534</v>
      </c>
      <c r="G1551" s="630" t="s">
        <v>365</v>
      </c>
      <c r="H1551" s="630" t="s">
        <v>571</v>
      </c>
      <c r="I1551" s="630"/>
      <c r="J1551" s="630" t="s">
        <v>381</v>
      </c>
      <c r="K1551" s="630" t="s">
        <v>535</v>
      </c>
      <c r="L1551" s="630" t="s">
        <v>552</v>
      </c>
      <c r="M1551" s="630" t="s">
        <v>551</v>
      </c>
      <c r="N1551" s="630" t="s">
        <v>382</v>
      </c>
      <c r="O1551" s="630" t="s">
        <v>563</v>
      </c>
      <c r="P1551" s="630" t="s">
        <v>543</v>
      </c>
      <c r="Q1551" s="630"/>
      <c r="R1551" s="630"/>
      <c r="S1551" s="630" t="s">
        <v>573</v>
      </c>
      <c r="T1551" s="630"/>
      <c r="U1551" s="630" t="s">
        <v>538</v>
      </c>
      <c r="V1551" s="630">
        <v>2</v>
      </c>
      <c r="W1551" s="630" t="s">
        <v>545</v>
      </c>
      <c r="X1551" s="630" t="s">
        <v>546</v>
      </c>
      <c r="Y1551" s="630" t="s">
        <v>554</v>
      </c>
      <c r="Z1551" s="630">
        <v>0.61061299999999996</v>
      </c>
      <c r="AA1551" s="630">
        <v>0.98268800000000001</v>
      </c>
      <c r="AB1551" s="631">
        <v>111630</v>
      </c>
      <c r="AC1551" s="631">
        <v>3429842</v>
      </c>
      <c r="AD1551" s="631">
        <f t="shared" si="24"/>
        <v>2094306.1131459998</v>
      </c>
    </row>
    <row r="1552" spans="2:30" x14ac:dyDescent="0.15">
      <c r="B1552" s="630">
        <v>17031004064</v>
      </c>
      <c r="C1552" s="630">
        <v>17031000799</v>
      </c>
      <c r="D1552" s="630">
        <v>17031000810</v>
      </c>
      <c r="E1552" s="630" t="s">
        <v>533</v>
      </c>
      <c r="F1552" s="630" t="s">
        <v>534</v>
      </c>
      <c r="G1552" s="630" t="s">
        <v>365</v>
      </c>
      <c r="H1552" s="630" t="s">
        <v>543</v>
      </c>
      <c r="I1552" s="630"/>
      <c r="J1552" s="630" t="s">
        <v>382</v>
      </c>
      <c r="K1552" s="630"/>
      <c r="L1552" s="630"/>
      <c r="M1552" s="630"/>
      <c r="N1552" s="630"/>
      <c r="O1552" s="630"/>
      <c r="P1552" s="630"/>
      <c r="Q1552" s="630"/>
      <c r="R1552" s="630"/>
      <c r="S1552" s="630" t="s">
        <v>639</v>
      </c>
      <c r="T1552" s="630"/>
      <c r="U1552" s="630" t="s">
        <v>538</v>
      </c>
      <c r="V1552" s="630">
        <v>2</v>
      </c>
      <c r="W1552" s="630" t="s">
        <v>560</v>
      </c>
      <c r="X1552" s="630" t="s">
        <v>549</v>
      </c>
      <c r="Y1552" s="630" t="s">
        <v>541</v>
      </c>
      <c r="Z1552" s="630">
        <v>0.26181599999999999</v>
      </c>
      <c r="AA1552" s="630">
        <v>0.421352</v>
      </c>
      <c r="AB1552" s="631">
        <v>2734473</v>
      </c>
      <c r="AC1552" s="631">
        <v>73779959</v>
      </c>
      <c r="AD1552" s="631">
        <f t="shared" si="24"/>
        <v>19316773.745543998</v>
      </c>
    </row>
    <row r="1553" spans="2:30" x14ac:dyDescent="0.15">
      <c r="B1553" s="630">
        <v>17031004285</v>
      </c>
      <c r="C1553" s="630">
        <v>17031000699</v>
      </c>
      <c r="D1553" s="630">
        <v>17031000703</v>
      </c>
      <c r="E1553" s="630" t="s">
        <v>533</v>
      </c>
      <c r="F1553" s="630" t="s">
        <v>534</v>
      </c>
      <c r="G1553" s="630" t="s">
        <v>365</v>
      </c>
      <c r="H1553" s="630" t="s">
        <v>571</v>
      </c>
      <c r="I1553" s="630"/>
      <c r="J1553" s="630" t="s">
        <v>535</v>
      </c>
      <c r="K1553" s="630" t="s">
        <v>552</v>
      </c>
      <c r="L1553" s="630" t="s">
        <v>551</v>
      </c>
      <c r="M1553" s="630" t="s">
        <v>563</v>
      </c>
      <c r="N1553" s="630"/>
      <c r="O1553" s="630"/>
      <c r="P1553" s="630"/>
      <c r="Q1553" s="630"/>
      <c r="R1553" s="630"/>
      <c r="S1553" s="630" t="s">
        <v>573</v>
      </c>
      <c r="T1553" s="630" t="s">
        <v>612</v>
      </c>
      <c r="U1553" s="630" t="s">
        <v>538</v>
      </c>
      <c r="V1553" s="630">
        <v>2</v>
      </c>
      <c r="W1553" s="630" t="s">
        <v>545</v>
      </c>
      <c r="X1553" s="630" t="s">
        <v>580</v>
      </c>
      <c r="Y1553" s="630" t="s">
        <v>554</v>
      </c>
      <c r="Z1553" s="630">
        <v>0.181979</v>
      </c>
      <c r="AA1553" s="630">
        <v>0.29286699999999999</v>
      </c>
      <c r="AB1553" s="631">
        <v>126454</v>
      </c>
      <c r="AC1553" s="631">
        <v>4429481</v>
      </c>
      <c r="AD1553" s="631">
        <f t="shared" si="24"/>
        <v>806072.52289899997</v>
      </c>
    </row>
    <row r="1554" spans="2:30" x14ac:dyDescent="0.15">
      <c r="B1554" s="630">
        <v>17031005319</v>
      </c>
      <c r="C1554" s="630">
        <v>17031000934</v>
      </c>
      <c r="D1554" s="630">
        <v>17031000917</v>
      </c>
      <c r="E1554" s="630" t="s">
        <v>533</v>
      </c>
      <c r="F1554" s="630" t="s">
        <v>534</v>
      </c>
      <c r="G1554" s="630" t="s">
        <v>365</v>
      </c>
      <c r="H1554" s="630" t="s">
        <v>557</v>
      </c>
      <c r="I1554" s="630"/>
      <c r="J1554" s="630" t="s">
        <v>535</v>
      </c>
      <c r="K1554" s="630" t="s">
        <v>382</v>
      </c>
      <c r="L1554" s="630" t="s">
        <v>552</v>
      </c>
      <c r="M1554" s="630" t="s">
        <v>381</v>
      </c>
      <c r="N1554" s="630"/>
      <c r="O1554" s="630"/>
      <c r="P1554" s="630"/>
      <c r="Q1554" s="630"/>
      <c r="R1554" s="630"/>
      <c r="S1554" s="630"/>
      <c r="T1554" s="630"/>
      <c r="U1554" s="630" t="s">
        <v>538</v>
      </c>
      <c r="V1554" s="630">
        <v>1</v>
      </c>
      <c r="W1554" s="630" t="s">
        <v>560</v>
      </c>
      <c r="X1554" s="630" t="s">
        <v>541</v>
      </c>
      <c r="Y1554" s="630" t="s">
        <v>541</v>
      </c>
      <c r="Z1554" s="630">
        <v>0.26036100000000001</v>
      </c>
      <c r="AA1554" s="630">
        <v>0.41901100000000002</v>
      </c>
      <c r="AB1554" s="631">
        <v>0</v>
      </c>
      <c r="AC1554" s="631">
        <v>0</v>
      </c>
      <c r="AD1554" s="631">
        <f t="shared" si="24"/>
        <v>0</v>
      </c>
    </row>
    <row r="1555" spans="2:30" x14ac:dyDescent="0.15">
      <c r="B1555" s="630">
        <v>17031006229</v>
      </c>
      <c r="C1555" s="630">
        <v>17031000916</v>
      </c>
      <c r="D1555" s="630">
        <v>17031000917</v>
      </c>
      <c r="E1555" s="630" t="s">
        <v>533</v>
      </c>
      <c r="F1555" s="630" t="s">
        <v>534</v>
      </c>
      <c r="G1555" s="630" t="s">
        <v>365</v>
      </c>
      <c r="H1555" s="630" t="s">
        <v>557</v>
      </c>
      <c r="I1555" s="630"/>
      <c r="J1555" s="630" t="s">
        <v>535</v>
      </c>
      <c r="K1555" s="630" t="s">
        <v>382</v>
      </c>
      <c r="L1555" s="630"/>
      <c r="M1555" s="630"/>
      <c r="N1555" s="630"/>
      <c r="O1555" s="630"/>
      <c r="P1555" s="630"/>
      <c r="Q1555" s="630"/>
      <c r="R1555" s="630"/>
      <c r="S1555" s="630"/>
      <c r="T1555" s="630"/>
      <c r="U1555" s="630" t="s">
        <v>538</v>
      </c>
      <c r="V1555" s="630">
        <v>1</v>
      </c>
      <c r="W1555" s="630" t="s">
        <v>560</v>
      </c>
      <c r="X1555" s="630" t="s">
        <v>541</v>
      </c>
      <c r="Y1555" s="630" t="s">
        <v>541</v>
      </c>
      <c r="Z1555" s="630">
        <v>0.206673</v>
      </c>
      <c r="AA1555" s="630">
        <v>0.33260800000000001</v>
      </c>
      <c r="AB1555" s="631">
        <v>7840</v>
      </c>
      <c r="AC1555" s="631">
        <v>732960</v>
      </c>
      <c r="AD1555" s="631">
        <f t="shared" si="24"/>
        <v>151483.04207999998</v>
      </c>
    </row>
    <row r="1556" spans="2:30" x14ac:dyDescent="0.15">
      <c r="B1556" s="630">
        <v>17031003861</v>
      </c>
      <c r="C1556" s="630">
        <v>17031001179</v>
      </c>
      <c r="D1556" s="630">
        <v>17031007908</v>
      </c>
      <c r="E1556" s="630" t="s">
        <v>533</v>
      </c>
      <c r="F1556" s="630" t="s">
        <v>534</v>
      </c>
      <c r="G1556" s="630" t="s">
        <v>365</v>
      </c>
      <c r="H1556" s="630" t="s">
        <v>577</v>
      </c>
      <c r="I1556" s="630"/>
      <c r="J1556" s="630"/>
      <c r="K1556" s="630"/>
      <c r="L1556" s="630"/>
      <c r="M1556" s="630"/>
      <c r="N1556" s="630"/>
      <c r="O1556" s="630"/>
      <c r="P1556" s="630"/>
      <c r="Q1556" s="630"/>
      <c r="R1556" s="630"/>
      <c r="S1556" s="630"/>
      <c r="T1556" s="630"/>
      <c r="U1556" s="630" t="s">
        <v>538</v>
      </c>
      <c r="V1556" s="630">
        <v>1</v>
      </c>
      <c r="W1556" s="630" t="s">
        <v>560</v>
      </c>
      <c r="X1556" s="630" t="s">
        <v>541</v>
      </c>
      <c r="Y1556" s="630" t="s">
        <v>541</v>
      </c>
      <c r="Z1556" s="630">
        <v>0.54055699999999995</v>
      </c>
      <c r="AA1556" s="630">
        <v>0.86994300000000002</v>
      </c>
      <c r="AB1556" s="631">
        <v>0</v>
      </c>
      <c r="AC1556" s="631">
        <v>0</v>
      </c>
      <c r="AD1556" s="631">
        <f t="shared" si="24"/>
        <v>0</v>
      </c>
    </row>
    <row r="1557" spans="2:30" x14ac:dyDescent="0.15">
      <c r="B1557" s="630">
        <v>17093002019</v>
      </c>
      <c r="C1557" s="630">
        <v>17093004860</v>
      </c>
      <c r="D1557" s="630">
        <v>17999021945</v>
      </c>
      <c r="E1557" s="630" t="s">
        <v>533</v>
      </c>
      <c r="F1557" s="630" t="s">
        <v>534</v>
      </c>
      <c r="G1557" s="630" t="s">
        <v>371</v>
      </c>
      <c r="H1557" s="630" t="s">
        <v>578</v>
      </c>
      <c r="I1557" s="630"/>
      <c r="J1557" s="630"/>
      <c r="K1557" s="630"/>
      <c r="L1557" s="630"/>
      <c r="M1557" s="630"/>
      <c r="N1557" s="630"/>
      <c r="O1557" s="630"/>
      <c r="P1557" s="630"/>
      <c r="Q1557" s="630"/>
      <c r="R1557" s="630"/>
      <c r="S1557" s="630"/>
      <c r="T1557" s="630"/>
      <c r="U1557" s="630" t="s">
        <v>538</v>
      </c>
      <c r="V1557" s="630">
        <v>1</v>
      </c>
      <c r="W1557" s="630" t="s">
        <v>560</v>
      </c>
      <c r="X1557" s="630" t="s">
        <v>541</v>
      </c>
      <c r="Y1557" s="630" t="s">
        <v>541</v>
      </c>
      <c r="Z1557" s="630">
        <v>2.8019810000000001</v>
      </c>
      <c r="AA1557" s="630">
        <v>4.50936</v>
      </c>
      <c r="AB1557" s="631">
        <v>37788</v>
      </c>
      <c r="AC1557" s="631">
        <v>4259781</v>
      </c>
      <c r="AD1557" s="631">
        <f t="shared" si="24"/>
        <v>11935825.426161001</v>
      </c>
    </row>
    <row r="1558" spans="2:30" x14ac:dyDescent="0.15">
      <c r="B1558" s="630">
        <v>17031002607</v>
      </c>
      <c r="C1558" s="630">
        <v>17031004685</v>
      </c>
      <c r="D1558" s="630">
        <v>17031004686</v>
      </c>
      <c r="E1558" s="630" t="s">
        <v>533</v>
      </c>
      <c r="F1558" s="630" t="s">
        <v>534</v>
      </c>
      <c r="G1558" s="630" t="s">
        <v>365</v>
      </c>
      <c r="H1558" s="630" t="s">
        <v>547</v>
      </c>
      <c r="I1558" s="630"/>
      <c r="J1558" s="630" t="s">
        <v>543</v>
      </c>
      <c r="K1558" s="630"/>
      <c r="L1558" s="630"/>
      <c r="M1558" s="630"/>
      <c r="N1558" s="630"/>
      <c r="O1558" s="630"/>
      <c r="P1558" s="630"/>
      <c r="Q1558" s="630"/>
      <c r="R1558" s="630"/>
      <c r="S1558" s="630" t="s">
        <v>602</v>
      </c>
      <c r="T1558" s="630"/>
      <c r="U1558" s="630" t="s">
        <v>538</v>
      </c>
      <c r="V1558" s="630">
        <v>2</v>
      </c>
      <c r="W1558" s="630" t="s">
        <v>582</v>
      </c>
      <c r="X1558" s="630" t="s">
        <v>541</v>
      </c>
      <c r="Y1558" s="630" t="s">
        <v>540</v>
      </c>
      <c r="Z1558" s="630">
        <v>1.1179749999999999</v>
      </c>
      <c r="AA1558" s="630">
        <v>1.7992109999999999</v>
      </c>
      <c r="AB1558" s="631">
        <v>320</v>
      </c>
      <c r="AC1558" s="631">
        <v>23200</v>
      </c>
      <c r="AD1558" s="631">
        <f t="shared" si="24"/>
        <v>25937.02</v>
      </c>
    </row>
    <row r="1559" spans="2:30" x14ac:dyDescent="0.15">
      <c r="B1559" s="630">
        <v>17089003097</v>
      </c>
      <c r="C1559" s="630">
        <v>17089004845</v>
      </c>
      <c r="D1559" s="630">
        <v>17089000598</v>
      </c>
      <c r="E1559" s="630" t="s">
        <v>533</v>
      </c>
      <c r="F1559" s="630" t="s">
        <v>534</v>
      </c>
      <c r="G1559" s="630" t="s">
        <v>369</v>
      </c>
      <c r="H1559" s="630" t="s">
        <v>382</v>
      </c>
      <c r="I1559" s="630"/>
      <c r="J1559" s="630" t="s">
        <v>547</v>
      </c>
      <c r="K1559" s="630"/>
      <c r="L1559" s="630"/>
      <c r="M1559" s="630"/>
      <c r="N1559" s="630"/>
      <c r="O1559" s="630"/>
      <c r="P1559" s="630"/>
      <c r="Q1559" s="630"/>
      <c r="R1559" s="630"/>
      <c r="S1559" s="630" t="s">
        <v>583</v>
      </c>
      <c r="T1559" s="630"/>
      <c r="U1559" s="630" t="s">
        <v>538</v>
      </c>
      <c r="V1559" s="630">
        <v>3</v>
      </c>
      <c r="W1559" s="630" t="s">
        <v>588</v>
      </c>
      <c r="X1559" s="630" t="s">
        <v>575</v>
      </c>
      <c r="Y1559" s="630" t="s">
        <v>549</v>
      </c>
      <c r="Z1559" s="630">
        <v>1.1730689999999999</v>
      </c>
      <c r="AA1559" s="630">
        <v>1.8878760000000001</v>
      </c>
      <c r="AB1559" s="631">
        <v>1829865</v>
      </c>
      <c r="AC1559" s="631">
        <v>58550931</v>
      </c>
      <c r="AD1559" s="631">
        <f t="shared" si="24"/>
        <v>68684282.077238992</v>
      </c>
    </row>
    <row r="1560" spans="2:30" x14ac:dyDescent="0.15">
      <c r="B1560" s="630">
        <v>17031003532</v>
      </c>
      <c r="C1560" s="630">
        <v>17031004629</v>
      </c>
      <c r="D1560" s="630">
        <v>17031004628</v>
      </c>
      <c r="E1560" s="630" t="s">
        <v>533</v>
      </c>
      <c r="F1560" s="630" t="s">
        <v>534</v>
      </c>
      <c r="G1560" s="630" t="s">
        <v>365</v>
      </c>
      <c r="H1560" s="630" t="s">
        <v>535</v>
      </c>
      <c r="I1560" s="630"/>
      <c r="J1560" s="630" t="s">
        <v>552</v>
      </c>
      <c r="K1560" s="630" t="s">
        <v>547</v>
      </c>
      <c r="L1560" s="630" t="s">
        <v>551</v>
      </c>
      <c r="M1560" s="630"/>
      <c r="N1560" s="630"/>
      <c r="O1560" s="630"/>
      <c r="P1560" s="630"/>
      <c r="Q1560" s="630"/>
      <c r="R1560" s="630"/>
      <c r="S1560" s="630" t="s">
        <v>548</v>
      </c>
      <c r="T1560" s="630" t="s">
        <v>671</v>
      </c>
      <c r="U1560" s="630" t="s">
        <v>538</v>
      </c>
      <c r="V1560" s="630">
        <v>2</v>
      </c>
      <c r="W1560" s="630" t="s">
        <v>545</v>
      </c>
      <c r="X1560" s="630" t="s">
        <v>546</v>
      </c>
      <c r="Y1560" s="630" t="s">
        <v>554</v>
      </c>
      <c r="Z1560" s="630">
        <v>0.39371</v>
      </c>
      <c r="AA1560" s="630">
        <v>0.63361699999999999</v>
      </c>
      <c r="AB1560" s="631">
        <v>877800</v>
      </c>
      <c r="AC1560" s="631">
        <v>40317087</v>
      </c>
      <c r="AD1560" s="631">
        <f t="shared" si="24"/>
        <v>15873240.32277</v>
      </c>
    </row>
    <row r="1561" spans="2:30" x14ac:dyDescent="0.15">
      <c r="B1561" s="630">
        <v>17111005927</v>
      </c>
      <c r="C1561" s="630">
        <v>17111000154</v>
      </c>
      <c r="D1561" s="630">
        <v>17111000152</v>
      </c>
      <c r="E1561" s="630" t="s">
        <v>533</v>
      </c>
      <c r="F1561" s="630" t="s">
        <v>534</v>
      </c>
      <c r="G1561" s="630" t="s">
        <v>375</v>
      </c>
      <c r="H1561" s="630" t="s">
        <v>678</v>
      </c>
      <c r="I1561" s="630"/>
      <c r="J1561" s="630"/>
      <c r="K1561" s="630"/>
      <c r="L1561" s="630"/>
      <c r="M1561" s="630"/>
      <c r="N1561" s="630"/>
      <c r="O1561" s="630"/>
      <c r="P1561" s="630"/>
      <c r="Q1561" s="630"/>
      <c r="R1561" s="630"/>
      <c r="S1561" s="630"/>
      <c r="T1561" s="630"/>
      <c r="U1561" s="630" t="s">
        <v>538</v>
      </c>
      <c r="V1561" s="630">
        <v>1</v>
      </c>
      <c r="W1561" s="630" t="s">
        <v>560</v>
      </c>
      <c r="X1561" s="630" t="s">
        <v>541</v>
      </c>
      <c r="Y1561" s="630" t="s">
        <v>541</v>
      </c>
      <c r="Z1561" s="630">
        <v>7.4020000000000002E-2</v>
      </c>
      <c r="AA1561" s="630">
        <v>0.11912399999999999</v>
      </c>
      <c r="AB1561" s="631">
        <v>0</v>
      </c>
      <c r="AC1561" s="631">
        <v>0</v>
      </c>
      <c r="AD1561" s="631">
        <f t="shared" si="24"/>
        <v>0</v>
      </c>
    </row>
    <row r="1562" spans="2:30" x14ac:dyDescent="0.15">
      <c r="B1562" s="630">
        <v>17031006337</v>
      </c>
      <c r="C1562" s="630">
        <v>17031000333</v>
      </c>
      <c r="D1562" s="630">
        <v>17031004587</v>
      </c>
      <c r="E1562" s="630" t="s">
        <v>533</v>
      </c>
      <c r="F1562" s="630" t="s">
        <v>534</v>
      </c>
      <c r="G1562" s="630" t="s">
        <v>365</v>
      </c>
      <c r="H1562" s="630" t="s">
        <v>382</v>
      </c>
      <c r="I1562" s="630"/>
      <c r="J1562" s="630"/>
      <c r="K1562" s="630"/>
      <c r="L1562" s="630"/>
      <c r="M1562" s="630"/>
      <c r="N1562" s="630"/>
      <c r="O1562" s="630"/>
      <c r="P1562" s="630"/>
      <c r="Q1562" s="630"/>
      <c r="R1562" s="630"/>
      <c r="S1562" s="630" t="s">
        <v>616</v>
      </c>
      <c r="T1562" s="630"/>
      <c r="U1562" s="630" t="s">
        <v>559</v>
      </c>
      <c r="V1562" s="630">
        <v>1</v>
      </c>
      <c r="W1562" s="630" t="s">
        <v>560</v>
      </c>
      <c r="X1562" s="630" t="s">
        <v>541</v>
      </c>
      <c r="Y1562" s="630" t="s">
        <v>541</v>
      </c>
      <c r="Z1562" s="630">
        <v>0.56783099999999997</v>
      </c>
      <c r="AA1562" s="630">
        <v>0.91383700000000001</v>
      </c>
      <c r="AB1562" s="631">
        <v>0</v>
      </c>
      <c r="AC1562" s="631">
        <v>0</v>
      </c>
      <c r="AD1562" s="631">
        <f t="shared" si="24"/>
        <v>0</v>
      </c>
    </row>
    <row r="1563" spans="2:30" x14ac:dyDescent="0.15">
      <c r="B1563" s="630">
        <v>17031006508</v>
      </c>
      <c r="C1563" s="630">
        <v>17031004761</v>
      </c>
      <c r="D1563" s="630">
        <v>17031000816</v>
      </c>
      <c r="E1563" s="630" t="s">
        <v>533</v>
      </c>
      <c r="F1563" s="630" t="s">
        <v>534</v>
      </c>
      <c r="G1563" s="630" t="s">
        <v>365</v>
      </c>
      <c r="H1563" s="630" t="s">
        <v>547</v>
      </c>
      <c r="I1563" s="630"/>
      <c r="J1563" s="630" t="s">
        <v>542</v>
      </c>
      <c r="K1563" s="630" t="s">
        <v>543</v>
      </c>
      <c r="L1563" s="630" t="s">
        <v>382</v>
      </c>
      <c r="M1563" s="630"/>
      <c r="N1563" s="630"/>
      <c r="O1563" s="630"/>
      <c r="P1563" s="630"/>
      <c r="Q1563" s="630"/>
      <c r="R1563" s="630"/>
      <c r="S1563" s="630" t="s">
        <v>602</v>
      </c>
      <c r="T1563" s="630"/>
      <c r="U1563" s="630" t="s">
        <v>538</v>
      </c>
      <c r="V1563" s="630">
        <v>2</v>
      </c>
      <c r="W1563" s="630" t="s">
        <v>545</v>
      </c>
      <c r="X1563" s="630" t="s">
        <v>540</v>
      </c>
      <c r="Y1563" s="630" t="s">
        <v>554</v>
      </c>
      <c r="Z1563" s="630">
        <v>4.4121E-2</v>
      </c>
      <c r="AA1563" s="630">
        <v>7.1007000000000001E-2</v>
      </c>
      <c r="AB1563" s="631">
        <v>202799</v>
      </c>
      <c r="AC1563" s="631">
        <v>7241376</v>
      </c>
      <c r="AD1563" s="631">
        <f t="shared" si="24"/>
        <v>319496.75049599999</v>
      </c>
    </row>
    <row r="1564" spans="2:30" x14ac:dyDescent="0.15">
      <c r="B1564" s="630">
        <v>17097002114</v>
      </c>
      <c r="C1564" s="630">
        <v>17097000022</v>
      </c>
      <c r="D1564" s="630">
        <v>17097007500</v>
      </c>
      <c r="E1564" s="630" t="s">
        <v>533</v>
      </c>
      <c r="F1564" s="630" t="s">
        <v>534</v>
      </c>
      <c r="G1564" s="630" t="s">
        <v>373</v>
      </c>
      <c r="H1564" s="630" t="s">
        <v>535</v>
      </c>
      <c r="I1564" s="630"/>
      <c r="J1564" s="630"/>
      <c r="K1564" s="630"/>
      <c r="L1564" s="630"/>
      <c r="M1564" s="630"/>
      <c r="N1564" s="630"/>
      <c r="O1564" s="630"/>
      <c r="P1564" s="630"/>
      <c r="Q1564" s="630"/>
      <c r="R1564" s="630"/>
      <c r="S1564" s="630" t="s">
        <v>548</v>
      </c>
      <c r="T1564" s="630"/>
      <c r="U1564" s="630" t="s">
        <v>538</v>
      </c>
      <c r="V1564" s="630">
        <v>2</v>
      </c>
      <c r="W1564" s="630" t="s">
        <v>545</v>
      </c>
      <c r="X1564" s="630" t="s">
        <v>546</v>
      </c>
      <c r="Y1564" s="630" t="s">
        <v>549</v>
      </c>
      <c r="Z1564" s="630">
        <v>0.68996199999999996</v>
      </c>
      <c r="AA1564" s="630">
        <v>1.1103890000000001</v>
      </c>
      <c r="AB1564" s="631">
        <v>777546</v>
      </c>
      <c r="AC1564" s="631">
        <v>36667833</v>
      </c>
      <c r="AD1564" s="631">
        <f t="shared" si="24"/>
        <v>25299411.392345998</v>
      </c>
    </row>
    <row r="1565" spans="2:30" x14ac:dyDescent="0.15">
      <c r="B1565" s="630">
        <v>17031003974</v>
      </c>
      <c r="C1565" s="630">
        <v>17031000889</v>
      </c>
      <c r="D1565" s="630">
        <v>17031000875</v>
      </c>
      <c r="E1565" s="630" t="s">
        <v>533</v>
      </c>
      <c r="F1565" s="630" t="s">
        <v>534</v>
      </c>
      <c r="G1565" s="630" t="s">
        <v>365</v>
      </c>
      <c r="H1565" s="630" t="s">
        <v>543</v>
      </c>
      <c r="I1565" s="630"/>
      <c r="J1565" s="630" t="s">
        <v>542</v>
      </c>
      <c r="K1565" s="630"/>
      <c r="L1565" s="630"/>
      <c r="M1565" s="630"/>
      <c r="N1565" s="630"/>
      <c r="O1565" s="630"/>
      <c r="P1565" s="630"/>
      <c r="Q1565" s="630"/>
      <c r="R1565" s="630"/>
      <c r="S1565" s="630" t="s">
        <v>630</v>
      </c>
      <c r="T1565" s="630"/>
      <c r="U1565" s="630" t="s">
        <v>538</v>
      </c>
      <c r="V1565" s="630">
        <v>2</v>
      </c>
      <c r="W1565" s="630" t="s">
        <v>545</v>
      </c>
      <c r="X1565" s="630" t="s">
        <v>580</v>
      </c>
      <c r="Y1565" s="630" t="s">
        <v>540</v>
      </c>
      <c r="Z1565" s="630">
        <v>0.36756899999999998</v>
      </c>
      <c r="AA1565" s="630">
        <v>0.59154499999999999</v>
      </c>
      <c r="AB1565" s="631">
        <v>2617438</v>
      </c>
      <c r="AC1565" s="631">
        <v>69406708</v>
      </c>
      <c r="AD1565" s="631">
        <f t="shared" si="24"/>
        <v>25511754.252852</v>
      </c>
    </row>
    <row r="1566" spans="2:30" x14ac:dyDescent="0.15">
      <c r="B1566" s="630">
        <v>17031003978</v>
      </c>
      <c r="C1566" s="630">
        <v>17031000695</v>
      </c>
      <c r="D1566" s="630">
        <v>17031000689</v>
      </c>
      <c r="E1566" s="630" t="s">
        <v>533</v>
      </c>
      <c r="F1566" s="630" t="s">
        <v>534</v>
      </c>
      <c r="G1566" s="630" t="s">
        <v>365</v>
      </c>
      <c r="H1566" s="630" t="s">
        <v>543</v>
      </c>
      <c r="I1566" s="630"/>
      <c r="J1566" s="630" t="s">
        <v>542</v>
      </c>
      <c r="K1566" s="630" t="s">
        <v>547</v>
      </c>
      <c r="L1566" s="630" t="s">
        <v>382</v>
      </c>
      <c r="M1566" s="630"/>
      <c r="N1566" s="630"/>
      <c r="O1566" s="630"/>
      <c r="P1566" s="630"/>
      <c r="Q1566" s="630"/>
      <c r="R1566" s="630"/>
      <c r="S1566" s="630" t="s">
        <v>630</v>
      </c>
      <c r="T1566" s="630"/>
      <c r="U1566" s="630" t="s">
        <v>538</v>
      </c>
      <c r="V1566" s="630">
        <v>2</v>
      </c>
      <c r="W1566" s="630" t="s">
        <v>545</v>
      </c>
      <c r="X1566" s="630" t="s">
        <v>549</v>
      </c>
      <c r="Y1566" s="630" t="s">
        <v>541</v>
      </c>
      <c r="Z1566" s="630">
        <v>8.0324000000000007E-2</v>
      </c>
      <c r="AA1566" s="630">
        <v>0.12927</v>
      </c>
      <c r="AB1566" s="631">
        <v>93556</v>
      </c>
      <c r="AC1566" s="631">
        <v>3945861</v>
      </c>
      <c r="AD1566" s="631">
        <f t="shared" si="24"/>
        <v>316947.33896400005</v>
      </c>
    </row>
    <row r="1567" spans="2:30" x14ac:dyDescent="0.15">
      <c r="B1567" s="630">
        <v>17031004291</v>
      </c>
      <c r="C1567" s="630">
        <v>17031000953</v>
      </c>
      <c r="D1567" s="630">
        <v>17031000977</v>
      </c>
      <c r="E1567" s="630" t="s">
        <v>533</v>
      </c>
      <c r="F1567" s="630" t="s">
        <v>534</v>
      </c>
      <c r="G1567" s="630" t="s">
        <v>365</v>
      </c>
      <c r="H1567" s="630" t="s">
        <v>571</v>
      </c>
      <c r="I1567" s="630"/>
      <c r="J1567" s="630" t="s">
        <v>381</v>
      </c>
      <c r="K1567" s="630" t="s">
        <v>535</v>
      </c>
      <c r="L1567" s="630" t="s">
        <v>552</v>
      </c>
      <c r="M1567" s="630" t="s">
        <v>551</v>
      </c>
      <c r="N1567" s="630" t="s">
        <v>382</v>
      </c>
      <c r="O1567" s="630" t="s">
        <v>543</v>
      </c>
      <c r="P1567" s="630"/>
      <c r="Q1567" s="630"/>
      <c r="R1567" s="630"/>
      <c r="S1567" s="630" t="s">
        <v>573</v>
      </c>
      <c r="T1567" s="630"/>
      <c r="U1567" s="630" t="s">
        <v>538</v>
      </c>
      <c r="V1567" s="630">
        <v>2</v>
      </c>
      <c r="W1567" s="630" t="s">
        <v>545</v>
      </c>
      <c r="X1567" s="630" t="s">
        <v>546</v>
      </c>
      <c r="Y1567" s="630" t="s">
        <v>554</v>
      </c>
      <c r="Z1567" s="630">
        <v>0.26273999999999997</v>
      </c>
      <c r="AA1567" s="630">
        <v>0.42283999999999999</v>
      </c>
      <c r="AB1567" s="631">
        <v>105198</v>
      </c>
      <c r="AC1567" s="631">
        <v>2866370</v>
      </c>
      <c r="AD1567" s="631">
        <f t="shared" si="24"/>
        <v>753110.05379999988</v>
      </c>
    </row>
    <row r="1568" spans="2:30" x14ac:dyDescent="0.15">
      <c r="B1568" s="630">
        <v>17031006172</v>
      </c>
      <c r="C1568" s="630">
        <v>17031000677</v>
      </c>
      <c r="D1568" s="630">
        <v>17031000692</v>
      </c>
      <c r="E1568" s="630" t="s">
        <v>533</v>
      </c>
      <c r="F1568" s="630" t="s">
        <v>534</v>
      </c>
      <c r="G1568" s="630" t="s">
        <v>365</v>
      </c>
      <c r="H1568" s="630" t="s">
        <v>543</v>
      </c>
      <c r="I1568" s="630"/>
      <c r="J1568" s="630"/>
      <c r="K1568" s="630"/>
      <c r="L1568" s="630"/>
      <c r="M1568" s="630"/>
      <c r="N1568" s="630"/>
      <c r="O1568" s="630"/>
      <c r="P1568" s="630"/>
      <c r="Q1568" s="630"/>
      <c r="R1568" s="630"/>
      <c r="S1568" s="630" t="s">
        <v>639</v>
      </c>
      <c r="T1568" s="630"/>
      <c r="U1568" s="630" t="s">
        <v>538</v>
      </c>
      <c r="V1568" s="630">
        <v>2</v>
      </c>
      <c r="W1568" s="630" t="s">
        <v>560</v>
      </c>
      <c r="X1568" s="630" t="s">
        <v>541</v>
      </c>
      <c r="Y1568" s="630" t="s">
        <v>541</v>
      </c>
      <c r="Z1568" s="630">
        <v>0.42941299999999999</v>
      </c>
      <c r="AA1568" s="630">
        <v>0.69107499999999999</v>
      </c>
      <c r="AB1568" s="631">
        <v>2336211</v>
      </c>
      <c r="AC1568" s="631">
        <v>58811519</v>
      </c>
      <c r="AD1568" s="631">
        <f t="shared" si="24"/>
        <v>25254430.808346998</v>
      </c>
    </row>
    <row r="1569" spans="2:30" x14ac:dyDescent="0.15">
      <c r="B1569" s="630">
        <v>17031006524</v>
      </c>
      <c r="C1569" s="630">
        <v>17031001204</v>
      </c>
      <c r="D1569" s="630">
        <v>17031001199</v>
      </c>
      <c r="E1569" s="630" t="s">
        <v>533</v>
      </c>
      <c r="F1569" s="630" t="s">
        <v>534</v>
      </c>
      <c r="G1569" s="630" t="s">
        <v>365</v>
      </c>
      <c r="H1569" s="630" t="s">
        <v>577</v>
      </c>
      <c r="I1569" s="630"/>
      <c r="J1569" s="630"/>
      <c r="K1569" s="630"/>
      <c r="L1569" s="630"/>
      <c r="M1569" s="630"/>
      <c r="N1569" s="630"/>
      <c r="O1569" s="630"/>
      <c r="P1569" s="630"/>
      <c r="Q1569" s="630"/>
      <c r="R1569" s="630"/>
      <c r="S1569" s="630"/>
      <c r="T1569" s="630"/>
      <c r="U1569" s="630" t="s">
        <v>559</v>
      </c>
      <c r="V1569" s="630">
        <v>1</v>
      </c>
      <c r="W1569" s="630" t="s">
        <v>560</v>
      </c>
      <c r="X1569" s="630" t="s">
        <v>541</v>
      </c>
      <c r="Y1569" s="630" t="s">
        <v>541</v>
      </c>
      <c r="Z1569" s="630">
        <v>4.1776000000000001E-2</v>
      </c>
      <c r="AA1569" s="630">
        <v>6.7232E-2</v>
      </c>
      <c r="AB1569" s="631">
        <v>0</v>
      </c>
      <c r="AC1569" s="631">
        <v>0</v>
      </c>
      <c r="AD1569" s="631">
        <f t="shared" si="24"/>
        <v>0</v>
      </c>
    </row>
    <row r="1570" spans="2:30" x14ac:dyDescent="0.15">
      <c r="B1570" s="630">
        <v>17089002039</v>
      </c>
      <c r="C1570" s="630">
        <v>17089000361</v>
      </c>
      <c r="D1570" s="630">
        <v>17089004849</v>
      </c>
      <c r="E1570" s="630" t="s">
        <v>533</v>
      </c>
      <c r="F1570" s="630" t="s">
        <v>534</v>
      </c>
      <c r="G1570" s="630" t="s">
        <v>369</v>
      </c>
      <c r="H1570" s="630" t="s">
        <v>535</v>
      </c>
      <c r="I1570" s="630"/>
      <c r="J1570" s="630"/>
      <c r="K1570" s="630"/>
      <c r="L1570" s="630"/>
      <c r="M1570" s="630"/>
      <c r="N1570" s="630"/>
      <c r="O1570" s="630"/>
      <c r="P1570" s="630"/>
      <c r="Q1570" s="630"/>
      <c r="R1570" s="630"/>
      <c r="S1570" s="630" t="s">
        <v>624</v>
      </c>
      <c r="T1570" s="630"/>
      <c r="U1570" s="630" t="s">
        <v>538</v>
      </c>
      <c r="V1570" s="630">
        <v>1</v>
      </c>
      <c r="W1570" s="630" t="s">
        <v>582</v>
      </c>
      <c r="X1570" s="630" t="s">
        <v>554</v>
      </c>
      <c r="Y1570" s="630" t="s">
        <v>549</v>
      </c>
      <c r="Z1570" s="630">
        <v>2.8643299999999998</v>
      </c>
      <c r="AA1570" s="630">
        <v>4.6097020000000004</v>
      </c>
      <c r="AB1570" s="631">
        <v>46181</v>
      </c>
      <c r="AC1570" s="631">
        <v>4487359</v>
      </c>
      <c r="AD1570" s="631">
        <f t="shared" si="24"/>
        <v>12853277.00447</v>
      </c>
    </row>
    <row r="1571" spans="2:30" x14ac:dyDescent="0.15">
      <c r="B1571" s="630">
        <v>17031002596</v>
      </c>
      <c r="C1571" s="630">
        <v>17031004694</v>
      </c>
      <c r="D1571" s="630">
        <v>17031004695</v>
      </c>
      <c r="E1571" s="630" t="s">
        <v>533</v>
      </c>
      <c r="F1571" s="630" t="s">
        <v>534</v>
      </c>
      <c r="G1571" s="630" t="s">
        <v>365</v>
      </c>
      <c r="H1571" s="630" t="s">
        <v>547</v>
      </c>
      <c r="I1571" s="630"/>
      <c r="J1571" s="630" t="s">
        <v>577</v>
      </c>
      <c r="K1571" s="630" t="s">
        <v>551</v>
      </c>
      <c r="L1571" s="630" t="s">
        <v>615</v>
      </c>
      <c r="M1571" s="630"/>
      <c r="N1571" s="630"/>
      <c r="O1571" s="630"/>
      <c r="P1571" s="630"/>
      <c r="Q1571" s="630"/>
      <c r="R1571" s="630"/>
      <c r="S1571" s="630" t="s">
        <v>581</v>
      </c>
      <c r="T1571" s="630"/>
      <c r="U1571" s="630" t="s">
        <v>538</v>
      </c>
      <c r="V1571" s="630">
        <v>2</v>
      </c>
      <c r="W1571" s="630" t="s">
        <v>582</v>
      </c>
      <c r="X1571" s="630" t="s">
        <v>540</v>
      </c>
      <c r="Y1571" s="630" t="s">
        <v>540</v>
      </c>
      <c r="Z1571" s="630">
        <v>2.0360149999999999</v>
      </c>
      <c r="AA1571" s="630">
        <v>3.2766549999999999</v>
      </c>
      <c r="AB1571" s="631">
        <v>89629</v>
      </c>
      <c r="AC1571" s="631">
        <v>8779272</v>
      </c>
      <c r="AD1571" s="631">
        <f t="shared" si="24"/>
        <v>17874729.481079999</v>
      </c>
    </row>
    <row r="1572" spans="2:30" x14ac:dyDescent="0.15">
      <c r="B1572" s="630">
        <v>17031004886</v>
      </c>
      <c r="C1572" s="630">
        <v>17031001313</v>
      </c>
      <c r="D1572" s="630">
        <v>17031001295</v>
      </c>
      <c r="E1572" s="630" t="s">
        <v>533</v>
      </c>
      <c r="F1572" s="630" t="s">
        <v>534</v>
      </c>
      <c r="G1572" s="630" t="s">
        <v>365</v>
      </c>
      <c r="H1572" s="630" t="s">
        <v>535</v>
      </c>
      <c r="I1572" s="630"/>
      <c r="J1572" s="630" t="s">
        <v>551</v>
      </c>
      <c r="K1572" s="630"/>
      <c r="L1572" s="630"/>
      <c r="M1572" s="630"/>
      <c r="N1572" s="630"/>
      <c r="O1572" s="630"/>
      <c r="P1572" s="630"/>
      <c r="Q1572" s="630"/>
      <c r="R1572" s="630"/>
      <c r="S1572" s="630"/>
      <c r="T1572" s="630"/>
      <c r="U1572" s="630" t="s">
        <v>559</v>
      </c>
      <c r="V1572" s="630">
        <v>1</v>
      </c>
      <c r="W1572" s="630" t="s">
        <v>560</v>
      </c>
      <c r="X1572" s="630" t="s">
        <v>541</v>
      </c>
      <c r="Y1572" s="630" t="s">
        <v>541</v>
      </c>
      <c r="Z1572" s="630">
        <v>0.71633000000000002</v>
      </c>
      <c r="AA1572" s="630">
        <v>1.1528240000000001</v>
      </c>
      <c r="AB1572" s="631">
        <v>0</v>
      </c>
      <c r="AC1572" s="631">
        <v>0</v>
      </c>
      <c r="AD1572" s="631">
        <f t="shared" si="24"/>
        <v>0</v>
      </c>
    </row>
    <row r="1573" spans="2:30" x14ac:dyDescent="0.15">
      <c r="B1573" s="630">
        <v>17031006171</v>
      </c>
      <c r="C1573" s="630">
        <v>17031000648</v>
      </c>
      <c r="D1573" s="630">
        <v>17031000677</v>
      </c>
      <c r="E1573" s="630" t="s">
        <v>533</v>
      </c>
      <c r="F1573" s="630" t="s">
        <v>534</v>
      </c>
      <c r="G1573" s="630" t="s">
        <v>365</v>
      </c>
      <c r="H1573" s="630" t="s">
        <v>543</v>
      </c>
      <c r="I1573" s="630"/>
      <c r="J1573" s="630"/>
      <c r="K1573" s="630"/>
      <c r="L1573" s="630"/>
      <c r="M1573" s="630"/>
      <c r="N1573" s="630"/>
      <c r="O1573" s="630"/>
      <c r="P1573" s="630"/>
      <c r="Q1573" s="630"/>
      <c r="R1573" s="630"/>
      <c r="S1573" s="630" t="s">
        <v>639</v>
      </c>
      <c r="T1573" s="630"/>
      <c r="U1573" s="630" t="s">
        <v>538</v>
      </c>
      <c r="V1573" s="630">
        <v>2</v>
      </c>
      <c r="W1573" s="630" t="s">
        <v>560</v>
      </c>
      <c r="X1573" s="630" t="s">
        <v>541</v>
      </c>
      <c r="Y1573" s="630" t="s">
        <v>541</v>
      </c>
      <c r="Z1573" s="630">
        <v>0.13519100000000001</v>
      </c>
      <c r="AA1573" s="630">
        <v>0.21756900000000001</v>
      </c>
      <c r="AB1573" s="631">
        <v>2336211</v>
      </c>
      <c r="AC1573" s="631">
        <v>58811519</v>
      </c>
      <c r="AD1573" s="631">
        <f t="shared" si="24"/>
        <v>7950788.0651290007</v>
      </c>
    </row>
    <row r="1574" spans="2:30" x14ac:dyDescent="0.15">
      <c r="B1574" s="630">
        <v>17111009861</v>
      </c>
      <c r="C1574" s="630">
        <v>17111007943</v>
      </c>
      <c r="D1574" s="630">
        <v>17111004836</v>
      </c>
      <c r="E1574" s="630" t="s">
        <v>533</v>
      </c>
      <c r="F1574" s="630" t="s">
        <v>534</v>
      </c>
      <c r="G1574" s="630" t="s">
        <v>375</v>
      </c>
      <c r="H1574" s="630" t="s">
        <v>382</v>
      </c>
      <c r="I1574" s="630"/>
      <c r="J1574" s="630" t="s">
        <v>547</v>
      </c>
      <c r="K1574" s="630"/>
      <c r="L1574" s="630"/>
      <c r="M1574" s="630"/>
      <c r="N1574" s="630"/>
      <c r="O1574" s="630"/>
      <c r="P1574" s="630"/>
      <c r="Q1574" s="630"/>
      <c r="R1574" s="630"/>
      <c r="S1574" s="630" t="s">
        <v>608</v>
      </c>
      <c r="T1574" s="630"/>
      <c r="U1574" s="630" t="s">
        <v>538</v>
      </c>
      <c r="V1574" s="630">
        <v>2</v>
      </c>
      <c r="W1574" s="630" t="s">
        <v>566</v>
      </c>
      <c r="X1574" s="630" t="s">
        <v>549</v>
      </c>
      <c r="Y1574" s="630" t="s">
        <v>549</v>
      </c>
      <c r="Z1574" s="630">
        <v>2.253905</v>
      </c>
      <c r="AA1574" s="630">
        <v>3.627316</v>
      </c>
      <c r="AB1574" s="631">
        <v>9244</v>
      </c>
      <c r="AC1574" s="631">
        <v>844669</v>
      </c>
      <c r="AD1574" s="631">
        <f t="shared" si="24"/>
        <v>1903803.6824449999</v>
      </c>
    </row>
    <row r="1575" spans="2:30" x14ac:dyDescent="0.15">
      <c r="B1575" s="630">
        <v>17031003485</v>
      </c>
      <c r="C1575" s="630">
        <v>17031000559</v>
      </c>
      <c r="D1575" s="630">
        <v>17031000529</v>
      </c>
      <c r="E1575" s="630" t="s">
        <v>533</v>
      </c>
      <c r="F1575" s="630" t="s">
        <v>534</v>
      </c>
      <c r="G1575" s="630" t="s">
        <v>365</v>
      </c>
      <c r="H1575" s="630" t="s">
        <v>552</v>
      </c>
      <c r="I1575" s="630"/>
      <c r="J1575" s="630" t="s">
        <v>542</v>
      </c>
      <c r="K1575" s="630" t="s">
        <v>547</v>
      </c>
      <c r="L1575" s="630"/>
      <c r="M1575" s="630"/>
      <c r="N1575" s="630"/>
      <c r="O1575" s="630"/>
      <c r="P1575" s="630"/>
      <c r="Q1575" s="630"/>
      <c r="R1575" s="630"/>
      <c r="S1575" s="630" t="s">
        <v>564</v>
      </c>
      <c r="T1575" s="630" t="s">
        <v>640</v>
      </c>
      <c r="U1575" s="630" t="s">
        <v>538</v>
      </c>
      <c r="V1575" s="630">
        <v>3</v>
      </c>
      <c r="W1575" s="630" t="s">
        <v>545</v>
      </c>
      <c r="X1575" s="630" t="s">
        <v>541</v>
      </c>
      <c r="Y1575" s="630" t="s">
        <v>540</v>
      </c>
      <c r="Z1575" s="630">
        <v>0.90408100000000002</v>
      </c>
      <c r="AA1575" s="630">
        <v>1.4549799999999999</v>
      </c>
      <c r="AB1575" s="631">
        <v>26416</v>
      </c>
      <c r="AC1575" s="631">
        <v>1321473</v>
      </c>
      <c r="AD1575" s="631">
        <f t="shared" si="24"/>
        <v>1194718.6313130001</v>
      </c>
    </row>
    <row r="1576" spans="2:30" x14ac:dyDescent="0.15">
      <c r="B1576" s="630">
        <v>17031009452</v>
      </c>
      <c r="C1576" s="630">
        <v>17031000351</v>
      </c>
      <c r="D1576" s="630">
        <v>17031007556</v>
      </c>
      <c r="E1576" s="630" t="s">
        <v>533</v>
      </c>
      <c r="F1576" s="630" t="s">
        <v>534</v>
      </c>
      <c r="G1576" s="630" t="s">
        <v>365</v>
      </c>
      <c r="H1576" s="630" t="s">
        <v>590</v>
      </c>
      <c r="I1576" s="630"/>
      <c r="J1576" s="630"/>
      <c r="K1576" s="630"/>
      <c r="L1576" s="630"/>
      <c r="M1576" s="630"/>
      <c r="N1576" s="630"/>
      <c r="O1576" s="630"/>
      <c r="P1576" s="630"/>
      <c r="Q1576" s="630"/>
      <c r="R1576" s="630"/>
      <c r="S1576" s="630"/>
      <c r="T1576" s="630"/>
      <c r="U1576" s="630" t="s">
        <v>559</v>
      </c>
      <c r="V1576" s="630">
        <v>1</v>
      </c>
      <c r="W1576" s="630" t="s">
        <v>560</v>
      </c>
      <c r="X1576" s="630" t="s">
        <v>541</v>
      </c>
      <c r="Y1576" s="630" t="s">
        <v>541</v>
      </c>
      <c r="Z1576" s="630">
        <v>3.5792999999999998E-2</v>
      </c>
      <c r="AA1576" s="630">
        <v>5.7604000000000002E-2</v>
      </c>
      <c r="AB1576" s="631">
        <v>0</v>
      </c>
      <c r="AC1576" s="631">
        <v>0</v>
      </c>
      <c r="AD1576" s="631">
        <f t="shared" si="24"/>
        <v>0</v>
      </c>
    </row>
    <row r="1577" spans="2:30" x14ac:dyDescent="0.15">
      <c r="B1577" s="630">
        <v>17031003669</v>
      </c>
      <c r="C1577" s="630">
        <v>17031000877</v>
      </c>
      <c r="D1577" s="630">
        <v>17031000898</v>
      </c>
      <c r="E1577" s="630" t="s">
        <v>533</v>
      </c>
      <c r="F1577" s="630" t="s">
        <v>534</v>
      </c>
      <c r="G1577" s="630" t="s">
        <v>365</v>
      </c>
      <c r="H1577" s="630" t="s">
        <v>547</v>
      </c>
      <c r="I1577" s="630"/>
      <c r="J1577" s="630" t="s">
        <v>542</v>
      </c>
      <c r="K1577" s="630" t="s">
        <v>543</v>
      </c>
      <c r="L1577" s="630" t="s">
        <v>382</v>
      </c>
      <c r="M1577" s="630"/>
      <c r="N1577" s="630"/>
      <c r="O1577" s="630"/>
      <c r="P1577" s="630"/>
      <c r="Q1577" s="630"/>
      <c r="R1577" s="630"/>
      <c r="S1577" s="630" t="s">
        <v>602</v>
      </c>
      <c r="T1577" s="630" t="s">
        <v>659</v>
      </c>
      <c r="U1577" s="630" t="s">
        <v>538</v>
      </c>
      <c r="V1577" s="630">
        <v>2</v>
      </c>
      <c r="W1577" s="630" t="s">
        <v>545</v>
      </c>
      <c r="X1577" s="630" t="s">
        <v>540</v>
      </c>
      <c r="Y1577" s="630" t="s">
        <v>540</v>
      </c>
      <c r="Z1577" s="630">
        <v>0.58623199999999998</v>
      </c>
      <c r="AA1577" s="630">
        <v>0.94345100000000004</v>
      </c>
      <c r="AB1577" s="631">
        <v>202799</v>
      </c>
      <c r="AC1577" s="631">
        <v>7241376</v>
      </c>
      <c r="AD1577" s="631">
        <f t="shared" si="24"/>
        <v>4245126.3352319999</v>
      </c>
    </row>
    <row r="1578" spans="2:30" x14ac:dyDescent="0.15">
      <c r="B1578" s="630">
        <v>17031003922</v>
      </c>
      <c r="C1578" s="630">
        <v>17031000575</v>
      </c>
      <c r="D1578" s="630">
        <v>17031000573</v>
      </c>
      <c r="E1578" s="630" t="s">
        <v>533</v>
      </c>
      <c r="F1578" s="630" t="s">
        <v>534</v>
      </c>
      <c r="G1578" s="630" t="s">
        <v>365</v>
      </c>
      <c r="H1578" s="630" t="s">
        <v>382</v>
      </c>
      <c r="I1578" s="630"/>
      <c r="J1578" s="630" t="s">
        <v>572</v>
      </c>
      <c r="K1578" s="630" t="s">
        <v>547</v>
      </c>
      <c r="L1578" s="630"/>
      <c r="M1578" s="630"/>
      <c r="N1578" s="630"/>
      <c r="O1578" s="630"/>
      <c r="P1578" s="630"/>
      <c r="Q1578" s="630"/>
      <c r="R1578" s="630"/>
      <c r="S1578" s="630" t="s">
        <v>583</v>
      </c>
      <c r="T1578" s="630"/>
      <c r="U1578" s="630" t="s">
        <v>538</v>
      </c>
      <c r="V1578" s="630">
        <v>3</v>
      </c>
      <c r="W1578" s="630" t="s">
        <v>545</v>
      </c>
      <c r="X1578" s="630" t="s">
        <v>580</v>
      </c>
      <c r="Y1578" s="630" t="s">
        <v>540</v>
      </c>
      <c r="Z1578" s="630">
        <v>0.27815699999999999</v>
      </c>
      <c r="AA1578" s="630">
        <v>0.44764999999999999</v>
      </c>
      <c r="AB1578" s="631">
        <v>858401</v>
      </c>
      <c r="AC1578" s="631">
        <v>28501686</v>
      </c>
      <c r="AD1578" s="631">
        <f t="shared" si="24"/>
        <v>7927943.4727019994</v>
      </c>
    </row>
    <row r="1579" spans="2:30" x14ac:dyDescent="0.15">
      <c r="B1579" s="630">
        <v>17031006483</v>
      </c>
      <c r="C1579" s="630">
        <v>17031004743</v>
      </c>
      <c r="D1579" s="630">
        <v>17031004750</v>
      </c>
      <c r="E1579" s="630" t="s">
        <v>533</v>
      </c>
      <c r="F1579" s="630" t="s">
        <v>534</v>
      </c>
      <c r="G1579" s="630" t="s">
        <v>365</v>
      </c>
      <c r="H1579" s="630" t="s">
        <v>557</v>
      </c>
      <c r="I1579" s="630"/>
      <c r="J1579" s="630" t="s">
        <v>552</v>
      </c>
      <c r="K1579" s="630"/>
      <c r="L1579" s="630"/>
      <c r="M1579" s="630"/>
      <c r="N1579" s="630"/>
      <c r="O1579" s="630"/>
      <c r="P1579" s="630"/>
      <c r="Q1579" s="630"/>
      <c r="R1579" s="630"/>
      <c r="S1579" s="630" t="s">
        <v>634</v>
      </c>
      <c r="T1579" s="630" t="s">
        <v>704</v>
      </c>
      <c r="U1579" s="630" t="s">
        <v>559</v>
      </c>
      <c r="V1579" s="630">
        <v>1</v>
      </c>
      <c r="W1579" s="630" t="s">
        <v>560</v>
      </c>
      <c r="X1579" s="630" t="s">
        <v>541</v>
      </c>
      <c r="Y1579" s="630" t="s">
        <v>541</v>
      </c>
      <c r="Z1579" s="630">
        <v>0.49211500000000002</v>
      </c>
      <c r="AA1579" s="630">
        <v>0.79198299999999999</v>
      </c>
      <c r="AB1579" s="631">
        <v>400</v>
      </c>
      <c r="AC1579" s="631">
        <v>37280</v>
      </c>
      <c r="AD1579" s="631">
        <f t="shared" si="24"/>
        <v>18346.047200000001</v>
      </c>
    </row>
    <row r="1580" spans="2:30" x14ac:dyDescent="0.15">
      <c r="B1580" s="630">
        <v>17031008647</v>
      </c>
      <c r="C1580" s="630">
        <v>17031001214</v>
      </c>
      <c r="D1580" s="630">
        <v>17031006725</v>
      </c>
      <c r="E1580" s="630" t="s">
        <v>533</v>
      </c>
      <c r="F1580" s="630" t="s">
        <v>534</v>
      </c>
      <c r="G1580" s="630" t="s">
        <v>365</v>
      </c>
      <c r="H1580" s="630" t="s">
        <v>577</v>
      </c>
      <c r="I1580" s="630"/>
      <c r="J1580" s="630"/>
      <c r="K1580" s="630"/>
      <c r="L1580" s="630"/>
      <c r="M1580" s="630"/>
      <c r="N1580" s="630"/>
      <c r="O1580" s="630"/>
      <c r="P1580" s="630"/>
      <c r="Q1580" s="630"/>
      <c r="R1580" s="630"/>
      <c r="S1580" s="630"/>
      <c r="T1580" s="630"/>
      <c r="U1580" s="630" t="s">
        <v>559</v>
      </c>
      <c r="V1580" s="630">
        <v>1</v>
      </c>
      <c r="W1580" s="630" t="s">
        <v>560</v>
      </c>
      <c r="X1580" s="630" t="s">
        <v>541</v>
      </c>
      <c r="Y1580" s="630" t="s">
        <v>541</v>
      </c>
      <c r="Z1580" s="630">
        <v>4.8899999999999999E-2</v>
      </c>
      <c r="AA1580" s="630">
        <v>7.8697000000000003E-2</v>
      </c>
      <c r="AB1580" s="631">
        <v>0</v>
      </c>
      <c r="AC1580" s="631">
        <v>0</v>
      </c>
      <c r="AD1580" s="631">
        <f t="shared" si="24"/>
        <v>0</v>
      </c>
    </row>
    <row r="1581" spans="2:30" x14ac:dyDescent="0.15">
      <c r="B1581" s="630">
        <v>17031001943</v>
      </c>
      <c r="C1581" s="630">
        <v>17031000862</v>
      </c>
      <c r="D1581" s="630">
        <v>17031004669</v>
      </c>
      <c r="E1581" s="630" t="s">
        <v>533</v>
      </c>
      <c r="F1581" s="630" t="s">
        <v>534</v>
      </c>
      <c r="G1581" s="630" t="s">
        <v>365</v>
      </c>
      <c r="H1581" s="630" t="s">
        <v>535</v>
      </c>
      <c r="I1581" s="630"/>
      <c r="J1581" s="630" t="s">
        <v>542</v>
      </c>
      <c r="K1581" s="630" t="s">
        <v>572</v>
      </c>
      <c r="L1581" s="630" t="s">
        <v>547</v>
      </c>
      <c r="M1581" s="630" t="s">
        <v>382</v>
      </c>
      <c r="N1581" s="630" t="s">
        <v>552</v>
      </c>
      <c r="O1581" s="630" t="s">
        <v>381</v>
      </c>
      <c r="P1581" s="630"/>
      <c r="Q1581" s="630"/>
      <c r="R1581" s="630"/>
      <c r="S1581" s="630" t="s">
        <v>601</v>
      </c>
      <c r="T1581" s="630" t="s">
        <v>692</v>
      </c>
      <c r="U1581" s="630" t="s">
        <v>538</v>
      </c>
      <c r="V1581" s="630">
        <v>2</v>
      </c>
      <c r="W1581" s="630" t="s">
        <v>545</v>
      </c>
      <c r="X1581" s="630" t="s">
        <v>540</v>
      </c>
      <c r="Y1581" s="630" t="s">
        <v>549</v>
      </c>
      <c r="Z1581" s="630">
        <v>1.7375579999999999</v>
      </c>
      <c r="AA1581" s="630">
        <v>2.7963339999999999</v>
      </c>
      <c r="AB1581" s="631">
        <v>2020</v>
      </c>
      <c r="AC1581" s="631">
        <v>180608</v>
      </c>
      <c r="AD1581" s="631">
        <f t="shared" si="24"/>
        <v>313816.87526399997</v>
      </c>
    </row>
    <row r="1582" spans="2:30" x14ac:dyDescent="0.15">
      <c r="B1582" s="630">
        <v>17031001961</v>
      </c>
      <c r="C1582" s="630">
        <v>17031001241</v>
      </c>
      <c r="D1582" s="630">
        <v>17031001200</v>
      </c>
      <c r="E1582" s="630" t="s">
        <v>533</v>
      </c>
      <c r="F1582" s="630" t="s">
        <v>534</v>
      </c>
      <c r="G1582" s="630" t="s">
        <v>365</v>
      </c>
      <c r="H1582" s="630" t="s">
        <v>557</v>
      </c>
      <c r="I1582" s="630"/>
      <c r="J1582" s="630" t="s">
        <v>381</v>
      </c>
      <c r="K1582" s="630" t="s">
        <v>535</v>
      </c>
      <c r="L1582" s="630" t="s">
        <v>552</v>
      </c>
      <c r="M1582" s="630" t="s">
        <v>551</v>
      </c>
      <c r="N1582" s="630" t="s">
        <v>543</v>
      </c>
      <c r="O1582" s="630" t="s">
        <v>382</v>
      </c>
      <c r="P1582" s="630"/>
      <c r="Q1582" s="630"/>
      <c r="R1582" s="630"/>
      <c r="S1582" s="630" t="s">
        <v>570</v>
      </c>
      <c r="T1582" s="630"/>
      <c r="U1582" s="630" t="s">
        <v>538</v>
      </c>
      <c r="V1582" s="630">
        <v>2</v>
      </c>
      <c r="W1582" s="630" t="s">
        <v>545</v>
      </c>
      <c r="X1582" s="630" t="s">
        <v>575</v>
      </c>
      <c r="Y1582" s="630" t="s">
        <v>540</v>
      </c>
      <c r="Z1582" s="630">
        <v>1.7749740000000001</v>
      </c>
      <c r="AA1582" s="630">
        <v>2.8565489999999998</v>
      </c>
      <c r="AB1582" s="631">
        <v>1870850</v>
      </c>
      <c r="AC1582" s="631">
        <v>61689171</v>
      </c>
      <c r="AD1582" s="631">
        <f t="shared" si="24"/>
        <v>109496674.606554</v>
      </c>
    </row>
    <row r="1583" spans="2:30" x14ac:dyDescent="0.15">
      <c r="B1583" s="630">
        <v>17111001979</v>
      </c>
      <c r="C1583" s="630">
        <v>17111000236</v>
      </c>
      <c r="D1583" s="630">
        <v>17111000152</v>
      </c>
      <c r="E1583" s="630" t="s">
        <v>533</v>
      </c>
      <c r="F1583" s="630" t="s">
        <v>534</v>
      </c>
      <c r="G1583" s="630" t="s">
        <v>375</v>
      </c>
      <c r="H1583" s="630" t="s">
        <v>382</v>
      </c>
      <c r="I1583" s="630"/>
      <c r="J1583" s="630"/>
      <c r="K1583" s="630"/>
      <c r="L1583" s="630"/>
      <c r="M1583" s="630"/>
      <c r="N1583" s="630"/>
      <c r="O1583" s="630"/>
      <c r="P1583" s="630"/>
      <c r="Q1583" s="630"/>
      <c r="R1583" s="630"/>
      <c r="S1583" s="630" t="s">
        <v>561</v>
      </c>
      <c r="T1583" s="630"/>
      <c r="U1583" s="630" t="s">
        <v>538</v>
      </c>
      <c r="V1583" s="630">
        <v>1</v>
      </c>
      <c r="W1583" s="630" t="s">
        <v>562</v>
      </c>
      <c r="X1583" s="630" t="s">
        <v>541</v>
      </c>
      <c r="Y1583" s="630" t="s">
        <v>540</v>
      </c>
      <c r="Z1583" s="630">
        <v>7.4491680000000002</v>
      </c>
      <c r="AA1583" s="630">
        <v>11.988298</v>
      </c>
      <c r="AB1583" s="631">
        <v>16124</v>
      </c>
      <c r="AC1583" s="631">
        <v>373440</v>
      </c>
      <c r="AD1583" s="631">
        <f t="shared" si="24"/>
        <v>2781817.2979200003</v>
      </c>
    </row>
    <row r="1584" spans="2:30" x14ac:dyDescent="0.15">
      <c r="B1584" s="630">
        <v>17097002194</v>
      </c>
      <c r="C1584" s="630">
        <v>17999019035</v>
      </c>
      <c r="D1584" s="630">
        <v>17097004520</v>
      </c>
      <c r="E1584" s="630" t="s">
        <v>533</v>
      </c>
      <c r="F1584" s="630" t="s">
        <v>534</v>
      </c>
      <c r="G1584" s="630" t="s">
        <v>373</v>
      </c>
      <c r="H1584" s="630" t="s">
        <v>382</v>
      </c>
      <c r="I1584" s="630"/>
      <c r="J1584" s="630" t="s">
        <v>535</v>
      </c>
      <c r="K1584" s="630" t="s">
        <v>547</v>
      </c>
      <c r="L1584" s="630"/>
      <c r="M1584" s="630"/>
      <c r="N1584" s="630"/>
      <c r="O1584" s="630"/>
      <c r="P1584" s="630"/>
      <c r="Q1584" s="630"/>
      <c r="R1584" s="630"/>
      <c r="S1584" s="630" t="s">
        <v>608</v>
      </c>
      <c r="T1584" s="630"/>
      <c r="U1584" s="630" t="s">
        <v>538</v>
      </c>
      <c r="V1584" s="630">
        <v>2</v>
      </c>
      <c r="W1584" s="630" t="s">
        <v>566</v>
      </c>
      <c r="X1584" s="630" t="s">
        <v>549</v>
      </c>
      <c r="Y1584" s="630" t="s">
        <v>549</v>
      </c>
      <c r="Z1584" s="630">
        <v>0.228904</v>
      </c>
      <c r="AA1584" s="630">
        <v>0.36838500000000002</v>
      </c>
      <c r="AB1584" s="631">
        <v>8866</v>
      </c>
      <c r="AC1584" s="631">
        <v>836957</v>
      </c>
      <c r="AD1584" s="631">
        <f t="shared" si="24"/>
        <v>191582.80512800001</v>
      </c>
    </row>
    <row r="1585" spans="2:30" x14ac:dyDescent="0.15">
      <c r="B1585" s="630">
        <v>17031002198</v>
      </c>
      <c r="C1585" s="630">
        <v>17031007571</v>
      </c>
      <c r="D1585" s="630">
        <v>17031000299</v>
      </c>
      <c r="E1585" s="630" t="s">
        <v>533</v>
      </c>
      <c r="F1585" s="630" t="s">
        <v>534</v>
      </c>
      <c r="G1585" s="630" t="s">
        <v>365</v>
      </c>
      <c r="H1585" s="630" t="s">
        <v>382</v>
      </c>
      <c r="I1585" s="630"/>
      <c r="J1585" s="630" t="s">
        <v>552</v>
      </c>
      <c r="K1585" s="630"/>
      <c r="L1585" s="630"/>
      <c r="M1585" s="630"/>
      <c r="N1585" s="630"/>
      <c r="O1585" s="630"/>
      <c r="P1585" s="630"/>
      <c r="Q1585" s="630"/>
      <c r="R1585" s="630"/>
      <c r="S1585" s="630" t="s">
        <v>586</v>
      </c>
      <c r="T1585" s="630"/>
      <c r="U1585" s="630" t="s">
        <v>538</v>
      </c>
      <c r="V1585" s="630">
        <v>2</v>
      </c>
      <c r="W1585" s="630" t="s">
        <v>582</v>
      </c>
      <c r="X1585" s="630" t="s">
        <v>580</v>
      </c>
      <c r="Y1585" s="630" t="s">
        <v>549</v>
      </c>
      <c r="Z1585" s="630">
        <v>0.61305799999999999</v>
      </c>
      <c r="AA1585" s="630">
        <v>0.98662399999999995</v>
      </c>
      <c r="AB1585" s="631">
        <v>594108</v>
      </c>
      <c r="AC1585" s="631">
        <v>40644169</v>
      </c>
      <c r="AD1585" s="631">
        <f t="shared" si="24"/>
        <v>24917232.958802</v>
      </c>
    </row>
    <row r="1586" spans="2:30" x14ac:dyDescent="0.15">
      <c r="B1586" s="630">
        <v>17197003103</v>
      </c>
      <c r="C1586" s="630">
        <v>17197001570</v>
      </c>
      <c r="D1586" s="630">
        <v>17197007441</v>
      </c>
      <c r="E1586" s="630" t="s">
        <v>533</v>
      </c>
      <c r="F1586" s="630" t="s">
        <v>534</v>
      </c>
      <c r="G1586" s="630" t="s">
        <v>377</v>
      </c>
      <c r="H1586" s="630" t="s">
        <v>535</v>
      </c>
      <c r="I1586" s="630"/>
      <c r="J1586" s="630" t="s">
        <v>382</v>
      </c>
      <c r="K1586" s="630" t="s">
        <v>536</v>
      </c>
      <c r="L1586" s="630"/>
      <c r="M1586" s="630"/>
      <c r="N1586" s="630"/>
      <c r="O1586" s="630"/>
      <c r="P1586" s="630"/>
      <c r="Q1586" s="630"/>
      <c r="R1586" s="630"/>
      <c r="S1586" s="630" t="s">
        <v>537</v>
      </c>
      <c r="T1586" s="630"/>
      <c r="U1586" s="630" t="s">
        <v>538</v>
      </c>
      <c r="V1586" s="630">
        <v>2</v>
      </c>
      <c r="W1586" s="630" t="s">
        <v>545</v>
      </c>
      <c r="X1586" s="630" t="s">
        <v>540</v>
      </c>
      <c r="Y1586" s="630" t="s">
        <v>549</v>
      </c>
      <c r="Z1586" s="630">
        <v>3.2129470000000002</v>
      </c>
      <c r="AA1586" s="630">
        <v>5.1707470000000004</v>
      </c>
      <c r="AB1586" s="631">
        <v>29251</v>
      </c>
      <c r="AC1586" s="631">
        <v>2680474</v>
      </c>
      <c r="AD1586" s="631">
        <f t="shared" si="24"/>
        <v>8612220.8968780003</v>
      </c>
    </row>
    <row r="1587" spans="2:30" x14ac:dyDescent="0.15">
      <c r="B1587" s="630">
        <v>17031003235</v>
      </c>
      <c r="C1587" s="630">
        <v>17031000665</v>
      </c>
      <c r="D1587" s="630">
        <v>17031000679</v>
      </c>
      <c r="E1587" s="630" t="s">
        <v>533</v>
      </c>
      <c r="F1587" s="630" t="s">
        <v>534</v>
      </c>
      <c r="G1587" s="630" t="s">
        <v>365</v>
      </c>
      <c r="H1587" s="630" t="s">
        <v>381</v>
      </c>
      <c r="I1587" s="630"/>
      <c r="J1587" s="630" t="s">
        <v>382</v>
      </c>
      <c r="K1587" s="630"/>
      <c r="L1587" s="630"/>
      <c r="M1587" s="630"/>
      <c r="N1587" s="630"/>
      <c r="O1587" s="630"/>
      <c r="P1587" s="630"/>
      <c r="Q1587" s="630"/>
      <c r="R1587" s="630"/>
      <c r="S1587" s="630" t="s">
        <v>579</v>
      </c>
      <c r="T1587" s="630"/>
      <c r="U1587" s="630" t="s">
        <v>538</v>
      </c>
      <c r="V1587" s="630">
        <v>2</v>
      </c>
      <c r="W1587" s="630" t="s">
        <v>545</v>
      </c>
      <c r="X1587" s="630" t="s">
        <v>549</v>
      </c>
      <c r="Y1587" s="630" t="s">
        <v>541</v>
      </c>
      <c r="Z1587" s="630">
        <v>0.16564200000000001</v>
      </c>
      <c r="AA1587" s="630">
        <v>0.26657500000000001</v>
      </c>
      <c r="AB1587" s="631">
        <v>102676</v>
      </c>
      <c r="AC1587" s="631">
        <v>4099346</v>
      </c>
      <c r="AD1587" s="631">
        <f t="shared" si="24"/>
        <v>679023.87013200007</v>
      </c>
    </row>
    <row r="1588" spans="2:30" x14ac:dyDescent="0.15">
      <c r="B1588" s="630">
        <v>17197008265</v>
      </c>
      <c r="C1588" s="630">
        <v>17197006615</v>
      </c>
      <c r="D1588" s="630">
        <v>17197001466</v>
      </c>
      <c r="E1588" s="630" t="s">
        <v>533</v>
      </c>
      <c r="F1588" s="630" t="s">
        <v>534</v>
      </c>
      <c r="G1588" s="630" t="s">
        <v>377</v>
      </c>
      <c r="H1588" s="630" t="s">
        <v>535</v>
      </c>
      <c r="I1588" s="630"/>
      <c r="J1588" s="630" t="s">
        <v>382</v>
      </c>
      <c r="K1588" s="630" t="s">
        <v>536</v>
      </c>
      <c r="L1588" s="630"/>
      <c r="M1588" s="630"/>
      <c r="N1588" s="630"/>
      <c r="O1588" s="630"/>
      <c r="P1588" s="630"/>
      <c r="Q1588" s="630"/>
      <c r="R1588" s="630"/>
      <c r="S1588" s="630" t="s">
        <v>537</v>
      </c>
      <c r="T1588" s="630" t="s">
        <v>596</v>
      </c>
      <c r="U1588" s="630" t="s">
        <v>538</v>
      </c>
      <c r="V1588" s="630">
        <v>2</v>
      </c>
      <c r="W1588" s="630" t="s">
        <v>539</v>
      </c>
      <c r="X1588" s="630" t="s">
        <v>540</v>
      </c>
      <c r="Y1588" s="630" t="s">
        <v>541</v>
      </c>
      <c r="Z1588" s="630">
        <v>0.25714799999999999</v>
      </c>
      <c r="AA1588" s="630">
        <v>0.41384100000000001</v>
      </c>
      <c r="AB1588" s="631">
        <v>63211</v>
      </c>
      <c r="AC1588" s="631">
        <v>3139914</v>
      </c>
      <c r="AD1588" s="631">
        <f t="shared" si="24"/>
        <v>807422.60527199996</v>
      </c>
    </row>
    <row r="1589" spans="2:30" x14ac:dyDescent="0.15">
      <c r="B1589" s="630">
        <v>17097002146</v>
      </c>
      <c r="C1589" s="630">
        <v>17097004531</v>
      </c>
      <c r="D1589" s="630">
        <v>17097004530</v>
      </c>
      <c r="E1589" s="630" t="s">
        <v>533</v>
      </c>
      <c r="F1589" s="630" t="s">
        <v>534</v>
      </c>
      <c r="G1589" s="630" t="s">
        <v>373</v>
      </c>
      <c r="H1589" s="630" t="s">
        <v>552</v>
      </c>
      <c r="I1589" s="630"/>
      <c r="J1589" s="630" t="s">
        <v>547</v>
      </c>
      <c r="K1589" s="630" t="s">
        <v>563</v>
      </c>
      <c r="L1589" s="630"/>
      <c r="M1589" s="630"/>
      <c r="N1589" s="630"/>
      <c r="O1589" s="630"/>
      <c r="P1589" s="630"/>
      <c r="Q1589" s="630"/>
      <c r="R1589" s="630"/>
      <c r="S1589" s="630" t="s">
        <v>629</v>
      </c>
      <c r="T1589" s="630"/>
      <c r="U1589" s="630" t="s">
        <v>538</v>
      </c>
      <c r="V1589" s="630">
        <v>1</v>
      </c>
      <c r="W1589" s="630" t="s">
        <v>582</v>
      </c>
      <c r="X1589" s="630" t="s">
        <v>554</v>
      </c>
      <c r="Y1589" s="630" t="s">
        <v>540</v>
      </c>
      <c r="Z1589" s="630">
        <v>0.986259</v>
      </c>
      <c r="AA1589" s="630">
        <v>1.587234</v>
      </c>
      <c r="AB1589" s="631">
        <v>27538</v>
      </c>
      <c r="AC1589" s="631">
        <v>2609253</v>
      </c>
      <c r="AD1589" s="631">
        <f t="shared" si="24"/>
        <v>2573399.2545269998</v>
      </c>
    </row>
    <row r="1590" spans="2:30" x14ac:dyDescent="0.15">
      <c r="B1590" s="630">
        <v>17031003585</v>
      </c>
      <c r="C1590" s="630">
        <v>17031000881</v>
      </c>
      <c r="D1590" s="630">
        <v>17031000885</v>
      </c>
      <c r="E1590" s="630" t="s">
        <v>533</v>
      </c>
      <c r="F1590" s="630" t="s">
        <v>534</v>
      </c>
      <c r="G1590" s="630" t="s">
        <v>365</v>
      </c>
      <c r="H1590" s="630" t="s">
        <v>557</v>
      </c>
      <c r="I1590" s="630"/>
      <c r="J1590" s="630" t="s">
        <v>381</v>
      </c>
      <c r="K1590" s="630" t="s">
        <v>382</v>
      </c>
      <c r="L1590" s="630"/>
      <c r="M1590" s="630"/>
      <c r="N1590" s="630"/>
      <c r="O1590" s="630"/>
      <c r="P1590" s="630"/>
      <c r="Q1590" s="630"/>
      <c r="R1590" s="630"/>
      <c r="S1590" s="630"/>
      <c r="T1590" s="630"/>
      <c r="U1590" s="630" t="s">
        <v>538</v>
      </c>
      <c r="V1590" s="630">
        <v>1</v>
      </c>
      <c r="W1590" s="630" t="s">
        <v>560</v>
      </c>
      <c r="X1590" s="630" t="s">
        <v>541</v>
      </c>
      <c r="Y1590" s="630" t="s">
        <v>541</v>
      </c>
      <c r="Z1590" s="630">
        <v>0.24657499999999999</v>
      </c>
      <c r="AA1590" s="630">
        <v>0.39682499999999998</v>
      </c>
      <c r="AB1590" s="631">
        <v>0</v>
      </c>
      <c r="AC1590" s="631">
        <v>0</v>
      </c>
      <c r="AD1590" s="631">
        <f t="shared" si="24"/>
        <v>0</v>
      </c>
    </row>
    <row r="1591" spans="2:30" x14ac:dyDescent="0.15">
      <c r="B1591" s="630">
        <v>17031003615</v>
      </c>
      <c r="C1591" s="630">
        <v>17031000848</v>
      </c>
      <c r="D1591" s="630">
        <v>17031000845</v>
      </c>
      <c r="E1591" s="630" t="s">
        <v>533</v>
      </c>
      <c r="F1591" s="630" t="s">
        <v>534</v>
      </c>
      <c r="G1591" s="630" t="s">
        <v>365</v>
      </c>
      <c r="H1591" s="630" t="s">
        <v>535</v>
      </c>
      <c r="I1591" s="630"/>
      <c r="J1591" s="630" t="s">
        <v>543</v>
      </c>
      <c r="K1591" s="630"/>
      <c r="L1591" s="630"/>
      <c r="M1591" s="630"/>
      <c r="N1591" s="630"/>
      <c r="O1591" s="630"/>
      <c r="P1591" s="630"/>
      <c r="Q1591" s="630"/>
      <c r="R1591" s="630"/>
      <c r="S1591" s="630" t="s">
        <v>553</v>
      </c>
      <c r="T1591" s="630"/>
      <c r="U1591" s="630" t="s">
        <v>538</v>
      </c>
      <c r="V1591" s="630">
        <v>1</v>
      </c>
      <c r="W1591" s="630" t="s">
        <v>539</v>
      </c>
      <c r="X1591" s="630" t="s">
        <v>541</v>
      </c>
      <c r="Y1591" s="630" t="s">
        <v>554</v>
      </c>
      <c r="Z1591" s="630">
        <v>1.144506</v>
      </c>
      <c r="AA1591" s="630">
        <v>1.8419080000000001</v>
      </c>
      <c r="AB1591" s="631">
        <v>63280</v>
      </c>
      <c r="AC1591" s="631">
        <v>3022040</v>
      </c>
      <c r="AD1591" s="631">
        <f t="shared" si="24"/>
        <v>3458742.91224</v>
      </c>
    </row>
    <row r="1592" spans="2:30" x14ac:dyDescent="0.15">
      <c r="B1592" s="630">
        <v>17031003848</v>
      </c>
      <c r="C1592" s="630">
        <v>17031001353</v>
      </c>
      <c r="D1592" s="630">
        <v>17031001361</v>
      </c>
      <c r="E1592" s="630" t="s">
        <v>533</v>
      </c>
      <c r="F1592" s="630" t="s">
        <v>534</v>
      </c>
      <c r="G1592" s="630" t="s">
        <v>365</v>
      </c>
      <c r="H1592" s="630" t="s">
        <v>551</v>
      </c>
      <c r="I1592" s="630"/>
      <c r="J1592" s="630"/>
      <c r="K1592" s="630"/>
      <c r="L1592" s="630"/>
      <c r="M1592" s="630"/>
      <c r="N1592" s="630"/>
      <c r="O1592" s="630"/>
      <c r="P1592" s="630"/>
      <c r="Q1592" s="630"/>
      <c r="R1592" s="630"/>
      <c r="S1592" s="630" t="s">
        <v>603</v>
      </c>
      <c r="T1592" s="630"/>
      <c r="U1592" s="630" t="s">
        <v>538</v>
      </c>
      <c r="V1592" s="630">
        <v>2</v>
      </c>
      <c r="W1592" s="630" t="s">
        <v>545</v>
      </c>
      <c r="X1592" s="630" t="s">
        <v>575</v>
      </c>
      <c r="Y1592" s="630" t="s">
        <v>554</v>
      </c>
      <c r="Z1592" s="630">
        <v>0.31330400000000003</v>
      </c>
      <c r="AA1592" s="630">
        <v>0.50421499999999997</v>
      </c>
      <c r="AB1592" s="631">
        <v>869375</v>
      </c>
      <c r="AC1592" s="631">
        <v>38486588</v>
      </c>
      <c r="AD1592" s="631">
        <f t="shared" si="24"/>
        <v>12058001.966752</v>
      </c>
    </row>
    <row r="1593" spans="2:30" x14ac:dyDescent="0.15">
      <c r="B1593" s="630">
        <v>17031004274</v>
      </c>
      <c r="C1593" s="630">
        <v>17031000816</v>
      </c>
      <c r="D1593" s="630">
        <v>17031000804</v>
      </c>
      <c r="E1593" s="630" t="s">
        <v>533</v>
      </c>
      <c r="F1593" s="630" t="s">
        <v>534</v>
      </c>
      <c r="G1593" s="630" t="s">
        <v>365</v>
      </c>
      <c r="H1593" s="630" t="s">
        <v>543</v>
      </c>
      <c r="I1593" s="630"/>
      <c r="J1593" s="630" t="s">
        <v>542</v>
      </c>
      <c r="K1593" s="630" t="s">
        <v>547</v>
      </c>
      <c r="L1593" s="630" t="s">
        <v>382</v>
      </c>
      <c r="M1593" s="630"/>
      <c r="N1593" s="630"/>
      <c r="O1593" s="630"/>
      <c r="P1593" s="630"/>
      <c r="Q1593" s="630"/>
      <c r="R1593" s="630"/>
      <c r="S1593" s="630" t="s">
        <v>630</v>
      </c>
      <c r="T1593" s="630"/>
      <c r="U1593" s="630" t="s">
        <v>538</v>
      </c>
      <c r="V1593" s="630">
        <v>2</v>
      </c>
      <c r="W1593" s="630" t="s">
        <v>545</v>
      </c>
      <c r="X1593" s="630" t="s">
        <v>549</v>
      </c>
      <c r="Y1593" s="630" t="s">
        <v>540</v>
      </c>
      <c r="Z1593" s="630">
        <v>3.9274000000000003E-2</v>
      </c>
      <c r="AA1593" s="630">
        <v>6.3204999999999997E-2</v>
      </c>
      <c r="AB1593" s="631">
        <v>2808077</v>
      </c>
      <c r="AC1593" s="631">
        <v>76464924</v>
      </c>
      <c r="AD1593" s="631">
        <f t="shared" si="24"/>
        <v>3003083.4251760002</v>
      </c>
    </row>
    <row r="1594" spans="2:30" x14ac:dyDescent="0.15">
      <c r="B1594" s="630">
        <v>17031002095</v>
      </c>
      <c r="C1594" s="630">
        <v>17031000437</v>
      </c>
      <c r="D1594" s="630">
        <v>17031000434</v>
      </c>
      <c r="E1594" s="630" t="s">
        <v>533</v>
      </c>
      <c r="F1594" s="630" t="s">
        <v>534</v>
      </c>
      <c r="G1594" s="630" t="s">
        <v>365</v>
      </c>
      <c r="H1594" s="630" t="s">
        <v>557</v>
      </c>
      <c r="I1594" s="630"/>
      <c r="J1594" s="630" t="s">
        <v>552</v>
      </c>
      <c r="K1594" s="630" t="s">
        <v>543</v>
      </c>
      <c r="L1594" s="630" t="s">
        <v>382</v>
      </c>
      <c r="M1594" s="630"/>
      <c r="N1594" s="630"/>
      <c r="O1594" s="630"/>
      <c r="P1594" s="630"/>
      <c r="Q1594" s="630"/>
      <c r="R1594" s="630"/>
      <c r="S1594" s="630" t="s">
        <v>570</v>
      </c>
      <c r="T1594" s="630"/>
      <c r="U1594" s="630" t="s">
        <v>538</v>
      </c>
      <c r="V1594" s="630">
        <v>2</v>
      </c>
      <c r="W1594" s="630" t="s">
        <v>545</v>
      </c>
      <c r="X1594" s="630" t="s">
        <v>549</v>
      </c>
      <c r="Y1594" s="630" t="s">
        <v>554</v>
      </c>
      <c r="Z1594" s="630">
        <v>0.54181400000000002</v>
      </c>
      <c r="AA1594" s="630">
        <v>0.87196799999999997</v>
      </c>
      <c r="AB1594" s="631">
        <v>118343</v>
      </c>
      <c r="AC1594" s="631">
        <v>9234716</v>
      </c>
      <c r="AD1594" s="631">
        <f t="shared" si="24"/>
        <v>5003498.4148240006</v>
      </c>
    </row>
    <row r="1595" spans="2:30" x14ac:dyDescent="0.15">
      <c r="B1595" s="630">
        <v>17197003104</v>
      </c>
      <c r="C1595" s="630">
        <v>17197001570</v>
      </c>
      <c r="D1595" s="630">
        <v>17197004794</v>
      </c>
      <c r="E1595" s="630" t="s">
        <v>533</v>
      </c>
      <c r="F1595" s="630" t="s">
        <v>534</v>
      </c>
      <c r="G1595" s="630" t="s">
        <v>377</v>
      </c>
      <c r="H1595" s="630" t="s">
        <v>535</v>
      </c>
      <c r="I1595" s="630"/>
      <c r="J1595" s="630" t="s">
        <v>382</v>
      </c>
      <c r="K1595" s="630" t="s">
        <v>536</v>
      </c>
      <c r="L1595" s="630"/>
      <c r="M1595" s="630"/>
      <c r="N1595" s="630"/>
      <c r="O1595" s="630"/>
      <c r="P1595" s="630"/>
      <c r="Q1595" s="630"/>
      <c r="R1595" s="630"/>
      <c r="S1595" s="630" t="s">
        <v>537</v>
      </c>
      <c r="T1595" s="630"/>
      <c r="U1595" s="630" t="s">
        <v>538</v>
      </c>
      <c r="V1595" s="630">
        <v>2</v>
      </c>
      <c r="W1595" s="630" t="s">
        <v>545</v>
      </c>
      <c r="X1595" s="630" t="s">
        <v>540</v>
      </c>
      <c r="Y1595" s="630" t="s">
        <v>549</v>
      </c>
      <c r="Z1595" s="630">
        <v>3.1872060000000002</v>
      </c>
      <c r="AA1595" s="630">
        <v>5.129321</v>
      </c>
      <c r="AB1595" s="631">
        <v>30651</v>
      </c>
      <c r="AC1595" s="631">
        <v>2787674</v>
      </c>
      <c r="AD1595" s="631">
        <f t="shared" si="24"/>
        <v>8884891.2988440003</v>
      </c>
    </row>
    <row r="1596" spans="2:30" x14ac:dyDescent="0.15">
      <c r="B1596" s="630">
        <v>17043003528</v>
      </c>
      <c r="C1596" s="630">
        <v>17043000378</v>
      </c>
      <c r="D1596" s="630">
        <v>17043000371</v>
      </c>
      <c r="E1596" s="630" t="s">
        <v>533</v>
      </c>
      <c r="F1596" s="630" t="s">
        <v>534</v>
      </c>
      <c r="G1596" s="630" t="s">
        <v>367</v>
      </c>
      <c r="H1596" s="630" t="s">
        <v>552</v>
      </c>
      <c r="I1596" s="630"/>
      <c r="J1596" s="630"/>
      <c r="K1596" s="630"/>
      <c r="L1596" s="630"/>
      <c r="M1596" s="630"/>
      <c r="N1596" s="630"/>
      <c r="O1596" s="630"/>
      <c r="P1596" s="630"/>
      <c r="Q1596" s="630"/>
      <c r="R1596" s="630"/>
      <c r="S1596" s="630"/>
      <c r="T1596" s="630"/>
      <c r="U1596" s="630" t="s">
        <v>559</v>
      </c>
      <c r="V1596" s="630">
        <v>1</v>
      </c>
      <c r="W1596" s="630" t="s">
        <v>560</v>
      </c>
      <c r="X1596" s="630" t="s">
        <v>541</v>
      </c>
      <c r="Y1596" s="630" t="s">
        <v>541</v>
      </c>
      <c r="Z1596" s="630">
        <v>0.43118699999999999</v>
      </c>
      <c r="AA1596" s="630">
        <v>0.69392900000000002</v>
      </c>
      <c r="AB1596" s="631">
        <v>0</v>
      </c>
      <c r="AC1596" s="631">
        <v>0</v>
      </c>
      <c r="AD1596" s="631">
        <f t="shared" si="24"/>
        <v>0</v>
      </c>
    </row>
    <row r="1597" spans="2:30" x14ac:dyDescent="0.15">
      <c r="B1597" s="630">
        <v>17031003620</v>
      </c>
      <c r="C1597" s="630">
        <v>17031001311</v>
      </c>
      <c r="D1597" s="630">
        <v>17031001329</v>
      </c>
      <c r="E1597" s="630" t="s">
        <v>533</v>
      </c>
      <c r="F1597" s="630" t="s">
        <v>534</v>
      </c>
      <c r="G1597" s="630" t="s">
        <v>365</v>
      </c>
      <c r="H1597" s="630" t="s">
        <v>551</v>
      </c>
      <c r="I1597" s="630"/>
      <c r="J1597" s="630" t="s">
        <v>381</v>
      </c>
      <c r="K1597" s="630" t="s">
        <v>535</v>
      </c>
      <c r="L1597" s="630" t="s">
        <v>552</v>
      </c>
      <c r="M1597" s="630"/>
      <c r="N1597" s="630"/>
      <c r="O1597" s="630"/>
      <c r="P1597" s="630"/>
      <c r="Q1597" s="630"/>
      <c r="R1597" s="630"/>
      <c r="S1597" s="630" t="s">
        <v>603</v>
      </c>
      <c r="T1597" s="630"/>
      <c r="U1597" s="630" t="s">
        <v>538</v>
      </c>
      <c r="V1597" s="630">
        <v>2</v>
      </c>
      <c r="W1597" s="630" t="s">
        <v>545</v>
      </c>
      <c r="X1597" s="630" t="s">
        <v>575</v>
      </c>
      <c r="Y1597" s="630" t="s">
        <v>540</v>
      </c>
      <c r="Z1597" s="630">
        <v>0.386654</v>
      </c>
      <c r="AA1597" s="630">
        <v>0.62226099999999995</v>
      </c>
      <c r="AB1597" s="631">
        <v>574969</v>
      </c>
      <c r="AC1597" s="631">
        <v>16592638</v>
      </c>
      <c r="AD1597" s="631">
        <f t="shared" si="24"/>
        <v>6415609.8532520002</v>
      </c>
    </row>
    <row r="1598" spans="2:30" x14ac:dyDescent="0.15">
      <c r="B1598" s="630">
        <v>17031003932</v>
      </c>
      <c r="C1598" s="630">
        <v>17031001099</v>
      </c>
      <c r="D1598" s="630">
        <v>17031001097</v>
      </c>
      <c r="E1598" s="630" t="s">
        <v>533</v>
      </c>
      <c r="F1598" s="630" t="s">
        <v>534</v>
      </c>
      <c r="G1598" s="630" t="s">
        <v>365</v>
      </c>
      <c r="H1598" s="630" t="s">
        <v>571</v>
      </c>
      <c r="I1598" s="630"/>
      <c r="J1598" s="630" t="s">
        <v>552</v>
      </c>
      <c r="K1598" s="630" t="s">
        <v>572</v>
      </c>
      <c r="L1598" s="630" t="s">
        <v>543</v>
      </c>
      <c r="M1598" s="630"/>
      <c r="N1598" s="630"/>
      <c r="O1598" s="630"/>
      <c r="P1598" s="630"/>
      <c r="Q1598" s="630"/>
      <c r="R1598" s="630"/>
      <c r="S1598" s="630" t="s">
        <v>573</v>
      </c>
      <c r="T1598" s="630"/>
      <c r="U1598" s="630" t="s">
        <v>538</v>
      </c>
      <c r="V1598" s="630">
        <v>2</v>
      </c>
      <c r="W1598" s="630" t="s">
        <v>545</v>
      </c>
      <c r="X1598" s="630" t="s">
        <v>580</v>
      </c>
      <c r="Y1598" s="630" t="s">
        <v>554</v>
      </c>
      <c r="Z1598" s="630">
        <v>0.12875500000000001</v>
      </c>
      <c r="AA1598" s="630">
        <v>0.20721200000000001</v>
      </c>
      <c r="AB1598" s="631">
        <v>186514</v>
      </c>
      <c r="AC1598" s="631">
        <v>10224219</v>
      </c>
      <c r="AD1598" s="631">
        <f t="shared" si="24"/>
        <v>1316419.3173450001</v>
      </c>
    </row>
    <row r="1599" spans="2:30" x14ac:dyDescent="0.15">
      <c r="B1599" s="630">
        <v>17031006187</v>
      </c>
      <c r="C1599" s="630">
        <v>17031001097</v>
      </c>
      <c r="D1599" s="630">
        <v>17031001113</v>
      </c>
      <c r="E1599" s="630" t="s">
        <v>533</v>
      </c>
      <c r="F1599" s="630" t="s">
        <v>534</v>
      </c>
      <c r="G1599" s="630" t="s">
        <v>365</v>
      </c>
      <c r="H1599" s="630" t="s">
        <v>571</v>
      </c>
      <c r="I1599" s="630"/>
      <c r="J1599" s="630" t="s">
        <v>572</v>
      </c>
      <c r="K1599" s="630" t="s">
        <v>543</v>
      </c>
      <c r="L1599" s="630"/>
      <c r="M1599" s="630"/>
      <c r="N1599" s="630"/>
      <c r="O1599" s="630"/>
      <c r="P1599" s="630"/>
      <c r="Q1599" s="630"/>
      <c r="R1599" s="630"/>
      <c r="S1599" s="630" t="s">
        <v>573</v>
      </c>
      <c r="T1599" s="630"/>
      <c r="U1599" s="630" t="s">
        <v>538</v>
      </c>
      <c r="V1599" s="630">
        <v>1</v>
      </c>
      <c r="W1599" s="630" t="s">
        <v>545</v>
      </c>
      <c r="X1599" s="630" t="s">
        <v>554</v>
      </c>
      <c r="Y1599" s="630" t="s">
        <v>554</v>
      </c>
      <c r="Z1599" s="630">
        <v>8.7989999999999999E-2</v>
      </c>
      <c r="AA1599" s="630">
        <v>0.14160700000000001</v>
      </c>
      <c r="AB1599" s="631">
        <v>10277</v>
      </c>
      <c r="AC1599" s="631">
        <v>921789</v>
      </c>
      <c r="AD1599" s="631">
        <f t="shared" si="24"/>
        <v>81108.214110000001</v>
      </c>
    </row>
    <row r="1600" spans="2:30" x14ac:dyDescent="0.15">
      <c r="B1600" s="630">
        <v>17031006520</v>
      </c>
      <c r="C1600" s="630">
        <v>17031001101</v>
      </c>
      <c r="D1600" s="630">
        <v>17031001115</v>
      </c>
      <c r="E1600" s="630" t="s">
        <v>533</v>
      </c>
      <c r="F1600" s="630" t="s">
        <v>534</v>
      </c>
      <c r="G1600" s="630" t="s">
        <v>365</v>
      </c>
      <c r="H1600" s="630" t="s">
        <v>571</v>
      </c>
      <c r="I1600" s="630"/>
      <c r="J1600" s="630"/>
      <c r="K1600" s="630"/>
      <c r="L1600" s="630"/>
      <c r="M1600" s="630"/>
      <c r="N1600" s="630"/>
      <c r="O1600" s="630"/>
      <c r="P1600" s="630"/>
      <c r="Q1600" s="630"/>
      <c r="R1600" s="630"/>
      <c r="S1600" s="630" t="s">
        <v>573</v>
      </c>
      <c r="T1600" s="630"/>
      <c r="U1600" s="630" t="s">
        <v>538</v>
      </c>
      <c r="V1600" s="630">
        <v>1</v>
      </c>
      <c r="W1600" s="630" t="s">
        <v>545</v>
      </c>
      <c r="X1600" s="630" t="s">
        <v>546</v>
      </c>
      <c r="Y1600" s="630" t="s">
        <v>541</v>
      </c>
      <c r="Z1600" s="630">
        <v>0.18854499999999999</v>
      </c>
      <c r="AA1600" s="630">
        <v>0.30343399999999998</v>
      </c>
      <c r="AB1600" s="631">
        <v>0</v>
      </c>
      <c r="AC1600" s="631">
        <v>0</v>
      </c>
      <c r="AD1600" s="631">
        <f t="shared" si="24"/>
        <v>0</v>
      </c>
    </row>
    <row r="1601" spans="2:30" x14ac:dyDescent="0.15">
      <c r="B1601" s="630">
        <v>17043002393</v>
      </c>
      <c r="C1601" s="630">
        <v>17043000541</v>
      </c>
      <c r="D1601" s="630">
        <v>17043004764</v>
      </c>
      <c r="E1601" s="630" t="s">
        <v>533</v>
      </c>
      <c r="F1601" s="630" t="s">
        <v>534</v>
      </c>
      <c r="G1601" s="630" t="s">
        <v>367</v>
      </c>
      <c r="H1601" s="630" t="s">
        <v>382</v>
      </c>
      <c r="I1601" s="630"/>
      <c r="J1601" s="630"/>
      <c r="K1601" s="630"/>
      <c r="L1601" s="630"/>
      <c r="M1601" s="630"/>
      <c r="N1601" s="630"/>
      <c r="O1601" s="630"/>
      <c r="P1601" s="630"/>
      <c r="Q1601" s="630"/>
      <c r="R1601" s="630"/>
      <c r="S1601" s="630" t="s">
        <v>653</v>
      </c>
      <c r="T1601" s="630"/>
      <c r="U1601" s="630" t="s">
        <v>559</v>
      </c>
      <c r="V1601" s="630">
        <v>1</v>
      </c>
      <c r="W1601" s="630" t="s">
        <v>560</v>
      </c>
      <c r="X1601" s="630" t="s">
        <v>541</v>
      </c>
      <c r="Y1601" s="630" t="s">
        <v>541</v>
      </c>
      <c r="Z1601" s="630">
        <v>0.14943500000000001</v>
      </c>
      <c r="AA1601" s="630">
        <v>0.24049400000000001</v>
      </c>
      <c r="AB1601" s="631">
        <v>1142</v>
      </c>
      <c r="AC1601" s="631">
        <v>68528</v>
      </c>
      <c r="AD1601" s="631">
        <f t="shared" si="24"/>
        <v>10240.481680000001</v>
      </c>
    </row>
    <row r="1602" spans="2:30" x14ac:dyDescent="0.15">
      <c r="B1602" s="630">
        <v>17097001936</v>
      </c>
      <c r="C1602" s="630">
        <v>17097007502</v>
      </c>
      <c r="D1602" s="630">
        <v>17097000022</v>
      </c>
      <c r="E1602" s="630" t="s">
        <v>533</v>
      </c>
      <c r="F1602" s="630" t="s">
        <v>534</v>
      </c>
      <c r="G1602" s="630" t="s">
        <v>373</v>
      </c>
      <c r="H1602" s="630" t="s">
        <v>535</v>
      </c>
      <c r="I1602" s="630"/>
      <c r="J1602" s="630" t="s">
        <v>547</v>
      </c>
      <c r="K1602" s="630"/>
      <c r="L1602" s="630"/>
      <c r="M1602" s="630"/>
      <c r="N1602" s="630"/>
      <c r="O1602" s="630"/>
      <c r="P1602" s="630"/>
      <c r="Q1602" s="630"/>
      <c r="R1602" s="630"/>
      <c r="S1602" s="630" t="s">
        <v>548</v>
      </c>
      <c r="T1602" s="630"/>
      <c r="U1602" s="630" t="s">
        <v>538</v>
      </c>
      <c r="V1602" s="630">
        <v>2</v>
      </c>
      <c r="W1602" s="630" t="s">
        <v>545</v>
      </c>
      <c r="X1602" s="630" t="s">
        <v>546</v>
      </c>
      <c r="Y1602" s="630" t="s">
        <v>549</v>
      </c>
      <c r="Z1602" s="630">
        <v>2.9007740000000002</v>
      </c>
      <c r="AA1602" s="630">
        <v>4.6683519999999996</v>
      </c>
      <c r="AB1602" s="631">
        <v>777546</v>
      </c>
      <c r="AC1602" s="631">
        <v>36667833</v>
      </c>
      <c r="AD1602" s="631">
        <f t="shared" si="24"/>
        <v>106365096.602742</v>
      </c>
    </row>
    <row r="1603" spans="2:30" x14ac:dyDescent="0.15">
      <c r="B1603" s="630">
        <v>17043006527</v>
      </c>
      <c r="C1603" s="630">
        <v>17043004765</v>
      </c>
      <c r="D1603" s="630">
        <v>17043000541</v>
      </c>
      <c r="E1603" s="630" t="s">
        <v>533</v>
      </c>
      <c r="F1603" s="630" t="s">
        <v>534</v>
      </c>
      <c r="G1603" s="630" t="s">
        <v>367</v>
      </c>
      <c r="H1603" s="630" t="s">
        <v>382</v>
      </c>
      <c r="I1603" s="630"/>
      <c r="J1603" s="630"/>
      <c r="K1603" s="630"/>
      <c r="L1603" s="630"/>
      <c r="M1603" s="630"/>
      <c r="N1603" s="630"/>
      <c r="O1603" s="630"/>
      <c r="P1603" s="630"/>
      <c r="Q1603" s="630"/>
      <c r="R1603" s="630"/>
      <c r="S1603" s="630"/>
      <c r="T1603" s="630"/>
      <c r="U1603" s="630" t="s">
        <v>559</v>
      </c>
      <c r="V1603" s="630">
        <v>1</v>
      </c>
      <c r="W1603" s="630" t="s">
        <v>560</v>
      </c>
      <c r="X1603" s="630" t="s">
        <v>541</v>
      </c>
      <c r="Y1603" s="630" t="s">
        <v>541</v>
      </c>
      <c r="Z1603" s="630">
        <v>3.6759E-2</v>
      </c>
      <c r="AA1603" s="630">
        <v>5.9158000000000002E-2</v>
      </c>
      <c r="AB1603" s="631">
        <v>1142</v>
      </c>
      <c r="AC1603" s="631">
        <v>68528</v>
      </c>
      <c r="AD1603" s="631">
        <f t="shared" si="24"/>
        <v>2519.0207519999999</v>
      </c>
    </row>
    <row r="1604" spans="2:30" x14ac:dyDescent="0.15">
      <c r="B1604" s="630">
        <v>17043006530</v>
      </c>
      <c r="C1604" s="630">
        <v>17043000364</v>
      </c>
      <c r="D1604" s="630">
        <v>17043007345</v>
      </c>
      <c r="E1604" s="630" t="s">
        <v>533</v>
      </c>
      <c r="F1604" s="630" t="s">
        <v>534</v>
      </c>
      <c r="G1604" s="630" t="s">
        <v>367</v>
      </c>
      <c r="H1604" s="630" t="s">
        <v>552</v>
      </c>
      <c r="I1604" s="630"/>
      <c r="J1604" s="630"/>
      <c r="K1604" s="630"/>
      <c r="L1604" s="630"/>
      <c r="M1604" s="630"/>
      <c r="N1604" s="630"/>
      <c r="O1604" s="630"/>
      <c r="P1604" s="630"/>
      <c r="Q1604" s="630"/>
      <c r="R1604" s="630"/>
      <c r="S1604" s="630"/>
      <c r="T1604" s="630"/>
      <c r="U1604" s="630" t="s">
        <v>559</v>
      </c>
      <c r="V1604" s="630">
        <v>1</v>
      </c>
      <c r="W1604" s="630" t="s">
        <v>560</v>
      </c>
      <c r="X1604" s="630" t="s">
        <v>541</v>
      </c>
      <c r="Y1604" s="630" t="s">
        <v>541</v>
      </c>
      <c r="Z1604" s="630">
        <v>0.202038</v>
      </c>
      <c r="AA1604" s="630">
        <v>0.32514999999999999</v>
      </c>
      <c r="AB1604" s="631">
        <v>0</v>
      </c>
      <c r="AC1604" s="631">
        <v>0</v>
      </c>
      <c r="AD1604" s="631">
        <f t="shared" si="24"/>
        <v>0</v>
      </c>
    </row>
    <row r="1605" spans="2:30" x14ac:dyDescent="0.15">
      <c r="B1605" s="630">
        <v>17097002119</v>
      </c>
      <c r="C1605" s="630">
        <v>17097004556</v>
      </c>
      <c r="D1605" s="630">
        <v>17097004555</v>
      </c>
      <c r="E1605" s="630" t="s">
        <v>533</v>
      </c>
      <c r="F1605" s="630" t="s">
        <v>534</v>
      </c>
      <c r="G1605" s="630" t="s">
        <v>373</v>
      </c>
      <c r="H1605" s="630" t="s">
        <v>535</v>
      </c>
      <c r="I1605" s="630"/>
      <c r="J1605" s="630" t="s">
        <v>547</v>
      </c>
      <c r="K1605" s="630"/>
      <c r="L1605" s="630"/>
      <c r="M1605" s="630"/>
      <c r="N1605" s="630"/>
      <c r="O1605" s="630"/>
      <c r="P1605" s="630"/>
      <c r="Q1605" s="630"/>
      <c r="R1605" s="630"/>
      <c r="S1605" s="630" t="s">
        <v>548</v>
      </c>
      <c r="T1605" s="630"/>
      <c r="U1605" s="630" t="s">
        <v>538</v>
      </c>
      <c r="V1605" s="630">
        <v>1</v>
      </c>
      <c r="W1605" s="630" t="s">
        <v>545</v>
      </c>
      <c r="X1605" s="630" t="s">
        <v>546</v>
      </c>
      <c r="Y1605" s="630" t="s">
        <v>549</v>
      </c>
      <c r="Z1605" s="630">
        <v>2.3902570000000001</v>
      </c>
      <c r="AA1605" s="630">
        <v>3.8467530000000001</v>
      </c>
      <c r="AB1605" s="631">
        <v>777350</v>
      </c>
      <c r="AC1605" s="631">
        <v>36648785</v>
      </c>
      <c r="AD1605" s="631">
        <f t="shared" si="24"/>
        <v>87600014.887745008</v>
      </c>
    </row>
    <row r="1606" spans="2:30" x14ac:dyDescent="0.15">
      <c r="B1606" s="630">
        <v>17111002556</v>
      </c>
      <c r="C1606" s="630">
        <v>17111000152</v>
      </c>
      <c r="D1606" s="630">
        <v>17111000148</v>
      </c>
      <c r="E1606" s="630" t="s">
        <v>533</v>
      </c>
      <c r="F1606" s="630" t="s">
        <v>534</v>
      </c>
      <c r="G1606" s="630" t="s">
        <v>375</v>
      </c>
      <c r="H1606" s="630" t="s">
        <v>382</v>
      </c>
      <c r="I1606" s="630"/>
      <c r="J1606" s="630"/>
      <c r="K1606" s="630"/>
      <c r="L1606" s="630"/>
      <c r="M1606" s="630"/>
      <c r="N1606" s="630"/>
      <c r="O1606" s="630"/>
      <c r="P1606" s="630"/>
      <c r="Q1606" s="630"/>
      <c r="R1606" s="630"/>
      <c r="S1606" s="630" t="s">
        <v>561</v>
      </c>
      <c r="T1606" s="630"/>
      <c r="U1606" s="630" t="s">
        <v>538</v>
      </c>
      <c r="V1606" s="630">
        <v>1</v>
      </c>
      <c r="W1606" s="630" t="s">
        <v>562</v>
      </c>
      <c r="X1606" s="630" t="s">
        <v>541</v>
      </c>
      <c r="Y1606" s="630" t="s">
        <v>540</v>
      </c>
      <c r="Z1606" s="630">
        <v>0.12873200000000001</v>
      </c>
      <c r="AA1606" s="630">
        <v>0.207174</v>
      </c>
      <c r="AB1606" s="631">
        <v>16124</v>
      </c>
      <c r="AC1606" s="631">
        <v>373440</v>
      </c>
      <c r="AD1606" s="631">
        <f t="shared" ref="AD1606:AD1669" si="25">AC1606*Z1606</f>
        <v>48073.678080000005</v>
      </c>
    </row>
    <row r="1607" spans="2:30" x14ac:dyDescent="0.15">
      <c r="B1607" s="630">
        <v>17043005911</v>
      </c>
      <c r="C1607" s="630">
        <v>17043008299</v>
      </c>
      <c r="D1607" s="630">
        <v>17043000390</v>
      </c>
      <c r="E1607" s="630" t="s">
        <v>533</v>
      </c>
      <c r="F1607" s="630" t="s">
        <v>534</v>
      </c>
      <c r="G1607" s="630" t="s">
        <v>367</v>
      </c>
      <c r="H1607" s="630" t="s">
        <v>638</v>
      </c>
      <c r="I1607" s="630"/>
      <c r="J1607" s="630"/>
      <c r="K1607" s="630"/>
      <c r="L1607" s="630"/>
      <c r="M1607" s="630"/>
      <c r="N1607" s="630"/>
      <c r="O1607" s="630"/>
      <c r="P1607" s="630"/>
      <c r="Q1607" s="630"/>
      <c r="R1607" s="630"/>
      <c r="S1607" s="630"/>
      <c r="T1607" s="630"/>
      <c r="U1607" s="630" t="s">
        <v>559</v>
      </c>
      <c r="V1607" s="630">
        <v>1</v>
      </c>
      <c r="W1607" s="630" t="s">
        <v>560</v>
      </c>
      <c r="X1607" s="630" t="s">
        <v>541</v>
      </c>
      <c r="Y1607" s="630" t="s">
        <v>541</v>
      </c>
      <c r="Z1607" s="630">
        <v>0.100592</v>
      </c>
      <c r="AA1607" s="630">
        <v>0.161888</v>
      </c>
      <c r="AB1607" s="631">
        <v>0</v>
      </c>
      <c r="AC1607" s="631">
        <v>0</v>
      </c>
      <c r="AD1607" s="631">
        <f t="shared" si="25"/>
        <v>0</v>
      </c>
    </row>
    <row r="1608" spans="2:30" x14ac:dyDescent="0.15">
      <c r="B1608" s="630">
        <v>17031006332</v>
      </c>
      <c r="C1608" s="630">
        <v>17031004576</v>
      </c>
      <c r="D1608" s="630">
        <v>17031000258</v>
      </c>
      <c r="E1608" s="630" t="s">
        <v>533</v>
      </c>
      <c r="F1608" s="630" t="s">
        <v>534</v>
      </c>
      <c r="G1608" s="630" t="s">
        <v>365</v>
      </c>
      <c r="H1608" s="630" t="s">
        <v>382</v>
      </c>
      <c r="I1608" s="630"/>
      <c r="J1608" s="630" t="s">
        <v>547</v>
      </c>
      <c r="K1608" s="630"/>
      <c r="L1608" s="630"/>
      <c r="M1608" s="630"/>
      <c r="N1608" s="630"/>
      <c r="O1608" s="630"/>
      <c r="P1608" s="630"/>
      <c r="Q1608" s="630"/>
      <c r="R1608" s="630"/>
      <c r="S1608" s="630" t="s">
        <v>565</v>
      </c>
      <c r="T1608" s="630"/>
      <c r="U1608" s="630" t="s">
        <v>538</v>
      </c>
      <c r="V1608" s="630">
        <v>2</v>
      </c>
      <c r="W1608" s="630" t="s">
        <v>566</v>
      </c>
      <c r="X1608" s="630" t="s">
        <v>541</v>
      </c>
      <c r="Y1608" s="630" t="s">
        <v>549</v>
      </c>
      <c r="Z1608" s="630">
        <v>0.426591</v>
      </c>
      <c r="AA1608" s="630">
        <v>0.68653299999999995</v>
      </c>
      <c r="AB1608" s="631">
        <v>0</v>
      </c>
      <c r="AC1608" s="631">
        <v>0</v>
      </c>
      <c r="AD1608" s="631">
        <f t="shared" si="25"/>
        <v>0</v>
      </c>
    </row>
    <row r="1609" spans="2:30" x14ac:dyDescent="0.15">
      <c r="B1609" s="630">
        <v>17031004044</v>
      </c>
      <c r="C1609" s="630">
        <v>17031000453</v>
      </c>
      <c r="D1609" s="630">
        <v>17031000415</v>
      </c>
      <c r="E1609" s="630" t="s">
        <v>533</v>
      </c>
      <c r="F1609" s="630" t="s">
        <v>534</v>
      </c>
      <c r="G1609" s="630" t="s">
        <v>365</v>
      </c>
      <c r="H1609" s="630" t="s">
        <v>382</v>
      </c>
      <c r="I1609" s="630"/>
      <c r="J1609" s="630" t="s">
        <v>547</v>
      </c>
      <c r="K1609" s="630"/>
      <c r="L1609" s="630"/>
      <c r="M1609" s="630"/>
      <c r="N1609" s="630"/>
      <c r="O1609" s="630"/>
      <c r="P1609" s="630"/>
      <c r="Q1609" s="630"/>
      <c r="R1609" s="630"/>
      <c r="S1609" s="630" t="s">
        <v>608</v>
      </c>
      <c r="T1609" s="630"/>
      <c r="U1609" s="630" t="s">
        <v>538</v>
      </c>
      <c r="V1609" s="630">
        <v>3</v>
      </c>
      <c r="W1609" s="630" t="s">
        <v>566</v>
      </c>
      <c r="X1609" s="630" t="s">
        <v>541</v>
      </c>
      <c r="Y1609" s="630" t="s">
        <v>540</v>
      </c>
      <c r="Z1609" s="630">
        <v>1.8023469999999999</v>
      </c>
      <c r="AA1609" s="630">
        <v>2.9006020000000001</v>
      </c>
      <c r="AB1609" s="631">
        <v>0</v>
      </c>
      <c r="AC1609" s="631">
        <v>0</v>
      </c>
      <c r="AD1609" s="631">
        <f t="shared" si="25"/>
        <v>0</v>
      </c>
    </row>
    <row r="1610" spans="2:30" x14ac:dyDescent="0.15">
      <c r="B1610" s="630">
        <v>17031006191</v>
      </c>
      <c r="C1610" s="630">
        <v>17031001113</v>
      </c>
      <c r="D1610" s="630">
        <v>17031001098</v>
      </c>
      <c r="E1610" s="630" t="s">
        <v>533</v>
      </c>
      <c r="F1610" s="630" t="s">
        <v>534</v>
      </c>
      <c r="G1610" s="630" t="s">
        <v>365</v>
      </c>
      <c r="H1610" s="630" t="s">
        <v>543</v>
      </c>
      <c r="I1610" s="630"/>
      <c r="J1610" s="630" t="s">
        <v>577</v>
      </c>
      <c r="K1610" s="630"/>
      <c r="L1610" s="630"/>
      <c r="M1610" s="630"/>
      <c r="N1610" s="630"/>
      <c r="O1610" s="630"/>
      <c r="P1610" s="630"/>
      <c r="Q1610" s="630"/>
      <c r="R1610" s="630"/>
      <c r="S1610" s="630" t="s">
        <v>604</v>
      </c>
      <c r="T1610" s="630"/>
      <c r="U1610" s="630" t="s">
        <v>538</v>
      </c>
      <c r="V1610" s="630">
        <v>1</v>
      </c>
      <c r="W1610" s="630" t="s">
        <v>545</v>
      </c>
      <c r="X1610" s="630" t="s">
        <v>546</v>
      </c>
      <c r="Y1610" s="630" t="s">
        <v>554</v>
      </c>
      <c r="Z1610" s="630">
        <v>7.7578999999999995E-2</v>
      </c>
      <c r="AA1610" s="630">
        <v>0.124852</v>
      </c>
      <c r="AB1610" s="631">
        <v>10277</v>
      </c>
      <c r="AC1610" s="631">
        <v>921789</v>
      </c>
      <c r="AD1610" s="631">
        <f t="shared" si="25"/>
        <v>71511.468830999991</v>
      </c>
    </row>
    <row r="1611" spans="2:30" x14ac:dyDescent="0.15">
      <c r="B1611" s="630">
        <v>17097001933</v>
      </c>
      <c r="C1611" s="630">
        <v>17097007522</v>
      </c>
      <c r="D1611" s="630">
        <v>17097004541</v>
      </c>
      <c r="E1611" s="630" t="s">
        <v>533</v>
      </c>
      <c r="F1611" s="630" t="s">
        <v>534</v>
      </c>
      <c r="G1611" s="630" t="s">
        <v>373</v>
      </c>
      <c r="H1611" s="630" t="s">
        <v>552</v>
      </c>
      <c r="I1611" s="630"/>
      <c r="J1611" s="630" t="s">
        <v>542</v>
      </c>
      <c r="K1611" s="630"/>
      <c r="L1611" s="630"/>
      <c r="M1611" s="630"/>
      <c r="N1611" s="630"/>
      <c r="O1611" s="630"/>
      <c r="P1611" s="630"/>
      <c r="Q1611" s="630"/>
      <c r="R1611" s="630"/>
      <c r="S1611" s="630" t="s">
        <v>564</v>
      </c>
      <c r="T1611" s="630"/>
      <c r="U1611" s="630" t="s">
        <v>538</v>
      </c>
      <c r="V1611" s="630">
        <v>2</v>
      </c>
      <c r="W1611" s="630" t="s">
        <v>545</v>
      </c>
      <c r="X1611" s="630" t="s">
        <v>549</v>
      </c>
      <c r="Y1611" s="630" t="s">
        <v>549</v>
      </c>
      <c r="Z1611" s="630">
        <v>2.6924459999999999</v>
      </c>
      <c r="AA1611" s="630">
        <v>4.3330799999999998</v>
      </c>
      <c r="AB1611" s="631">
        <v>502101</v>
      </c>
      <c r="AC1611" s="631">
        <v>30386712</v>
      </c>
      <c r="AD1611" s="631">
        <f t="shared" si="25"/>
        <v>81814581.177552</v>
      </c>
    </row>
    <row r="1612" spans="2:30" x14ac:dyDescent="0.15">
      <c r="B1612" s="630">
        <v>17031002236</v>
      </c>
      <c r="C1612" s="630">
        <v>17031000434</v>
      </c>
      <c r="D1612" s="630">
        <v>17031000426</v>
      </c>
      <c r="E1612" s="630" t="s">
        <v>533</v>
      </c>
      <c r="F1612" s="630" t="s">
        <v>534</v>
      </c>
      <c r="G1612" s="630" t="s">
        <v>365</v>
      </c>
      <c r="H1612" s="630" t="s">
        <v>552</v>
      </c>
      <c r="I1612" s="630"/>
      <c r="J1612" s="630" t="s">
        <v>551</v>
      </c>
      <c r="K1612" s="630" t="s">
        <v>547</v>
      </c>
      <c r="L1612" s="630" t="s">
        <v>382</v>
      </c>
      <c r="M1612" s="630" t="s">
        <v>563</v>
      </c>
      <c r="N1612" s="630"/>
      <c r="O1612" s="630"/>
      <c r="P1612" s="630"/>
      <c r="Q1612" s="630"/>
      <c r="R1612" s="630"/>
      <c r="S1612" s="630" t="s">
        <v>589</v>
      </c>
      <c r="T1612" s="630"/>
      <c r="U1612" s="630" t="s">
        <v>538</v>
      </c>
      <c r="V1612" s="630">
        <v>2</v>
      </c>
      <c r="W1612" s="630" t="s">
        <v>545</v>
      </c>
      <c r="X1612" s="630" t="s">
        <v>549</v>
      </c>
      <c r="Y1612" s="630" t="s">
        <v>549</v>
      </c>
      <c r="Z1612" s="630">
        <v>0.916381</v>
      </c>
      <c r="AA1612" s="630">
        <v>1.4747760000000001</v>
      </c>
      <c r="AB1612" s="631">
        <v>360017</v>
      </c>
      <c r="AC1612" s="631">
        <v>28874068</v>
      </c>
      <c r="AD1612" s="631">
        <f t="shared" si="25"/>
        <v>26459647.307907999</v>
      </c>
    </row>
    <row r="1613" spans="2:30" x14ac:dyDescent="0.15">
      <c r="B1613" s="630">
        <v>17043009162</v>
      </c>
      <c r="C1613" s="630">
        <v>17043007366</v>
      </c>
      <c r="D1613" s="630">
        <v>17043007368</v>
      </c>
      <c r="E1613" s="630" t="s">
        <v>533</v>
      </c>
      <c r="F1613" s="630" t="s">
        <v>534</v>
      </c>
      <c r="G1613" s="630" t="s">
        <v>367</v>
      </c>
      <c r="H1613" s="630" t="s">
        <v>382</v>
      </c>
      <c r="I1613" s="630"/>
      <c r="J1613" s="630"/>
      <c r="K1613" s="630"/>
      <c r="L1613" s="630"/>
      <c r="M1613" s="630"/>
      <c r="N1613" s="630"/>
      <c r="O1613" s="630"/>
      <c r="P1613" s="630"/>
      <c r="Q1613" s="630"/>
      <c r="R1613" s="630"/>
      <c r="S1613" s="630" t="s">
        <v>561</v>
      </c>
      <c r="T1613" s="630"/>
      <c r="U1613" s="630" t="s">
        <v>538</v>
      </c>
      <c r="V1613" s="630">
        <v>1</v>
      </c>
      <c r="W1613" s="630" t="s">
        <v>562</v>
      </c>
      <c r="X1613" s="630" t="s">
        <v>541</v>
      </c>
      <c r="Y1613" s="630" t="s">
        <v>540</v>
      </c>
      <c r="Z1613" s="630">
        <v>8.2573999999999995E-2</v>
      </c>
      <c r="AA1613" s="630">
        <v>0.13289000000000001</v>
      </c>
      <c r="AB1613" s="631">
        <v>16124</v>
      </c>
      <c r="AC1613" s="631">
        <v>373440</v>
      </c>
      <c r="AD1613" s="631">
        <f t="shared" si="25"/>
        <v>30836.434559999998</v>
      </c>
    </row>
    <row r="1614" spans="2:30" x14ac:dyDescent="0.15">
      <c r="B1614" s="630">
        <v>17031002217</v>
      </c>
      <c r="C1614" s="630">
        <v>17031004606</v>
      </c>
      <c r="D1614" s="630">
        <v>17031004605</v>
      </c>
      <c r="E1614" s="630" t="s">
        <v>533</v>
      </c>
      <c r="F1614" s="630" t="s">
        <v>534</v>
      </c>
      <c r="G1614" s="630" t="s">
        <v>365</v>
      </c>
      <c r="H1614" s="630" t="s">
        <v>382</v>
      </c>
      <c r="I1614" s="630"/>
      <c r="J1614" s="630" t="s">
        <v>547</v>
      </c>
      <c r="K1614" s="630"/>
      <c r="L1614" s="630"/>
      <c r="M1614" s="630"/>
      <c r="N1614" s="630"/>
      <c r="O1614" s="630"/>
      <c r="P1614" s="630"/>
      <c r="Q1614" s="630"/>
      <c r="R1614" s="630"/>
      <c r="S1614" s="630" t="s">
        <v>608</v>
      </c>
      <c r="T1614" s="630"/>
      <c r="U1614" s="630" t="s">
        <v>538</v>
      </c>
      <c r="V1614" s="630">
        <v>3</v>
      </c>
      <c r="W1614" s="630" t="s">
        <v>566</v>
      </c>
      <c r="X1614" s="630" t="s">
        <v>554</v>
      </c>
      <c r="Y1614" s="630" t="s">
        <v>549</v>
      </c>
      <c r="Z1614" s="630">
        <v>1.586957</v>
      </c>
      <c r="AA1614" s="630">
        <v>2.5539649999999998</v>
      </c>
      <c r="AB1614" s="631">
        <v>0</v>
      </c>
      <c r="AC1614" s="631">
        <v>0</v>
      </c>
      <c r="AD1614" s="631">
        <f t="shared" si="25"/>
        <v>0</v>
      </c>
    </row>
    <row r="1615" spans="2:30" x14ac:dyDescent="0.15">
      <c r="B1615" s="630">
        <v>17197002276</v>
      </c>
      <c r="C1615" s="630">
        <v>17197001588</v>
      </c>
      <c r="D1615" s="630">
        <v>17197004805</v>
      </c>
      <c r="E1615" s="630" t="s">
        <v>533</v>
      </c>
      <c r="F1615" s="630" t="s">
        <v>534</v>
      </c>
      <c r="G1615" s="630" t="s">
        <v>377</v>
      </c>
      <c r="H1615" s="630" t="s">
        <v>535</v>
      </c>
      <c r="I1615" s="630"/>
      <c r="J1615" s="630" t="s">
        <v>382</v>
      </c>
      <c r="K1615" s="630"/>
      <c r="L1615" s="630"/>
      <c r="M1615" s="630"/>
      <c r="N1615" s="630"/>
      <c r="O1615" s="630"/>
      <c r="P1615" s="630"/>
      <c r="Q1615" s="630"/>
      <c r="R1615" s="630"/>
      <c r="S1615" s="630" t="s">
        <v>601</v>
      </c>
      <c r="T1615" s="630"/>
      <c r="U1615" s="630" t="s">
        <v>538</v>
      </c>
      <c r="V1615" s="630">
        <v>1</v>
      </c>
      <c r="W1615" s="630" t="s">
        <v>582</v>
      </c>
      <c r="X1615" s="630" t="s">
        <v>540</v>
      </c>
      <c r="Y1615" s="630" t="s">
        <v>540</v>
      </c>
      <c r="Z1615" s="630">
        <v>0.83191999999999999</v>
      </c>
      <c r="AA1615" s="630">
        <v>1.3388469999999999</v>
      </c>
      <c r="AB1615" s="631">
        <v>7240</v>
      </c>
      <c r="AC1615" s="631">
        <v>666360</v>
      </c>
      <c r="AD1615" s="631">
        <f t="shared" si="25"/>
        <v>554358.21120000002</v>
      </c>
    </row>
    <row r="1616" spans="2:30" x14ac:dyDescent="0.15">
      <c r="B1616" s="630">
        <v>17031003850</v>
      </c>
      <c r="C1616" s="630">
        <v>17031004748</v>
      </c>
      <c r="D1616" s="630">
        <v>17031001359</v>
      </c>
      <c r="E1616" s="630" t="s">
        <v>533</v>
      </c>
      <c r="F1616" s="630" t="s">
        <v>534</v>
      </c>
      <c r="G1616" s="630" t="s">
        <v>365</v>
      </c>
      <c r="H1616" s="630" t="s">
        <v>551</v>
      </c>
      <c r="I1616" s="630"/>
      <c r="J1616" s="630" t="s">
        <v>382</v>
      </c>
      <c r="K1616" s="630"/>
      <c r="L1616" s="630"/>
      <c r="M1616" s="630"/>
      <c r="N1616" s="630"/>
      <c r="O1616" s="630"/>
      <c r="P1616" s="630"/>
      <c r="Q1616" s="630"/>
      <c r="R1616" s="630"/>
      <c r="S1616" s="630" t="s">
        <v>603</v>
      </c>
      <c r="T1616" s="630"/>
      <c r="U1616" s="630" t="s">
        <v>538</v>
      </c>
      <c r="V1616" s="630">
        <v>1</v>
      </c>
      <c r="W1616" s="630" t="s">
        <v>560</v>
      </c>
      <c r="X1616" s="630" t="s">
        <v>541</v>
      </c>
      <c r="Y1616" s="630" t="s">
        <v>541</v>
      </c>
      <c r="Z1616" s="630">
        <v>0.47933100000000001</v>
      </c>
      <c r="AA1616" s="630">
        <v>0.77141000000000004</v>
      </c>
      <c r="AB1616" s="631">
        <v>145148</v>
      </c>
      <c r="AC1616" s="631">
        <v>2356252</v>
      </c>
      <c r="AD1616" s="631">
        <f t="shared" si="25"/>
        <v>1129424.627412</v>
      </c>
    </row>
    <row r="1617" spans="2:30" x14ac:dyDescent="0.15">
      <c r="B1617" s="630">
        <v>17031006478</v>
      </c>
      <c r="C1617" s="630">
        <v>17031001313</v>
      </c>
      <c r="D1617" s="630">
        <v>17031004748</v>
      </c>
      <c r="E1617" s="630" t="s">
        <v>533</v>
      </c>
      <c r="F1617" s="630" t="s">
        <v>534</v>
      </c>
      <c r="G1617" s="630" t="s">
        <v>365</v>
      </c>
      <c r="H1617" s="630" t="s">
        <v>551</v>
      </c>
      <c r="I1617" s="630"/>
      <c r="J1617" s="630" t="s">
        <v>382</v>
      </c>
      <c r="K1617" s="630"/>
      <c r="L1617" s="630"/>
      <c r="M1617" s="630"/>
      <c r="N1617" s="630"/>
      <c r="O1617" s="630"/>
      <c r="P1617" s="630"/>
      <c r="Q1617" s="630"/>
      <c r="R1617" s="630"/>
      <c r="S1617" s="630" t="s">
        <v>603</v>
      </c>
      <c r="T1617" s="630"/>
      <c r="U1617" s="630" t="s">
        <v>538</v>
      </c>
      <c r="V1617" s="630">
        <v>2</v>
      </c>
      <c r="W1617" s="630" t="s">
        <v>545</v>
      </c>
      <c r="X1617" s="630" t="s">
        <v>575</v>
      </c>
      <c r="Y1617" s="630" t="s">
        <v>554</v>
      </c>
      <c r="Z1617" s="630">
        <v>0.188416</v>
      </c>
      <c r="AA1617" s="630">
        <v>0.30322700000000002</v>
      </c>
      <c r="AB1617" s="631">
        <v>1107088</v>
      </c>
      <c r="AC1617" s="631">
        <v>48912466</v>
      </c>
      <c r="AD1617" s="631">
        <f t="shared" si="25"/>
        <v>9215891.1938560009</v>
      </c>
    </row>
    <row r="1618" spans="2:30" x14ac:dyDescent="0.15">
      <c r="B1618" s="630">
        <v>17197003260</v>
      </c>
      <c r="C1618" s="630">
        <v>17197004803</v>
      </c>
      <c r="D1618" s="630">
        <v>17197001467</v>
      </c>
      <c r="E1618" s="630" t="s">
        <v>533</v>
      </c>
      <c r="F1618" s="630" t="s">
        <v>534</v>
      </c>
      <c r="G1618" s="630" t="s">
        <v>377</v>
      </c>
      <c r="H1618" s="630" t="s">
        <v>381</v>
      </c>
      <c r="I1618" s="630"/>
      <c r="J1618" s="630" t="s">
        <v>382</v>
      </c>
      <c r="K1618" s="630"/>
      <c r="L1618" s="630"/>
      <c r="M1618" s="630"/>
      <c r="N1618" s="630"/>
      <c r="O1618" s="630"/>
      <c r="P1618" s="630"/>
      <c r="Q1618" s="630"/>
      <c r="R1618" s="630"/>
      <c r="S1618" s="630" t="s">
        <v>647</v>
      </c>
      <c r="T1618" s="630"/>
      <c r="U1618" s="630" t="s">
        <v>538</v>
      </c>
      <c r="V1618" s="630">
        <v>2</v>
      </c>
      <c r="W1618" s="630" t="s">
        <v>545</v>
      </c>
      <c r="X1618" s="630" t="s">
        <v>580</v>
      </c>
      <c r="Y1618" s="630" t="s">
        <v>554</v>
      </c>
      <c r="Z1618" s="630">
        <v>0.94279500000000005</v>
      </c>
      <c r="AA1618" s="630">
        <v>1.517285</v>
      </c>
      <c r="AB1618" s="631">
        <v>2445098</v>
      </c>
      <c r="AC1618" s="631">
        <v>46300670</v>
      </c>
      <c r="AD1618" s="631">
        <f t="shared" si="25"/>
        <v>43652040.172650002</v>
      </c>
    </row>
    <row r="1619" spans="2:30" x14ac:dyDescent="0.15">
      <c r="B1619" s="630">
        <v>17197004121</v>
      </c>
      <c r="C1619" s="630">
        <v>17197001440</v>
      </c>
      <c r="D1619" s="630">
        <v>17197001399</v>
      </c>
      <c r="E1619" s="630" t="s">
        <v>533</v>
      </c>
      <c r="F1619" s="630" t="s">
        <v>534</v>
      </c>
      <c r="G1619" s="630" t="s">
        <v>377</v>
      </c>
      <c r="H1619" s="630" t="s">
        <v>381</v>
      </c>
      <c r="I1619" s="630"/>
      <c r="J1619" s="630" t="s">
        <v>382</v>
      </c>
      <c r="K1619" s="630"/>
      <c r="L1619" s="630"/>
      <c r="M1619" s="630"/>
      <c r="N1619" s="630"/>
      <c r="O1619" s="630"/>
      <c r="P1619" s="630"/>
      <c r="Q1619" s="630"/>
      <c r="R1619" s="630"/>
      <c r="S1619" s="630" t="s">
        <v>647</v>
      </c>
      <c r="T1619" s="630"/>
      <c r="U1619" s="630" t="s">
        <v>538</v>
      </c>
      <c r="V1619" s="630">
        <v>2</v>
      </c>
      <c r="W1619" s="630" t="s">
        <v>545</v>
      </c>
      <c r="X1619" s="630" t="s">
        <v>580</v>
      </c>
      <c r="Y1619" s="630" t="s">
        <v>549</v>
      </c>
      <c r="Z1619" s="630">
        <v>3.0524550000000001</v>
      </c>
      <c r="AA1619" s="630">
        <v>4.9124600000000003</v>
      </c>
      <c r="AB1619" s="631">
        <v>2441320</v>
      </c>
      <c r="AC1619" s="631">
        <v>45855604</v>
      </c>
      <c r="AD1619" s="631">
        <f t="shared" si="25"/>
        <v>139972167.70782</v>
      </c>
    </row>
    <row r="1620" spans="2:30" x14ac:dyDescent="0.15">
      <c r="B1620" s="630">
        <v>17031001942</v>
      </c>
      <c r="C1620" s="630">
        <v>17031000864</v>
      </c>
      <c r="D1620" s="630">
        <v>17031004666</v>
      </c>
      <c r="E1620" s="630" t="s">
        <v>533</v>
      </c>
      <c r="F1620" s="630" t="s">
        <v>534</v>
      </c>
      <c r="G1620" s="630" t="s">
        <v>365</v>
      </c>
      <c r="H1620" s="630" t="s">
        <v>381</v>
      </c>
      <c r="I1620" s="630"/>
      <c r="J1620" s="630" t="s">
        <v>382</v>
      </c>
      <c r="K1620" s="630"/>
      <c r="L1620" s="630"/>
      <c r="M1620" s="630"/>
      <c r="N1620" s="630"/>
      <c r="O1620" s="630"/>
      <c r="P1620" s="630"/>
      <c r="Q1620" s="630"/>
      <c r="R1620" s="630"/>
      <c r="S1620" s="630" t="s">
        <v>647</v>
      </c>
      <c r="T1620" s="630"/>
      <c r="U1620" s="630" t="s">
        <v>538</v>
      </c>
      <c r="V1620" s="630">
        <v>2</v>
      </c>
      <c r="W1620" s="630" t="s">
        <v>545</v>
      </c>
      <c r="X1620" s="630" t="s">
        <v>580</v>
      </c>
      <c r="Y1620" s="630" t="s">
        <v>549</v>
      </c>
      <c r="Z1620" s="630">
        <v>1.842058</v>
      </c>
      <c r="AA1620" s="630">
        <v>2.9645109999999999</v>
      </c>
      <c r="AB1620" s="631">
        <v>1579340</v>
      </c>
      <c r="AC1620" s="631">
        <v>29900942</v>
      </c>
      <c r="AD1620" s="631">
        <f t="shared" si="25"/>
        <v>55079269.418636002</v>
      </c>
    </row>
    <row r="1621" spans="2:30" x14ac:dyDescent="0.15">
      <c r="B1621" s="630">
        <v>17197006306</v>
      </c>
      <c r="C1621" s="630">
        <v>17197001632</v>
      </c>
      <c r="D1621" s="630">
        <v>17197004811</v>
      </c>
      <c r="E1621" s="630" t="s">
        <v>533</v>
      </c>
      <c r="F1621" s="630" t="s">
        <v>534</v>
      </c>
      <c r="G1621" s="630" t="s">
        <v>377</v>
      </c>
      <c r="H1621" s="630" t="s">
        <v>381</v>
      </c>
      <c r="I1621" s="630"/>
      <c r="J1621" s="630" t="s">
        <v>382</v>
      </c>
      <c r="K1621" s="630"/>
      <c r="L1621" s="630"/>
      <c r="M1621" s="630"/>
      <c r="N1621" s="630"/>
      <c r="O1621" s="630"/>
      <c r="P1621" s="630"/>
      <c r="Q1621" s="630"/>
      <c r="R1621" s="630"/>
      <c r="S1621" s="630" t="s">
        <v>647</v>
      </c>
      <c r="T1621" s="630"/>
      <c r="U1621" s="630" t="s">
        <v>538</v>
      </c>
      <c r="V1621" s="630">
        <v>1</v>
      </c>
      <c r="W1621" s="630" t="s">
        <v>582</v>
      </c>
      <c r="X1621" s="630" t="s">
        <v>580</v>
      </c>
      <c r="Y1621" s="630" t="s">
        <v>549</v>
      </c>
      <c r="Z1621" s="630">
        <v>0.228853</v>
      </c>
      <c r="AA1621" s="630">
        <v>0.36830499999999999</v>
      </c>
      <c r="AB1621" s="631">
        <v>686440</v>
      </c>
      <c r="AC1621" s="631">
        <v>10800360</v>
      </c>
      <c r="AD1621" s="631">
        <f t="shared" si="25"/>
        <v>2471694.7870800002</v>
      </c>
    </row>
    <row r="1622" spans="2:30" x14ac:dyDescent="0.15">
      <c r="B1622" s="630">
        <v>17197008978</v>
      </c>
      <c r="C1622" s="630">
        <v>17197005582</v>
      </c>
      <c r="D1622" s="630">
        <v>17197007194</v>
      </c>
      <c r="E1622" s="630" t="s">
        <v>533</v>
      </c>
      <c r="F1622" s="630" t="s">
        <v>534</v>
      </c>
      <c r="G1622" s="630" t="s">
        <v>377</v>
      </c>
      <c r="H1622" s="630" t="s">
        <v>381</v>
      </c>
      <c r="I1622" s="630"/>
      <c r="J1622" s="630" t="s">
        <v>382</v>
      </c>
      <c r="K1622" s="630"/>
      <c r="L1622" s="630"/>
      <c r="M1622" s="630"/>
      <c r="N1622" s="630"/>
      <c r="O1622" s="630"/>
      <c r="P1622" s="630"/>
      <c r="Q1622" s="630"/>
      <c r="R1622" s="630"/>
      <c r="S1622" s="630" t="s">
        <v>647</v>
      </c>
      <c r="T1622" s="630"/>
      <c r="U1622" s="630" t="s">
        <v>538</v>
      </c>
      <c r="V1622" s="630">
        <v>1</v>
      </c>
      <c r="W1622" s="630" t="s">
        <v>582</v>
      </c>
      <c r="X1622" s="630" t="s">
        <v>580</v>
      </c>
      <c r="Y1622" s="630" t="s">
        <v>549</v>
      </c>
      <c r="Z1622" s="630">
        <v>9.7706000000000001E-2</v>
      </c>
      <c r="AA1622" s="630">
        <v>0.15724299999999999</v>
      </c>
      <c r="AB1622" s="631">
        <v>205808</v>
      </c>
      <c r="AC1622" s="631">
        <v>2924888</v>
      </c>
      <c r="AD1622" s="631">
        <f t="shared" si="25"/>
        <v>285779.10692799999</v>
      </c>
    </row>
    <row r="1623" spans="2:30" x14ac:dyDescent="0.15">
      <c r="B1623" s="630">
        <v>17197002269</v>
      </c>
      <c r="C1623" s="630">
        <v>17197006595</v>
      </c>
      <c r="D1623" s="630">
        <v>17197004806</v>
      </c>
      <c r="E1623" s="630" t="s">
        <v>533</v>
      </c>
      <c r="F1623" s="630" t="s">
        <v>534</v>
      </c>
      <c r="G1623" s="630" t="s">
        <v>377</v>
      </c>
      <c r="H1623" s="630" t="s">
        <v>381</v>
      </c>
      <c r="I1623" s="630"/>
      <c r="J1623" s="630" t="s">
        <v>382</v>
      </c>
      <c r="K1623" s="630"/>
      <c r="L1623" s="630"/>
      <c r="M1623" s="630"/>
      <c r="N1623" s="630"/>
      <c r="O1623" s="630"/>
      <c r="P1623" s="630"/>
      <c r="Q1623" s="630"/>
      <c r="R1623" s="630"/>
      <c r="S1623" s="630" t="s">
        <v>647</v>
      </c>
      <c r="T1623" s="630" t="s">
        <v>705</v>
      </c>
      <c r="U1623" s="630" t="s">
        <v>538</v>
      </c>
      <c r="V1623" s="630">
        <v>2</v>
      </c>
      <c r="W1623" s="630" t="s">
        <v>545</v>
      </c>
      <c r="X1623" s="630" t="s">
        <v>580</v>
      </c>
      <c r="Y1623" s="630" t="s">
        <v>540</v>
      </c>
      <c r="Z1623" s="630">
        <v>0.28116000000000002</v>
      </c>
      <c r="AA1623" s="630">
        <v>0.452484</v>
      </c>
      <c r="AB1623" s="631">
        <v>2445098</v>
      </c>
      <c r="AC1623" s="631">
        <v>46300670</v>
      </c>
      <c r="AD1623" s="631">
        <f t="shared" si="25"/>
        <v>13017896.377200002</v>
      </c>
    </row>
    <row r="1624" spans="2:30" x14ac:dyDescent="0.15">
      <c r="B1624" s="630">
        <v>17031004059</v>
      </c>
      <c r="C1624" s="630">
        <v>17031000880</v>
      </c>
      <c r="D1624" s="630">
        <v>17031000868</v>
      </c>
      <c r="E1624" s="630" t="s">
        <v>533</v>
      </c>
      <c r="F1624" s="630" t="s">
        <v>534</v>
      </c>
      <c r="G1624" s="630" t="s">
        <v>365</v>
      </c>
      <c r="H1624" s="630" t="s">
        <v>381</v>
      </c>
      <c r="I1624" s="630"/>
      <c r="J1624" s="630" t="s">
        <v>382</v>
      </c>
      <c r="K1624" s="630"/>
      <c r="L1624" s="630"/>
      <c r="M1624" s="630"/>
      <c r="N1624" s="630"/>
      <c r="O1624" s="630"/>
      <c r="P1624" s="630"/>
      <c r="Q1624" s="630"/>
      <c r="R1624" s="630"/>
      <c r="S1624" s="630" t="s">
        <v>647</v>
      </c>
      <c r="T1624" s="630"/>
      <c r="U1624" s="630" t="s">
        <v>538</v>
      </c>
      <c r="V1624" s="630">
        <v>2</v>
      </c>
      <c r="W1624" s="630" t="s">
        <v>545</v>
      </c>
      <c r="X1624" s="630" t="s">
        <v>580</v>
      </c>
      <c r="Y1624" s="630" t="s">
        <v>549</v>
      </c>
      <c r="Z1624" s="630">
        <v>0.45023600000000003</v>
      </c>
      <c r="AA1624" s="630">
        <v>0.72458699999999998</v>
      </c>
      <c r="AB1624" s="631">
        <v>1579340</v>
      </c>
      <c r="AC1624" s="631">
        <v>29900942</v>
      </c>
      <c r="AD1624" s="631">
        <f t="shared" si="25"/>
        <v>13462480.522312</v>
      </c>
    </row>
    <row r="1625" spans="2:30" x14ac:dyDescent="0.15">
      <c r="B1625" s="630">
        <v>17197007026</v>
      </c>
      <c r="C1625" s="630">
        <v>17197004511</v>
      </c>
      <c r="D1625" s="630">
        <v>17197005582</v>
      </c>
      <c r="E1625" s="630" t="s">
        <v>533</v>
      </c>
      <c r="F1625" s="630" t="s">
        <v>534</v>
      </c>
      <c r="G1625" s="630" t="s">
        <v>377</v>
      </c>
      <c r="H1625" s="630" t="s">
        <v>381</v>
      </c>
      <c r="I1625" s="630"/>
      <c r="J1625" s="630" t="s">
        <v>382</v>
      </c>
      <c r="K1625" s="630"/>
      <c r="L1625" s="630"/>
      <c r="M1625" s="630"/>
      <c r="N1625" s="630"/>
      <c r="O1625" s="630"/>
      <c r="P1625" s="630"/>
      <c r="Q1625" s="630"/>
      <c r="R1625" s="630"/>
      <c r="S1625" s="630" t="s">
        <v>647</v>
      </c>
      <c r="T1625" s="630"/>
      <c r="U1625" s="630" t="s">
        <v>538</v>
      </c>
      <c r="V1625" s="630">
        <v>1</v>
      </c>
      <c r="W1625" s="630" t="s">
        <v>582</v>
      </c>
      <c r="X1625" s="630" t="s">
        <v>580</v>
      </c>
      <c r="Y1625" s="630" t="s">
        <v>549</v>
      </c>
      <c r="Z1625" s="630">
        <v>0.74538400000000005</v>
      </c>
      <c r="AA1625" s="630">
        <v>1.1995819999999999</v>
      </c>
      <c r="AB1625" s="631">
        <v>205808</v>
      </c>
      <c r="AC1625" s="631">
        <v>2924888</v>
      </c>
      <c r="AD1625" s="631">
        <f t="shared" si="25"/>
        <v>2180164.7169920001</v>
      </c>
    </row>
    <row r="1626" spans="2:30" x14ac:dyDescent="0.15">
      <c r="B1626" s="630">
        <v>17197004231</v>
      </c>
      <c r="C1626" s="630">
        <v>17197001657</v>
      </c>
      <c r="D1626" s="630">
        <v>17197001633</v>
      </c>
      <c r="E1626" s="630" t="s">
        <v>533</v>
      </c>
      <c r="F1626" s="630" t="s">
        <v>534</v>
      </c>
      <c r="G1626" s="630" t="s">
        <v>377</v>
      </c>
      <c r="H1626" s="630" t="s">
        <v>381</v>
      </c>
      <c r="I1626" s="630"/>
      <c r="J1626" s="630" t="s">
        <v>382</v>
      </c>
      <c r="K1626" s="630"/>
      <c r="L1626" s="630"/>
      <c r="M1626" s="630"/>
      <c r="N1626" s="630"/>
      <c r="O1626" s="630"/>
      <c r="P1626" s="630"/>
      <c r="Q1626" s="630"/>
      <c r="R1626" s="630"/>
      <c r="S1626" s="630" t="s">
        <v>647</v>
      </c>
      <c r="T1626" s="630"/>
      <c r="U1626" s="630" t="s">
        <v>538</v>
      </c>
      <c r="V1626" s="630">
        <v>1</v>
      </c>
      <c r="W1626" s="630" t="s">
        <v>582</v>
      </c>
      <c r="X1626" s="630" t="s">
        <v>580</v>
      </c>
      <c r="Y1626" s="630" t="s">
        <v>549</v>
      </c>
      <c r="Z1626" s="630">
        <v>1.4265760000000001</v>
      </c>
      <c r="AA1626" s="630">
        <v>2.2958569999999998</v>
      </c>
      <c r="AB1626" s="631">
        <v>1680</v>
      </c>
      <c r="AC1626" s="631">
        <v>134000</v>
      </c>
      <c r="AD1626" s="631">
        <f t="shared" si="25"/>
        <v>191161.18400000001</v>
      </c>
    </row>
    <row r="1627" spans="2:30" x14ac:dyDescent="0.15">
      <c r="B1627" s="630">
        <v>17197003273</v>
      </c>
      <c r="C1627" s="630">
        <v>17197001698</v>
      </c>
      <c r="D1627" s="630">
        <v>17197001670</v>
      </c>
      <c r="E1627" s="630" t="s">
        <v>533</v>
      </c>
      <c r="F1627" s="630" t="s">
        <v>534</v>
      </c>
      <c r="G1627" s="630" t="s">
        <v>377</v>
      </c>
      <c r="H1627" s="630" t="s">
        <v>381</v>
      </c>
      <c r="I1627" s="630"/>
      <c r="J1627" s="630" t="s">
        <v>382</v>
      </c>
      <c r="K1627" s="630"/>
      <c r="L1627" s="630"/>
      <c r="M1627" s="630"/>
      <c r="N1627" s="630"/>
      <c r="O1627" s="630"/>
      <c r="P1627" s="630"/>
      <c r="Q1627" s="630"/>
      <c r="R1627" s="630"/>
      <c r="S1627" s="630" t="s">
        <v>647</v>
      </c>
      <c r="T1627" s="630"/>
      <c r="U1627" s="630" t="s">
        <v>538</v>
      </c>
      <c r="V1627" s="630">
        <v>1</v>
      </c>
      <c r="W1627" s="630" t="s">
        <v>582</v>
      </c>
      <c r="X1627" s="630" t="s">
        <v>580</v>
      </c>
      <c r="Y1627" s="630" t="s">
        <v>549</v>
      </c>
      <c r="Z1627" s="630">
        <v>1.3323970000000001</v>
      </c>
      <c r="AA1627" s="630">
        <v>2.1442899999999998</v>
      </c>
      <c r="AB1627" s="631">
        <v>2397650</v>
      </c>
      <c r="AC1627" s="631">
        <v>46534722</v>
      </c>
      <c r="AD1627" s="631">
        <f t="shared" si="25"/>
        <v>62002723.988634005</v>
      </c>
    </row>
    <row r="1628" spans="2:30" x14ac:dyDescent="0.15">
      <c r="B1628" s="630">
        <v>17031004227</v>
      </c>
      <c r="C1628" s="630">
        <v>17031000901</v>
      </c>
      <c r="D1628" s="630">
        <v>17031000880</v>
      </c>
      <c r="E1628" s="630" t="s">
        <v>533</v>
      </c>
      <c r="F1628" s="630" t="s">
        <v>534</v>
      </c>
      <c r="G1628" s="630" t="s">
        <v>365</v>
      </c>
      <c r="H1628" s="630" t="s">
        <v>381</v>
      </c>
      <c r="I1628" s="630"/>
      <c r="J1628" s="630" t="s">
        <v>382</v>
      </c>
      <c r="K1628" s="630"/>
      <c r="L1628" s="630"/>
      <c r="M1628" s="630"/>
      <c r="N1628" s="630"/>
      <c r="O1628" s="630"/>
      <c r="P1628" s="630"/>
      <c r="Q1628" s="630"/>
      <c r="R1628" s="630"/>
      <c r="S1628" s="630" t="s">
        <v>647</v>
      </c>
      <c r="T1628" s="630"/>
      <c r="U1628" s="630" t="s">
        <v>538</v>
      </c>
      <c r="V1628" s="630">
        <v>2</v>
      </c>
      <c r="W1628" s="630" t="s">
        <v>545</v>
      </c>
      <c r="X1628" s="630" t="s">
        <v>580</v>
      </c>
      <c r="Y1628" s="630" t="s">
        <v>540</v>
      </c>
      <c r="Z1628" s="630">
        <v>0.297344</v>
      </c>
      <c r="AA1628" s="630">
        <v>0.47852899999999998</v>
      </c>
      <c r="AB1628" s="631">
        <v>1579340</v>
      </c>
      <c r="AC1628" s="631">
        <v>29900942</v>
      </c>
      <c r="AD1628" s="631">
        <f t="shared" si="25"/>
        <v>8890865.6980479993</v>
      </c>
    </row>
    <row r="1629" spans="2:30" x14ac:dyDescent="0.15">
      <c r="B1629" s="630">
        <v>17031001953</v>
      </c>
      <c r="C1629" s="630">
        <v>17031000783</v>
      </c>
      <c r="D1629" s="630">
        <v>17031000779</v>
      </c>
      <c r="E1629" s="630" t="s">
        <v>533</v>
      </c>
      <c r="F1629" s="630" t="s">
        <v>534</v>
      </c>
      <c r="G1629" s="630" t="s">
        <v>365</v>
      </c>
      <c r="H1629" s="630" t="s">
        <v>381</v>
      </c>
      <c r="I1629" s="630"/>
      <c r="J1629" s="630" t="s">
        <v>382</v>
      </c>
      <c r="K1629" s="630"/>
      <c r="L1629" s="630"/>
      <c r="M1629" s="630"/>
      <c r="N1629" s="630"/>
      <c r="O1629" s="630"/>
      <c r="P1629" s="630"/>
      <c r="Q1629" s="630"/>
      <c r="R1629" s="630"/>
      <c r="S1629" s="630" t="s">
        <v>647</v>
      </c>
      <c r="T1629" s="630"/>
      <c r="U1629" s="630" t="s">
        <v>538</v>
      </c>
      <c r="V1629" s="630">
        <v>2</v>
      </c>
      <c r="W1629" s="630" t="s">
        <v>545</v>
      </c>
      <c r="X1629" s="630" t="s">
        <v>580</v>
      </c>
      <c r="Y1629" s="630" t="s">
        <v>541</v>
      </c>
      <c r="Z1629" s="630">
        <v>0.300016</v>
      </c>
      <c r="AA1629" s="630">
        <v>0.48282999999999998</v>
      </c>
      <c r="AB1629" s="631">
        <v>2443841</v>
      </c>
      <c r="AC1629" s="631">
        <v>66480081</v>
      </c>
      <c r="AD1629" s="631">
        <f t="shared" si="25"/>
        <v>19945087.981295999</v>
      </c>
    </row>
    <row r="1630" spans="2:30" x14ac:dyDescent="0.15">
      <c r="B1630" s="630">
        <v>17031003823</v>
      </c>
      <c r="C1630" s="630">
        <v>17031000782</v>
      </c>
      <c r="D1630" s="630">
        <v>17031000779</v>
      </c>
      <c r="E1630" s="630" t="s">
        <v>533</v>
      </c>
      <c r="F1630" s="630" t="s">
        <v>534</v>
      </c>
      <c r="G1630" s="630" t="s">
        <v>365</v>
      </c>
      <c r="H1630" s="630" t="s">
        <v>381</v>
      </c>
      <c r="I1630" s="630"/>
      <c r="J1630" s="630" t="s">
        <v>382</v>
      </c>
      <c r="K1630" s="630"/>
      <c r="L1630" s="630"/>
      <c r="M1630" s="630"/>
      <c r="N1630" s="630"/>
      <c r="O1630" s="630"/>
      <c r="P1630" s="630"/>
      <c r="Q1630" s="630"/>
      <c r="R1630" s="630"/>
      <c r="S1630" s="630" t="s">
        <v>647</v>
      </c>
      <c r="T1630" s="630"/>
      <c r="U1630" s="630" t="s">
        <v>538</v>
      </c>
      <c r="V1630" s="630">
        <v>2</v>
      </c>
      <c r="W1630" s="630" t="s">
        <v>545</v>
      </c>
      <c r="X1630" s="630" t="s">
        <v>580</v>
      </c>
      <c r="Y1630" s="630" t="s">
        <v>540</v>
      </c>
      <c r="Z1630" s="630">
        <v>0.11390599999999999</v>
      </c>
      <c r="AA1630" s="630">
        <v>0.183314</v>
      </c>
      <c r="AB1630" s="631">
        <v>2443841</v>
      </c>
      <c r="AC1630" s="631">
        <v>66480081</v>
      </c>
      <c r="AD1630" s="631">
        <f t="shared" si="25"/>
        <v>7572480.1063859994</v>
      </c>
    </row>
    <row r="1631" spans="2:30" x14ac:dyDescent="0.15">
      <c r="B1631" s="630">
        <v>17197005382</v>
      </c>
      <c r="C1631" s="630">
        <v>17197004806</v>
      </c>
      <c r="D1631" s="630">
        <v>17197001463</v>
      </c>
      <c r="E1631" s="630" t="s">
        <v>533</v>
      </c>
      <c r="F1631" s="630" t="s">
        <v>534</v>
      </c>
      <c r="G1631" s="630" t="s">
        <v>377</v>
      </c>
      <c r="H1631" s="630" t="s">
        <v>381</v>
      </c>
      <c r="I1631" s="630"/>
      <c r="J1631" s="630" t="s">
        <v>382</v>
      </c>
      <c r="K1631" s="630"/>
      <c r="L1631" s="630"/>
      <c r="M1631" s="630"/>
      <c r="N1631" s="630"/>
      <c r="O1631" s="630"/>
      <c r="P1631" s="630"/>
      <c r="Q1631" s="630"/>
      <c r="R1631" s="630"/>
      <c r="S1631" s="630" t="s">
        <v>647</v>
      </c>
      <c r="T1631" s="630" t="s">
        <v>705</v>
      </c>
      <c r="U1631" s="630" t="s">
        <v>538</v>
      </c>
      <c r="V1631" s="630">
        <v>2</v>
      </c>
      <c r="W1631" s="630" t="s">
        <v>545</v>
      </c>
      <c r="X1631" s="630" t="s">
        <v>580</v>
      </c>
      <c r="Y1631" s="630" t="s">
        <v>540</v>
      </c>
      <c r="Z1631" s="630">
        <v>0.653582</v>
      </c>
      <c r="AA1631" s="630">
        <v>1.051841</v>
      </c>
      <c r="AB1631" s="631">
        <v>2441360</v>
      </c>
      <c r="AC1631" s="631">
        <v>45859644</v>
      </c>
      <c r="AD1631" s="631">
        <f t="shared" si="25"/>
        <v>29973037.844808001</v>
      </c>
    </row>
    <row r="1632" spans="2:30" x14ac:dyDescent="0.15">
      <c r="B1632" s="630">
        <v>17031003840</v>
      </c>
      <c r="C1632" s="630">
        <v>17031000779</v>
      </c>
      <c r="D1632" s="630">
        <v>17031000773</v>
      </c>
      <c r="E1632" s="630" t="s">
        <v>533</v>
      </c>
      <c r="F1632" s="630" t="s">
        <v>534</v>
      </c>
      <c r="G1632" s="630" t="s">
        <v>365</v>
      </c>
      <c r="H1632" s="630" t="s">
        <v>381</v>
      </c>
      <c r="I1632" s="630"/>
      <c r="J1632" s="630" t="s">
        <v>382</v>
      </c>
      <c r="K1632" s="630"/>
      <c r="L1632" s="630"/>
      <c r="M1632" s="630"/>
      <c r="N1632" s="630"/>
      <c r="O1632" s="630"/>
      <c r="P1632" s="630"/>
      <c r="Q1632" s="630"/>
      <c r="R1632" s="630"/>
      <c r="S1632" s="630" t="s">
        <v>647</v>
      </c>
      <c r="T1632" s="630"/>
      <c r="U1632" s="630" t="s">
        <v>538</v>
      </c>
      <c r="V1632" s="630">
        <v>2</v>
      </c>
      <c r="W1632" s="630" t="s">
        <v>545</v>
      </c>
      <c r="X1632" s="630" t="s">
        <v>541</v>
      </c>
      <c r="Y1632" s="630" t="s">
        <v>541</v>
      </c>
      <c r="Z1632" s="630">
        <v>0.154164</v>
      </c>
      <c r="AA1632" s="630">
        <v>0.24810399999999999</v>
      </c>
      <c r="AB1632" s="631">
        <v>0</v>
      </c>
      <c r="AC1632" s="631">
        <v>0</v>
      </c>
      <c r="AD1632" s="631">
        <f t="shared" si="25"/>
        <v>0</v>
      </c>
    </row>
    <row r="1633" spans="2:30" x14ac:dyDescent="0.15">
      <c r="B1633" s="630">
        <v>17197008948</v>
      </c>
      <c r="C1633" s="630">
        <v>17197007169</v>
      </c>
      <c r="D1633" s="630">
        <v>17999022435</v>
      </c>
      <c r="E1633" s="630" t="s">
        <v>533</v>
      </c>
      <c r="F1633" s="630" t="s">
        <v>534</v>
      </c>
      <c r="G1633" s="630" t="s">
        <v>377</v>
      </c>
      <c r="H1633" s="630" t="s">
        <v>381</v>
      </c>
      <c r="I1633" s="630"/>
      <c r="J1633" s="630" t="s">
        <v>382</v>
      </c>
      <c r="K1633" s="630"/>
      <c r="L1633" s="630"/>
      <c r="M1633" s="630"/>
      <c r="N1633" s="630"/>
      <c r="O1633" s="630"/>
      <c r="P1633" s="630"/>
      <c r="Q1633" s="630"/>
      <c r="R1633" s="630"/>
      <c r="S1633" s="630" t="s">
        <v>647</v>
      </c>
      <c r="T1633" s="630"/>
      <c r="U1633" s="630" t="s">
        <v>538</v>
      </c>
      <c r="V1633" s="630">
        <v>2</v>
      </c>
      <c r="W1633" s="630" t="s">
        <v>545</v>
      </c>
      <c r="X1633" s="630" t="s">
        <v>580</v>
      </c>
      <c r="Y1633" s="630" t="s">
        <v>549</v>
      </c>
      <c r="Z1633" s="630">
        <v>0.915802</v>
      </c>
      <c r="AA1633" s="630">
        <v>1.473843</v>
      </c>
      <c r="AB1633" s="631">
        <v>2441320</v>
      </c>
      <c r="AC1633" s="631">
        <v>45855604</v>
      </c>
      <c r="AD1633" s="631">
        <f t="shared" si="25"/>
        <v>41994653.854408003</v>
      </c>
    </row>
    <row r="1634" spans="2:30" x14ac:dyDescent="0.15">
      <c r="B1634" s="630">
        <v>17197006062</v>
      </c>
      <c r="C1634" s="630">
        <v>17197001657</v>
      </c>
      <c r="D1634" s="630">
        <v>17197004810</v>
      </c>
      <c r="E1634" s="630" t="s">
        <v>533</v>
      </c>
      <c r="F1634" s="630" t="s">
        <v>534</v>
      </c>
      <c r="G1634" s="630" t="s">
        <v>377</v>
      </c>
      <c r="H1634" s="630" t="s">
        <v>381</v>
      </c>
      <c r="I1634" s="630"/>
      <c r="J1634" s="630" t="s">
        <v>382</v>
      </c>
      <c r="K1634" s="630"/>
      <c r="L1634" s="630"/>
      <c r="M1634" s="630"/>
      <c r="N1634" s="630"/>
      <c r="O1634" s="630"/>
      <c r="P1634" s="630"/>
      <c r="Q1634" s="630"/>
      <c r="R1634" s="630"/>
      <c r="S1634" s="630" t="s">
        <v>647</v>
      </c>
      <c r="T1634" s="630"/>
      <c r="U1634" s="630" t="s">
        <v>538</v>
      </c>
      <c r="V1634" s="630">
        <v>1</v>
      </c>
      <c r="W1634" s="630" t="s">
        <v>582</v>
      </c>
      <c r="X1634" s="630" t="s">
        <v>580</v>
      </c>
      <c r="Y1634" s="630" t="s">
        <v>549</v>
      </c>
      <c r="Z1634" s="630">
        <v>0.32499899999999998</v>
      </c>
      <c r="AA1634" s="630">
        <v>0.52303599999999995</v>
      </c>
      <c r="AB1634" s="631">
        <v>4720</v>
      </c>
      <c r="AC1634" s="631">
        <v>426180</v>
      </c>
      <c r="AD1634" s="631">
        <f t="shared" si="25"/>
        <v>138508.07381999999</v>
      </c>
    </row>
    <row r="1635" spans="2:30" x14ac:dyDescent="0.15">
      <c r="B1635" s="630">
        <v>17031003842</v>
      </c>
      <c r="C1635" s="630">
        <v>17031000773</v>
      </c>
      <c r="D1635" s="630">
        <v>17031000771</v>
      </c>
      <c r="E1635" s="630" t="s">
        <v>533</v>
      </c>
      <c r="F1635" s="630" t="s">
        <v>534</v>
      </c>
      <c r="G1635" s="630" t="s">
        <v>365</v>
      </c>
      <c r="H1635" s="630" t="s">
        <v>381</v>
      </c>
      <c r="I1635" s="630"/>
      <c r="J1635" s="630" t="s">
        <v>382</v>
      </c>
      <c r="K1635" s="630"/>
      <c r="L1635" s="630"/>
      <c r="M1635" s="630"/>
      <c r="N1635" s="630"/>
      <c r="O1635" s="630"/>
      <c r="P1635" s="630"/>
      <c r="Q1635" s="630"/>
      <c r="R1635" s="630"/>
      <c r="S1635" s="630" t="s">
        <v>647</v>
      </c>
      <c r="T1635" s="630"/>
      <c r="U1635" s="630" t="s">
        <v>538</v>
      </c>
      <c r="V1635" s="630">
        <v>2</v>
      </c>
      <c r="W1635" s="630" t="s">
        <v>545</v>
      </c>
      <c r="X1635" s="630" t="s">
        <v>541</v>
      </c>
      <c r="Y1635" s="630" t="s">
        <v>541</v>
      </c>
      <c r="Z1635" s="630">
        <v>0.14535699999999999</v>
      </c>
      <c r="AA1635" s="630">
        <v>0.23393</v>
      </c>
      <c r="AB1635" s="631">
        <v>0</v>
      </c>
      <c r="AC1635" s="631">
        <v>0</v>
      </c>
      <c r="AD1635" s="631">
        <f t="shared" si="25"/>
        <v>0</v>
      </c>
    </row>
    <row r="1636" spans="2:30" x14ac:dyDescent="0.15">
      <c r="B1636" s="630">
        <v>17031001952</v>
      </c>
      <c r="C1636" s="630">
        <v>17031004678</v>
      </c>
      <c r="D1636" s="630">
        <v>17031000783</v>
      </c>
      <c r="E1636" s="630" t="s">
        <v>533</v>
      </c>
      <c r="F1636" s="630" t="s">
        <v>534</v>
      </c>
      <c r="G1636" s="630" t="s">
        <v>365</v>
      </c>
      <c r="H1636" s="630" t="s">
        <v>381</v>
      </c>
      <c r="I1636" s="630"/>
      <c r="J1636" s="630" t="s">
        <v>535</v>
      </c>
      <c r="K1636" s="630" t="s">
        <v>382</v>
      </c>
      <c r="L1636" s="630"/>
      <c r="M1636" s="630"/>
      <c r="N1636" s="630"/>
      <c r="O1636" s="630"/>
      <c r="P1636" s="630"/>
      <c r="Q1636" s="630"/>
      <c r="R1636" s="630"/>
      <c r="S1636" s="630" t="s">
        <v>647</v>
      </c>
      <c r="T1636" s="630"/>
      <c r="U1636" s="630" t="s">
        <v>538</v>
      </c>
      <c r="V1636" s="630">
        <v>2</v>
      </c>
      <c r="W1636" s="630" t="s">
        <v>545</v>
      </c>
      <c r="X1636" s="630" t="s">
        <v>580</v>
      </c>
      <c r="Y1636" s="630" t="s">
        <v>541</v>
      </c>
      <c r="Z1636" s="630">
        <v>1.9039E-2</v>
      </c>
      <c r="AA1636" s="630">
        <v>3.0641000000000002E-2</v>
      </c>
      <c r="AB1636" s="631">
        <v>2419069</v>
      </c>
      <c r="AC1636" s="631">
        <v>66492860</v>
      </c>
      <c r="AD1636" s="631">
        <f t="shared" si="25"/>
        <v>1265957.5615400001</v>
      </c>
    </row>
    <row r="1637" spans="2:30" x14ac:dyDescent="0.15">
      <c r="B1637" s="630">
        <v>17197006061</v>
      </c>
      <c r="C1637" s="630">
        <v>17197001658</v>
      </c>
      <c r="D1637" s="630">
        <v>17197001657</v>
      </c>
      <c r="E1637" s="630" t="s">
        <v>533</v>
      </c>
      <c r="F1637" s="630" t="s">
        <v>534</v>
      </c>
      <c r="G1637" s="630" t="s">
        <v>377</v>
      </c>
      <c r="H1637" s="630" t="s">
        <v>381</v>
      </c>
      <c r="I1637" s="630"/>
      <c r="J1637" s="630" t="s">
        <v>382</v>
      </c>
      <c r="K1637" s="630"/>
      <c r="L1637" s="630"/>
      <c r="M1637" s="630"/>
      <c r="N1637" s="630"/>
      <c r="O1637" s="630"/>
      <c r="P1637" s="630"/>
      <c r="Q1637" s="630"/>
      <c r="R1637" s="630"/>
      <c r="S1637" s="630" t="s">
        <v>647</v>
      </c>
      <c r="T1637" s="630"/>
      <c r="U1637" s="630" t="s">
        <v>538</v>
      </c>
      <c r="V1637" s="630">
        <v>1</v>
      </c>
      <c r="W1637" s="630" t="s">
        <v>582</v>
      </c>
      <c r="X1637" s="630" t="s">
        <v>580</v>
      </c>
      <c r="Y1637" s="630" t="s">
        <v>549</v>
      </c>
      <c r="Z1637" s="630">
        <v>0.73939999999999995</v>
      </c>
      <c r="AA1637" s="630">
        <v>1.189951</v>
      </c>
      <c r="AB1637" s="631">
        <v>6400</v>
      </c>
      <c r="AC1637" s="631">
        <v>560180</v>
      </c>
      <c r="AD1637" s="631">
        <f t="shared" si="25"/>
        <v>414197.09199999995</v>
      </c>
    </row>
    <row r="1638" spans="2:30" x14ac:dyDescent="0.15">
      <c r="B1638" s="630">
        <v>17197002277</v>
      </c>
      <c r="C1638" s="630">
        <v>17197001588</v>
      </c>
      <c r="D1638" s="630">
        <v>17197004807</v>
      </c>
      <c r="E1638" s="630" t="s">
        <v>533</v>
      </c>
      <c r="F1638" s="630" t="s">
        <v>534</v>
      </c>
      <c r="G1638" s="630" t="s">
        <v>377</v>
      </c>
      <c r="H1638" s="630" t="s">
        <v>381</v>
      </c>
      <c r="I1638" s="630"/>
      <c r="J1638" s="630" t="s">
        <v>382</v>
      </c>
      <c r="K1638" s="630"/>
      <c r="L1638" s="630"/>
      <c r="M1638" s="630"/>
      <c r="N1638" s="630"/>
      <c r="O1638" s="630"/>
      <c r="P1638" s="630"/>
      <c r="Q1638" s="630"/>
      <c r="R1638" s="630"/>
      <c r="S1638" s="630" t="s">
        <v>647</v>
      </c>
      <c r="T1638" s="630"/>
      <c r="U1638" s="630" t="s">
        <v>538</v>
      </c>
      <c r="V1638" s="630">
        <v>1</v>
      </c>
      <c r="W1638" s="630" t="s">
        <v>545</v>
      </c>
      <c r="X1638" s="630" t="s">
        <v>580</v>
      </c>
      <c r="Y1638" s="630" t="s">
        <v>549</v>
      </c>
      <c r="Z1638" s="630">
        <v>0.53257399999999999</v>
      </c>
      <c r="AA1638" s="630">
        <v>0.857097</v>
      </c>
      <c r="AB1638" s="631">
        <v>205808</v>
      </c>
      <c r="AC1638" s="631">
        <v>2924888</v>
      </c>
      <c r="AD1638" s="631">
        <f t="shared" si="25"/>
        <v>1557719.301712</v>
      </c>
    </row>
    <row r="1639" spans="2:30" x14ac:dyDescent="0.15">
      <c r="B1639" s="630">
        <v>17031002411</v>
      </c>
      <c r="C1639" s="630">
        <v>17999022435</v>
      </c>
      <c r="D1639" s="630">
        <v>17031001224</v>
      </c>
      <c r="E1639" s="630" t="s">
        <v>533</v>
      </c>
      <c r="F1639" s="630" t="s">
        <v>534</v>
      </c>
      <c r="G1639" s="630" t="s">
        <v>365</v>
      </c>
      <c r="H1639" s="630" t="s">
        <v>381</v>
      </c>
      <c r="I1639" s="630"/>
      <c r="J1639" s="630" t="s">
        <v>382</v>
      </c>
      <c r="K1639" s="630"/>
      <c r="L1639" s="630"/>
      <c r="M1639" s="630"/>
      <c r="N1639" s="630"/>
      <c r="O1639" s="630"/>
      <c r="P1639" s="630"/>
      <c r="Q1639" s="630"/>
      <c r="R1639" s="630"/>
      <c r="S1639" s="630" t="s">
        <v>647</v>
      </c>
      <c r="T1639" s="630"/>
      <c r="U1639" s="630" t="s">
        <v>538</v>
      </c>
      <c r="V1639" s="630">
        <v>2</v>
      </c>
      <c r="W1639" s="630" t="s">
        <v>545</v>
      </c>
      <c r="X1639" s="630" t="s">
        <v>580</v>
      </c>
      <c r="Y1639" s="630" t="s">
        <v>549</v>
      </c>
      <c r="Z1639" s="630">
        <v>1.4114739999999999</v>
      </c>
      <c r="AA1639" s="630">
        <v>2.2715529999999999</v>
      </c>
      <c r="AB1639" s="631">
        <v>2441320</v>
      </c>
      <c r="AC1639" s="631">
        <v>45855604</v>
      </c>
      <c r="AD1639" s="631">
        <f t="shared" si="25"/>
        <v>64723992.800295994</v>
      </c>
    </row>
    <row r="1640" spans="2:30" x14ac:dyDescent="0.15">
      <c r="B1640" s="630">
        <v>17197003239</v>
      </c>
      <c r="C1640" s="630">
        <v>17197007194</v>
      </c>
      <c r="D1640" s="630">
        <v>17197004809</v>
      </c>
      <c r="E1640" s="630" t="s">
        <v>533</v>
      </c>
      <c r="F1640" s="630" t="s">
        <v>534</v>
      </c>
      <c r="G1640" s="630" t="s">
        <v>377</v>
      </c>
      <c r="H1640" s="630" t="s">
        <v>381</v>
      </c>
      <c r="I1640" s="630"/>
      <c r="J1640" s="630" t="s">
        <v>382</v>
      </c>
      <c r="K1640" s="630"/>
      <c r="L1640" s="630"/>
      <c r="M1640" s="630"/>
      <c r="N1640" s="630"/>
      <c r="O1640" s="630"/>
      <c r="P1640" s="630"/>
      <c r="Q1640" s="630"/>
      <c r="R1640" s="630"/>
      <c r="S1640" s="630" t="s">
        <v>647</v>
      </c>
      <c r="T1640" s="630"/>
      <c r="U1640" s="630" t="s">
        <v>538</v>
      </c>
      <c r="V1640" s="630">
        <v>1</v>
      </c>
      <c r="W1640" s="630" t="s">
        <v>582</v>
      </c>
      <c r="X1640" s="630" t="s">
        <v>580</v>
      </c>
      <c r="Y1640" s="630" t="s">
        <v>549</v>
      </c>
      <c r="Z1640" s="630">
        <v>1.366973</v>
      </c>
      <c r="AA1640" s="630">
        <v>2.1999339999999998</v>
      </c>
      <c r="AB1640" s="631">
        <v>205808</v>
      </c>
      <c r="AC1640" s="631">
        <v>2924888</v>
      </c>
      <c r="AD1640" s="631">
        <f t="shared" si="25"/>
        <v>3998242.9240239998</v>
      </c>
    </row>
    <row r="1641" spans="2:30" x14ac:dyDescent="0.15">
      <c r="B1641" s="630">
        <v>17031002683</v>
      </c>
      <c r="C1641" s="630">
        <v>17031001224</v>
      </c>
      <c r="D1641" s="630">
        <v>17999022248</v>
      </c>
      <c r="E1641" s="630" t="s">
        <v>533</v>
      </c>
      <c r="F1641" s="630" t="s">
        <v>534</v>
      </c>
      <c r="G1641" s="630" t="s">
        <v>365</v>
      </c>
      <c r="H1641" s="630" t="s">
        <v>381</v>
      </c>
      <c r="I1641" s="630"/>
      <c r="J1641" s="630" t="s">
        <v>382</v>
      </c>
      <c r="K1641" s="630"/>
      <c r="L1641" s="630"/>
      <c r="M1641" s="630"/>
      <c r="N1641" s="630"/>
      <c r="O1641" s="630"/>
      <c r="P1641" s="630"/>
      <c r="Q1641" s="630"/>
      <c r="R1641" s="630"/>
      <c r="S1641" s="630" t="s">
        <v>647</v>
      </c>
      <c r="T1641" s="630"/>
      <c r="U1641" s="630" t="s">
        <v>538</v>
      </c>
      <c r="V1641" s="630">
        <v>2</v>
      </c>
      <c r="W1641" s="630" t="s">
        <v>545</v>
      </c>
      <c r="X1641" s="630" t="s">
        <v>580</v>
      </c>
      <c r="Y1641" s="630" t="s">
        <v>549</v>
      </c>
      <c r="Z1641" s="630">
        <v>0.84669000000000005</v>
      </c>
      <c r="AA1641" s="630">
        <v>1.3626180000000001</v>
      </c>
      <c r="AB1641" s="631">
        <v>2443028</v>
      </c>
      <c r="AC1641" s="631">
        <v>45998824</v>
      </c>
      <c r="AD1641" s="631">
        <f t="shared" si="25"/>
        <v>38946744.292560004</v>
      </c>
    </row>
    <row r="1642" spans="2:30" x14ac:dyDescent="0.15">
      <c r="B1642" s="630">
        <v>17043003319</v>
      </c>
      <c r="C1642" s="630">
        <v>17043001186</v>
      </c>
      <c r="D1642" s="630">
        <v>17999021964</v>
      </c>
      <c r="E1642" s="630" t="s">
        <v>533</v>
      </c>
      <c r="F1642" s="630" t="s">
        <v>534</v>
      </c>
      <c r="G1642" s="630" t="s">
        <v>367</v>
      </c>
      <c r="H1642" s="630" t="s">
        <v>381</v>
      </c>
      <c r="I1642" s="630"/>
      <c r="J1642" s="630" t="s">
        <v>382</v>
      </c>
      <c r="K1642" s="630"/>
      <c r="L1642" s="630"/>
      <c r="M1642" s="630"/>
      <c r="N1642" s="630"/>
      <c r="O1642" s="630"/>
      <c r="P1642" s="630"/>
      <c r="Q1642" s="630"/>
      <c r="R1642" s="630"/>
      <c r="S1642" s="630" t="s">
        <v>647</v>
      </c>
      <c r="T1642" s="630"/>
      <c r="U1642" s="630" t="s">
        <v>538</v>
      </c>
      <c r="V1642" s="630">
        <v>2</v>
      </c>
      <c r="W1642" s="630" t="s">
        <v>545</v>
      </c>
      <c r="X1642" s="630" t="s">
        <v>580</v>
      </c>
      <c r="Y1642" s="630" t="s">
        <v>549</v>
      </c>
      <c r="Z1642" s="630">
        <v>3.4404270000000001</v>
      </c>
      <c r="AA1642" s="630">
        <v>5.536842</v>
      </c>
      <c r="AB1642" s="631">
        <v>2441228</v>
      </c>
      <c r="AC1642" s="631">
        <v>45862064</v>
      </c>
      <c r="AD1642" s="631">
        <f t="shared" si="25"/>
        <v>157785083.26132801</v>
      </c>
    </row>
    <row r="1643" spans="2:30" x14ac:dyDescent="0.15">
      <c r="B1643" s="630">
        <v>17197004232</v>
      </c>
      <c r="C1643" s="630">
        <v>17197001633</v>
      </c>
      <c r="D1643" s="630">
        <v>17197004811</v>
      </c>
      <c r="E1643" s="630" t="s">
        <v>533</v>
      </c>
      <c r="F1643" s="630" t="s">
        <v>534</v>
      </c>
      <c r="G1643" s="630" t="s">
        <v>377</v>
      </c>
      <c r="H1643" s="630" t="s">
        <v>381</v>
      </c>
      <c r="I1643" s="630"/>
      <c r="J1643" s="630" t="s">
        <v>382</v>
      </c>
      <c r="K1643" s="630"/>
      <c r="L1643" s="630"/>
      <c r="M1643" s="630"/>
      <c r="N1643" s="630"/>
      <c r="O1643" s="630"/>
      <c r="P1643" s="630"/>
      <c r="Q1643" s="630"/>
      <c r="R1643" s="630"/>
      <c r="S1643" s="630" t="s">
        <v>647</v>
      </c>
      <c r="T1643" s="630"/>
      <c r="U1643" s="630" t="s">
        <v>538</v>
      </c>
      <c r="V1643" s="630">
        <v>1</v>
      </c>
      <c r="W1643" s="630" t="s">
        <v>582</v>
      </c>
      <c r="X1643" s="630" t="s">
        <v>580</v>
      </c>
      <c r="Y1643" s="630" t="s">
        <v>549</v>
      </c>
      <c r="Z1643" s="630">
        <v>0.240761</v>
      </c>
      <c r="AA1643" s="630">
        <v>0.38746799999999998</v>
      </c>
      <c r="AB1643" s="631">
        <v>1768</v>
      </c>
      <c r="AC1643" s="631">
        <v>150288</v>
      </c>
      <c r="AD1643" s="631">
        <f t="shared" si="25"/>
        <v>36183.489168</v>
      </c>
    </row>
    <row r="1644" spans="2:30" x14ac:dyDescent="0.15">
      <c r="B1644" s="630">
        <v>17197009040</v>
      </c>
      <c r="C1644" s="630">
        <v>17197001632</v>
      </c>
      <c r="D1644" s="630">
        <v>17197007254</v>
      </c>
      <c r="E1644" s="630" t="s">
        <v>533</v>
      </c>
      <c r="F1644" s="630" t="s">
        <v>534</v>
      </c>
      <c r="G1644" s="630" t="s">
        <v>377</v>
      </c>
      <c r="H1644" s="630" t="s">
        <v>381</v>
      </c>
      <c r="I1644" s="630"/>
      <c r="J1644" s="630" t="s">
        <v>382</v>
      </c>
      <c r="K1644" s="630"/>
      <c r="L1644" s="630"/>
      <c r="M1644" s="630"/>
      <c r="N1644" s="630"/>
      <c r="O1644" s="630"/>
      <c r="P1644" s="630"/>
      <c r="Q1644" s="630"/>
      <c r="R1644" s="630"/>
      <c r="S1644" s="630" t="s">
        <v>647</v>
      </c>
      <c r="T1644" s="630"/>
      <c r="U1644" s="630" t="s">
        <v>538</v>
      </c>
      <c r="V1644" s="630">
        <v>1</v>
      </c>
      <c r="W1644" s="630" t="s">
        <v>545</v>
      </c>
      <c r="X1644" s="630" t="s">
        <v>580</v>
      </c>
      <c r="Y1644" s="630" t="s">
        <v>549</v>
      </c>
      <c r="Z1644" s="630">
        <v>0.64574900000000002</v>
      </c>
      <c r="AA1644" s="630">
        <v>1.039234</v>
      </c>
      <c r="AB1644" s="631">
        <v>1715930</v>
      </c>
      <c r="AC1644" s="631">
        <v>36160542</v>
      </c>
      <c r="AD1644" s="631">
        <f t="shared" si="25"/>
        <v>23350633.835958</v>
      </c>
    </row>
    <row r="1645" spans="2:30" x14ac:dyDescent="0.15">
      <c r="B1645" s="630">
        <v>17197005427</v>
      </c>
      <c r="C1645" s="630">
        <v>17999025728</v>
      </c>
      <c r="D1645" s="630">
        <v>17197001658</v>
      </c>
      <c r="E1645" s="630" t="s">
        <v>533</v>
      </c>
      <c r="F1645" s="630" t="s">
        <v>534</v>
      </c>
      <c r="G1645" s="630" t="s">
        <v>377</v>
      </c>
      <c r="H1645" s="630" t="s">
        <v>381</v>
      </c>
      <c r="I1645" s="630"/>
      <c r="J1645" s="630" t="s">
        <v>382</v>
      </c>
      <c r="K1645" s="630"/>
      <c r="L1645" s="630"/>
      <c r="M1645" s="630"/>
      <c r="N1645" s="630"/>
      <c r="O1645" s="630"/>
      <c r="P1645" s="630"/>
      <c r="Q1645" s="630"/>
      <c r="R1645" s="630"/>
      <c r="S1645" s="630" t="s">
        <v>647</v>
      </c>
      <c r="T1645" s="630"/>
      <c r="U1645" s="630" t="s">
        <v>538</v>
      </c>
      <c r="V1645" s="630">
        <v>1</v>
      </c>
      <c r="W1645" s="630" t="s">
        <v>582</v>
      </c>
      <c r="X1645" s="630" t="s">
        <v>580</v>
      </c>
      <c r="Y1645" s="630" t="s">
        <v>549</v>
      </c>
      <c r="Z1645" s="630">
        <v>5.1740190000000004</v>
      </c>
      <c r="AA1645" s="630">
        <v>8.3267930000000003</v>
      </c>
      <c r="AB1645" s="631">
        <v>6400</v>
      </c>
      <c r="AC1645" s="631">
        <v>560180</v>
      </c>
      <c r="AD1645" s="631">
        <f t="shared" si="25"/>
        <v>2898381.9634200004</v>
      </c>
    </row>
    <row r="1646" spans="2:30" x14ac:dyDescent="0.15">
      <c r="B1646" s="630">
        <v>17197005362</v>
      </c>
      <c r="C1646" s="630">
        <v>17197001702</v>
      </c>
      <c r="D1646" s="630">
        <v>17197001698</v>
      </c>
      <c r="E1646" s="630" t="s">
        <v>533</v>
      </c>
      <c r="F1646" s="630" t="s">
        <v>534</v>
      </c>
      <c r="G1646" s="630" t="s">
        <v>377</v>
      </c>
      <c r="H1646" s="630" t="s">
        <v>381</v>
      </c>
      <c r="I1646" s="630"/>
      <c r="J1646" s="630" t="s">
        <v>382</v>
      </c>
      <c r="K1646" s="630"/>
      <c r="L1646" s="630"/>
      <c r="M1646" s="630"/>
      <c r="N1646" s="630"/>
      <c r="O1646" s="630"/>
      <c r="P1646" s="630"/>
      <c r="Q1646" s="630"/>
      <c r="R1646" s="630"/>
      <c r="S1646" s="630" t="s">
        <v>647</v>
      </c>
      <c r="T1646" s="630"/>
      <c r="U1646" s="630" t="s">
        <v>538</v>
      </c>
      <c r="V1646" s="630">
        <v>1</v>
      </c>
      <c r="W1646" s="630" t="s">
        <v>582</v>
      </c>
      <c r="X1646" s="630" t="s">
        <v>580</v>
      </c>
      <c r="Y1646" s="630" t="s">
        <v>549</v>
      </c>
      <c r="Z1646" s="630">
        <v>0.94623500000000005</v>
      </c>
      <c r="AA1646" s="630">
        <v>1.522821</v>
      </c>
      <c r="AB1646" s="631">
        <v>2394146</v>
      </c>
      <c r="AC1646" s="631">
        <v>46249954</v>
      </c>
      <c r="AD1646" s="631">
        <f t="shared" si="25"/>
        <v>43763325.223190002</v>
      </c>
    </row>
    <row r="1647" spans="2:30" x14ac:dyDescent="0.15">
      <c r="B1647" s="630">
        <v>17197003491</v>
      </c>
      <c r="C1647" s="630">
        <v>17197007254</v>
      </c>
      <c r="D1647" s="630">
        <v>17197004807</v>
      </c>
      <c r="E1647" s="630" t="s">
        <v>533</v>
      </c>
      <c r="F1647" s="630" t="s">
        <v>534</v>
      </c>
      <c r="G1647" s="630" t="s">
        <v>377</v>
      </c>
      <c r="H1647" s="630" t="s">
        <v>381</v>
      </c>
      <c r="I1647" s="630"/>
      <c r="J1647" s="630" t="s">
        <v>382</v>
      </c>
      <c r="K1647" s="630"/>
      <c r="L1647" s="630"/>
      <c r="M1647" s="630"/>
      <c r="N1647" s="630"/>
      <c r="O1647" s="630"/>
      <c r="P1647" s="630"/>
      <c r="Q1647" s="630"/>
      <c r="R1647" s="630"/>
      <c r="S1647" s="630" t="s">
        <v>647</v>
      </c>
      <c r="T1647" s="630"/>
      <c r="U1647" s="630" t="s">
        <v>538</v>
      </c>
      <c r="V1647" s="630">
        <v>1</v>
      </c>
      <c r="W1647" s="630" t="s">
        <v>545</v>
      </c>
      <c r="X1647" s="630" t="s">
        <v>580</v>
      </c>
      <c r="Y1647" s="630" t="s">
        <v>549</v>
      </c>
      <c r="Z1647" s="630">
        <v>6.5898560000000002</v>
      </c>
      <c r="AA1647" s="630">
        <v>10.605366</v>
      </c>
      <c r="AB1647" s="631">
        <v>1715930</v>
      </c>
      <c r="AC1647" s="631">
        <v>36160542</v>
      </c>
      <c r="AD1647" s="631">
        <f t="shared" si="25"/>
        <v>238292764.66195202</v>
      </c>
    </row>
    <row r="1648" spans="2:30" x14ac:dyDescent="0.15">
      <c r="B1648" s="630">
        <v>17197002264</v>
      </c>
      <c r="C1648" s="630">
        <v>17197001399</v>
      </c>
      <c r="D1648" s="630">
        <v>17197007173</v>
      </c>
      <c r="E1648" s="630" t="s">
        <v>533</v>
      </c>
      <c r="F1648" s="630" t="s">
        <v>534</v>
      </c>
      <c r="G1648" s="630" t="s">
        <v>377</v>
      </c>
      <c r="H1648" s="630" t="s">
        <v>381</v>
      </c>
      <c r="I1648" s="630"/>
      <c r="J1648" s="630" t="s">
        <v>382</v>
      </c>
      <c r="K1648" s="630"/>
      <c r="L1648" s="630"/>
      <c r="M1648" s="630"/>
      <c r="N1648" s="630"/>
      <c r="O1648" s="630"/>
      <c r="P1648" s="630"/>
      <c r="Q1648" s="630"/>
      <c r="R1648" s="630"/>
      <c r="S1648" s="630" t="s">
        <v>647</v>
      </c>
      <c r="T1648" s="630"/>
      <c r="U1648" s="630" t="s">
        <v>538</v>
      </c>
      <c r="V1648" s="630">
        <v>2</v>
      </c>
      <c r="W1648" s="630" t="s">
        <v>545</v>
      </c>
      <c r="X1648" s="630" t="s">
        <v>580</v>
      </c>
      <c r="Y1648" s="630" t="s">
        <v>549</v>
      </c>
      <c r="Z1648" s="630">
        <v>1.5285899999999999</v>
      </c>
      <c r="AA1648" s="630">
        <v>2.4600309999999999</v>
      </c>
      <c r="AB1648" s="631">
        <v>2441320</v>
      </c>
      <c r="AC1648" s="631">
        <v>45855604</v>
      </c>
      <c r="AD1648" s="631">
        <f t="shared" si="25"/>
        <v>70094417.718359992</v>
      </c>
    </row>
    <row r="1649" spans="2:30" x14ac:dyDescent="0.15">
      <c r="B1649" s="630">
        <v>17031003824</v>
      </c>
      <c r="C1649" s="630">
        <v>17031000809</v>
      </c>
      <c r="D1649" s="630">
        <v>17031000782</v>
      </c>
      <c r="E1649" s="630" t="s">
        <v>533</v>
      </c>
      <c r="F1649" s="630" t="s">
        <v>534</v>
      </c>
      <c r="G1649" s="630" t="s">
        <v>365</v>
      </c>
      <c r="H1649" s="630" t="s">
        <v>381</v>
      </c>
      <c r="I1649" s="630"/>
      <c r="J1649" s="630" t="s">
        <v>382</v>
      </c>
      <c r="K1649" s="630"/>
      <c r="L1649" s="630"/>
      <c r="M1649" s="630"/>
      <c r="N1649" s="630"/>
      <c r="O1649" s="630"/>
      <c r="P1649" s="630"/>
      <c r="Q1649" s="630"/>
      <c r="R1649" s="630"/>
      <c r="S1649" s="630" t="s">
        <v>647</v>
      </c>
      <c r="T1649" s="630" t="s">
        <v>706</v>
      </c>
      <c r="U1649" s="630" t="s">
        <v>538</v>
      </c>
      <c r="V1649" s="630">
        <v>2</v>
      </c>
      <c r="W1649" s="630" t="s">
        <v>545</v>
      </c>
      <c r="X1649" s="630" t="s">
        <v>580</v>
      </c>
      <c r="Y1649" s="630" t="s">
        <v>540</v>
      </c>
      <c r="Z1649" s="630">
        <v>0.94211800000000001</v>
      </c>
      <c r="AA1649" s="630">
        <v>1.516195</v>
      </c>
      <c r="AB1649" s="631">
        <v>2443841</v>
      </c>
      <c r="AC1649" s="631">
        <v>66480081</v>
      </c>
      <c r="AD1649" s="631">
        <f t="shared" si="25"/>
        <v>62632080.951558001</v>
      </c>
    </row>
    <row r="1650" spans="2:30" x14ac:dyDescent="0.15">
      <c r="B1650" s="630">
        <v>17197008951</v>
      </c>
      <c r="C1650" s="630">
        <v>17197007172</v>
      </c>
      <c r="D1650" s="630">
        <v>17197007169</v>
      </c>
      <c r="E1650" s="630" t="s">
        <v>533</v>
      </c>
      <c r="F1650" s="630" t="s">
        <v>534</v>
      </c>
      <c r="G1650" s="630" t="s">
        <v>377</v>
      </c>
      <c r="H1650" s="630" t="s">
        <v>381</v>
      </c>
      <c r="I1650" s="630"/>
      <c r="J1650" s="630" t="s">
        <v>382</v>
      </c>
      <c r="K1650" s="630"/>
      <c r="L1650" s="630"/>
      <c r="M1650" s="630"/>
      <c r="N1650" s="630"/>
      <c r="O1650" s="630"/>
      <c r="P1650" s="630"/>
      <c r="Q1650" s="630"/>
      <c r="R1650" s="630"/>
      <c r="S1650" s="630" t="s">
        <v>647</v>
      </c>
      <c r="T1650" s="630"/>
      <c r="U1650" s="630" t="s">
        <v>538</v>
      </c>
      <c r="V1650" s="630">
        <v>2</v>
      </c>
      <c r="W1650" s="630" t="s">
        <v>545</v>
      </c>
      <c r="X1650" s="630" t="s">
        <v>580</v>
      </c>
      <c r="Y1650" s="630" t="s">
        <v>549</v>
      </c>
      <c r="Z1650" s="630">
        <v>0.314635</v>
      </c>
      <c r="AA1650" s="630">
        <v>0.50635699999999995</v>
      </c>
      <c r="AB1650" s="631">
        <v>2441320</v>
      </c>
      <c r="AC1650" s="631">
        <v>45855604</v>
      </c>
      <c r="AD1650" s="631">
        <f t="shared" si="25"/>
        <v>14427777.964539999</v>
      </c>
    </row>
    <row r="1651" spans="2:30" x14ac:dyDescent="0.15">
      <c r="B1651" s="630">
        <v>17197002415</v>
      </c>
      <c r="C1651" s="630">
        <v>17197004803</v>
      </c>
      <c r="D1651" s="630">
        <v>17197001488</v>
      </c>
      <c r="E1651" s="630" t="s">
        <v>533</v>
      </c>
      <c r="F1651" s="630" t="s">
        <v>534</v>
      </c>
      <c r="G1651" s="630" t="s">
        <v>377</v>
      </c>
      <c r="H1651" s="630" t="s">
        <v>381</v>
      </c>
      <c r="I1651" s="630"/>
      <c r="J1651" s="630" t="s">
        <v>382</v>
      </c>
      <c r="K1651" s="630"/>
      <c r="L1651" s="630"/>
      <c r="M1651" s="630"/>
      <c r="N1651" s="630"/>
      <c r="O1651" s="630"/>
      <c r="P1651" s="630"/>
      <c r="Q1651" s="630"/>
      <c r="R1651" s="630"/>
      <c r="S1651" s="630" t="s">
        <v>647</v>
      </c>
      <c r="T1651" s="630"/>
      <c r="U1651" s="630" t="s">
        <v>538</v>
      </c>
      <c r="V1651" s="630">
        <v>2</v>
      </c>
      <c r="W1651" s="630" t="s">
        <v>545</v>
      </c>
      <c r="X1651" s="630" t="s">
        <v>580</v>
      </c>
      <c r="Y1651" s="630" t="s">
        <v>554</v>
      </c>
      <c r="Z1651" s="630">
        <v>0.153472</v>
      </c>
      <c r="AA1651" s="630">
        <v>0.24698999999999999</v>
      </c>
      <c r="AB1651" s="631">
        <v>1921738</v>
      </c>
      <c r="AC1651" s="631">
        <v>39085430</v>
      </c>
      <c r="AD1651" s="631">
        <f t="shared" si="25"/>
        <v>5998519.1129599996</v>
      </c>
    </row>
    <row r="1652" spans="2:30" x14ac:dyDescent="0.15">
      <c r="B1652" s="630">
        <v>17031003307</v>
      </c>
      <c r="C1652" s="630">
        <v>17031000771</v>
      </c>
      <c r="D1652" s="630">
        <v>17031000742</v>
      </c>
      <c r="E1652" s="630" t="s">
        <v>533</v>
      </c>
      <c r="F1652" s="630" t="s">
        <v>534</v>
      </c>
      <c r="G1652" s="630" t="s">
        <v>365</v>
      </c>
      <c r="H1652" s="630" t="s">
        <v>381</v>
      </c>
      <c r="I1652" s="630"/>
      <c r="J1652" s="630" t="s">
        <v>382</v>
      </c>
      <c r="K1652" s="630"/>
      <c r="L1652" s="630"/>
      <c r="M1652" s="630"/>
      <c r="N1652" s="630"/>
      <c r="O1652" s="630"/>
      <c r="P1652" s="630"/>
      <c r="Q1652" s="630"/>
      <c r="R1652" s="630"/>
      <c r="S1652" s="630" t="s">
        <v>647</v>
      </c>
      <c r="T1652" s="630"/>
      <c r="U1652" s="630" t="s">
        <v>538</v>
      </c>
      <c r="V1652" s="630">
        <v>2</v>
      </c>
      <c r="W1652" s="630" t="s">
        <v>545</v>
      </c>
      <c r="X1652" s="630" t="s">
        <v>541</v>
      </c>
      <c r="Y1652" s="630" t="s">
        <v>541</v>
      </c>
      <c r="Z1652" s="630">
        <v>1.2751129999999999</v>
      </c>
      <c r="AA1652" s="630">
        <v>2.0520990000000001</v>
      </c>
      <c r="AB1652" s="631">
        <v>0</v>
      </c>
      <c r="AC1652" s="631">
        <v>0</v>
      </c>
      <c r="AD1652" s="631">
        <f t="shared" si="25"/>
        <v>0</v>
      </c>
    </row>
    <row r="1653" spans="2:30" x14ac:dyDescent="0.15">
      <c r="B1653" s="630">
        <v>17031005693</v>
      </c>
      <c r="C1653" s="630">
        <v>17031000742</v>
      </c>
      <c r="D1653" s="630">
        <v>17031000746</v>
      </c>
      <c r="E1653" s="630" t="s">
        <v>533</v>
      </c>
      <c r="F1653" s="630" t="s">
        <v>534</v>
      </c>
      <c r="G1653" s="630" t="s">
        <v>365</v>
      </c>
      <c r="H1653" s="630" t="s">
        <v>381</v>
      </c>
      <c r="I1653" s="630"/>
      <c r="J1653" s="630" t="s">
        <v>382</v>
      </c>
      <c r="K1653" s="630"/>
      <c r="L1653" s="630"/>
      <c r="M1653" s="630"/>
      <c r="N1653" s="630"/>
      <c r="O1653" s="630"/>
      <c r="P1653" s="630"/>
      <c r="Q1653" s="630"/>
      <c r="R1653" s="630"/>
      <c r="S1653" s="630" t="s">
        <v>647</v>
      </c>
      <c r="T1653" s="630"/>
      <c r="U1653" s="630" t="s">
        <v>538</v>
      </c>
      <c r="V1653" s="630">
        <v>1</v>
      </c>
      <c r="W1653" s="630" t="s">
        <v>545</v>
      </c>
      <c r="X1653" s="630" t="s">
        <v>541</v>
      </c>
      <c r="Y1653" s="630" t="s">
        <v>541</v>
      </c>
      <c r="Z1653" s="630">
        <v>0.28901199999999999</v>
      </c>
      <c r="AA1653" s="630">
        <v>0.46511999999999998</v>
      </c>
      <c r="AB1653" s="631">
        <v>0</v>
      </c>
      <c r="AC1653" s="631">
        <v>0</v>
      </c>
      <c r="AD1653" s="631">
        <f t="shared" si="25"/>
        <v>0</v>
      </c>
    </row>
    <row r="1654" spans="2:30" x14ac:dyDescent="0.15">
      <c r="B1654" s="630">
        <v>17031002383</v>
      </c>
      <c r="C1654" s="630">
        <v>17999021964</v>
      </c>
      <c r="D1654" s="630">
        <v>17031001059</v>
      </c>
      <c r="E1654" s="630" t="s">
        <v>533</v>
      </c>
      <c r="F1654" s="630" t="s">
        <v>534</v>
      </c>
      <c r="G1654" s="630" t="s">
        <v>365</v>
      </c>
      <c r="H1654" s="630" t="s">
        <v>381</v>
      </c>
      <c r="I1654" s="630"/>
      <c r="J1654" s="630" t="s">
        <v>382</v>
      </c>
      <c r="K1654" s="630"/>
      <c r="L1654" s="630"/>
      <c r="M1654" s="630"/>
      <c r="N1654" s="630"/>
      <c r="O1654" s="630"/>
      <c r="P1654" s="630"/>
      <c r="Q1654" s="630"/>
      <c r="R1654" s="630"/>
      <c r="S1654" s="630" t="s">
        <v>647</v>
      </c>
      <c r="T1654" s="630"/>
      <c r="U1654" s="630" t="s">
        <v>538</v>
      </c>
      <c r="V1654" s="630">
        <v>2</v>
      </c>
      <c r="W1654" s="630" t="s">
        <v>545</v>
      </c>
      <c r="X1654" s="630" t="s">
        <v>580</v>
      </c>
      <c r="Y1654" s="630" t="s">
        <v>549</v>
      </c>
      <c r="Z1654" s="630">
        <v>2.0421819999999999</v>
      </c>
      <c r="AA1654" s="630">
        <v>3.2865799999999998</v>
      </c>
      <c r="AB1654" s="631">
        <v>2441228</v>
      </c>
      <c r="AC1654" s="631">
        <v>45862064</v>
      </c>
      <c r="AD1654" s="631">
        <f t="shared" si="25"/>
        <v>93658681.583647996</v>
      </c>
    </row>
    <row r="1655" spans="2:30" x14ac:dyDescent="0.15">
      <c r="B1655" s="630">
        <v>17197003238</v>
      </c>
      <c r="C1655" s="630">
        <v>17197001670</v>
      </c>
      <c r="D1655" s="630">
        <v>17197004810</v>
      </c>
      <c r="E1655" s="630" t="s">
        <v>533</v>
      </c>
      <c r="F1655" s="630" t="s">
        <v>534</v>
      </c>
      <c r="G1655" s="630" t="s">
        <v>377</v>
      </c>
      <c r="H1655" s="630" t="s">
        <v>381</v>
      </c>
      <c r="I1655" s="630"/>
      <c r="J1655" s="630" t="s">
        <v>382</v>
      </c>
      <c r="K1655" s="630"/>
      <c r="L1655" s="630"/>
      <c r="M1655" s="630"/>
      <c r="N1655" s="630"/>
      <c r="O1655" s="630"/>
      <c r="P1655" s="630"/>
      <c r="Q1655" s="630"/>
      <c r="R1655" s="630"/>
      <c r="S1655" s="630" t="s">
        <v>647</v>
      </c>
      <c r="T1655" s="630"/>
      <c r="U1655" s="630" t="s">
        <v>538</v>
      </c>
      <c r="V1655" s="630">
        <v>1</v>
      </c>
      <c r="W1655" s="630" t="s">
        <v>582</v>
      </c>
      <c r="X1655" s="630" t="s">
        <v>580</v>
      </c>
      <c r="Y1655" s="630" t="s">
        <v>549</v>
      </c>
      <c r="Z1655" s="630">
        <v>1.7368859999999999</v>
      </c>
      <c r="AA1655" s="630">
        <v>2.7952530000000002</v>
      </c>
      <c r="AB1655" s="631">
        <v>2397650</v>
      </c>
      <c r="AC1655" s="631">
        <v>46534722</v>
      </c>
      <c r="AD1655" s="631">
        <f t="shared" si="25"/>
        <v>80825507.155691996</v>
      </c>
    </row>
    <row r="1656" spans="2:30" x14ac:dyDescent="0.15">
      <c r="B1656" s="630">
        <v>17197004220</v>
      </c>
      <c r="C1656" s="630">
        <v>17197004810</v>
      </c>
      <c r="D1656" s="630">
        <v>17197001632</v>
      </c>
      <c r="E1656" s="630" t="s">
        <v>533</v>
      </c>
      <c r="F1656" s="630" t="s">
        <v>534</v>
      </c>
      <c r="G1656" s="630" t="s">
        <v>377</v>
      </c>
      <c r="H1656" s="630" t="s">
        <v>381</v>
      </c>
      <c r="I1656" s="630"/>
      <c r="J1656" s="630" t="s">
        <v>382</v>
      </c>
      <c r="K1656" s="630"/>
      <c r="L1656" s="630"/>
      <c r="M1656" s="630"/>
      <c r="N1656" s="630"/>
      <c r="O1656" s="630"/>
      <c r="P1656" s="630"/>
      <c r="Q1656" s="630"/>
      <c r="R1656" s="630"/>
      <c r="S1656" s="630" t="s">
        <v>647</v>
      </c>
      <c r="T1656" s="630"/>
      <c r="U1656" s="630" t="s">
        <v>538</v>
      </c>
      <c r="V1656" s="630">
        <v>1</v>
      </c>
      <c r="W1656" s="630" t="s">
        <v>582</v>
      </c>
      <c r="X1656" s="630" t="s">
        <v>580</v>
      </c>
      <c r="Y1656" s="630" t="s">
        <v>549</v>
      </c>
      <c r="Z1656" s="630">
        <v>1.113877</v>
      </c>
      <c r="AA1656" s="630">
        <v>1.7926139999999999</v>
      </c>
      <c r="AB1656" s="631">
        <v>2402370</v>
      </c>
      <c r="AC1656" s="631">
        <v>46960902</v>
      </c>
      <c r="AD1656" s="631">
        <f t="shared" si="25"/>
        <v>52308668.637054004</v>
      </c>
    </row>
    <row r="1657" spans="2:30" x14ac:dyDescent="0.15">
      <c r="B1657" s="630">
        <v>17197006549</v>
      </c>
      <c r="C1657" s="630">
        <v>17197004811</v>
      </c>
      <c r="D1657" s="630">
        <v>17197004510</v>
      </c>
      <c r="E1657" s="630" t="s">
        <v>533</v>
      </c>
      <c r="F1657" s="630" t="s">
        <v>534</v>
      </c>
      <c r="G1657" s="630" t="s">
        <v>377</v>
      </c>
      <c r="H1657" s="630" t="s">
        <v>381</v>
      </c>
      <c r="I1657" s="630"/>
      <c r="J1657" s="630" t="s">
        <v>382</v>
      </c>
      <c r="K1657" s="630"/>
      <c r="L1657" s="630"/>
      <c r="M1657" s="630"/>
      <c r="N1657" s="630"/>
      <c r="O1657" s="630"/>
      <c r="P1657" s="630"/>
      <c r="Q1657" s="630"/>
      <c r="R1657" s="630"/>
      <c r="S1657" s="630" t="s">
        <v>647</v>
      </c>
      <c r="T1657" s="630"/>
      <c r="U1657" s="630" t="s">
        <v>538</v>
      </c>
      <c r="V1657" s="630">
        <v>1</v>
      </c>
      <c r="W1657" s="630" t="s">
        <v>582</v>
      </c>
      <c r="X1657" s="630" t="s">
        <v>580</v>
      </c>
      <c r="Y1657" s="630" t="s">
        <v>549</v>
      </c>
      <c r="Z1657" s="630">
        <v>5.7116E-2</v>
      </c>
      <c r="AA1657" s="630">
        <v>9.1919000000000001E-2</v>
      </c>
      <c r="AB1657" s="631">
        <v>688048</v>
      </c>
      <c r="AC1657" s="631">
        <v>10938968</v>
      </c>
      <c r="AD1657" s="631">
        <f t="shared" si="25"/>
        <v>624790.096288</v>
      </c>
    </row>
    <row r="1658" spans="2:30" x14ac:dyDescent="0.15">
      <c r="B1658" s="630">
        <v>17197002054</v>
      </c>
      <c r="C1658" s="630">
        <v>17999025721</v>
      </c>
      <c r="D1658" s="630">
        <v>17197001702</v>
      </c>
      <c r="E1658" s="630" t="s">
        <v>533</v>
      </c>
      <c r="F1658" s="630" t="s">
        <v>534</v>
      </c>
      <c r="G1658" s="630" t="s">
        <v>377</v>
      </c>
      <c r="H1658" s="630" t="s">
        <v>381</v>
      </c>
      <c r="I1658" s="630"/>
      <c r="J1658" s="630" t="s">
        <v>382</v>
      </c>
      <c r="K1658" s="630"/>
      <c r="L1658" s="630"/>
      <c r="M1658" s="630"/>
      <c r="N1658" s="630"/>
      <c r="O1658" s="630"/>
      <c r="P1658" s="630"/>
      <c r="Q1658" s="630"/>
      <c r="R1658" s="630"/>
      <c r="S1658" s="630" t="s">
        <v>647</v>
      </c>
      <c r="T1658" s="630"/>
      <c r="U1658" s="630" t="s">
        <v>538</v>
      </c>
      <c r="V1658" s="630">
        <v>1</v>
      </c>
      <c r="W1658" s="630" t="s">
        <v>582</v>
      </c>
      <c r="X1658" s="630" t="s">
        <v>580</v>
      </c>
      <c r="Y1658" s="630" t="s">
        <v>549</v>
      </c>
      <c r="Z1658" s="630">
        <v>2.1939679999999999</v>
      </c>
      <c r="AA1658" s="630">
        <v>3.530856</v>
      </c>
      <c r="AB1658" s="631">
        <v>2394146</v>
      </c>
      <c r="AC1658" s="631">
        <v>46249954</v>
      </c>
      <c r="AD1658" s="631">
        <f t="shared" si="25"/>
        <v>101470919.077472</v>
      </c>
    </row>
    <row r="1659" spans="2:30" x14ac:dyDescent="0.15">
      <c r="B1659" s="630">
        <v>17031004060</v>
      </c>
      <c r="C1659" s="630">
        <v>17031000868</v>
      </c>
      <c r="D1659" s="630">
        <v>17031000864</v>
      </c>
      <c r="E1659" s="630" t="s">
        <v>533</v>
      </c>
      <c r="F1659" s="630" t="s">
        <v>534</v>
      </c>
      <c r="G1659" s="630" t="s">
        <v>365</v>
      </c>
      <c r="H1659" s="630" t="s">
        <v>381</v>
      </c>
      <c r="I1659" s="630"/>
      <c r="J1659" s="630" t="s">
        <v>382</v>
      </c>
      <c r="K1659" s="630"/>
      <c r="L1659" s="630"/>
      <c r="M1659" s="630"/>
      <c r="N1659" s="630"/>
      <c r="O1659" s="630"/>
      <c r="P1659" s="630"/>
      <c r="Q1659" s="630"/>
      <c r="R1659" s="630"/>
      <c r="S1659" s="630" t="s">
        <v>647</v>
      </c>
      <c r="T1659" s="630"/>
      <c r="U1659" s="630" t="s">
        <v>538</v>
      </c>
      <c r="V1659" s="630">
        <v>2</v>
      </c>
      <c r="W1659" s="630" t="s">
        <v>545</v>
      </c>
      <c r="X1659" s="630" t="s">
        <v>580</v>
      </c>
      <c r="Y1659" s="630" t="s">
        <v>549</v>
      </c>
      <c r="Z1659" s="630">
        <v>0.20927000000000001</v>
      </c>
      <c r="AA1659" s="630">
        <v>0.33678900000000001</v>
      </c>
      <c r="AB1659" s="631">
        <v>1579340</v>
      </c>
      <c r="AC1659" s="631">
        <v>29900942</v>
      </c>
      <c r="AD1659" s="631">
        <f t="shared" si="25"/>
        <v>6257370.13234</v>
      </c>
    </row>
    <row r="1660" spans="2:30" x14ac:dyDescent="0.15">
      <c r="B1660" s="630">
        <v>17031001939</v>
      </c>
      <c r="C1660" s="630">
        <v>17031004666</v>
      </c>
      <c r="D1660" s="630">
        <v>17031000809</v>
      </c>
      <c r="E1660" s="630" t="s">
        <v>533</v>
      </c>
      <c r="F1660" s="630" t="s">
        <v>534</v>
      </c>
      <c r="G1660" s="630" t="s">
        <v>365</v>
      </c>
      <c r="H1660" s="630" t="s">
        <v>381</v>
      </c>
      <c r="I1660" s="630"/>
      <c r="J1660" s="630" t="s">
        <v>382</v>
      </c>
      <c r="K1660" s="630"/>
      <c r="L1660" s="630"/>
      <c r="M1660" s="630"/>
      <c r="N1660" s="630"/>
      <c r="O1660" s="630"/>
      <c r="P1660" s="630"/>
      <c r="Q1660" s="630"/>
      <c r="R1660" s="630"/>
      <c r="S1660" s="630" t="s">
        <v>647</v>
      </c>
      <c r="T1660" s="630"/>
      <c r="U1660" s="630" t="s">
        <v>538</v>
      </c>
      <c r="V1660" s="630">
        <v>2</v>
      </c>
      <c r="W1660" s="630" t="s">
        <v>545</v>
      </c>
      <c r="X1660" s="630" t="s">
        <v>580</v>
      </c>
      <c r="Y1660" s="630" t="s">
        <v>540</v>
      </c>
      <c r="Z1660" s="630">
        <v>3.0724800000000001</v>
      </c>
      <c r="AA1660" s="630">
        <v>4.9446859999999999</v>
      </c>
      <c r="AB1660" s="631">
        <v>1579340</v>
      </c>
      <c r="AC1660" s="631">
        <v>29900942</v>
      </c>
      <c r="AD1660" s="631">
        <f t="shared" si="25"/>
        <v>91870046.276160002</v>
      </c>
    </row>
    <row r="1661" spans="2:30" x14ac:dyDescent="0.15">
      <c r="B1661" s="630">
        <v>17043003488</v>
      </c>
      <c r="C1661" s="630">
        <v>17999022248</v>
      </c>
      <c r="D1661" s="630">
        <v>17043001186</v>
      </c>
      <c r="E1661" s="630" t="s">
        <v>533</v>
      </c>
      <c r="F1661" s="630" t="s">
        <v>534</v>
      </c>
      <c r="G1661" s="630" t="s">
        <v>367</v>
      </c>
      <c r="H1661" s="630" t="s">
        <v>381</v>
      </c>
      <c r="I1661" s="630"/>
      <c r="J1661" s="630" t="s">
        <v>382</v>
      </c>
      <c r="K1661" s="630"/>
      <c r="L1661" s="630"/>
      <c r="M1661" s="630"/>
      <c r="N1661" s="630"/>
      <c r="O1661" s="630"/>
      <c r="P1661" s="630"/>
      <c r="Q1661" s="630"/>
      <c r="R1661" s="630"/>
      <c r="S1661" s="630" t="s">
        <v>647</v>
      </c>
      <c r="T1661" s="630"/>
      <c r="U1661" s="630" t="s">
        <v>538</v>
      </c>
      <c r="V1661" s="630">
        <v>2</v>
      </c>
      <c r="W1661" s="630" t="s">
        <v>545</v>
      </c>
      <c r="X1661" s="630" t="s">
        <v>580</v>
      </c>
      <c r="Y1661" s="630" t="s">
        <v>549</v>
      </c>
      <c r="Z1661" s="630">
        <v>1.4564410000000001</v>
      </c>
      <c r="AA1661" s="630">
        <v>2.3439190000000001</v>
      </c>
      <c r="AB1661" s="631">
        <v>2443028</v>
      </c>
      <c r="AC1661" s="631">
        <v>45998824</v>
      </c>
      <c r="AD1661" s="631">
        <f t="shared" si="25"/>
        <v>66994573.225384004</v>
      </c>
    </row>
    <row r="1662" spans="2:30" x14ac:dyDescent="0.15">
      <c r="B1662" s="630">
        <v>17197008238</v>
      </c>
      <c r="C1662" s="630">
        <v>17197001467</v>
      </c>
      <c r="D1662" s="630">
        <v>17197006595</v>
      </c>
      <c r="E1662" s="630" t="s">
        <v>533</v>
      </c>
      <c r="F1662" s="630" t="s">
        <v>534</v>
      </c>
      <c r="G1662" s="630" t="s">
        <v>377</v>
      </c>
      <c r="H1662" s="630" t="s">
        <v>381</v>
      </c>
      <c r="I1662" s="630"/>
      <c r="J1662" s="630" t="s">
        <v>382</v>
      </c>
      <c r="K1662" s="630"/>
      <c r="L1662" s="630"/>
      <c r="M1662" s="630"/>
      <c r="N1662" s="630"/>
      <c r="O1662" s="630"/>
      <c r="P1662" s="630"/>
      <c r="Q1662" s="630"/>
      <c r="R1662" s="630"/>
      <c r="S1662" s="630" t="s">
        <v>647</v>
      </c>
      <c r="T1662" s="630" t="s">
        <v>705</v>
      </c>
      <c r="U1662" s="630" t="s">
        <v>538</v>
      </c>
      <c r="V1662" s="630">
        <v>2</v>
      </c>
      <c r="W1662" s="630" t="s">
        <v>545</v>
      </c>
      <c r="X1662" s="630" t="s">
        <v>580</v>
      </c>
      <c r="Y1662" s="630" t="s">
        <v>540</v>
      </c>
      <c r="Z1662" s="630">
        <v>9.8602999999999996E-2</v>
      </c>
      <c r="AA1662" s="630">
        <v>0.15868599999999999</v>
      </c>
      <c r="AB1662" s="631">
        <v>2445098</v>
      </c>
      <c r="AC1662" s="631">
        <v>46300670</v>
      </c>
      <c r="AD1662" s="631">
        <f t="shared" si="25"/>
        <v>4565384.9640100002</v>
      </c>
    </row>
    <row r="1663" spans="2:30" x14ac:dyDescent="0.15">
      <c r="B1663" s="630">
        <v>17197008952</v>
      </c>
      <c r="C1663" s="630">
        <v>17197007173</v>
      </c>
      <c r="D1663" s="630">
        <v>17197007172</v>
      </c>
      <c r="E1663" s="630" t="s">
        <v>533</v>
      </c>
      <c r="F1663" s="630" t="s">
        <v>534</v>
      </c>
      <c r="G1663" s="630" t="s">
        <v>377</v>
      </c>
      <c r="H1663" s="630" t="s">
        <v>381</v>
      </c>
      <c r="I1663" s="630"/>
      <c r="J1663" s="630" t="s">
        <v>382</v>
      </c>
      <c r="K1663" s="630"/>
      <c r="L1663" s="630"/>
      <c r="M1663" s="630"/>
      <c r="N1663" s="630"/>
      <c r="O1663" s="630"/>
      <c r="P1663" s="630"/>
      <c r="Q1663" s="630"/>
      <c r="R1663" s="630"/>
      <c r="S1663" s="630" t="s">
        <v>647</v>
      </c>
      <c r="T1663" s="630"/>
      <c r="U1663" s="630" t="s">
        <v>538</v>
      </c>
      <c r="V1663" s="630">
        <v>2</v>
      </c>
      <c r="W1663" s="630" t="s">
        <v>545</v>
      </c>
      <c r="X1663" s="630" t="s">
        <v>580</v>
      </c>
      <c r="Y1663" s="630" t="s">
        <v>549</v>
      </c>
      <c r="Z1663" s="630">
        <v>0.13239400000000001</v>
      </c>
      <c r="AA1663" s="630">
        <v>0.21306900000000001</v>
      </c>
      <c r="AB1663" s="631">
        <v>2441320</v>
      </c>
      <c r="AC1663" s="631">
        <v>45855604</v>
      </c>
      <c r="AD1663" s="631">
        <f t="shared" si="25"/>
        <v>6071006.8359760009</v>
      </c>
    </row>
    <row r="1664" spans="2:30" x14ac:dyDescent="0.15">
      <c r="B1664" s="630">
        <v>17197002274</v>
      </c>
      <c r="C1664" s="630">
        <v>17197004807</v>
      </c>
      <c r="D1664" s="630">
        <v>17197001488</v>
      </c>
      <c r="E1664" s="630" t="s">
        <v>533</v>
      </c>
      <c r="F1664" s="630" t="s">
        <v>534</v>
      </c>
      <c r="G1664" s="630" t="s">
        <v>377</v>
      </c>
      <c r="H1664" s="630" t="s">
        <v>381</v>
      </c>
      <c r="I1664" s="630"/>
      <c r="J1664" s="630" t="s">
        <v>382</v>
      </c>
      <c r="K1664" s="630"/>
      <c r="L1664" s="630"/>
      <c r="M1664" s="630"/>
      <c r="N1664" s="630"/>
      <c r="O1664" s="630"/>
      <c r="P1664" s="630"/>
      <c r="Q1664" s="630"/>
      <c r="R1664" s="630"/>
      <c r="S1664" s="630" t="s">
        <v>647</v>
      </c>
      <c r="T1664" s="630"/>
      <c r="U1664" s="630" t="s">
        <v>538</v>
      </c>
      <c r="V1664" s="630">
        <v>2</v>
      </c>
      <c r="W1664" s="630" t="s">
        <v>545</v>
      </c>
      <c r="X1664" s="630" t="s">
        <v>580</v>
      </c>
      <c r="Y1664" s="630" t="s">
        <v>549</v>
      </c>
      <c r="Z1664" s="630">
        <v>3.387667</v>
      </c>
      <c r="AA1664" s="630">
        <v>5.4519330000000004</v>
      </c>
      <c r="AB1664" s="631">
        <v>1921738</v>
      </c>
      <c r="AC1664" s="631">
        <v>39085430</v>
      </c>
      <c r="AD1664" s="631">
        <f t="shared" si="25"/>
        <v>132408421.39181</v>
      </c>
    </row>
    <row r="1665" spans="2:30" x14ac:dyDescent="0.15">
      <c r="B1665" s="630">
        <v>17197004122</v>
      </c>
      <c r="C1665" s="630">
        <v>17197004809</v>
      </c>
      <c r="D1665" s="630">
        <v>17197001588</v>
      </c>
      <c r="E1665" s="630" t="s">
        <v>533</v>
      </c>
      <c r="F1665" s="630" t="s">
        <v>534</v>
      </c>
      <c r="G1665" s="630" t="s">
        <v>377</v>
      </c>
      <c r="H1665" s="630" t="s">
        <v>381</v>
      </c>
      <c r="I1665" s="630"/>
      <c r="J1665" s="630" t="s">
        <v>535</v>
      </c>
      <c r="K1665" s="630" t="s">
        <v>382</v>
      </c>
      <c r="L1665" s="630"/>
      <c r="M1665" s="630"/>
      <c r="N1665" s="630"/>
      <c r="O1665" s="630"/>
      <c r="P1665" s="630"/>
      <c r="Q1665" s="630"/>
      <c r="R1665" s="630"/>
      <c r="S1665" s="630" t="s">
        <v>647</v>
      </c>
      <c r="T1665" s="630"/>
      <c r="U1665" s="630" t="s">
        <v>538</v>
      </c>
      <c r="V1665" s="630">
        <v>1</v>
      </c>
      <c r="W1665" s="630" t="s">
        <v>545</v>
      </c>
      <c r="X1665" s="630" t="s">
        <v>580</v>
      </c>
      <c r="Y1665" s="630" t="s">
        <v>549</v>
      </c>
      <c r="Z1665" s="630">
        <v>3.5950519999999999</v>
      </c>
      <c r="AA1665" s="630">
        <v>5.7856880000000004</v>
      </c>
      <c r="AB1665" s="631">
        <v>210328</v>
      </c>
      <c r="AC1665" s="631">
        <v>3331208</v>
      </c>
      <c r="AD1665" s="631">
        <f t="shared" si="25"/>
        <v>11975865.982816</v>
      </c>
    </row>
    <row r="1666" spans="2:30" x14ac:dyDescent="0.15">
      <c r="B1666" s="630">
        <v>17197002266</v>
      </c>
      <c r="C1666" s="630">
        <v>17197001463</v>
      </c>
      <c r="D1666" s="630">
        <v>17197001440</v>
      </c>
      <c r="E1666" s="630" t="s">
        <v>533</v>
      </c>
      <c r="F1666" s="630" t="s">
        <v>534</v>
      </c>
      <c r="G1666" s="630" t="s">
        <v>377</v>
      </c>
      <c r="H1666" s="630" t="s">
        <v>381</v>
      </c>
      <c r="I1666" s="630"/>
      <c r="J1666" s="630" t="s">
        <v>382</v>
      </c>
      <c r="K1666" s="630"/>
      <c r="L1666" s="630"/>
      <c r="M1666" s="630"/>
      <c r="N1666" s="630"/>
      <c r="O1666" s="630"/>
      <c r="P1666" s="630"/>
      <c r="Q1666" s="630"/>
      <c r="R1666" s="630"/>
      <c r="S1666" s="630" t="s">
        <v>647</v>
      </c>
      <c r="T1666" s="630"/>
      <c r="U1666" s="630" t="s">
        <v>538</v>
      </c>
      <c r="V1666" s="630">
        <v>2</v>
      </c>
      <c r="W1666" s="630" t="s">
        <v>545</v>
      </c>
      <c r="X1666" s="630" t="s">
        <v>580</v>
      </c>
      <c r="Y1666" s="630" t="s">
        <v>549</v>
      </c>
      <c r="Z1666" s="630">
        <v>2.8776079999999999</v>
      </c>
      <c r="AA1666" s="630">
        <v>4.6310700000000002</v>
      </c>
      <c r="AB1666" s="631">
        <v>2441360</v>
      </c>
      <c r="AC1666" s="631">
        <v>45859644</v>
      </c>
      <c r="AD1666" s="631">
        <f t="shared" si="25"/>
        <v>131966078.451552</v>
      </c>
    </row>
    <row r="1667" spans="2:30" x14ac:dyDescent="0.15">
      <c r="B1667" s="630">
        <v>17197002280</v>
      </c>
      <c r="C1667" s="630">
        <v>17197004510</v>
      </c>
      <c r="D1667" s="630">
        <v>17197004511</v>
      </c>
      <c r="E1667" s="630" t="s">
        <v>533</v>
      </c>
      <c r="F1667" s="630" t="s">
        <v>534</v>
      </c>
      <c r="G1667" s="630" t="s">
        <v>377</v>
      </c>
      <c r="H1667" s="630" t="s">
        <v>381</v>
      </c>
      <c r="I1667" s="630"/>
      <c r="J1667" s="630" t="s">
        <v>382</v>
      </c>
      <c r="K1667" s="630"/>
      <c r="L1667" s="630"/>
      <c r="M1667" s="630"/>
      <c r="N1667" s="630"/>
      <c r="O1667" s="630"/>
      <c r="P1667" s="630"/>
      <c r="Q1667" s="630"/>
      <c r="R1667" s="630"/>
      <c r="S1667" s="630" t="s">
        <v>647</v>
      </c>
      <c r="T1667" s="630"/>
      <c r="U1667" s="630" t="s">
        <v>538</v>
      </c>
      <c r="V1667" s="630">
        <v>1</v>
      </c>
      <c r="W1667" s="630" t="s">
        <v>582</v>
      </c>
      <c r="X1667" s="630" t="s">
        <v>580</v>
      </c>
      <c r="Y1667" s="630" t="s">
        <v>549</v>
      </c>
      <c r="Z1667" s="630">
        <v>0.61973299999999998</v>
      </c>
      <c r="AA1667" s="630">
        <v>0.99736599999999997</v>
      </c>
      <c r="AB1667" s="631">
        <v>1688</v>
      </c>
      <c r="AC1667" s="631">
        <v>144448</v>
      </c>
      <c r="AD1667" s="631">
        <f t="shared" si="25"/>
        <v>89519.192383999994</v>
      </c>
    </row>
    <row r="1668" spans="2:30" x14ac:dyDescent="0.15">
      <c r="B1668" s="630">
        <v>17031002575</v>
      </c>
      <c r="C1668" s="630">
        <v>17031006962</v>
      </c>
      <c r="D1668" s="630">
        <v>17031006970</v>
      </c>
      <c r="E1668" s="630" t="s">
        <v>533</v>
      </c>
      <c r="F1668" s="630" t="s">
        <v>534</v>
      </c>
      <c r="G1668" s="630" t="s">
        <v>365</v>
      </c>
      <c r="H1668" s="630" t="s">
        <v>381</v>
      </c>
      <c r="I1668" s="630"/>
      <c r="J1668" s="630" t="s">
        <v>535</v>
      </c>
      <c r="K1668" s="630" t="s">
        <v>543</v>
      </c>
      <c r="L1668" s="630" t="s">
        <v>382</v>
      </c>
      <c r="M1668" s="630"/>
      <c r="N1668" s="630"/>
      <c r="O1668" s="630"/>
      <c r="P1668" s="630"/>
      <c r="Q1668" s="630"/>
      <c r="R1668" s="630"/>
      <c r="S1668" s="630" t="s">
        <v>647</v>
      </c>
      <c r="T1668" s="630" t="s">
        <v>668</v>
      </c>
      <c r="U1668" s="630" t="s">
        <v>538</v>
      </c>
      <c r="V1668" s="630">
        <v>2</v>
      </c>
      <c r="W1668" s="630" t="s">
        <v>539</v>
      </c>
      <c r="X1668" s="630" t="s">
        <v>580</v>
      </c>
      <c r="Y1668" s="630" t="s">
        <v>541</v>
      </c>
      <c r="Z1668" s="630">
        <v>0.97503700000000004</v>
      </c>
      <c r="AA1668" s="630">
        <v>1.5691729999999999</v>
      </c>
      <c r="AB1668" s="631">
        <v>63280</v>
      </c>
      <c r="AC1668" s="631">
        <v>3022040</v>
      </c>
      <c r="AD1668" s="631">
        <f t="shared" si="25"/>
        <v>2946600.8154800003</v>
      </c>
    </row>
    <row r="1669" spans="2:30" x14ac:dyDescent="0.15">
      <c r="B1669" s="630">
        <v>17031008459</v>
      </c>
      <c r="C1669" s="630">
        <v>17031006970</v>
      </c>
      <c r="D1669" s="630">
        <v>17031004678</v>
      </c>
      <c r="E1669" s="630" t="s">
        <v>533</v>
      </c>
      <c r="F1669" s="630" t="s">
        <v>534</v>
      </c>
      <c r="G1669" s="630" t="s">
        <v>365</v>
      </c>
      <c r="H1669" s="630" t="s">
        <v>381</v>
      </c>
      <c r="I1669" s="630"/>
      <c r="J1669" s="630" t="s">
        <v>535</v>
      </c>
      <c r="K1669" s="630" t="s">
        <v>543</v>
      </c>
      <c r="L1669" s="630" t="s">
        <v>382</v>
      </c>
      <c r="M1669" s="630"/>
      <c r="N1669" s="630"/>
      <c r="O1669" s="630"/>
      <c r="P1669" s="630"/>
      <c r="Q1669" s="630"/>
      <c r="R1669" s="630"/>
      <c r="S1669" s="630" t="s">
        <v>647</v>
      </c>
      <c r="T1669" s="630" t="s">
        <v>668</v>
      </c>
      <c r="U1669" s="630" t="s">
        <v>538</v>
      </c>
      <c r="V1669" s="630">
        <v>2</v>
      </c>
      <c r="W1669" s="630" t="s">
        <v>539</v>
      </c>
      <c r="X1669" s="630" t="s">
        <v>580</v>
      </c>
      <c r="Y1669" s="630" t="s">
        <v>541</v>
      </c>
      <c r="Z1669" s="630">
        <v>5.6672E-2</v>
      </c>
      <c r="AA1669" s="630">
        <v>9.1205999999999995E-2</v>
      </c>
      <c r="AB1669" s="631">
        <v>63280</v>
      </c>
      <c r="AC1669" s="631">
        <v>3022040</v>
      </c>
      <c r="AD1669" s="631">
        <f t="shared" si="25"/>
        <v>171265.05088</v>
      </c>
    </row>
    <row r="1670" spans="2:30" x14ac:dyDescent="0.15">
      <c r="B1670" s="630">
        <v>17031008451</v>
      </c>
      <c r="C1670" s="630">
        <v>17031000832</v>
      </c>
      <c r="D1670" s="630">
        <v>17031006962</v>
      </c>
      <c r="E1670" s="630" t="s">
        <v>533</v>
      </c>
      <c r="F1670" s="630" t="s">
        <v>534</v>
      </c>
      <c r="G1670" s="630" t="s">
        <v>365</v>
      </c>
      <c r="H1670" s="630" t="s">
        <v>381</v>
      </c>
      <c r="I1670" s="630"/>
      <c r="J1670" s="630" t="s">
        <v>535</v>
      </c>
      <c r="K1670" s="630" t="s">
        <v>543</v>
      </c>
      <c r="L1670" s="630" t="s">
        <v>382</v>
      </c>
      <c r="M1670" s="630"/>
      <c r="N1670" s="630"/>
      <c r="O1670" s="630"/>
      <c r="P1670" s="630"/>
      <c r="Q1670" s="630"/>
      <c r="R1670" s="630"/>
      <c r="S1670" s="630" t="s">
        <v>647</v>
      </c>
      <c r="T1670" s="630" t="s">
        <v>668</v>
      </c>
      <c r="U1670" s="630" t="s">
        <v>538</v>
      </c>
      <c r="V1670" s="630">
        <v>2</v>
      </c>
      <c r="W1670" s="630" t="s">
        <v>539</v>
      </c>
      <c r="X1670" s="630" t="s">
        <v>580</v>
      </c>
      <c r="Y1670" s="630" t="s">
        <v>541</v>
      </c>
      <c r="Z1670" s="630">
        <v>4.1102E-2</v>
      </c>
      <c r="AA1670" s="630">
        <v>6.6147999999999998E-2</v>
      </c>
      <c r="AB1670" s="631">
        <v>63280</v>
      </c>
      <c r="AC1670" s="631">
        <v>3022040</v>
      </c>
      <c r="AD1670" s="631">
        <f>AC1670*Z1670</f>
        <v>124211.88808</v>
      </c>
    </row>
    <row r="1672" spans="2:30" x14ac:dyDescent="0.15">
      <c r="AC1672" s="611">
        <f>SUM(AC6:AC1670)</f>
        <v>18989929205</v>
      </c>
      <c r="AD1672" s="611">
        <f>SUM(AD6:AD1671)</f>
        <v>17319987263.456192</v>
      </c>
    </row>
    <row r="1673" spans="2:30" x14ac:dyDescent="0.15">
      <c r="AC1673" s="287">
        <f>AC1672/10^6</f>
        <v>18989.929205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tabColor theme="8" tint="0.59999389629810485"/>
  </sheetPr>
  <dimension ref="A1:AE1674"/>
  <sheetViews>
    <sheetView zoomScale="80" zoomScaleNormal="80" workbookViewId="0">
      <selection activeCell="B3" sqref="B3"/>
    </sheetView>
  </sheetViews>
  <sheetFormatPr baseColWidth="10" defaultColWidth="8.83203125" defaultRowHeight="14" x14ac:dyDescent="0.15"/>
  <cols>
    <col min="1" max="1" width="3.33203125" customWidth="1"/>
    <col min="2" max="2" width="14" customWidth="1"/>
    <col min="3" max="4" width="13.1640625" bestFit="1" customWidth="1"/>
    <col min="5" max="5" width="5.1640625" bestFit="1" customWidth="1"/>
    <col min="6" max="7" width="5.6640625" bestFit="1" customWidth="1"/>
    <col min="8" max="9" width="8.83203125" bestFit="1" customWidth="1"/>
    <col min="10" max="15" width="6.83203125" bestFit="1" customWidth="1"/>
    <col min="16" max="16" width="5.6640625" bestFit="1" customWidth="1"/>
    <col min="17" max="18" width="6.83203125" bestFit="1" customWidth="1"/>
    <col min="19" max="20" width="18.33203125" customWidth="1"/>
    <col min="21" max="23" width="6.1640625" bestFit="1" customWidth="1"/>
    <col min="24" max="24" width="7.6640625" bestFit="1" customWidth="1"/>
    <col min="25" max="25" width="11.83203125" bestFit="1" customWidth="1"/>
    <col min="26" max="26" width="16.1640625" bestFit="1" customWidth="1"/>
    <col min="27" max="27" width="10.6640625" bestFit="1" customWidth="1"/>
    <col min="28" max="28" width="7" bestFit="1" customWidth="1"/>
    <col min="29" max="29" width="7.33203125" bestFit="1" customWidth="1"/>
    <col min="30" max="30" width="21.6640625" customWidth="1"/>
  </cols>
  <sheetData>
    <row r="1" spans="1:31" s="79" customFormat="1" ht="18" x14ac:dyDescent="0.2">
      <c r="A1" s="76" t="s">
        <v>707</v>
      </c>
      <c r="B1" s="77"/>
      <c r="C1" s="78"/>
      <c r="D1" s="77"/>
      <c r="E1" s="77"/>
      <c r="F1" s="77"/>
      <c r="G1" s="77"/>
      <c r="H1" s="77"/>
      <c r="I1" s="77"/>
      <c r="J1" s="77"/>
      <c r="K1" s="77"/>
      <c r="L1" s="77"/>
      <c r="M1" s="77"/>
      <c r="N1" s="77"/>
    </row>
    <row r="2" spans="1:31" ht="18" x14ac:dyDescent="0.2">
      <c r="A2" s="218"/>
      <c r="B2" s="32"/>
      <c r="C2" s="219"/>
      <c r="D2" s="32"/>
      <c r="E2" s="32"/>
      <c r="F2" s="32"/>
      <c r="G2" s="32"/>
      <c r="H2" s="32"/>
      <c r="I2" s="32"/>
      <c r="J2" s="32"/>
      <c r="K2" s="32"/>
      <c r="L2" s="32"/>
      <c r="M2" s="32"/>
      <c r="N2" s="32"/>
    </row>
    <row r="3" spans="1:31" ht="18" x14ac:dyDescent="0.2">
      <c r="A3" s="218"/>
      <c r="B3" s="220" t="s">
        <v>708</v>
      </c>
      <c r="C3" s="219"/>
      <c r="D3" s="32"/>
      <c r="E3" s="32"/>
      <c r="F3" s="32"/>
      <c r="G3" s="32"/>
      <c r="H3" s="32"/>
      <c r="I3" s="32"/>
      <c r="J3" s="32"/>
      <c r="K3" s="32"/>
      <c r="L3" s="32"/>
      <c r="M3" s="32"/>
      <c r="N3" s="32"/>
    </row>
    <row r="5" spans="1:31" s="66" customFormat="1" x14ac:dyDescent="0.15">
      <c r="B5" s="215" t="s">
        <v>504</v>
      </c>
      <c r="C5" s="215" t="s">
        <v>505</v>
      </c>
      <c r="D5" s="215" t="s">
        <v>506</v>
      </c>
      <c r="E5" s="215" t="s">
        <v>507</v>
      </c>
      <c r="F5" s="215" t="s">
        <v>508</v>
      </c>
      <c r="G5" s="215" t="s">
        <v>509</v>
      </c>
      <c r="H5" s="215" t="s">
        <v>510</v>
      </c>
      <c r="I5" s="215" t="s">
        <v>511</v>
      </c>
      <c r="J5" s="215" t="s">
        <v>512</v>
      </c>
      <c r="K5" s="215" t="s">
        <v>513</v>
      </c>
      <c r="L5" s="215" t="s">
        <v>514</v>
      </c>
      <c r="M5" s="215" t="s">
        <v>515</v>
      </c>
      <c r="N5" s="215" t="s">
        <v>516</v>
      </c>
      <c r="O5" s="215" t="s">
        <v>517</v>
      </c>
      <c r="P5" s="215" t="s">
        <v>518</v>
      </c>
      <c r="Q5" s="215" t="s">
        <v>519</v>
      </c>
      <c r="R5" s="215" t="s">
        <v>520</v>
      </c>
      <c r="S5" s="215" t="s">
        <v>521</v>
      </c>
      <c r="T5" s="215" t="s">
        <v>522</v>
      </c>
      <c r="U5" s="215" t="s">
        <v>523</v>
      </c>
      <c r="V5" s="215" t="s">
        <v>524</v>
      </c>
      <c r="W5" s="215" t="s">
        <v>525</v>
      </c>
      <c r="X5" s="215" t="s">
        <v>527</v>
      </c>
      <c r="Y5" s="215" t="s">
        <v>709</v>
      </c>
      <c r="Z5" s="215" t="s">
        <v>710</v>
      </c>
      <c r="AA5" s="215" t="s">
        <v>711</v>
      </c>
      <c r="AB5" s="216" t="s">
        <v>528</v>
      </c>
      <c r="AC5" s="216" t="s">
        <v>529</v>
      </c>
      <c r="AD5" s="216" t="s">
        <v>712</v>
      </c>
      <c r="AE5"/>
    </row>
    <row r="6" spans="1:31" s="66" customFormat="1" x14ac:dyDescent="0.15">
      <c r="B6" s="213">
        <v>17031000053</v>
      </c>
      <c r="C6" s="213">
        <v>17031001428</v>
      </c>
      <c r="D6" s="213">
        <v>17031001429</v>
      </c>
      <c r="E6" s="213" t="s">
        <v>533</v>
      </c>
      <c r="F6" s="213" t="s">
        <v>534</v>
      </c>
      <c r="G6" s="213" t="s">
        <v>365</v>
      </c>
      <c r="H6" s="213" t="s">
        <v>382</v>
      </c>
      <c r="I6" s="213"/>
      <c r="J6" s="213" t="s">
        <v>551</v>
      </c>
      <c r="K6" s="213" t="s">
        <v>555</v>
      </c>
      <c r="L6" s="213"/>
      <c r="M6" s="213"/>
      <c r="N6" s="213"/>
      <c r="O6" s="213"/>
      <c r="P6" s="213"/>
      <c r="Q6" s="213"/>
      <c r="R6" s="213"/>
      <c r="S6" s="213" t="s">
        <v>556</v>
      </c>
      <c r="T6" s="213"/>
      <c r="U6" s="213" t="s">
        <v>538</v>
      </c>
      <c r="V6" s="213">
        <v>1</v>
      </c>
      <c r="W6" s="213" t="s">
        <v>545</v>
      </c>
      <c r="X6" s="213" t="s">
        <v>540</v>
      </c>
      <c r="Y6" s="213" t="s">
        <v>546</v>
      </c>
      <c r="Z6" s="212">
        <v>1140</v>
      </c>
      <c r="AA6" s="212">
        <v>100804</v>
      </c>
      <c r="AB6" s="217">
        <v>0.31333</v>
      </c>
      <c r="AC6" s="217">
        <v>0.50425699999999996</v>
      </c>
      <c r="AD6" s="212">
        <f t="shared" ref="AD6:AD69" si="0">AA6*AB6</f>
        <v>31584.91732</v>
      </c>
      <c r="AE6"/>
    </row>
    <row r="7" spans="1:31" s="66" customFormat="1" x14ac:dyDescent="0.15">
      <c r="B7" s="213">
        <v>17031001120</v>
      </c>
      <c r="C7" s="213">
        <v>17031000492</v>
      </c>
      <c r="D7" s="213">
        <v>17031000485</v>
      </c>
      <c r="E7" s="213" t="s">
        <v>533</v>
      </c>
      <c r="F7" s="213" t="s">
        <v>534</v>
      </c>
      <c r="G7" s="213" t="s">
        <v>365</v>
      </c>
      <c r="H7" s="213" t="s">
        <v>552</v>
      </c>
      <c r="I7" s="213"/>
      <c r="J7" s="213" t="s">
        <v>563</v>
      </c>
      <c r="K7" s="213"/>
      <c r="L7" s="213"/>
      <c r="M7" s="213"/>
      <c r="N7" s="213"/>
      <c r="O7" s="213"/>
      <c r="P7" s="213"/>
      <c r="Q7" s="213"/>
      <c r="R7" s="213"/>
      <c r="S7" s="213" t="s">
        <v>589</v>
      </c>
      <c r="T7" s="213"/>
      <c r="U7" s="213" t="s">
        <v>538</v>
      </c>
      <c r="V7" s="213">
        <v>1</v>
      </c>
      <c r="W7" s="213" t="s">
        <v>545</v>
      </c>
      <c r="X7" s="213" t="s">
        <v>554</v>
      </c>
      <c r="Y7" s="213" t="s">
        <v>549</v>
      </c>
      <c r="Z7" s="212">
        <v>14496</v>
      </c>
      <c r="AA7" s="212">
        <v>1336836</v>
      </c>
      <c r="AB7" s="217">
        <v>0.16896</v>
      </c>
      <c r="AC7" s="217">
        <v>0.27191500000000002</v>
      </c>
      <c r="AD7" s="212">
        <f t="shared" si="0"/>
        <v>225871.81056000001</v>
      </c>
      <c r="AE7"/>
    </row>
    <row r="8" spans="1:31" s="66" customFormat="1" x14ac:dyDescent="0.15">
      <c r="B8" s="213">
        <v>17031001122</v>
      </c>
      <c r="C8" s="213">
        <v>17031000866</v>
      </c>
      <c r="D8" s="213">
        <v>17031000915</v>
      </c>
      <c r="E8" s="213" t="s">
        <v>533</v>
      </c>
      <c r="F8" s="213" t="s">
        <v>534</v>
      </c>
      <c r="G8" s="213" t="s">
        <v>365</v>
      </c>
      <c r="H8" s="213" t="s">
        <v>571</v>
      </c>
      <c r="I8" s="213"/>
      <c r="J8" s="213" t="s">
        <v>381</v>
      </c>
      <c r="K8" s="213" t="s">
        <v>535</v>
      </c>
      <c r="L8" s="213" t="s">
        <v>552</v>
      </c>
      <c r="M8" s="213" t="s">
        <v>551</v>
      </c>
      <c r="N8" s="213" t="s">
        <v>382</v>
      </c>
      <c r="O8" s="213" t="s">
        <v>563</v>
      </c>
      <c r="P8" s="213" t="s">
        <v>543</v>
      </c>
      <c r="Q8" s="213"/>
      <c r="R8" s="213"/>
      <c r="S8" s="213" t="s">
        <v>573</v>
      </c>
      <c r="T8" s="213"/>
      <c r="U8" s="213" t="s">
        <v>538</v>
      </c>
      <c r="V8" s="213">
        <v>2</v>
      </c>
      <c r="W8" s="213" t="s">
        <v>545</v>
      </c>
      <c r="X8" s="213" t="s">
        <v>554</v>
      </c>
      <c r="Y8" s="213" t="s">
        <v>546</v>
      </c>
      <c r="Z8" s="212">
        <v>54116</v>
      </c>
      <c r="AA8" s="212">
        <v>2928472</v>
      </c>
      <c r="AB8" s="217">
        <v>1.2216050000000001</v>
      </c>
      <c r="AC8" s="217">
        <v>1.9659869999999999</v>
      </c>
      <c r="AD8" s="212">
        <f t="shared" si="0"/>
        <v>3577436.0375600001</v>
      </c>
      <c r="AE8"/>
    </row>
    <row r="9" spans="1:31" s="66" customFormat="1" x14ac:dyDescent="0.15">
      <c r="B9" s="213">
        <v>17031001764</v>
      </c>
      <c r="C9" s="213">
        <v>17031001387</v>
      </c>
      <c r="D9" s="213">
        <v>17031001390</v>
      </c>
      <c r="E9" s="213" t="s">
        <v>533</v>
      </c>
      <c r="F9" s="213" t="s">
        <v>534</v>
      </c>
      <c r="G9" s="213" t="s">
        <v>365</v>
      </c>
      <c r="H9" s="213" t="s">
        <v>557</v>
      </c>
      <c r="I9" s="213"/>
      <c r="J9" s="213"/>
      <c r="K9" s="213"/>
      <c r="L9" s="213"/>
      <c r="M9" s="213"/>
      <c r="N9" s="213"/>
      <c r="O9" s="213"/>
      <c r="P9" s="213"/>
      <c r="Q9" s="213"/>
      <c r="R9" s="213"/>
      <c r="S9" s="213" t="s">
        <v>567</v>
      </c>
      <c r="T9" s="213"/>
      <c r="U9" s="213" t="s">
        <v>559</v>
      </c>
      <c r="V9" s="213">
        <v>1</v>
      </c>
      <c r="W9" s="213" t="s">
        <v>560</v>
      </c>
      <c r="X9" s="213" t="s">
        <v>541</v>
      </c>
      <c r="Y9" s="213" t="s">
        <v>541</v>
      </c>
      <c r="Z9" s="212">
        <v>440</v>
      </c>
      <c r="AA9" s="212">
        <v>41160</v>
      </c>
      <c r="AB9" s="217">
        <v>7.5634000000000007E-2</v>
      </c>
      <c r="AC9" s="217">
        <v>0.121722</v>
      </c>
      <c r="AD9" s="212">
        <f t="shared" si="0"/>
        <v>3113.0954400000001</v>
      </c>
      <c r="AE9"/>
    </row>
    <row r="10" spans="1:31" s="66" customFormat="1" x14ac:dyDescent="0.15">
      <c r="B10" s="213">
        <v>17031001939</v>
      </c>
      <c r="C10" s="213">
        <v>17031004666</v>
      </c>
      <c r="D10" s="213">
        <v>17031000809</v>
      </c>
      <c r="E10" s="213" t="s">
        <v>533</v>
      </c>
      <c r="F10" s="213" t="s">
        <v>534</v>
      </c>
      <c r="G10" s="213" t="s">
        <v>365</v>
      </c>
      <c r="H10" s="213" t="s">
        <v>381</v>
      </c>
      <c r="I10" s="213"/>
      <c r="J10" s="213" t="s">
        <v>382</v>
      </c>
      <c r="K10" s="213"/>
      <c r="L10" s="213"/>
      <c r="M10" s="213"/>
      <c r="N10" s="213"/>
      <c r="O10" s="213"/>
      <c r="P10" s="213"/>
      <c r="Q10" s="213"/>
      <c r="R10" s="213"/>
      <c r="S10" s="213" t="s">
        <v>647</v>
      </c>
      <c r="T10" s="213"/>
      <c r="U10" s="213" t="s">
        <v>538</v>
      </c>
      <c r="V10" s="213">
        <v>2</v>
      </c>
      <c r="W10" s="213" t="s">
        <v>545</v>
      </c>
      <c r="X10" s="213" t="s">
        <v>540</v>
      </c>
      <c r="Y10" s="213" t="s">
        <v>580</v>
      </c>
      <c r="Z10" s="212">
        <v>22516</v>
      </c>
      <c r="AA10" s="212">
        <v>1290368</v>
      </c>
      <c r="AB10" s="217">
        <v>3.0724800000000001</v>
      </c>
      <c r="AC10" s="217">
        <v>4.9446859999999999</v>
      </c>
      <c r="AD10" s="212">
        <f t="shared" si="0"/>
        <v>3964629.8726400002</v>
      </c>
      <c r="AE10"/>
    </row>
    <row r="11" spans="1:31" s="66" customFormat="1" x14ac:dyDescent="0.15">
      <c r="B11" s="213">
        <v>17031001941</v>
      </c>
      <c r="C11" s="213">
        <v>17031007771</v>
      </c>
      <c r="D11" s="213">
        <v>17031000819</v>
      </c>
      <c r="E11" s="213" t="s">
        <v>533</v>
      </c>
      <c r="F11" s="213" t="s">
        <v>534</v>
      </c>
      <c r="G11" s="213" t="s">
        <v>365</v>
      </c>
      <c r="H11" s="213" t="s">
        <v>557</v>
      </c>
      <c r="I11" s="213"/>
      <c r="J11" s="213" t="s">
        <v>381</v>
      </c>
      <c r="K11" s="213" t="s">
        <v>535</v>
      </c>
      <c r="L11" s="213" t="s">
        <v>552</v>
      </c>
      <c r="M11" s="213" t="s">
        <v>543</v>
      </c>
      <c r="N11" s="213" t="s">
        <v>382</v>
      </c>
      <c r="O11" s="213"/>
      <c r="P11" s="213"/>
      <c r="Q11" s="213"/>
      <c r="R11" s="213"/>
      <c r="S11" s="213" t="s">
        <v>570</v>
      </c>
      <c r="T11" s="213"/>
      <c r="U11" s="213" t="s">
        <v>538</v>
      </c>
      <c r="V11" s="213">
        <v>2</v>
      </c>
      <c r="W11" s="213" t="s">
        <v>545</v>
      </c>
      <c r="X11" s="213" t="s">
        <v>540</v>
      </c>
      <c r="Y11" s="213" t="s">
        <v>580</v>
      </c>
      <c r="Z11" s="212">
        <v>1930293</v>
      </c>
      <c r="AA11" s="212">
        <v>80562683</v>
      </c>
      <c r="AB11" s="217">
        <v>1.2225809999999999</v>
      </c>
      <c r="AC11" s="217">
        <v>1.967557</v>
      </c>
      <c r="AD11" s="212">
        <f t="shared" si="0"/>
        <v>98494405.544822991</v>
      </c>
      <c r="AE11"/>
    </row>
    <row r="12" spans="1:31" s="66" customFormat="1" x14ac:dyDescent="0.15">
      <c r="B12" s="213">
        <v>17031001942</v>
      </c>
      <c r="C12" s="213">
        <v>17031000864</v>
      </c>
      <c r="D12" s="213">
        <v>17031004666</v>
      </c>
      <c r="E12" s="213" t="s">
        <v>533</v>
      </c>
      <c r="F12" s="213" t="s">
        <v>534</v>
      </c>
      <c r="G12" s="213" t="s">
        <v>365</v>
      </c>
      <c r="H12" s="213" t="s">
        <v>381</v>
      </c>
      <c r="I12" s="213"/>
      <c r="J12" s="213" t="s">
        <v>382</v>
      </c>
      <c r="K12" s="213"/>
      <c r="L12" s="213"/>
      <c r="M12" s="213"/>
      <c r="N12" s="213"/>
      <c r="O12" s="213"/>
      <c r="P12" s="213"/>
      <c r="Q12" s="213"/>
      <c r="R12" s="213"/>
      <c r="S12" s="213" t="s">
        <v>647</v>
      </c>
      <c r="T12" s="213"/>
      <c r="U12" s="213" t="s">
        <v>538</v>
      </c>
      <c r="V12" s="213">
        <v>2</v>
      </c>
      <c r="W12" s="213" t="s">
        <v>545</v>
      </c>
      <c r="X12" s="213" t="s">
        <v>549</v>
      </c>
      <c r="Y12" s="213" t="s">
        <v>580</v>
      </c>
      <c r="Z12" s="212">
        <v>22516</v>
      </c>
      <c r="AA12" s="212">
        <v>1290368</v>
      </c>
      <c r="AB12" s="217">
        <v>1.842058</v>
      </c>
      <c r="AC12" s="217">
        <v>2.9645109999999999</v>
      </c>
      <c r="AD12" s="212">
        <f t="shared" si="0"/>
        <v>2376932.697344</v>
      </c>
      <c r="AE12"/>
    </row>
    <row r="13" spans="1:31" s="66" customFormat="1" x14ac:dyDescent="0.15">
      <c r="B13" s="213">
        <v>17031001945</v>
      </c>
      <c r="C13" s="213">
        <v>17031000917</v>
      </c>
      <c r="D13" s="213">
        <v>17031000914</v>
      </c>
      <c r="E13" s="213" t="s">
        <v>533</v>
      </c>
      <c r="F13" s="213" t="s">
        <v>534</v>
      </c>
      <c r="G13" s="213" t="s">
        <v>365</v>
      </c>
      <c r="H13" s="213" t="s">
        <v>557</v>
      </c>
      <c r="I13" s="213"/>
      <c r="J13" s="213" t="s">
        <v>381</v>
      </c>
      <c r="K13" s="213" t="s">
        <v>535</v>
      </c>
      <c r="L13" s="213" t="s">
        <v>552</v>
      </c>
      <c r="M13" s="213" t="s">
        <v>551</v>
      </c>
      <c r="N13" s="213" t="s">
        <v>543</v>
      </c>
      <c r="O13" s="213" t="s">
        <v>382</v>
      </c>
      <c r="P13" s="213"/>
      <c r="Q13" s="213"/>
      <c r="R13" s="213"/>
      <c r="S13" s="213" t="s">
        <v>570</v>
      </c>
      <c r="T13" s="213"/>
      <c r="U13" s="213" t="s">
        <v>538</v>
      </c>
      <c r="V13" s="213">
        <v>2</v>
      </c>
      <c r="W13" s="213" t="s">
        <v>545</v>
      </c>
      <c r="X13" s="213" t="s">
        <v>554</v>
      </c>
      <c r="Y13" s="213" t="s">
        <v>575</v>
      </c>
      <c r="Z13" s="212">
        <v>1520603</v>
      </c>
      <c r="AA13" s="212">
        <v>87359345</v>
      </c>
      <c r="AB13" s="217">
        <v>0.24359800000000001</v>
      </c>
      <c r="AC13" s="217">
        <v>0.39203399999999999</v>
      </c>
      <c r="AD13" s="212">
        <f t="shared" si="0"/>
        <v>21280561.723310001</v>
      </c>
      <c r="AE13"/>
    </row>
    <row r="14" spans="1:31" s="66" customFormat="1" x14ac:dyDescent="0.15">
      <c r="B14" s="213">
        <v>17031001956</v>
      </c>
      <c r="C14" s="213">
        <v>17031004727</v>
      </c>
      <c r="D14" s="213">
        <v>17031007745</v>
      </c>
      <c r="E14" s="213" t="s">
        <v>533</v>
      </c>
      <c r="F14" s="213" t="s">
        <v>534</v>
      </c>
      <c r="G14" s="213" t="s">
        <v>365</v>
      </c>
      <c r="H14" s="213" t="s">
        <v>557</v>
      </c>
      <c r="I14" s="213"/>
      <c r="J14" s="213" t="s">
        <v>381</v>
      </c>
      <c r="K14" s="213" t="s">
        <v>535</v>
      </c>
      <c r="L14" s="213" t="s">
        <v>552</v>
      </c>
      <c r="M14" s="213" t="s">
        <v>551</v>
      </c>
      <c r="N14" s="213" t="s">
        <v>543</v>
      </c>
      <c r="O14" s="213" t="s">
        <v>382</v>
      </c>
      <c r="P14" s="213"/>
      <c r="Q14" s="213"/>
      <c r="R14" s="213"/>
      <c r="S14" s="213" t="s">
        <v>570</v>
      </c>
      <c r="T14" s="213"/>
      <c r="U14" s="213" t="s">
        <v>538</v>
      </c>
      <c r="V14" s="213">
        <v>2</v>
      </c>
      <c r="W14" s="213" t="s">
        <v>545</v>
      </c>
      <c r="X14" s="213" t="s">
        <v>540</v>
      </c>
      <c r="Y14" s="213" t="s">
        <v>575</v>
      </c>
      <c r="Z14" s="212">
        <v>1939143</v>
      </c>
      <c r="AA14" s="212">
        <v>84423379</v>
      </c>
      <c r="AB14" s="217">
        <v>2.831982</v>
      </c>
      <c r="AC14" s="217">
        <v>4.5576420000000004</v>
      </c>
      <c r="AD14" s="212">
        <f t="shared" si="0"/>
        <v>239085489.707178</v>
      </c>
      <c r="AE14"/>
    </row>
    <row r="15" spans="1:31" s="66" customFormat="1" x14ac:dyDescent="0.15">
      <c r="B15" s="213">
        <v>17031001962</v>
      </c>
      <c r="C15" s="213">
        <v>17031004722</v>
      </c>
      <c r="D15" s="213">
        <v>17031001266</v>
      </c>
      <c r="E15" s="213" t="s">
        <v>533</v>
      </c>
      <c r="F15" s="213" t="s">
        <v>534</v>
      </c>
      <c r="G15" s="213" t="s">
        <v>365</v>
      </c>
      <c r="H15" s="213" t="s">
        <v>547</v>
      </c>
      <c r="I15" s="213"/>
      <c r="J15" s="213"/>
      <c r="K15" s="213"/>
      <c r="L15" s="213"/>
      <c r="M15" s="213"/>
      <c r="N15" s="213"/>
      <c r="O15" s="213"/>
      <c r="P15" s="213"/>
      <c r="Q15" s="213"/>
      <c r="R15" s="213"/>
      <c r="S15" s="213"/>
      <c r="T15" s="213"/>
      <c r="U15" s="213" t="s">
        <v>538</v>
      </c>
      <c r="V15" s="213">
        <v>1</v>
      </c>
      <c r="W15" s="213" t="s">
        <v>582</v>
      </c>
      <c r="X15" s="213" t="s">
        <v>541</v>
      </c>
      <c r="Y15" s="213" t="s">
        <v>541</v>
      </c>
      <c r="Z15" s="212">
        <v>0</v>
      </c>
      <c r="AA15" s="212">
        <v>0</v>
      </c>
      <c r="AB15" s="217">
        <v>0.24418799999999999</v>
      </c>
      <c r="AC15" s="217">
        <v>0.39298300000000003</v>
      </c>
      <c r="AD15" s="212">
        <f t="shared" si="0"/>
        <v>0</v>
      </c>
      <c r="AE15"/>
    </row>
    <row r="16" spans="1:31" s="66" customFormat="1" x14ac:dyDescent="0.15">
      <c r="B16" s="213">
        <v>17031001964</v>
      </c>
      <c r="C16" s="213">
        <v>17031001459</v>
      </c>
      <c r="D16" s="213">
        <v>17031001453</v>
      </c>
      <c r="E16" s="213" t="s">
        <v>533</v>
      </c>
      <c r="F16" s="213" t="s">
        <v>534</v>
      </c>
      <c r="G16" s="213" t="s">
        <v>365</v>
      </c>
      <c r="H16" s="213" t="s">
        <v>551</v>
      </c>
      <c r="I16" s="213"/>
      <c r="J16" s="213"/>
      <c r="K16" s="213"/>
      <c r="L16" s="213"/>
      <c r="M16" s="213"/>
      <c r="N16" s="213"/>
      <c r="O16" s="213"/>
      <c r="P16" s="213"/>
      <c r="Q16" s="213"/>
      <c r="R16" s="213"/>
      <c r="S16" s="213" t="s">
        <v>628</v>
      </c>
      <c r="T16" s="213"/>
      <c r="U16" s="213" t="s">
        <v>538</v>
      </c>
      <c r="V16" s="213">
        <v>1</v>
      </c>
      <c r="W16" s="213" t="s">
        <v>560</v>
      </c>
      <c r="X16" s="213" t="s">
        <v>541</v>
      </c>
      <c r="Y16" s="213" t="s">
        <v>541</v>
      </c>
      <c r="Z16" s="212">
        <v>0</v>
      </c>
      <c r="AA16" s="212">
        <v>0</v>
      </c>
      <c r="AB16" s="217">
        <v>0.23275499999999999</v>
      </c>
      <c r="AC16" s="217">
        <v>0.374583</v>
      </c>
      <c r="AD16" s="212">
        <f t="shared" si="0"/>
        <v>0</v>
      </c>
      <c r="AE16"/>
    </row>
    <row r="17" spans="2:31" s="66" customFormat="1" x14ac:dyDescent="0.15">
      <c r="B17" s="213">
        <v>17031001971</v>
      </c>
      <c r="C17" s="213">
        <v>17031001404</v>
      </c>
      <c r="D17" s="213">
        <v>17031001391</v>
      </c>
      <c r="E17" s="213" t="s">
        <v>533</v>
      </c>
      <c r="F17" s="213" t="s">
        <v>534</v>
      </c>
      <c r="G17" s="213" t="s">
        <v>365</v>
      </c>
      <c r="H17" s="213" t="s">
        <v>557</v>
      </c>
      <c r="I17" s="213"/>
      <c r="J17" s="213" t="s">
        <v>569</v>
      </c>
      <c r="K17" s="213" t="s">
        <v>551</v>
      </c>
      <c r="L17" s="213" t="s">
        <v>543</v>
      </c>
      <c r="M17" s="213"/>
      <c r="N17" s="213"/>
      <c r="O17" s="213"/>
      <c r="P17" s="213"/>
      <c r="Q17" s="213"/>
      <c r="R17" s="213"/>
      <c r="S17" s="213" t="s">
        <v>570</v>
      </c>
      <c r="T17" s="213"/>
      <c r="U17" s="213" t="s">
        <v>538</v>
      </c>
      <c r="V17" s="213">
        <v>2</v>
      </c>
      <c r="W17" s="213" t="s">
        <v>545</v>
      </c>
      <c r="X17" s="213" t="s">
        <v>540</v>
      </c>
      <c r="Y17" s="213" t="s">
        <v>540</v>
      </c>
      <c r="Z17" s="212">
        <v>17508</v>
      </c>
      <c r="AA17" s="212">
        <v>1425028</v>
      </c>
      <c r="AB17" s="217">
        <v>0.93629499999999999</v>
      </c>
      <c r="AC17" s="217">
        <v>1.5068239999999999</v>
      </c>
      <c r="AD17" s="212">
        <f t="shared" si="0"/>
        <v>1334246.5912599999</v>
      </c>
      <c r="AE17"/>
    </row>
    <row r="18" spans="2:31" s="66" customFormat="1" x14ac:dyDescent="0.15">
      <c r="B18" s="213">
        <v>17031001973</v>
      </c>
      <c r="C18" s="213">
        <v>17031000992</v>
      </c>
      <c r="D18" s="213">
        <v>17031000991</v>
      </c>
      <c r="E18" s="213" t="s">
        <v>533</v>
      </c>
      <c r="F18" s="213" t="s">
        <v>534</v>
      </c>
      <c r="G18" s="213" t="s">
        <v>365</v>
      </c>
      <c r="H18" s="213" t="s">
        <v>547</v>
      </c>
      <c r="I18" s="213"/>
      <c r="J18" s="213"/>
      <c r="K18" s="213"/>
      <c r="L18" s="213"/>
      <c r="M18" s="213"/>
      <c r="N18" s="213"/>
      <c r="O18" s="213"/>
      <c r="P18" s="213"/>
      <c r="Q18" s="213"/>
      <c r="R18" s="213"/>
      <c r="S18" s="213"/>
      <c r="T18" s="213"/>
      <c r="U18" s="213" t="s">
        <v>538</v>
      </c>
      <c r="V18" s="213">
        <v>2</v>
      </c>
      <c r="W18" s="213" t="s">
        <v>584</v>
      </c>
      <c r="X18" s="213" t="s">
        <v>540</v>
      </c>
      <c r="Y18" s="213" t="s">
        <v>541</v>
      </c>
      <c r="Z18" s="212">
        <v>0</v>
      </c>
      <c r="AA18" s="212">
        <v>0</v>
      </c>
      <c r="AB18" s="217">
        <v>0.67547599999999997</v>
      </c>
      <c r="AC18" s="217">
        <v>1.087075</v>
      </c>
      <c r="AD18" s="212">
        <f t="shared" si="0"/>
        <v>0</v>
      </c>
      <c r="AE18"/>
    </row>
    <row r="19" spans="2:31" s="66" customFormat="1" x14ac:dyDescent="0.15">
      <c r="B19" s="213">
        <v>17031002005</v>
      </c>
      <c r="C19" s="213">
        <v>17031000435</v>
      </c>
      <c r="D19" s="213">
        <v>17031000436</v>
      </c>
      <c r="E19" s="213" t="s">
        <v>533</v>
      </c>
      <c r="F19" s="213" t="s">
        <v>534</v>
      </c>
      <c r="G19" s="213" t="s">
        <v>365</v>
      </c>
      <c r="H19" s="213" t="s">
        <v>552</v>
      </c>
      <c r="I19" s="213"/>
      <c r="J19" s="213" t="s">
        <v>547</v>
      </c>
      <c r="K19" s="213" t="s">
        <v>551</v>
      </c>
      <c r="L19" s="213"/>
      <c r="M19" s="213"/>
      <c r="N19" s="213"/>
      <c r="O19" s="213"/>
      <c r="P19" s="213"/>
      <c r="Q19" s="213"/>
      <c r="R19" s="213"/>
      <c r="S19" s="213"/>
      <c r="T19" s="213"/>
      <c r="U19" s="213" t="s">
        <v>538</v>
      </c>
      <c r="V19" s="213">
        <v>2</v>
      </c>
      <c r="W19" s="213" t="s">
        <v>545</v>
      </c>
      <c r="X19" s="213" t="s">
        <v>554</v>
      </c>
      <c r="Y19" s="213" t="s">
        <v>541</v>
      </c>
      <c r="Z19" s="212">
        <v>0</v>
      </c>
      <c r="AA19" s="212">
        <v>0</v>
      </c>
      <c r="AB19" s="217">
        <v>0.21945600000000001</v>
      </c>
      <c r="AC19" s="217">
        <v>0.353182</v>
      </c>
      <c r="AD19" s="212">
        <f t="shared" si="0"/>
        <v>0</v>
      </c>
      <c r="AE19"/>
    </row>
    <row r="20" spans="2:31" s="66" customFormat="1" x14ac:dyDescent="0.15">
      <c r="B20" s="213">
        <v>17031002085</v>
      </c>
      <c r="C20" s="213">
        <v>17031004591</v>
      </c>
      <c r="D20" s="213">
        <v>17031004590</v>
      </c>
      <c r="E20" s="213" t="s">
        <v>533</v>
      </c>
      <c r="F20" s="213" t="s">
        <v>534</v>
      </c>
      <c r="G20" s="213" t="s">
        <v>365</v>
      </c>
      <c r="H20" s="213" t="s">
        <v>535</v>
      </c>
      <c r="I20" s="213"/>
      <c r="J20" s="213" t="s">
        <v>547</v>
      </c>
      <c r="K20" s="213" t="s">
        <v>551</v>
      </c>
      <c r="L20" s="213"/>
      <c r="M20" s="213"/>
      <c r="N20" s="213"/>
      <c r="O20" s="213"/>
      <c r="P20" s="213"/>
      <c r="Q20" s="213"/>
      <c r="R20" s="213"/>
      <c r="S20" s="213" t="s">
        <v>548</v>
      </c>
      <c r="T20" s="213"/>
      <c r="U20" s="213" t="s">
        <v>538</v>
      </c>
      <c r="V20" s="213">
        <v>2</v>
      </c>
      <c r="W20" s="213" t="s">
        <v>545</v>
      </c>
      <c r="X20" s="213" t="s">
        <v>549</v>
      </c>
      <c r="Y20" s="213" t="s">
        <v>546</v>
      </c>
      <c r="Z20" s="212">
        <v>662357</v>
      </c>
      <c r="AA20" s="212">
        <v>30359562</v>
      </c>
      <c r="AB20" s="217">
        <v>3.0520719999999999</v>
      </c>
      <c r="AC20" s="217">
        <v>4.9118430000000002</v>
      </c>
      <c r="AD20" s="212">
        <f t="shared" si="0"/>
        <v>92659569.112463996</v>
      </c>
      <c r="AE20"/>
    </row>
    <row r="21" spans="2:31" s="66" customFormat="1" x14ac:dyDescent="0.15">
      <c r="B21" s="213">
        <v>17031002088</v>
      </c>
      <c r="C21" s="213">
        <v>17031004590</v>
      </c>
      <c r="D21" s="213">
        <v>17031004604</v>
      </c>
      <c r="E21" s="213" t="s">
        <v>533</v>
      </c>
      <c r="F21" s="213" t="s">
        <v>534</v>
      </c>
      <c r="G21" s="213" t="s">
        <v>365</v>
      </c>
      <c r="H21" s="213" t="s">
        <v>535</v>
      </c>
      <c r="I21" s="213"/>
      <c r="J21" s="213" t="s">
        <v>547</v>
      </c>
      <c r="K21" s="213"/>
      <c r="L21" s="213"/>
      <c r="M21" s="213"/>
      <c r="N21" s="213"/>
      <c r="O21" s="213"/>
      <c r="P21" s="213"/>
      <c r="Q21" s="213"/>
      <c r="R21" s="213"/>
      <c r="S21" s="213" t="s">
        <v>548</v>
      </c>
      <c r="T21" s="213"/>
      <c r="U21" s="213" t="s">
        <v>538</v>
      </c>
      <c r="V21" s="213">
        <v>1</v>
      </c>
      <c r="W21" s="213" t="s">
        <v>545</v>
      </c>
      <c r="X21" s="213" t="s">
        <v>549</v>
      </c>
      <c r="Y21" s="213" t="s">
        <v>546</v>
      </c>
      <c r="Z21" s="212">
        <v>662357</v>
      </c>
      <c r="AA21" s="212">
        <v>30359562</v>
      </c>
      <c r="AB21" s="217">
        <v>0.62129599999999996</v>
      </c>
      <c r="AC21" s="217">
        <v>0.99987999999999999</v>
      </c>
      <c r="AD21" s="212">
        <f t="shared" si="0"/>
        <v>18862274.432351999</v>
      </c>
      <c r="AE21"/>
    </row>
    <row r="22" spans="2:31" s="66" customFormat="1" x14ac:dyDescent="0.15">
      <c r="B22" s="213">
        <v>17031002092</v>
      </c>
      <c r="C22" s="213">
        <v>17031004624</v>
      </c>
      <c r="D22" s="213">
        <v>17999019040</v>
      </c>
      <c r="E22" s="213" t="s">
        <v>533</v>
      </c>
      <c r="F22" s="213" t="s">
        <v>534</v>
      </c>
      <c r="G22" s="213" t="s">
        <v>365</v>
      </c>
      <c r="H22" s="213" t="s">
        <v>535</v>
      </c>
      <c r="I22" s="213"/>
      <c r="J22" s="213" t="s">
        <v>547</v>
      </c>
      <c r="K22" s="213"/>
      <c r="L22" s="213"/>
      <c r="M22" s="213"/>
      <c r="N22" s="213"/>
      <c r="O22" s="213"/>
      <c r="P22" s="213"/>
      <c r="Q22" s="213"/>
      <c r="R22" s="213"/>
      <c r="S22" s="213" t="s">
        <v>548</v>
      </c>
      <c r="T22" s="213"/>
      <c r="U22" s="213" t="s">
        <v>538</v>
      </c>
      <c r="V22" s="213">
        <v>3</v>
      </c>
      <c r="W22" s="213" t="s">
        <v>545</v>
      </c>
      <c r="X22" s="213" t="s">
        <v>549</v>
      </c>
      <c r="Y22" s="213" t="s">
        <v>546</v>
      </c>
      <c r="Z22" s="212">
        <v>662157</v>
      </c>
      <c r="AA22" s="212">
        <v>30342002</v>
      </c>
      <c r="AB22" s="217">
        <v>0.82783300000000004</v>
      </c>
      <c r="AC22" s="217">
        <v>1.332271</v>
      </c>
      <c r="AD22" s="212">
        <f t="shared" si="0"/>
        <v>25118110.541666001</v>
      </c>
      <c r="AE22"/>
    </row>
    <row r="23" spans="2:31" s="66" customFormat="1" x14ac:dyDescent="0.15">
      <c r="B23" s="213">
        <v>17031002100</v>
      </c>
      <c r="C23" s="213">
        <v>17031004628</v>
      </c>
      <c r="D23" s="213">
        <v>17031004627</v>
      </c>
      <c r="E23" s="213" t="s">
        <v>533</v>
      </c>
      <c r="F23" s="213" t="s">
        <v>534</v>
      </c>
      <c r="G23" s="213" t="s">
        <v>365</v>
      </c>
      <c r="H23" s="213" t="s">
        <v>535</v>
      </c>
      <c r="I23" s="213"/>
      <c r="J23" s="213" t="s">
        <v>547</v>
      </c>
      <c r="K23" s="213" t="s">
        <v>551</v>
      </c>
      <c r="L23" s="213"/>
      <c r="M23" s="213"/>
      <c r="N23" s="213"/>
      <c r="O23" s="213"/>
      <c r="P23" s="213"/>
      <c r="Q23" s="213"/>
      <c r="R23" s="213"/>
      <c r="S23" s="213" t="s">
        <v>548</v>
      </c>
      <c r="T23" s="213" t="s">
        <v>671</v>
      </c>
      <c r="U23" s="213" t="s">
        <v>538</v>
      </c>
      <c r="V23" s="213">
        <v>2</v>
      </c>
      <c r="W23" s="213" t="s">
        <v>545</v>
      </c>
      <c r="X23" s="213" t="s">
        <v>554</v>
      </c>
      <c r="Y23" s="213" t="s">
        <v>546</v>
      </c>
      <c r="Z23" s="212">
        <v>662357</v>
      </c>
      <c r="AA23" s="212">
        <v>30359562</v>
      </c>
      <c r="AB23" s="217">
        <v>0.93876899999999996</v>
      </c>
      <c r="AC23" s="217">
        <v>1.510805</v>
      </c>
      <c r="AD23" s="212">
        <f t="shared" si="0"/>
        <v>28500615.659178</v>
      </c>
      <c r="AE23"/>
    </row>
    <row r="24" spans="2:31" s="66" customFormat="1" x14ac:dyDescent="0.15">
      <c r="B24" s="213">
        <v>17031002120</v>
      </c>
      <c r="C24" s="213">
        <v>17031004614</v>
      </c>
      <c r="D24" s="213">
        <v>17031004613</v>
      </c>
      <c r="E24" s="213" t="s">
        <v>533</v>
      </c>
      <c r="F24" s="213" t="s">
        <v>534</v>
      </c>
      <c r="G24" s="213" t="s">
        <v>365</v>
      </c>
      <c r="H24" s="213" t="s">
        <v>552</v>
      </c>
      <c r="I24" s="213"/>
      <c r="J24" s="213" t="s">
        <v>542</v>
      </c>
      <c r="K24" s="213" t="s">
        <v>547</v>
      </c>
      <c r="L24" s="213" t="s">
        <v>563</v>
      </c>
      <c r="M24" s="213"/>
      <c r="N24" s="213"/>
      <c r="O24" s="213"/>
      <c r="P24" s="213"/>
      <c r="Q24" s="213"/>
      <c r="R24" s="213"/>
      <c r="S24" s="213" t="s">
        <v>564</v>
      </c>
      <c r="T24" s="213"/>
      <c r="U24" s="213" t="s">
        <v>538</v>
      </c>
      <c r="V24" s="213">
        <v>2</v>
      </c>
      <c r="W24" s="213" t="s">
        <v>545</v>
      </c>
      <c r="X24" s="213" t="s">
        <v>549</v>
      </c>
      <c r="Y24" s="213" t="s">
        <v>549</v>
      </c>
      <c r="Z24" s="212">
        <v>500525</v>
      </c>
      <c r="AA24" s="212">
        <v>34229964</v>
      </c>
      <c r="AB24" s="217">
        <v>1.858006</v>
      </c>
      <c r="AC24" s="217">
        <v>2.9901759999999999</v>
      </c>
      <c r="AD24" s="212">
        <f t="shared" si="0"/>
        <v>63599478.491783999</v>
      </c>
      <c r="AE24"/>
    </row>
    <row r="25" spans="2:31" s="66" customFormat="1" x14ac:dyDescent="0.15">
      <c r="B25" s="213">
        <v>17031002121</v>
      </c>
      <c r="C25" s="213">
        <v>17031004594</v>
      </c>
      <c r="D25" s="213">
        <v>17031000281</v>
      </c>
      <c r="E25" s="213" t="s">
        <v>533</v>
      </c>
      <c r="F25" s="213" t="s">
        <v>534</v>
      </c>
      <c r="G25" s="213" t="s">
        <v>365</v>
      </c>
      <c r="H25" s="213" t="s">
        <v>535</v>
      </c>
      <c r="I25" s="213"/>
      <c r="J25" s="213" t="s">
        <v>536</v>
      </c>
      <c r="K25" s="213" t="s">
        <v>382</v>
      </c>
      <c r="L25" s="213"/>
      <c r="M25" s="213"/>
      <c r="N25" s="213"/>
      <c r="O25" s="213"/>
      <c r="P25" s="213"/>
      <c r="Q25" s="213"/>
      <c r="R25" s="213"/>
      <c r="S25" s="213" t="s">
        <v>550</v>
      </c>
      <c r="T25" s="213"/>
      <c r="U25" s="213" t="s">
        <v>538</v>
      </c>
      <c r="V25" s="213">
        <v>1</v>
      </c>
      <c r="W25" s="213" t="s">
        <v>545</v>
      </c>
      <c r="X25" s="213" t="s">
        <v>549</v>
      </c>
      <c r="Y25" s="213" t="s">
        <v>540</v>
      </c>
      <c r="Z25" s="212">
        <v>30498</v>
      </c>
      <c r="AA25" s="212">
        <v>2859232</v>
      </c>
      <c r="AB25" s="217">
        <v>6.3130230000000003</v>
      </c>
      <c r="AC25" s="217">
        <v>10.159846</v>
      </c>
      <c r="AD25" s="212">
        <f t="shared" si="0"/>
        <v>18050397.378336001</v>
      </c>
      <c r="AE25"/>
    </row>
    <row r="26" spans="2:31" s="66" customFormat="1" x14ac:dyDescent="0.15">
      <c r="B26" s="213">
        <v>17031002122</v>
      </c>
      <c r="C26" s="213">
        <v>17031004608</v>
      </c>
      <c r="D26" s="213">
        <v>17031004607</v>
      </c>
      <c r="E26" s="213" t="s">
        <v>533</v>
      </c>
      <c r="F26" s="213" t="s">
        <v>534</v>
      </c>
      <c r="G26" s="213" t="s">
        <v>365</v>
      </c>
      <c r="H26" s="213" t="s">
        <v>382</v>
      </c>
      <c r="I26" s="213"/>
      <c r="J26" s="213" t="s">
        <v>547</v>
      </c>
      <c r="K26" s="213"/>
      <c r="L26" s="213"/>
      <c r="M26" s="213"/>
      <c r="N26" s="213"/>
      <c r="O26" s="213"/>
      <c r="P26" s="213"/>
      <c r="Q26" s="213"/>
      <c r="R26" s="213"/>
      <c r="S26" s="213" t="s">
        <v>608</v>
      </c>
      <c r="T26" s="213"/>
      <c r="U26" s="213" t="s">
        <v>538</v>
      </c>
      <c r="V26" s="213">
        <v>3</v>
      </c>
      <c r="W26" s="213" t="s">
        <v>566</v>
      </c>
      <c r="X26" s="213" t="s">
        <v>549</v>
      </c>
      <c r="Y26" s="213" t="s">
        <v>554</v>
      </c>
      <c r="Z26" s="212">
        <v>0</v>
      </c>
      <c r="AA26" s="212">
        <v>0</v>
      </c>
      <c r="AB26" s="217">
        <v>1.2220299999999999</v>
      </c>
      <c r="AC26" s="217">
        <v>1.9666710000000001</v>
      </c>
      <c r="AD26" s="212">
        <f t="shared" si="0"/>
        <v>0</v>
      </c>
      <c r="AE26"/>
    </row>
    <row r="27" spans="2:31" s="66" customFormat="1" x14ac:dyDescent="0.15">
      <c r="B27" s="213">
        <v>17031002135</v>
      </c>
      <c r="C27" s="213">
        <v>17999020579</v>
      </c>
      <c r="D27" s="213">
        <v>17031000514</v>
      </c>
      <c r="E27" s="213" t="s">
        <v>533</v>
      </c>
      <c r="F27" s="213" t="s">
        <v>534</v>
      </c>
      <c r="G27" s="213" t="s">
        <v>365</v>
      </c>
      <c r="H27" s="213" t="s">
        <v>382</v>
      </c>
      <c r="I27" s="213"/>
      <c r="J27" s="213"/>
      <c r="K27" s="213"/>
      <c r="L27" s="213"/>
      <c r="M27" s="213"/>
      <c r="N27" s="213"/>
      <c r="O27" s="213"/>
      <c r="P27" s="213"/>
      <c r="Q27" s="213"/>
      <c r="R27" s="213"/>
      <c r="S27" s="213" t="s">
        <v>586</v>
      </c>
      <c r="T27" s="213"/>
      <c r="U27" s="213" t="s">
        <v>538</v>
      </c>
      <c r="V27" s="213">
        <v>2</v>
      </c>
      <c r="W27" s="213" t="s">
        <v>582</v>
      </c>
      <c r="X27" s="213" t="s">
        <v>554</v>
      </c>
      <c r="Y27" s="213" t="s">
        <v>540</v>
      </c>
      <c r="Z27" s="212">
        <v>148115</v>
      </c>
      <c r="AA27" s="212">
        <v>16606516</v>
      </c>
      <c r="AB27" s="217">
        <v>0.15142700000000001</v>
      </c>
      <c r="AC27" s="217">
        <v>0.243698</v>
      </c>
      <c r="AD27" s="212">
        <f t="shared" si="0"/>
        <v>2514674.8983320002</v>
      </c>
      <c r="AE27"/>
    </row>
    <row r="28" spans="2:31" s="66" customFormat="1" x14ac:dyDescent="0.15">
      <c r="B28" s="213">
        <v>17031002158</v>
      </c>
      <c r="C28" s="213">
        <v>17031004574</v>
      </c>
      <c r="D28" s="213">
        <v>17999019044</v>
      </c>
      <c r="E28" s="213" t="s">
        <v>533</v>
      </c>
      <c r="F28" s="213" t="s">
        <v>534</v>
      </c>
      <c r="G28" s="213" t="s">
        <v>365</v>
      </c>
      <c r="H28" s="213" t="s">
        <v>382</v>
      </c>
      <c r="I28" s="213"/>
      <c r="J28" s="213" t="s">
        <v>547</v>
      </c>
      <c r="K28" s="213"/>
      <c r="L28" s="213"/>
      <c r="M28" s="213"/>
      <c r="N28" s="213"/>
      <c r="O28" s="213"/>
      <c r="P28" s="213"/>
      <c r="Q28" s="213"/>
      <c r="R28" s="213"/>
      <c r="S28" s="213" t="s">
        <v>565</v>
      </c>
      <c r="T28" s="213"/>
      <c r="U28" s="213" t="s">
        <v>538</v>
      </c>
      <c r="V28" s="213">
        <v>2</v>
      </c>
      <c r="W28" s="213" t="s">
        <v>566</v>
      </c>
      <c r="X28" s="213" t="s">
        <v>549</v>
      </c>
      <c r="Y28" s="213" t="s">
        <v>541</v>
      </c>
      <c r="Z28" s="212">
        <v>0</v>
      </c>
      <c r="AA28" s="212">
        <v>0</v>
      </c>
      <c r="AB28" s="217">
        <v>1.363623</v>
      </c>
      <c r="AC28" s="217">
        <v>2.1945429999999999</v>
      </c>
      <c r="AD28" s="212">
        <f t="shared" si="0"/>
        <v>0</v>
      </c>
      <c r="AE28"/>
    </row>
    <row r="29" spans="2:31" s="66" customFormat="1" x14ac:dyDescent="0.15">
      <c r="B29" s="213">
        <v>17031002162</v>
      </c>
      <c r="C29" s="213">
        <v>17031000525</v>
      </c>
      <c r="D29" s="213">
        <v>17031000533</v>
      </c>
      <c r="E29" s="213" t="s">
        <v>533</v>
      </c>
      <c r="F29" s="213" t="s">
        <v>534</v>
      </c>
      <c r="G29" s="213" t="s">
        <v>365</v>
      </c>
      <c r="H29" s="213" t="s">
        <v>382</v>
      </c>
      <c r="I29" s="213"/>
      <c r="J29" s="213"/>
      <c r="K29" s="213"/>
      <c r="L29" s="213"/>
      <c r="M29" s="213"/>
      <c r="N29" s="213"/>
      <c r="O29" s="213"/>
      <c r="P29" s="213"/>
      <c r="Q29" s="213"/>
      <c r="R29" s="213"/>
      <c r="S29" s="213"/>
      <c r="T29" s="213" t="s">
        <v>626</v>
      </c>
      <c r="U29" s="213" t="s">
        <v>559</v>
      </c>
      <c r="V29" s="213">
        <v>1</v>
      </c>
      <c r="W29" s="213" t="s">
        <v>539</v>
      </c>
      <c r="X29" s="213" t="s">
        <v>541</v>
      </c>
      <c r="Y29" s="213" t="s">
        <v>541</v>
      </c>
      <c r="Z29" s="212">
        <v>200080</v>
      </c>
      <c r="AA29" s="212">
        <v>3052160</v>
      </c>
      <c r="AB29" s="217">
        <v>0.258521</v>
      </c>
      <c r="AC29" s="217">
        <v>0.41604999999999998</v>
      </c>
      <c r="AD29" s="212">
        <f t="shared" si="0"/>
        <v>789047.45536000002</v>
      </c>
      <c r="AE29"/>
    </row>
    <row r="30" spans="2:31" s="66" customFormat="1" x14ac:dyDescent="0.15">
      <c r="B30" s="213">
        <v>17031002167</v>
      </c>
      <c r="C30" s="213">
        <v>17031001294</v>
      </c>
      <c r="D30" s="213">
        <v>17031001272</v>
      </c>
      <c r="E30" s="213" t="s">
        <v>533</v>
      </c>
      <c r="F30" s="213" t="s">
        <v>534</v>
      </c>
      <c r="G30" s="213" t="s">
        <v>365</v>
      </c>
      <c r="H30" s="213" t="s">
        <v>557</v>
      </c>
      <c r="I30" s="213"/>
      <c r="J30" s="213" t="s">
        <v>381</v>
      </c>
      <c r="K30" s="213" t="s">
        <v>535</v>
      </c>
      <c r="L30" s="213" t="s">
        <v>552</v>
      </c>
      <c r="M30" s="213" t="s">
        <v>551</v>
      </c>
      <c r="N30" s="213" t="s">
        <v>543</v>
      </c>
      <c r="O30" s="213" t="s">
        <v>382</v>
      </c>
      <c r="P30" s="213"/>
      <c r="Q30" s="213"/>
      <c r="R30" s="213"/>
      <c r="S30" s="213" t="s">
        <v>570</v>
      </c>
      <c r="T30" s="213"/>
      <c r="U30" s="213" t="s">
        <v>538</v>
      </c>
      <c r="V30" s="213">
        <v>2</v>
      </c>
      <c r="W30" s="213" t="s">
        <v>545</v>
      </c>
      <c r="X30" s="213" t="s">
        <v>540</v>
      </c>
      <c r="Y30" s="213" t="s">
        <v>575</v>
      </c>
      <c r="Z30" s="212">
        <v>1939303</v>
      </c>
      <c r="AA30" s="212">
        <v>84438899</v>
      </c>
      <c r="AB30" s="217">
        <v>0.88351500000000005</v>
      </c>
      <c r="AC30" s="217">
        <v>1.421883</v>
      </c>
      <c r="AD30" s="212">
        <f t="shared" si="0"/>
        <v>74603033.849985003</v>
      </c>
      <c r="AE30"/>
    </row>
    <row r="31" spans="2:31" s="66" customFormat="1" x14ac:dyDescent="0.15">
      <c r="B31" s="213">
        <v>17031002173</v>
      </c>
      <c r="C31" s="213">
        <v>17031001411</v>
      </c>
      <c r="D31" s="213">
        <v>17031007662</v>
      </c>
      <c r="E31" s="213" t="s">
        <v>533</v>
      </c>
      <c r="F31" s="213" t="s">
        <v>534</v>
      </c>
      <c r="G31" s="213" t="s">
        <v>365</v>
      </c>
      <c r="H31" s="213" t="s">
        <v>551</v>
      </c>
      <c r="I31" s="213" t="s">
        <v>535</v>
      </c>
      <c r="J31" s="213"/>
      <c r="K31" s="213"/>
      <c r="L31" s="213"/>
      <c r="M31" s="213"/>
      <c r="N31" s="213"/>
      <c r="O31" s="213"/>
      <c r="P31" s="213"/>
      <c r="Q31" s="213"/>
      <c r="R31" s="213"/>
      <c r="S31" s="213" t="s">
        <v>553</v>
      </c>
      <c r="T31" s="213"/>
      <c r="U31" s="213" t="s">
        <v>538</v>
      </c>
      <c r="V31" s="213">
        <v>2</v>
      </c>
      <c r="W31" s="213" t="s">
        <v>545</v>
      </c>
      <c r="X31" s="213" t="s">
        <v>549</v>
      </c>
      <c r="Y31" s="213" t="s">
        <v>540</v>
      </c>
      <c r="Z31" s="212">
        <v>576518</v>
      </c>
      <c r="AA31" s="212">
        <v>21088865</v>
      </c>
      <c r="AB31" s="217">
        <v>1.9135720000000001</v>
      </c>
      <c r="AC31" s="217">
        <v>3.079602</v>
      </c>
      <c r="AD31" s="212">
        <f t="shared" si="0"/>
        <v>40355061.575780004</v>
      </c>
      <c r="AE31"/>
    </row>
    <row r="32" spans="2:31" s="66" customFormat="1" x14ac:dyDescent="0.15">
      <c r="B32" s="213">
        <v>17031002174</v>
      </c>
      <c r="C32" s="213">
        <v>17031001413</v>
      </c>
      <c r="D32" s="213">
        <v>17031001370</v>
      </c>
      <c r="E32" s="213" t="s">
        <v>533</v>
      </c>
      <c r="F32" s="213" t="s">
        <v>534</v>
      </c>
      <c r="G32" s="213" t="s">
        <v>365</v>
      </c>
      <c r="H32" s="213" t="s">
        <v>535</v>
      </c>
      <c r="I32" s="213"/>
      <c r="J32" s="213" t="s">
        <v>542</v>
      </c>
      <c r="K32" s="213" t="s">
        <v>543</v>
      </c>
      <c r="L32" s="213" t="s">
        <v>382</v>
      </c>
      <c r="M32" s="213" t="s">
        <v>555</v>
      </c>
      <c r="N32" s="213"/>
      <c r="O32" s="213"/>
      <c r="P32" s="213"/>
      <c r="Q32" s="213"/>
      <c r="R32" s="213"/>
      <c r="S32" s="213" t="s">
        <v>544</v>
      </c>
      <c r="T32" s="213"/>
      <c r="U32" s="213" t="s">
        <v>538</v>
      </c>
      <c r="V32" s="213">
        <v>2</v>
      </c>
      <c r="W32" s="213" t="s">
        <v>545</v>
      </c>
      <c r="X32" s="213" t="s">
        <v>549</v>
      </c>
      <c r="Y32" s="213" t="s">
        <v>546</v>
      </c>
      <c r="Z32" s="212">
        <v>107101</v>
      </c>
      <c r="AA32" s="212">
        <v>10688590</v>
      </c>
      <c r="AB32" s="217">
        <v>1.6730700000000001</v>
      </c>
      <c r="AC32" s="217">
        <v>2.6925500000000002</v>
      </c>
      <c r="AD32" s="212">
        <f t="shared" si="0"/>
        <v>17882759.271299999</v>
      </c>
      <c r="AE32"/>
    </row>
    <row r="33" spans="2:31" s="66" customFormat="1" x14ac:dyDescent="0.15">
      <c r="B33" s="213">
        <v>17031002175</v>
      </c>
      <c r="C33" s="213">
        <v>17031001366</v>
      </c>
      <c r="D33" s="213">
        <v>17031001355</v>
      </c>
      <c r="E33" s="213" t="s">
        <v>533</v>
      </c>
      <c r="F33" s="213" t="s">
        <v>534</v>
      </c>
      <c r="G33" s="213" t="s">
        <v>365</v>
      </c>
      <c r="H33" s="213" t="s">
        <v>557</v>
      </c>
      <c r="I33" s="213"/>
      <c r="J33" s="213" t="s">
        <v>535</v>
      </c>
      <c r="K33" s="213" t="s">
        <v>569</v>
      </c>
      <c r="L33" s="213" t="s">
        <v>552</v>
      </c>
      <c r="M33" s="213" t="s">
        <v>551</v>
      </c>
      <c r="N33" s="213" t="s">
        <v>543</v>
      </c>
      <c r="O33" s="213" t="s">
        <v>382</v>
      </c>
      <c r="P33" s="213" t="s">
        <v>381</v>
      </c>
      <c r="Q33" s="213" t="s">
        <v>615</v>
      </c>
      <c r="R33" s="213"/>
      <c r="S33" s="213" t="s">
        <v>570</v>
      </c>
      <c r="T33" s="213" t="s">
        <v>600</v>
      </c>
      <c r="U33" s="213" t="s">
        <v>538</v>
      </c>
      <c r="V33" s="213">
        <v>2</v>
      </c>
      <c r="W33" s="213" t="s">
        <v>545</v>
      </c>
      <c r="X33" s="213" t="s">
        <v>554</v>
      </c>
      <c r="Y33" s="213" t="s">
        <v>546</v>
      </c>
      <c r="Z33" s="212">
        <v>1231391</v>
      </c>
      <c r="AA33" s="212">
        <v>46096560</v>
      </c>
      <c r="AB33" s="217">
        <v>0.52929599999999999</v>
      </c>
      <c r="AC33" s="217">
        <v>0.85182000000000002</v>
      </c>
      <c r="AD33" s="212">
        <f t="shared" si="0"/>
        <v>24398724.821759999</v>
      </c>
      <c r="AE33"/>
    </row>
    <row r="34" spans="2:31" s="66" customFormat="1" x14ac:dyDescent="0.15">
      <c r="B34" s="213">
        <v>17031002185</v>
      </c>
      <c r="C34" s="213">
        <v>17031004754</v>
      </c>
      <c r="D34" s="213">
        <v>17031000733</v>
      </c>
      <c r="E34" s="213" t="s">
        <v>533</v>
      </c>
      <c r="F34" s="213" t="s">
        <v>534</v>
      </c>
      <c r="G34" s="213" t="s">
        <v>365</v>
      </c>
      <c r="H34" s="213" t="s">
        <v>535</v>
      </c>
      <c r="I34" s="213"/>
      <c r="J34" s="213" t="s">
        <v>542</v>
      </c>
      <c r="K34" s="213" t="s">
        <v>572</v>
      </c>
      <c r="L34" s="213"/>
      <c r="M34" s="213"/>
      <c r="N34" s="213"/>
      <c r="O34" s="213"/>
      <c r="P34" s="213"/>
      <c r="Q34" s="213"/>
      <c r="R34" s="213"/>
      <c r="S34" s="213" t="s">
        <v>544</v>
      </c>
      <c r="T34" s="213"/>
      <c r="U34" s="213" t="s">
        <v>538</v>
      </c>
      <c r="V34" s="213">
        <v>2</v>
      </c>
      <c r="W34" s="213" t="s">
        <v>545</v>
      </c>
      <c r="X34" s="213" t="s">
        <v>549</v>
      </c>
      <c r="Y34" s="213" t="s">
        <v>549</v>
      </c>
      <c r="Z34" s="212">
        <v>8958</v>
      </c>
      <c r="AA34" s="212">
        <v>744576</v>
      </c>
      <c r="AB34" s="217">
        <v>4.814584</v>
      </c>
      <c r="AC34" s="217">
        <v>7.7483370000000003</v>
      </c>
      <c r="AD34" s="212">
        <f t="shared" si="0"/>
        <v>3584823.6963840001</v>
      </c>
      <c r="AE34"/>
    </row>
    <row r="35" spans="2:31" s="66" customFormat="1" x14ac:dyDescent="0.15">
      <c r="B35" s="213">
        <v>17031002188</v>
      </c>
      <c r="C35" s="213">
        <v>17031001153</v>
      </c>
      <c r="D35" s="213">
        <v>17031001154</v>
      </c>
      <c r="E35" s="213" t="s">
        <v>533</v>
      </c>
      <c r="F35" s="213" t="s">
        <v>534</v>
      </c>
      <c r="G35" s="213" t="s">
        <v>365</v>
      </c>
      <c r="H35" s="213" t="s">
        <v>557</v>
      </c>
      <c r="I35" s="213"/>
      <c r="J35" s="213" t="s">
        <v>543</v>
      </c>
      <c r="K35" s="213"/>
      <c r="L35" s="213"/>
      <c r="M35" s="213"/>
      <c r="N35" s="213"/>
      <c r="O35" s="213"/>
      <c r="P35" s="213"/>
      <c r="Q35" s="213"/>
      <c r="R35" s="213"/>
      <c r="S35" s="213"/>
      <c r="T35" s="213"/>
      <c r="U35" s="213" t="s">
        <v>538</v>
      </c>
      <c r="V35" s="213">
        <v>1</v>
      </c>
      <c r="W35" s="213" t="s">
        <v>560</v>
      </c>
      <c r="X35" s="213" t="s">
        <v>541</v>
      </c>
      <c r="Y35" s="213" t="s">
        <v>541</v>
      </c>
      <c r="Z35" s="212">
        <v>480</v>
      </c>
      <c r="AA35" s="212">
        <v>35280</v>
      </c>
      <c r="AB35" s="217">
        <v>0.17455399999999999</v>
      </c>
      <c r="AC35" s="217">
        <v>0.280918</v>
      </c>
      <c r="AD35" s="212">
        <f t="shared" si="0"/>
        <v>6158.2651199999991</v>
      </c>
      <c r="AE35"/>
    </row>
    <row r="36" spans="2:31" s="66" customFormat="1" x14ac:dyDescent="0.15">
      <c r="B36" s="213">
        <v>17031002195</v>
      </c>
      <c r="C36" s="213">
        <v>17031004598</v>
      </c>
      <c r="D36" s="213">
        <v>17031004597</v>
      </c>
      <c r="E36" s="213" t="s">
        <v>533</v>
      </c>
      <c r="F36" s="213" t="s">
        <v>534</v>
      </c>
      <c r="G36" s="213" t="s">
        <v>365</v>
      </c>
      <c r="H36" s="213" t="s">
        <v>382</v>
      </c>
      <c r="I36" s="213"/>
      <c r="J36" s="213" t="s">
        <v>535</v>
      </c>
      <c r="K36" s="213" t="s">
        <v>547</v>
      </c>
      <c r="L36" s="213"/>
      <c r="M36" s="213"/>
      <c r="N36" s="213"/>
      <c r="O36" s="213"/>
      <c r="P36" s="213"/>
      <c r="Q36" s="213"/>
      <c r="R36" s="213"/>
      <c r="S36" s="213" t="s">
        <v>608</v>
      </c>
      <c r="T36" s="213"/>
      <c r="U36" s="213" t="s">
        <v>538</v>
      </c>
      <c r="V36" s="213">
        <v>3</v>
      </c>
      <c r="W36" s="213" t="s">
        <v>566</v>
      </c>
      <c r="X36" s="213" t="s">
        <v>549</v>
      </c>
      <c r="Y36" s="213" t="s">
        <v>549</v>
      </c>
      <c r="Z36" s="212">
        <v>15951</v>
      </c>
      <c r="AA36" s="212">
        <v>1564397</v>
      </c>
      <c r="AB36" s="217">
        <v>4.5846590000000003</v>
      </c>
      <c r="AC36" s="217">
        <v>7.3783079999999996</v>
      </c>
      <c r="AD36" s="212">
        <f t="shared" si="0"/>
        <v>7172226.785623</v>
      </c>
      <c r="AE36"/>
    </row>
    <row r="37" spans="2:31" s="66" customFormat="1" x14ac:dyDescent="0.15">
      <c r="B37" s="213">
        <v>17031002196</v>
      </c>
      <c r="C37" s="213">
        <v>17031000331</v>
      </c>
      <c r="D37" s="213">
        <v>17031000323</v>
      </c>
      <c r="E37" s="213" t="s">
        <v>533</v>
      </c>
      <c r="F37" s="213" t="s">
        <v>534</v>
      </c>
      <c r="G37" s="213" t="s">
        <v>365</v>
      </c>
      <c r="H37" s="213" t="s">
        <v>552</v>
      </c>
      <c r="I37" s="213"/>
      <c r="J37" s="213" t="s">
        <v>547</v>
      </c>
      <c r="K37" s="213"/>
      <c r="L37" s="213"/>
      <c r="M37" s="213"/>
      <c r="N37" s="213"/>
      <c r="O37" s="213"/>
      <c r="P37" s="213"/>
      <c r="Q37" s="213"/>
      <c r="R37" s="213"/>
      <c r="S37" s="213" t="s">
        <v>589</v>
      </c>
      <c r="T37" s="213"/>
      <c r="U37" s="213" t="s">
        <v>538</v>
      </c>
      <c r="V37" s="213">
        <v>2</v>
      </c>
      <c r="W37" s="213" t="s">
        <v>545</v>
      </c>
      <c r="X37" s="213" t="s">
        <v>549</v>
      </c>
      <c r="Y37" s="213" t="s">
        <v>540</v>
      </c>
      <c r="Z37" s="212">
        <v>62931</v>
      </c>
      <c r="AA37" s="212">
        <v>6634428</v>
      </c>
      <c r="AB37" s="217">
        <v>0.33243800000000001</v>
      </c>
      <c r="AC37" s="217">
        <v>0.53500899999999996</v>
      </c>
      <c r="AD37" s="212">
        <f t="shared" si="0"/>
        <v>2205535.9754639999</v>
      </c>
      <c r="AE37"/>
    </row>
    <row r="38" spans="2:31" s="66" customFormat="1" x14ac:dyDescent="0.15">
      <c r="B38" s="213">
        <v>17031002197</v>
      </c>
      <c r="C38" s="213">
        <v>17031004595</v>
      </c>
      <c r="D38" s="213">
        <v>17031000331</v>
      </c>
      <c r="E38" s="213" t="s">
        <v>533</v>
      </c>
      <c r="F38" s="213" t="s">
        <v>534</v>
      </c>
      <c r="G38" s="213" t="s">
        <v>365</v>
      </c>
      <c r="H38" s="213" t="s">
        <v>552</v>
      </c>
      <c r="I38" s="213"/>
      <c r="J38" s="213" t="s">
        <v>547</v>
      </c>
      <c r="K38" s="213"/>
      <c r="L38" s="213"/>
      <c r="M38" s="213"/>
      <c r="N38" s="213"/>
      <c r="O38" s="213"/>
      <c r="P38" s="213"/>
      <c r="Q38" s="213"/>
      <c r="R38" s="213"/>
      <c r="S38" s="213" t="s">
        <v>589</v>
      </c>
      <c r="T38" s="213"/>
      <c r="U38" s="213" t="s">
        <v>538</v>
      </c>
      <c r="V38" s="213">
        <v>2</v>
      </c>
      <c r="W38" s="213" t="s">
        <v>545</v>
      </c>
      <c r="X38" s="213" t="s">
        <v>549</v>
      </c>
      <c r="Y38" s="213" t="s">
        <v>540</v>
      </c>
      <c r="Z38" s="212">
        <v>62931</v>
      </c>
      <c r="AA38" s="212">
        <v>6634428</v>
      </c>
      <c r="AB38" s="217">
        <v>2.565264</v>
      </c>
      <c r="AC38" s="217">
        <v>4.1284010000000002</v>
      </c>
      <c r="AD38" s="212">
        <f t="shared" si="0"/>
        <v>17019059.308991998</v>
      </c>
      <c r="AE38"/>
    </row>
    <row r="39" spans="2:31" s="66" customFormat="1" x14ac:dyDescent="0.15">
      <c r="B39" s="213">
        <v>17031002199</v>
      </c>
      <c r="C39" s="213">
        <v>17031000303</v>
      </c>
      <c r="D39" s="213">
        <v>17031000293</v>
      </c>
      <c r="E39" s="213" t="s">
        <v>533</v>
      </c>
      <c r="F39" s="213" t="s">
        <v>534</v>
      </c>
      <c r="G39" s="213" t="s">
        <v>365</v>
      </c>
      <c r="H39" s="213" t="s">
        <v>382</v>
      </c>
      <c r="I39" s="213"/>
      <c r="J39" s="213"/>
      <c r="K39" s="213"/>
      <c r="L39" s="213"/>
      <c r="M39" s="213"/>
      <c r="N39" s="213"/>
      <c r="O39" s="213"/>
      <c r="P39" s="213"/>
      <c r="Q39" s="213"/>
      <c r="R39" s="213"/>
      <c r="S39" s="213" t="s">
        <v>608</v>
      </c>
      <c r="T39" s="213"/>
      <c r="U39" s="213" t="s">
        <v>538</v>
      </c>
      <c r="V39" s="213">
        <v>1</v>
      </c>
      <c r="W39" s="213" t="s">
        <v>582</v>
      </c>
      <c r="X39" s="213" t="s">
        <v>554</v>
      </c>
      <c r="Y39" s="213" t="s">
        <v>540</v>
      </c>
      <c r="Z39" s="212">
        <v>15911</v>
      </c>
      <c r="AA39" s="212">
        <v>1560477</v>
      </c>
      <c r="AB39" s="217">
        <v>1.278608</v>
      </c>
      <c r="AC39" s="217">
        <v>2.0577239999999999</v>
      </c>
      <c r="AD39" s="212">
        <f t="shared" si="0"/>
        <v>1995238.3760160001</v>
      </c>
      <c r="AE39"/>
    </row>
    <row r="40" spans="2:31" s="66" customFormat="1" x14ac:dyDescent="0.15">
      <c r="B40" s="213">
        <v>17031002200</v>
      </c>
      <c r="C40" s="213">
        <v>17031007551</v>
      </c>
      <c r="D40" s="213">
        <v>17031000303</v>
      </c>
      <c r="E40" s="213" t="s">
        <v>533</v>
      </c>
      <c r="F40" s="213" t="s">
        <v>534</v>
      </c>
      <c r="G40" s="213" t="s">
        <v>365</v>
      </c>
      <c r="H40" s="213" t="s">
        <v>382</v>
      </c>
      <c r="I40" s="213"/>
      <c r="J40" s="213" t="s">
        <v>552</v>
      </c>
      <c r="K40" s="213"/>
      <c r="L40" s="213"/>
      <c r="M40" s="213"/>
      <c r="N40" s="213"/>
      <c r="O40" s="213"/>
      <c r="P40" s="213"/>
      <c r="Q40" s="213"/>
      <c r="R40" s="213"/>
      <c r="S40" s="213" t="s">
        <v>586</v>
      </c>
      <c r="T40" s="213"/>
      <c r="U40" s="213" t="s">
        <v>538</v>
      </c>
      <c r="V40" s="213">
        <v>2</v>
      </c>
      <c r="W40" s="213" t="s">
        <v>582</v>
      </c>
      <c r="X40" s="213" t="s">
        <v>549</v>
      </c>
      <c r="Y40" s="213" t="s">
        <v>580</v>
      </c>
      <c r="Z40" s="212">
        <v>639807</v>
      </c>
      <c r="AA40" s="212">
        <v>50479992</v>
      </c>
      <c r="AB40" s="217">
        <v>0.48006799999999999</v>
      </c>
      <c r="AC40" s="217">
        <v>0.77259500000000003</v>
      </c>
      <c r="AD40" s="212">
        <f t="shared" si="0"/>
        <v>24233828.799456</v>
      </c>
      <c r="AE40"/>
    </row>
    <row r="41" spans="2:31" s="66" customFormat="1" x14ac:dyDescent="0.15">
      <c r="B41" s="213">
        <v>17031002203</v>
      </c>
      <c r="C41" s="213">
        <v>17999019947</v>
      </c>
      <c r="D41" s="213">
        <v>17031000339</v>
      </c>
      <c r="E41" s="213" t="s">
        <v>533</v>
      </c>
      <c r="F41" s="213" t="s">
        <v>534</v>
      </c>
      <c r="G41" s="213" t="s">
        <v>365</v>
      </c>
      <c r="H41" s="213" t="s">
        <v>382</v>
      </c>
      <c r="I41" s="213"/>
      <c r="J41" s="213" t="s">
        <v>552</v>
      </c>
      <c r="K41" s="213"/>
      <c r="L41" s="213"/>
      <c r="M41" s="213"/>
      <c r="N41" s="213"/>
      <c r="O41" s="213"/>
      <c r="P41" s="213"/>
      <c r="Q41" s="213"/>
      <c r="R41" s="213"/>
      <c r="S41" s="213" t="s">
        <v>586</v>
      </c>
      <c r="T41" s="213"/>
      <c r="U41" s="213" t="s">
        <v>538</v>
      </c>
      <c r="V41" s="213">
        <v>2</v>
      </c>
      <c r="W41" s="213" t="s">
        <v>582</v>
      </c>
      <c r="X41" s="213" t="s">
        <v>549</v>
      </c>
      <c r="Y41" s="213" t="s">
        <v>580</v>
      </c>
      <c r="Z41" s="212">
        <v>640847</v>
      </c>
      <c r="AA41" s="212">
        <v>50571432</v>
      </c>
      <c r="AB41" s="217">
        <v>0.69888700000000004</v>
      </c>
      <c r="AC41" s="217">
        <v>1.1247510000000001</v>
      </c>
      <c r="AD41" s="212">
        <f t="shared" si="0"/>
        <v>35343716.396184005</v>
      </c>
      <c r="AE41"/>
    </row>
    <row r="42" spans="2:31" s="66" customFormat="1" x14ac:dyDescent="0.15">
      <c r="B42" s="213">
        <v>17031002204</v>
      </c>
      <c r="C42" s="213">
        <v>17031000339</v>
      </c>
      <c r="D42" s="213">
        <v>17031000306</v>
      </c>
      <c r="E42" s="213" t="s">
        <v>533</v>
      </c>
      <c r="F42" s="213" t="s">
        <v>534</v>
      </c>
      <c r="G42" s="213" t="s">
        <v>365</v>
      </c>
      <c r="H42" s="213" t="s">
        <v>382</v>
      </c>
      <c r="I42" s="213"/>
      <c r="J42" s="213" t="s">
        <v>552</v>
      </c>
      <c r="K42" s="213"/>
      <c r="L42" s="213"/>
      <c r="M42" s="213"/>
      <c r="N42" s="213"/>
      <c r="O42" s="213"/>
      <c r="P42" s="213"/>
      <c r="Q42" s="213"/>
      <c r="R42" s="213"/>
      <c r="S42" s="213" t="s">
        <v>586</v>
      </c>
      <c r="T42" s="213"/>
      <c r="U42" s="213" t="s">
        <v>538</v>
      </c>
      <c r="V42" s="213">
        <v>2</v>
      </c>
      <c r="W42" s="213" t="s">
        <v>582</v>
      </c>
      <c r="X42" s="213" t="s">
        <v>549</v>
      </c>
      <c r="Y42" s="213" t="s">
        <v>580</v>
      </c>
      <c r="Z42" s="212">
        <v>639807</v>
      </c>
      <c r="AA42" s="212">
        <v>50479992</v>
      </c>
      <c r="AB42" s="217">
        <v>1.7597700000000001</v>
      </c>
      <c r="AC42" s="217">
        <v>2.8320810000000001</v>
      </c>
      <c r="AD42" s="212">
        <f t="shared" si="0"/>
        <v>88833175.521840006</v>
      </c>
      <c r="AE42"/>
    </row>
    <row r="43" spans="2:31" s="66" customFormat="1" x14ac:dyDescent="0.15">
      <c r="B43" s="213">
        <v>17031002208</v>
      </c>
      <c r="C43" s="213">
        <v>17031004601</v>
      </c>
      <c r="D43" s="213">
        <v>17031004600</v>
      </c>
      <c r="E43" s="213" t="s">
        <v>533</v>
      </c>
      <c r="F43" s="213" t="s">
        <v>534</v>
      </c>
      <c r="G43" s="213" t="s">
        <v>365</v>
      </c>
      <c r="H43" s="213" t="s">
        <v>382</v>
      </c>
      <c r="I43" s="213"/>
      <c r="J43" s="213" t="s">
        <v>535</v>
      </c>
      <c r="K43" s="213" t="s">
        <v>547</v>
      </c>
      <c r="L43" s="213"/>
      <c r="M43" s="213"/>
      <c r="N43" s="213"/>
      <c r="O43" s="213"/>
      <c r="P43" s="213"/>
      <c r="Q43" s="213"/>
      <c r="R43" s="213"/>
      <c r="S43" s="213" t="s">
        <v>608</v>
      </c>
      <c r="T43" s="213"/>
      <c r="U43" s="213" t="s">
        <v>538</v>
      </c>
      <c r="V43" s="213">
        <v>3</v>
      </c>
      <c r="W43" s="213" t="s">
        <v>566</v>
      </c>
      <c r="X43" s="213" t="s">
        <v>549</v>
      </c>
      <c r="Y43" s="213" t="s">
        <v>549</v>
      </c>
      <c r="Z43" s="212">
        <v>15951</v>
      </c>
      <c r="AA43" s="212">
        <v>1564397</v>
      </c>
      <c r="AB43" s="217">
        <v>1.4864710000000001</v>
      </c>
      <c r="AC43" s="217">
        <v>2.3922490000000001</v>
      </c>
      <c r="AD43" s="212">
        <f t="shared" si="0"/>
        <v>2325430.7729870002</v>
      </c>
      <c r="AE43"/>
    </row>
    <row r="44" spans="2:31" s="66" customFormat="1" x14ac:dyDescent="0.15">
      <c r="B44" s="213">
        <v>17031002210</v>
      </c>
      <c r="C44" s="213">
        <v>17031000299</v>
      </c>
      <c r="D44" s="213">
        <v>17031000296</v>
      </c>
      <c r="E44" s="213" t="s">
        <v>533</v>
      </c>
      <c r="F44" s="213" t="s">
        <v>534</v>
      </c>
      <c r="G44" s="213" t="s">
        <v>365</v>
      </c>
      <c r="H44" s="213" t="s">
        <v>382</v>
      </c>
      <c r="I44" s="213"/>
      <c r="J44" s="213" t="s">
        <v>535</v>
      </c>
      <c r="K44" s="213" t="s">
        <v>552</v>
      </c>
      <c r="L44" s="213"/>
      <c r="M44" s="213"/>
      <c r="N44" s="213"/>
      <c r="O44" s="213"/>
      <c r="P44" s="213"/>
      <c r="Q44" s="213"/>
      <c r="R44" s="213"/>
      <c r="S44" s="213" t="s">
        <v>586</v>
      </c>
      <c r="T44" s="213"/>
      <c r="U44" s="213" t="s">
        <v>538</v>
      </c>
      <c r="V44" s="213">
        <v>2</v>
      </c>
      <c r="W44" s="213" t="s">
        <v>582</v>
      </c>
      <c r="X44" s="213" t="s">
        <v>549</v>
      </c>
      <c r="Y44" s="213" t="s">
        <v>580</v>
      </c>
      <c r="Z44" s="212">
        <v>622176</v>
      </c>
      <c r="AA44" s="212">
        <v>48764955</v>
      </c>
      <c r="AB44" s="217">
        <v>1.1490419999999999</v>
      </c>
      <c r="AC44" s="217">
        <v>1.849207</v>
      </c>
      <c r="AD44" s="212">
        <f t="shared" si="0"/>
        <v>56032981.423109993</v>
      </c>
      <c r="AE44"/>
    </row>
    <row r="45" spans="2:31" s="66" customFormat="1" x14ac:dyDescent="0.15">
      <c r="B45" s="213">
        <v>17031002214</v>
      </c>
      <c r="C45" s="213">
        <v>17031000545</v>
      </c>
      <c r="D45" s="213">
        <v>17031000536</v>
      </c>
      <c r="E45" s="213" t="s">
        <v>533</v>
      </c>
      <c r="F45" s="213" t="s">
        <v>534</v>
      </c>
      <c r="G45" s="213" t="s">
        <v>365</v>
      </c>
      <c r="H45" s="213" t="s">
        <v>382</v>
      </c>
      <c r="I45" s="213"/>
      <c r="J45" s="213" t="s">
        <v>572</v>
      </c>
      <c r="K45" s="213"/>
      <c r="L45" s="213"/>
      <c r="M45" s="213"/>
      <c r="N45" s="213"/>
      <c r="O45" s="213"/>
      <c r="P45" s="213"/>
      <c r="Q45" s="213"/>
      <c r="R45" s="213"/>
      <c r="S45" s="213" t="s">
        <v>650</v>
      </c>
      <c r="T45" s="213" t="s">
        <v>626</v>
      </c>
      <c r="U45" s="213" t="s">
        <v>559</v>
      </c>
      <c r="V45" s="213">
        <v>1</v>
      </c>
      <c r="W45" s="213" t="s">
        <v>539</v>
      </c>
      <c r="X45" s="213" t="s">
        <v>541</v>
      </c>
      <c r="Y45" s="213" t="s">
        <v>541</v>
      </c>
      <c r="Z45" s="212">
        <v>0</v>
      </c>
      <c r="AA45" s="212">
        <v>0</v>
      </c>
      <c r="AB45" s="217">
        <v>0.532447</v>
      </c>
      <c r="AC45" s="217">
        <v>0.85689300000000002</v>
      </c>
      <c r="AD45" s="212">
        <f t="shared" si="0"/>
        <v>0</v>
      </c>
      <c r="AE45"/>
    </row>
    <row r="46" spans="2:31" s="66" customFormat="1" x14ac:dyDescent="0.15">
      <c r="B46" s="213">
        <v>17031002215</v>
      </c>
      <c r="C46" s="213">
        <v>17031000558</v>
      </c>
      <c r="D46" s="213">
        <v>17031000546</v>
      </c>
      <c r="E46" s="213" t="s">
        <v>533</v>
      </c>
      <c r="F46" s="213" t="s">
        <v>534</v>
      </c>
      <c r="G46" s="213" t="s">
        <v>365</v>
      </c>
      <c r="H46" s="213" t="s">
        <v>382</v>
      </c>
      <c r="I46" s="213"/>
      <c r="J46" s="213"/>
      <c r="K46" s="213"/>
      <c r="L46" s="213"/>
      <c r="M46" s="213"/>
      <c r="N46" s="213"/>
      <c r="O46" s="213"/>
      <c r="P46" s="213"/>
      <c r="Q46" s="213"/>
      <c r="R46" s="213"/>
      <c r="S46" s="213"/>
      <c r="T46" s="213"/>
      <c r="U46" s="213" t="s">
        <v>538</v>
      </c>
      <c r="V46" s="213">
        <v>1</v>
      </c>
      <c r="W46" s="213" t="s">
        <v>545</v>
      </c>
      <c r="X46" s="213" t="s">
        <v>541</v>
      </c>
      <c r="Y46" s="213" t="s">
        <v>554</v>
      </c>
      <c r="Z46" s="212">
        <v>745057</v>
      </c>
      <c r="AA46" s="212">
        <v>23748867</v>
      </c>
      <c r="AB46" s="217">
        <v>0.27313999999999999</v>
      </c>
      <c r="AC46" s="217">
        <v>0.43957800000000002</v>
      </c>
      <c r="AD46" s="212">
        <f t="shared" si="0"/>
        <v>6486765.5323799998</v>
      </c>
      <c r="AE46"/>
    </row>
    <row r="47" spans="2:31" s="66" customFormat="1" x14ac:dyDescent="0.15">
      <c r="B47" s="213">
        <v>17031002218</v>
      </c>
      <c r="C47" s="213">
        <v>17031004589</v>
      </c>
      <c r="D47" s="213">
        <v>17031000259</v>
      </c>
      <c r="E47" s="213" t="s">
        <v>533</v>
      </c>
      <c r="F47" s="213" t="s">
        <v>534</v>
      </c>
      <c r="G47" s="213" t="s">
        <v>365</v>
      </c>
      <c r="H47" s="213" t="s">
        <v>382</v>
      </c>
      <c r="I47" s="213"/>
      <c r="J47" s="213" t="s">
        <v>535</v>
      </c>
      <c r="K47" s="213" t="s">
        <v>552</v>
      </c>
      <c r="L47" s="213"/>
      <c r="M47" s="213"/>
      <c r="N47" s="213"/>
      <c r="O47" s="213"/>
      <c r="P47" s="213"/>
      <c r="Q47" s="213"/>
      <c r="R47" s="213"/>
      <c r="S47" s="213" t="s">
        <v>586</v>
      </c>
      <c r="T47" s="213"/>
      <c r="U47" s="213" t="s">
        <v>538</v>
      </c>
      <c r="V47" s="213">
        <v>2</v>
      </c>
      <c r="W47" s="213" t="s">
        <v>582</v>
      </c>
      <c r="X47" s="213" t="s">
        <v>549</v>
      </c>
      <c r="Y47" s="213" t="s">
        <v>580</v>
      </c>
      <c r="Z47" s="212">
        <v>622176</v>
      </c>
      <c r="AA47" s="212">
        <v>48764955</v>
      </c>
      <c r="AB47" s="217">
        <v>1.0306690000000001</v>
      </c>
      <c r="AC47" s="217">
        <v>1.6587050000000001</v>
      </c>
      <c r="AD47" s="212">
        <f t="shared" si="0"/>
        <v>50260527.404895</v>
      </c>
      <c r="AE47"/>
    </row>
    <row r="48" spans="2:31" s="66" customFormat="1" x14ac:dyDescent="0.15">
      <c r="B48" s="213">
        <v>17031002220</v>
      </c>
      <c r="C48" s="213">
        <v>17031004579</v>
      </c>
      <c r="D48" s="213">
        <v>17031004578</v>
      </c>
      <c r="E48" s="213" t="s">
        <v>533</v>
      </c>
      <c r="F48" s="213" t="s">
        <v>534</v>
      </c>
      <c r="G48" s="213" t="s">
        <v>365</v>
      </c>
      <c r="H48" s="213" t="s">
        <v>382</v>
      </c>
      <c r="I48" s="213"/>
      <c r="J48" s="213" t="s">
        <v>547</v>
      </c>
      <c r="K48" s="213"/>
      <c r="L48" s="213"/>
      <c r="M48" s="213"/>
      <c r="N48" s="213"/>
      <c r="O48" s="213"/>
      <c r="P48" s="213"/>
      <c r="Q48" s="213"/>
      <c r="R48" s="213"/>
      <c r="S48" s="213" t="s">
        <v>565</v>
      </c>
      <c r="T48" s="213"/>
      <c r="U48" s="213" t="s">
        <v>538</v>
      </c>
      <c r="V48" s="213">
        <v>2</v>
      </c>
      <c r="W48" s="213" t="s">
        <v>566</v>
      </c>
      <c r="X48" s="213" t="s">
        <v>549</v>
      </c>
      <c r="Y48" s="213" t="s">
        <v>541</v>
      </c>
      <c r="Z48" s="212">
        <v>0</v>
      </c>
      <c r="AA48" s="212">
        <v>0</v>
      </c>
      <c r="AB48" s="217">
        <v>0.719634</v>
      </c>
      <c r="AC48" s="217">
        <v>1.1581399999999999</v>
      </c>
      <c r="AD48" s="212">
        <f t="shared" si="0"/>
        <v>0</v>
      </c>
      <c r="AE48"/>
    </row>
    <row r="49" spans="2:31" s="66" customFormat="1" x14ac:dyDescent="0.15">
      <c r="B49" s="213">
        <v>17031002224</v>
      </c>
      <c r="C49" s="213">
        <v>17031000539</v>
      </c>
      <c r="D49" s="213">
        <v>17031000533</v>
      </c>
      <c r="E49" s="213" t="s">
        <v>533</v>
      </c>
      <c r="F49" s="213" t="s">
        <v>534</v>
      </c>
      <c r="G49" s="213" t="s">
        <v>365</v>
      </c>
      <c r="H49" s="213" t="s">
        <v>382</v>
      </c>
      <c r="I49" s="213"/>
      <c r="J49" s="213"/>
      <c r="K49" s="213"/>
      <c r="L49" s="213"/>
      <c r="M49" s="213"/>
      <c r="N49" s="213"/>
      <c r="O49" s="213"/>
      <c r="P49" s="213"/>
      <c r="Q49" s="213"/>
      <c r="R49" s="213"/>
      <c r="S49" s="213"/>
      <c r="T49" s="213" t="s">
        <v>626</v>
      </c>
      <c r="U49" s="213" t="s">
        <v>559</v>
      </c>
      <c r="V49" s="213">
        <v>1</v>
      </c>
      <c r="W49" s="213" t="s">
        <v>539</v>
      </c>
      <c r="X49" s="213" t="s">
        <v>541</v>
      </c>
      <c r="Y49" s="213" t="s">
        <v>541</v>
      </c>
      <c r="Z49" s="212">
        <v>0</v>
      </c>
      <c r="AA49" s="212">
        <v>0</v>
      </c>
      <c r="AB49" s="217">
        <v>1.381202</v>
      </c>
      <c r="AC49" s="217">
        <v>2.2228340000000002</v>
      </c>
      <c r="AD49" s="212">
        <f t="shared" si="0"/>
        <v>0</v>
      </c>
      <c r="AE49"/>
    </row>
    <row r="50" spans="2:31" s="66" customFormat="1" x14ac:dyDescent="0.15">
      <c r="B50" s="213">
        <v>17031002234</v>
      </c>
      <c r="C50" s="213">
        <v>17031007545</v>
      </c>
      <c r="D50" s="213">
        <v>17999019825</v>
      </c>
      <c r="E50" s="213" t="s">
        <v>533</v>
      </c>
      <c r="F50" s="213" t="s">
        <v>534</v>
      </c>
      <c r="G50" s="213" t="s">
        <v>365</v>
      </c>
      <c r="H50" s="213" t="s">
        <v>552</v>
      </c>
      <c r="I50" s="213"/>
      <c r="J50" s="213" t="s">
        <v>547</v>
      </c>
      <c r="K50" s="213"/>
      <c r="L50" s="213"/>
      <c r="M50" s="213"/>
      <c r="N50" s="213"/>
      <c r="O50" s="213"/>
      <c r="P50" s="213"/>
      <c r="Q50" s="213"/>
      <c r="R50" s="213"/>
      <c r="S50" s="213" t="s">
        <v>589</v>
      </c>
      <c r="T50" s="213"/>
      <c r="U50" s="213" t="s">
        <v>538</v>
      </c>
      <c r="V50" s="213">
        <v>2</v>
      </c>
      <c r="W50" s="213" t="s">
        <v>545</v>
      </c>
      <c r="X50" s="213" t="s">
        <v>549</v>
      </c>
      <c r="Y50" s="213" t="s">
        <v>540</v>
      </c>
      <c r="Z50" s="212">
        <v>62891</v>
      </c>
      <c r="AA50" s="212">
        <v>6630348</v>
      </c>
      <c r="AB50" s="217">
        <v>1.114495</v>
      </c>
      <c r="AC50" s="217">
        <v>1.793609</v>
      </c>
      <c r="AD50" s="212">
        <f t="shared" si="0"/>
        <v>7389489.6942600003</v>
      </c>
      <c r="AE50"/>
    </row>
    <row r="51" spans="2:31" s="66" customFormat="1" x14ac:dyDescent="0.15">
      <c r="B51" s="213">
        <v>17031002239</v>
      </c>
      <c r="C51" s="213">
        <v>17031000460</v>
      </c>
      <c r="D51" s="213">
        <v>17031004637</v>
      </c>
      <c r="E51" s="213" t="s">
        <v>533</v>
      </c>
      <c r="F51" s="213" t="s">
        <v>534</v>
      </c>
      <c r="G51" s="213" t="s">
        <v>365</v>
      </c>
      <c r="H51" s="213" t="s">
        <v>552</v>
      </c>
      <c r="I51" s="213"/>
      <c r="J51" s="213" t="s">
        <v>551</v>
      </c>
      <c r="K51" s="213" t="s">
        <v>547</v>
      </c>
      <c r="L51" s="213" t="s">
        <v>382</v>
      </c>
      <c r="M51" s="213" t="s">
        <v>563</v>
      </c>
      <c r="N51" s="213"/>
      <c r="O51" s="213"/>
      <c r="P51" s="213"/>
      <c r="Q51" s="213"/>
      <c r="R51" s="213"/>
      <c r="S51" s="213" t="s">
        <v>589</v>
      </c>
      <c r="T51" s="213"/>
      <c r="U51" s="213" t="s">
        <v>538</v>
      </c>
      <c r="V51" s="213">
        <v>3</v>
      </c>
      <c r="W51" s="213" t="s">
        <v>545</v>
      </c>
      <c r="X51" s="213" t="s">
        <v>549</v>
      </c>
      <c r="Y51" s="213" t="s">
        <v>549</v>
      </c>
      <c r="Z51" s="212">
        <v>244221</v>
      </c>
      <c r="AA51" s="212">
        <v>19989495</v>
      </c>
      <c r="AB51" s="217">
        <v>1.187565</v>
      </c>
      <c r="AC51" s="217">
        <v>1.9112039999999999</v>
      </c>
      <c r="AD51" s="212">
        <f t="shared" si="0"/>
        <v>23738824.629675001</v>
      </c>
      <c r="AE51"/>
    </row>
    <row r="52" spans="2:31" s="66" customFormat="1" x14ac:dyDescent="0.15">
      <c r="B52" s="213">
        <v>17031002240</v>
      </c>
      <c r="C52" s="213">
        <v>17031004638</v>
      </c>
      <c r="D52" s="213">
        <v>17031000460</v>
      </c>
      <c r="E52" s="213" t="s">
        <v>533</v>
      </c>
      <c r="F52" s="213" t="s">
        <v>534</v>
      </c>
      <c r="G52" s="213" t="s">
        <v>365</v>
      </c>
      <c r="H52" s="213" t="s">
        <v>552</v>
      </c>
      <c r="I52" s="213"/>
      <c r="J52" s="213" t="s">
        <v>551</v>
      </c>
      <c r="K52" s="213" t="s">
        <v>547</v>
      </c>
      <c r="L52" s="213" t="s">
        <v>382</v>
      </c>
      <c r="M52" s="213" t="s">
        <v>563</v>
      </c>
      <c r="N52" s="213"/>
      <c r="O52" s="213"/>
      <c r="P52" s="213"/>
      <c r="Q52" s="213"/>
      <c r="R52" s="213"/>
      <c r="S52" s="213" t="s">
        <v>589</v>
      </c>
      <c r="T52" s="213"/>
      <c r="U52" s="213" t="s">
        <v>538</v>
      </c>
      <c r="V52" s="213">
        <v>3</v>
      </c>
      <c r="W52" s="213" t="s">
        <v>545</v>
      </c>
      <c r="X52" s="213" t="s">
        <v>549</v>
      </c>
      <c r="Y52" s="213" t="s">
        <v>549</v>
      </c>
      <c r="Z52" s="212">
        <v>244221</v>
      </c>
      <c r="AA52" s="212">
        <v>19989495</v>
      </c>
      <c r="AB52" s="217">
        <v>0.71111199999999997</v>
      </c>
      <c r="AC52" s="217">
        <v>1.1444259999999999</v>
      </c>
      <c r="AD52" s="212">
        <f t="shared" si="0"/>
        <v>14214769.768439999</v>
      </c>
      <c r="AE52"/>
    </row>
    <row r="53" spans="2:31" s="66" customFormat="1" x14ac:dyDescent="0.15">
      <c r="B53" s="213">
        <v>17031002250</v>
      </c>
      <c r="C53" s="213">
        <v>17031000571</v>
      </c>
      <c r="D53" s="213">
        <v>17031000570</v>
      </c>
      <c r="E53" s="213" t="s">
        <v>533</v>
      </c>
      <c r="F53" s="213" t="s">
        <v>534</v>
      </c>
      <c r="G53" s="213" t="s">
        <v>365</v>
      </c>
      <c r="H53" s="213" t="s">
        <v>382</v>
      </c>
      <c r="I53" s="213"/>
      <c r="J53" s="213" t="s">
        <v>572</v>
      </c>
      <c r="K53" s="213" t="s">
        <v>547</v>
      </c>
      <c r="L53" s="213"/>
      <c r="M53" s="213"/>
      <c r="N53" s="213"/>
      <c r="O53" s="213"/>
      <c r="P53" s="213"/>
      <c r="Q53" s="213"/>
      <c r="R53" s="213"/>
      <c r="S53" s="213" t="s">
        <v>583</v>
      </c>
      <c r="T53" s="213" t="s">
        <v>674</v>
      </c>
      <c r="U53" s="213" t="s">
        <v>538</v>
      </c>
      <c r="V53" s="213">
        <v>4</v>
      </c>
      <c r="W53" s="213" t="s">
        <v>545</v>
      </c>
      <c r="X53" s="213" t="s">
        <v>540</v>
      </c>
      <c r="Y53" s="213" t="s">
        <v>580</v>
      </c>
      <c r="Z53" s="212">
        <v>1094381</v>
      </c>
      <c r="AA53" s="212">
        <v>33287005</v>
      </c>
      <c r="AB53" s="217">
        <v>0.21460799999999999</v>
      </c>
      <c r="AC53" s="217">
        <v>0.34537800000000002</v>
      </c>
      <c r="AD53" s="212">
        <f t="shared" si="0"/>
        <v>7143657.5690399995</v>
      </c>
      <c r="AE53"/>
    </row>
    <row r="54" spans="2:31" s="66" customFormat="1" x14ac:dyDescent="0.15">
      <c r="B54" s="213">
        <v>17031002251</v>
      </c>
      <c r="C54" s="213">
        <v>17031000577</v>
      </c>
      <c r="D54" s="213">
        <v>17031004652</v>
      </c>
      <c r="E54" s="213" t="s">
        <v>533</v>
      </c>
      <c r="F54" s="213" t="s">
        <v>534</v>
      </c>
      <c r="G54" s="213" t="s">
        <v>365</v>
      </c>
      <c r="H54" s="213" t="s">
        <v>382</v>
      </c>
      <c r="I54" s="213"/>
      <c r="J54" s="213" t="s">
        <v>572</v>
      </c>
      <c r="K54" s="213" t="s">
        <v>547</v>
      </c>
      <c r="L54" s="213"/>
      <c r="M54" s="213"/>
      <c r="N54" s="213"/>
      <c r="O54" s="213"/>
      <c r="P54" s="213"/>
      <c r="Q54" s="213"/>
      <c r="R54" s="213"/>
      <c r="S54" s="213" t="s">
        <v>583</v>
      </c>
      <c r="T54" s="213"/>
      <c r="U54" s="213" t="s">
        <v>538</v>
      </c>
      <c r="V54" s="213">
        <v>3</v>
      </c>
      <c r="W54" s="213" t="s">
        <v>545</v>
      </c>
      <c r="X54" s="213" t="s">
        <v>549</v>
      </c>
      <c r="Y54" s="213" t="s">
        <v>580</v>
      </c>
      <c r="Z54" s="212">
        <v>1094381</v>
      </c>
      <c r="AA54" s="212">
        <v>33287005</v>
      </c>
      <c r="AB54" s="217">
        <v>0.40878399999999998</v>
      </c>
      <c r="AC54" s="217">
        <v>0.65787600000000002</v>
      </c>
      <c r="AD54" s="212">
        <f t="shared" si="0"/>
        <v>13607195.051919999</v>
      </c>
      <c r="AE54"/>
    </row>
    <row r="55" spans="2:31" s="66" customFormat="1" x14ac:dyDescent="0.15">
      <c r="B55" s="213">
        <v>17031002253</v>
      </c>
      <c r="C55" s="213">
        <v>17031000811</v>
      </c>
      <c r="D55" s="213">
        <v>17031007764</v>
      </c>
      <c r="E55" s="213" t="s">
        <v>533</v>
      </c>
      <c r="F55" s="213" t="s">
        <v>534</v>
      </c>
      <c r="G55" s="213" t="s">
        <v>365</v>
      </c>
      <c r="H55" s="213" t="s">
        <v>557</v>
      </c>
      <c r="I55" s="213"/>
      <c r="J55" s="213" t="s">
        <v>535</v>
      </c>
      <c r="K55" s="213" t="s">
        <v>552</v>
      </c>
      <c r="L55" s="213" t="s">
        <v>543</v>
      </c>
      <c r="M55" s="213" t="s">
        <v>382</v>
      </c>
      <c r="N55" s="213"/>
      <c r="O55" s="213"/>
      <c r="P55" s="213"/>
      <c r="Q55" s="213"/>
      <c r="R55" s="213"/>
      <c r="S55" s="213" t="s">
        <v>570</v>
      </c>
      <c r="T55" s="213"/>
      <c r="U55" s="213" t="s">
        <v>538</v>
      </c>
      <c r="V55" s="213">
        <v>2</v>
      </c>
      <c r="W55" s="213" t="s">
        <v>545</v>
      </c>
      <c r="X55" s="213" t="s">
        <v>540</v>
      </c>
      <c r="Y55" s="213" t="s">
        <v>580</v>
      </c>
      <c r="Z55" s="212">
        <v>1551932</v>
      </c>
      <c r="AA55" s="212">
        <v>61687731</v>
      </c>
      <c r="AB55" s="217">
        <v>2.0407709999999999</v>
      </c>
      <c r="AC55" s="217">
        <v>3.2843100000000001</v>
      </c>
      <c r="AD55" s="212">
        <f t="shared" si="0"/>
        <v>125890532.480601</v>
      </c>
      <c r="AE55"/>
    </row>
    <row r="56" spans="2:31" s="66" customFormat="1" x14ac:dyDescent="0.15">
      <c r="B56" s="213">
        <v>17031002254</v>
      </c>
      <c r="C56" s="213">
        <v>17031004662</v>
      </c>
      <c r="D56" s="213">
        <v>17031004663</v>
      </c>
      <c r="E56" s="213" t="s">
        <v>533</v>
      </c>
      <c r="F56" s="213" t="s">
        <v>534</v>
      </c>
      <c r="G56" s="213" t="s">
        <v>365</v>
      </c>
      <c r="H56" s="213" t="s">
        <v>381</v>
      </c>
      <c r="I56" s="213"/>
      <c r="J56" s="213" t="s">
        <v>542</v>
      </c>
      <c r="K56" s="213" t="s">
        <v>547</v>
      </c>
      <c r="L56" s="213" t="s">
        <v>382</v>
      </c>
      <c r="M56" s="213"/>
      <c r="N56" s="213"/>
      <c r="O56" s="213"/>
      <c r="P56" s="213"/>
      <c r="Q56" s="213"/>
      <c r="R56" s="213"/>
      <c r="S56" s="213" t="s">
        <v>579</v>
      </c>
      <c r="T56" s="213"/>
      <c r="U56" s="213" t="s">
        <v>538</v>
      </c>
      <c r="V56" s="213">
        <v>3</v>
      </c>
      <c r="W56" s="213" t="s">
        <v>545</v>
      </c>
      <c r="X56" s="213" t="s">
        <v>549</v>
      </c>
      <c r="Y56" s="213" t="s">
        <v>580</v>
      </c>
      <c r="Z56" s="212">
        <v>2414957</v>
      </c>
      <c r="AA56" s="212">
        <v>66249232</v>
      </c>
      <c r="AB56" s="217">
        <v>0.49629800000000002</v>
      </c>
      <c r="AC56" s="217">
        <v>0.79871599999999998</v>
      </c>
      <c r="AD56" s="212">
        <f t="shared" si="0"/>
        <v>32879361.343136001</v>
      </c>
      <c r="AE56"/>
    </row>
    <row r="57" spans="2:31" s="66" customFormat="1" x14ac:dyDescent="0.15">
      <c r="B57" s="213">
        <v>17031002255</v>
      </c>
      <c r="C57" s="213">
        <v>17031004661</v>
      </c>
      <c r="D57" s="213">
        <v>17031004662</v>
      </c>
      <c r="E57" s="213" t="s">
        <v>533</v>
      </c>
      <c r="F57" s="213" t="s">
        <v>534</v>
      </c>
      <c r="G57" s="213" t="s">
        <v>365</v>
      </c>
      <c r="H57" s="213" t="s">
        <v>381</v>
      </c>
      <c r="I57" s="213"/>
      <c r="J57" s="213" t="s">
        <v>542</v>
      </c>
      <c r="K57" s="213" t="s">
        <v>547</v>
      </c>
      <c r="L57" s="213" t="s">
        <v>382</v>
      </c>
      <c r="M57" s="213"/>
      <c r="N57" s="213"/>
      <c r="O57" s="213"/>
      <c r="P57" s="213"/>
      <c r="Q57" s="213"/>
      <c r="R57" s="213"/>
      <c r="S57" s="213" t="s">
        <v>579</v>
      </c>
      <c r="T57" s="213"/>
      <c r="U57" s="213" t="s">
        <v>538</v>
      </c>
      <c r="V57" s="213">
        <v>3</v>
      </c>
      <c r="W57" s="213" t="s">
        <v>545</v>
      </c>
      <c r="X57" s="213" t="s">
        <v>549</v>
      </c>
      <c r="Y57" s="213" t="s">
        <v>580</v>
      </c>
      <c r="Z57" s="212">
        <v>2414957</v>
      </c>
      <c r="AA57" s="212">
        <v>66249232</v>
      </c>
      <c r="AB57" s="217">
        <v>0.45074799999999998</v>
      </c>
      <c r="AC57" s="217">
        <v>0.72541100000000003</v>
      </c>
      <c r="AD57" s="212">
        <f t="shared" si="0"/>
        <v>29861708.825535998</v>
      </c>
      <c r="AE57"/>
    </row>
    <row r="58" spans="2:31" s="66" customFormat="1" x14ac:dyDescent="0.15">
      <c r="B58" s="213">
        <v>17031002257</v>
      </c>
      <c r="C58" s="213">
        <v>17031004659</v>
      </c>
      <c r="D58" s="213">
        <v>17031004660</v>
      </c>
      <c r="E58" s="213" t="s">
        <v>533</v>
      </c>
      <c r="F58" s="213" t="s">
        <v>534</v>
      </c>
      <c r="G58" s="213" t="s">
        <v>365</v>
      </c>
      <c r="H58" s="213" t="s">
        <v>381</v>
      </c>
      <c r="I58" s="213"/>
      <c r="J58" s="213" t="s">
        <v>542</v>
      </c>
      <c r="K58" s="213" t="s">
        <v>547</v>
      </c>
      <c r="L58" s="213" t="s">
        <v>382</v>
      </c>
      <c r="M58" s="213"/>
      <c r="N58" s="213"/>
      <c r="O58" s="213"/>
      <c r="P58" s="213"/>
      <c r="Q58" s="213"/>
      <c r="R58" s="213"/>
      <c r="S58" s="213" t="s">
        <v>579</v>
      </c>
      <c r="T58" s="213"/>
      <c r="U58" s="213" t="s">
        <v>538</v>
      </c>
      <c r="V58" s="213">
        <v>3</v>
      </c>
      <c r="W58" s="213" t="s">
        <v>545</v>
      </c>
      <c r="X58" s="213" t="s">
        <v>549</v>
      </c>
      <c r="Y58" s="213" t="s">
        <v>580</v>
      </c>
      <c r="Z58" s="212">
        <v>2414957</v>
      </c>
      <c r="AA58" s="212">
        <v>66249232</v>
      </c>
      <c r="AB58" s="217">
        <v>0.69520000000000004</v>
      </c>
      <c r="AC58" s="217">
        <v>1.118819</v>
      </c>
      <c r="AD58" s="212">
        <f t="shared" si="0"/>
        <v>46056466.086400002</v>
      </c>
      <c r="AE58"/>
    </row>
    <row r="59" spans="2:31" s="66" customFormat="1" x14ac:dyDescent="0.15">
      <c r="B59" s="213">
        <v>17031002258</v>
      </c>
      <c r="C59" s="213">
        <v>17031000815</v>
      </c>
      <c r="D59" s="213">
        <v>17031000788</v>
      </c>
      <c r="E59" s="213" t="s">
        <v>533</v>
      </c>
      <c r="F59" s="213" t="s">
        <v>534</v>
      </c>
      <c r="G59" s="213" t="s">
        <v>365</v>
      </c>
      <c r="H59" s="213" t="s">
        <v>381</v>
      </c>
      <c r="I59" s="213"/>
      <c r="J59" s="213" t="s">
        <v>542</v>
      </c>
      <c r="K59" s="213" t="s">
        <v>547</v>
      </c>
      <c r="L59" s="213" t="s">
        <v>382</v>
      </c>
      <c r="M59" s="213"/>
      <c r="N59" s="213"/>
      <c r="O59" s="213"/>
      <c r="P59" s="213"/>
      <c r="Q59" s="213"/>
      <c r="R59" s="213"/>
      <c r="S59" s="213" t="s">
        <v>579</v>
      </c>
      <c r="T59" s="213"/>
      <c r="U59" s="213" t="s">
        <v>538</v>
      </c>
      <c r="V59" s="213">
        <v>3</v>
      </c>
      <c r="W59" s="213" t="s">
        <v>545</v>
      </c>
      <c r="X59" s="213" t="s">
        <v>549</v>
      </c>
      <c r="Y59" s="213" t="s">
        <v>580</v>
      </c>
      <c r="Z59" s="212">
        <v>2415997</v>
      </c>
      <c r="AA59" s="212">
        <v>66354712</v>
      </c>
      <c r="AB59" s="217">
        <v>0.49512800000000001</v>
      </c>
      <c r="AC59" s="217">
        <v>0.79683300000000001</v>
      </c>
      <c r="AD59" s="212">
        <f t="shared" si="0"/>
        <v>32854075.843136001</v>
      </c>
      <c r="AE59"/>
    </row>
    <row r="60" spans="2:31" s="66" customFormat="1" x14ac:dyDescent="0.15">
      <c r="B60" s="213">
        <v>17031002263</v>
      </c>
      <c r="C60" s="213">
        <v>17031000417</v>
      </c>
      <c r="D60" s="213">
        <v>17999020140</v>
      </c>
      <c r="E60" s="213" t="s">
        <v>533</v>
      </c>
      <c r="F60" s="213" t="s">
        <v>534</v>
      </c>
      <c r="G60" s="213" t="s">
        <v>365</v>
      </c>
      <c r="H60" s="213" t="s">
        <v>552</v>
      </c>
      <c r="I60" s="213"/>
      <c r="J60" s="213" t="s">
        <v>551</v>
      </c>
      <c r="K60" s="213" t="s">
        <v>547</v>
      </c>
      <c r="L60" s="213" t="s">
        <v>382</v>
      </c>
      <c r="M60" s="213" t="s">
        <v>563</v>
      </c>
      <c r="N60" s="213"/>
      <c r="O60" s="213"/>
      <c r="P60" s="213"/>
      <c r="Q60" s="213"/>
      <c r="R60" s="213"/>
      <c r="S60" s="213" t="s">
        <v>589</v>
      </c>
      <c r="T60" s="213" t="s">
        <v>632</v>
      </c>
      <c r="U60" s="213" t="s">
        <v>538</v>
      </c>
      <c r="V60" s="213">
        <v>2</v>
      </c>
      <c r="W60" s="213" t="s">
        <v>545</v>
      </c>
      <c r="X60" s="213" t="s">
        <v>540</v>
      </c>
      <c r="Y60" s="213" t="s">
        <v>549</v>
      </c>
      <c r="Z60" s="212">
        <v>505257</v>
      </c>
      <c r="AA60" s="212">
        <v>34220158</v>
      </c>
      <c r="AB60" s="217">
        <v>1.8998710000000001</v>
      </c>
      <c r="AC60" s="217">
        <v>3.0575510000000001</v>
      </c>
      <c r="AD60" s="212">
        <f t="shared" si="0"/>
        <v>65013885.799618006</v>
      </c>
      <c r="AE60"/>
    </row>
    <row r="61" spans="2:31" s="66" customFormat="1" x14ac:dyDescent="0.15">
      <c r="B61" s="213">
        <v>17031002271</v>
      </c>
      <c r="C61" s="213">
        <v>17031000780</v>
      </c>
      <c r="D61" s="213">
        <v>17031000778</v>
      </c>
      <c r="E61" s="213" t="s">
        <v>533</v>
      </c>
      <c r="F61" s="213" t="s">
        <v>534</v>
      </c>
      <c r="G61" s="213" t="s">
        <v>365</v>
      </c>
      <c r="H61" s="213" t="s">
        <v>535</v>
      </c>
      <c r="I61" s="213"/>
      <c r="J61" s="213" t="s">
        <v>542</v>
      </c>
      <c r="K61" s="213" t="s">
        <v>572</v>
      </c>
      <c r="L61" s="213" t="s">
        <v>547</v>
      </c>
      <c r="M61" s="213" t="s">
        <v>382</v>
      </c>
      <c r="N61" s="213"/>
      <c r="O61" s="213"/>
      <c r="P61" s="213"/>
      <c r="Q61" s="213"/>
      <c r="R61" s="213"/>
      <c r="S61" s="213" t="s">
        <v>601</v>
      </c>
      <c r="T61" s="213"/>
      <c r="U61" s="213" t="s">
        <v>538</v>
      </c>
      <c r="V61" s="213">
        <v>2</v>
      </c>
      <c r="W61" s="213" t="s">
        <v>545</v>
      </c>
      <c r="X61" s="213" t="s">
        <v>549</v>
      </c>
      <c r="Y61" s="213" t="s">
        <v>540</v>
      </c>
      <c r="Z61" s="212">
        <v>2332</v>
      </c>
      <c r="AA61" s="212">
        <v>215240</v>
      </c>
      <c r="AB61" s="217">
        <v>0.48915900000000001</v>
      </c>
      <c r="AC61" s="217">
        <v>0.78722599999999998</v>
      </c>
      <c r="AD61" s="212">
        <f t="shared" si="0"/>
        <v>105286.58316000001</v>
      </c>
      <c r="AE61"/>
    </row>
    <row r="62" spans="2:31" s="66" customFormat="1" x14ac:dyDescent="0.15">
      <c r="B62" s="213">
        <v>17031002291</v>
      </c>
      <c r="C62" s="213">
        <v>17031004726</v>
      </c>
      <c r="D62" s="213">
        <v>17031001167</v>
      </c>
      <c r="E62" s="213" t="s">
        <v>533</v>
      </c>
      <c r="F62" s="213" t="s">
        <v>534</v>
      </c>
      <c r="G62" s="213" t="s">
        <v>365</v>
      </c>
      <c r="H62" s="213" t="s">
        <v>547</v>
      </c>
      <c r="I62" s="213"/>
      <c r="J62" s="213"/>
      <c r="K62" s="213"/>
      <c r="L62" s="213"/>
      <c r="M62" s="213"/>
      <c r="N62" s="213"/>
      <c r="O62" s="213"/>
      <c r="P62" s="213"/>
      <c r="Q62" s="213"/>
      <c r="R62" s="213"/>
      <c r="S62" s="213"/>
      <c r="T62" s="213"/>
      <c r="U62" s="213" t="s">
        <v>538</v>
      </c>
      <c r="V62" s="213">
        <v>1</v>
      </c>
      <c r="W62" s="213" t="s">
        <v>582</v>
      </c>
      <c r="X62" s="213" t="s">
        <v>541</v>
      </c>
      <c r="Y62" s="213" t="s">
        <v>541</v>
      </c>
      <c r="Z62" s="212">
        <v>0</v>
      </c>
      <c r="AA62" s="212">
        <v>0</v>
      </c>
      <c r="AB62" s="217">
        <v>0.43305700000000003</v>
      </c>
      <c r="AC62" s="217">
        <v>0.69693899999999998</v>
      </c>
      <c r="AD62" s="212">
        <f t="shared" si="0"/>
        <v>0</v>
      </c>
      <c r="AE62"/>
    </row>
    <row r="63" spans="2:31" s="66" customFormat="1" x14ac:dyDescent="0.15">
      <c r="B63" s="213">
        <v>17031002294</v>
      </c>
      <c r="C63" s="213">
        <v>17031001370</v>
      </c>
      <c r="D63" s="213">
        <v>17031001295</v>
      </c>
      <c r="E63" s="213" t="s">
        <v>533</v>
      </c>
      <c r="F63" s="213" t="s">
        <v>534</v>
      </c>
      <c r="G63" s="213" t="s">
        <v>365</v>
      </c>
      <c r="H63" s="213" t="s">
        <v>535</v>
      </c>
      <c r="I63" s="213"/>
      <c r="J63" s="213" t="s">
        <v>542</v>
      </c>
      <c r="K63" s="213" t="s">
        <v>543</v>
      </c>
      <c r="L63" s="213"/>
      <c r="M63" s="213"/>
      <c r="N63" s="213"/>
      <c r="O63" s="213"/>
      <c r="P63" s="213"/>
      <c r="Q63" s="213"/>
      <c r="R63" s="213"/>
      <c r="S63" s="213" t="s">
        <v>544</v>
      </c>
      <c r="T63" s="213"/>
      <c r="U63" s="213" t="s">
        <v>538</v>
      </c>
      <c r="V63" s="213">
        <v>2</v>
      </c>
      <c r="W63" s="213" t="s">
        <v>545</v>
      </c>
      <c r="X63" s="213" t="s">
        <v>549</v>
      </c>
      <c r="Y63" s="213" t="s">
        <v>546</v>
      </c>
      <c r="Z63" s="212">
        <v>41055</v>
      </c>
      <c r="AA63" s="212">
        <v>3783906</v>
      </c>
      <c r="AB63" s="217">
        <v>1.3840159999999999</v>
      </c>
      <c r="AC63" s="217">
        <v>2.2273619999999998</v>
      </c>
      <c r="AD63" s="212">
        <f t="shared" si="0"/>
        <v>5236986.4464959996</v>
      </c>
      <c r="AE63"/>
    </row>
    <row r="64" spans="2:31" s="66" customFormat="1" x14ac:dyDescent="0.15">
      <c r="B64" s="213">
        <v>17031002300</v>
      </c>
      <c r="C64" s="213">
        <v>17031001382</v>
      </c>
      <c r="D64" s="213">
        <v>17031001376</v>
      </c>
      <c r="E64" s="213" t="s">
        <v>533</v>
      </c>
      <c r="F64" s="213" t="s">
        <v>534</v>
      </c>
      <c r="G64" s="213" t="s">
        <v>365</v>
      </c>
      <c r="H64" s="213" t="s">
        <v>382</v>
      </c>
      <c r="I64" s="213"/>
      <c r="J64" s="213" t="s">
        <v>542</v>
      </c>
      <c r="K64" s="213" t="s">
        <v>551</v>
      </c>
      <c r="L64" s="213" t="s">
        <v>555</v>
      </c>
      <c r="M64" s="213" t="s">
        <v>552</v>
      </c>
      <c r="N64" s="213"/>
      <c r="O64" s="213"/>
      <c r="P64" s="213"/>
      <c r="Q64" s="213"/>
      <c r="R64" s="213"/>
      <c r="S64" s="213" t="s">
        <v>556</v>
      </c>
      <c r="T64" s="213"/>
      <c r="U64" s="213" t="s">
        <v>538</v>
      </c>
      <c r="V64" s="213">
        <v>2</v>
      </c>
      <c r="W64" s="213" t="s">
        <v>545</v>
      </c>
      <c r="X64" s="213" t="s">
        <v>540</v>
      </c>
      <c r="Y64" s="213" t="s">
        <v>546</v>
      </c>
      <c r="Z64" s="212">
        <v>679825</v>
      </c>
      <c r="AA64" s="212">
        <v>32130584</v>
      </c>
      <c r="AB64" s="217">
        <v>0.219865</v>
      </c>
      <c r="AC64" s="217">
        <v>0.35383900000000001</v>
      </c>
      <c r="AD64" s="212">
        <f t="shared" si="0"/>
        <v>7064390.8511600001</v>
      </c>
      <c r="AE64"/>
    </row>
    <row r="65" spans="2:31" s="66" customFormat="1" x14ac:dyDescent="0.15">
      <c r="B65" s="213">
        <v>17031002303</v>
      </c>
      <c r="C65" s="213">
        <v>17031001394</v>
      </c>
      <c r="D65" s="213">
        <v>17031001397</v>
      </c>
      <c r="E65" s="213" t="s">
        <v>533</v>
      </c>
      <c r="F65" s="213" t="s">
        <v>534</v>
      </c>
      <c r="G65" s="213" t="s">
        <v>365</v>
      </c>
      <c r="H65" s="213" t="s">
        <v>551</v>
      </c>
      <c r="I65" s="213"/>
      <c r="J65" s="213"/>
      <c r="K65" s="213"/>
      <c r="L65" s="213"/>
      <c r="M65" s="213"/>
      <c r="N65" s="213"/>
      <c r="O65" s="213"/>
      <c r="P65" s="213"/>
      <c r="Q65" s="213"/>
      <c r="R65" s="213"/>
      <c r="S65" s="213" t="s">
        <v>603</v>
      </c>
      <c r="T65" s="213"/>
      <c r="U65" s="213" t="s">
        <v>538</v>
      </c>
      <c r="V65" s="213">
        <v>2</v>
      </c>
      <c r="W65" s="213" t="s">
        <v>545</v>
      </c>
      <c r="X65" s="213" t="s">
        <v>554</v>
      </c>
      <c r="Y65" s="213" t="s">
        <v>575</v>
      </c>
      <c r="Z65" s="212">
        <v>1671878</v>
      </c>
      <c r="AA65" s="212">
        <v>66618044</v>
      </c>
      <c r="AB65" s="217">
        <v>1.093845</v>
      </c>
      <c r="AC65" s="217">
        <v>1.7603770000000001</v>
      </c>
      <c r="AD65" s="212">
        <f t="shared" si="0"/>
        <v>72869814.339179993</v>
      </c>
      <c r="AE65"/>
    </row>
    <row r="66" spans="2:31" s="66" customFormat="1" x14ac:dyDescent="0.15">
      <c r="B66" s="213">
        <v>17031002329</v>
      </c>
      <c r="C66" s="213">
        <v>17031001443</v>
      </c>
      <c r="D66" s="213">
        <v>17031001429</v>
      </c>
      <c r="E66" s="213" t="s">
        <v>533</v>
      </c>
      <c r="F66" s="213" t="s">
        <v>534</v>
      </c>
      <c r="G66" s="213" t="s">
        <v>365</v>
      </c>
      <c r="H66" s="213" t="s">
        <v>382</v>
      </c>
      <c r="I66" s="213"/>
      <c r="J66" s="213" t="s">
        <v>551</v>
      </c>
      <c r="K66" s="213" t="s">
        <v>555</v>
      </c>
      <c r="L66" s="213" t="s">
        <v>552</v>
      </c>
      <c r="M66" s="213"/>
      <c r="N66" s="213"/>
      <c r="O66" s="213"/>
      <c r="P66" s="213"/>
      <c r="Q66" s="213"/>
      <c r="R66" s="213"/>
      <c r="S66" s="213" t="s">
        <v>556</v>
      </c>
      <c r="T66" s="213"/>
      <c r="U66" s="213" t="s">
        <v>538</v>
      </c>
      <c r="V66" s="213">
        <v>2</v>
      </c>
      <c r="W66" s="213" t="s">
        <v>545</v>
      </c>
      <c r="X66" s="213" t="s">
        <v>540</v>
      </c>
      <c r="Y66" s="213" t="s">
        <v>580</v>
      </c>
      <c r="Z66" s="212">
        <v>845989</v>
      </c>
      <c r="AA66" s="212">
        <v>33419591</v>
      </c>
      <c r="AB66" s="217">
        <v>1.4964999999999999</v>
      </c>
      <c r="AC66" s="217">
        <v>2.408388</v>
      </c>
      <c r="AD66" s="212">
        <f t="shared" si="0"/>
        <v>50012417.931499995</v>
      </c>
      <c r="AE66"/>
    </row>
    <row r="67" spans="2:31" s="66" customFormat="1" x14ac:dyDescent="0.15">
      <c r="B67" s="213">
        <v>17031002344</v>
      </c>
      <c r="C67" s="213">
        <v>17031000528</v>
      </c>
      <c r="D67" s="213">
        <v>17031004648</v>
      </c>
      <c r="E67" s="213" t="s">
        <v>533</v>
      </c>
      <c r="F67" s="213" t="s">
        <v>534</v>
      </c>
      <c r="G67" s="213" t="s">
        <v>365</v>
      </c>
      <c r="H67" s="213" t="s">
        <v>382</v>
      </c>
      <c r="I67" s="213"/>
      <c r="J67" s="213"/>
      <c r="K67" s="213"/>
      <c r="L67" s="213"/>
      <c r="M67" s="213"/>
      <c r="N67" s="213"/>
      <c r="O67" s="213"/>
      <c r="P67" s="213"/>
      <c r="Q67" s="213"/>
      <c r="R67" s="213"/>
      <c r="S67" s="213" t="s">
        <v>650</v>
      </c>
      <c r="T67" s="213" t="s">
        <v>626</v>
      </c>
      <c r="U67" s="213" t="s">
        <v>559</v>
      </c>
      <c r="V67" s="213">
        <v>1</v>
      </c>
      <c r="W67" s="213" t="s">
        <v>539</v>
      </c>
      <c r="X67" s="213" t="s">
        <v>541</v>
      </c>
      <c r="Y67" s="213" t="s">
        <v>541</v>
      </c>
      <c r="Z67" s="212">
        <v>1950</v>
      </c>
      <c r="AA67" s="212">
        <v>187344</v>
      </c>
      <c r="AB67" s="217">
        <v>0.63317299999999999</v>
      </c>
      <c r="AC67" s="217">
        <v>1.018994</v>
      </c>
      <c r="AD67" s="212">
        <f t="shared" si="0"/>
        <v>118621.162512</v>
      </c>
      <c r="AE67"/>
    </row>
    <row r="68" spans="2:31" s="66" customFormat="1" x14ac:dyDescent="0.15">
      <c r="B68" s="213">
        <v>17031002351</v>
      </c>
      <c r="C68" s="213">
        <v>17031000567</v>
      </c>
      <c r="D68" s="213">
        <v>17031000562</v>
      </c>
      <c r="E68" s="213" t="s">
        <v>533</v>
      </c>
      <c r="F68" s="213" t="s">
        <v>534</v>
      </c>
      <c r="G68" s="213" t="s">
        <v>365</v>
      </c>
      <c r="H68" s="213" t="s">
        <v>552</v>
      </c>
      <c r="I68" s="213"/>
      <c r="J68" s="213" t="s">
        <v>542</v>
      </c>
      <c r="K68" s="213" t="s">
        <v>547</v>
      </c>
      <c r="L68" s="213"/>
      <c r="M68" s="213"/>
      <c r="N68" s="213"/>
      <c r="O68" s="213"/>
      <c r="P68" s="213"/>
      <c r="Q68" s="213"/>
      <c r="R68" s="213"/>
      <c r="S68" s="213" t="s">
        <v>564</v>
      </c>
      <c r="T68" s="213"/>
      <c r="U68" s="213" t="s">
        <v>538</v>
      </c>
      <c r="V68" s="213">
        <v>3</v>
      </c>
      <c r="W68" s="213" t="s">
        <v>545</v>
      </c>
      <c r="X68" s="213" t="s">
        <v>541</v>
      </c>
      <c r="Y68" s="213" t="s">
        <v>541</v>
      </c>
      <c r="Z68" s="212">
        <v>74113</v>
      </c>
      <c r="AA68" s="212">
        <v>5380834</v>
      </c>
      <c r="AB68" s="217">
        <v>7.4693999999999997E-2</v>
      </c>
      <c r="AC68" s="217">
        <v>0.120209</v>
      </c>
      <c r="AD68" s="212">
        <f t="shared" si="0"/>
        <v>401916.01479599997</v>
      </c>
      <c r="AE68"/>
    </row>
    <row r="69" spans="2:31" s="66" customFormat="1" x14ac:dyDescent="0.15">
      <c r="B69" s="213">
        <v>17031002353</v>
      </c>
      <c r="C69" s="213">
        <v>17031000413</v>
      </c>
      <c r="D69" s="213">
        <v>17999020085</v>
      </c>
      <c r="E69" s="213" t="s">
        <v>533</v>
      </c>
      <c r="F69" s="213" t="s">
        <v>534</v>
      </c>
      <c r="G69" s="213" t="s">
        <v>365</v>
      </c>
      <c r="H69" s="213" t="s">
        <v>382</v>
      </c>
      <c r="I69" s="213"/>
      <c r="J69" s="213"/>
      <c r="K69" s="213"/>
      <c r="L69" s="213"/>
      <c r="M69" s="213"/>
      <c r="N69" s="213"/>
      <c r="O69" s="213"/>
      <c r="P69" s="213"/>
      <c r="Q69" s="213"/>
      <c r="R69" s="213"/>
      <c r="S69" s="213" t="s">
        <v>586</v>
      </c>
      <c r="T69" s="213"/>
      <c r="U69" s="213" t="s">
        <v>538</v>
      </c>
      <c r="V69" s="213">
        <v>2</v>
      </c>
      <c r="W69" s="213" t="s">
        <v>582</v>
      </c>
      <c r="X69" s="213" t="s">
        <v>549</v>
      </c>
      <c r="Y69" s="213" t="s">
        <v>549</v>
      </c>
      <c r="Z69" s="212">
        <v>139565</v>
      </c>
      <c r="AA69" s="212">
        <v>16043772</v>
      </c>
      <c r="AB69" s="217">
        <v>1.0697989999999999</v>
      </c>
      <c r="AC69" s="217">
        <v>1.721678</v>
      </c>
      <c r="AD69" s="212">
        <f t="shared" si="0"/>
        <v>17163611.241827998</v>
      </c>
      <c r="AE69"/>
    </row>
    <row r="70" spans="2:31" s="66" customFormat="1" x14ac:dyDescent="0.15">
      <c r="B70" s="213">
        <v>17031002354</v>
      </c>
      <c r="C70" s="213">
        <v>17031004646</v>
      </c>
      <c r="D70" s="213">
        <v>17031004647</v>
      </c>
      <c r="E70" s="213" t="s">
        <v>533</v>
      </c>
      <c r="F70" s="213" t="s">
        <v>534</v>
      </c>
      <c r="G70" s="213" t="s">
        <v>365</v>
      </c>
      <c r="H70" s="213" t="s">
        <v>382</v>
      </c>
      <c r="I70" s="213"/>
      <c r="J70" s="213" t="s">
        <v>547</v>
      </c>
      <c r="K70" s="213"/>
      <c r="L70" s="213"/>
      <c r="M70" s="213"/>
      <c r="N70" s="213"/>
      <c r="O70" s="213"/>
      <c r="P70" s="213"/>
      <c r="Q70" s="213"/>
      <c r="R70" s="213"/>
      <c r="S70" s="213" t="s">
        <v>583</v>
      </c>
      <c r="T70" s="213" t="s">
        <v>626</v>
      </c>
      <c r="U70" s="213" t="s">
        <v>538</v>
      </c>
      <c r="V70" s="213">
        <v>3</v>
      </c>
      <c r="W70" s="213" t="s">
        <v>545</v>
      </c>
      <c r="X70" s="213" t="s">
        <v>549</v>
      </c>
      <c r="Y70" s="213" t="s">
        <v>580</v>
      </c>
      <c r="Z70" s="212">
        <v>1570326</v>
      </c>
      <c r="AA70" s="212">
        <v>48077032</v>
      </c>
      <c r="AB70" s="217">
        <v>1.758249</v>
      </c>
      <c r="AC70" s="217">
        <v>2.8296320000000001</v>
      </c>
      <c r="AD70" s="212">
        <f t="shared" ref="AD70:AD133" si="1">AA70*AB70</f>
        <v>84531393.436967999</v>
      </c>
      <c r="AE70"/>
    </row>
    <row r="71" spans="2:31" s="66" customFormat="1" x14ac:dyDescent="0.15">
      <c r="B71" s="213">
        <v>17031002365</v>
      </c>
      <c r="C71" s="213">
        <v>17031007899</v>
      </c>
      <c r="D71" s="213">
        <v>17031004714</v>
      </c>
      <c r="E71" s="213" t="s">
        <v>533</v>
      </c>
      <c r="F71" s="213" t="s">
        <v>534</v>
      </c>
      <c r="G71" s="213" t="s">
        <v>365</v>
      </c>
      <c r="H71" s="213" t="s">
        <v>535</v>
      </c>
      <c r="I71" s="213"/>
      <c r="J71" s="213" t="s">
        <v>542</v>
      </c>
      <c r="K71" s="213" t="s">
        <v>543</v>
      </c>
      <c r="L71" s="213" t="s">
        <v>382</v>
      </c>
      <c r="M71" s="213"/>
      <c r="N71" s="213"/>
      <c r="O71" s="213"/>
      <c r="P71" s="213"/>
      <c r="Q71" s="213"/>
      <c r="R71" s="213"/>
      <c r="S71" s="213" t="s">
        <v>544</v>
      </c>
      <c r="T71" s="213"/>
      <c r="U71" s="213" t="s">
        <v>538</v>
      </c>
      <c r="V71" s="213">
        <v>2</v>
      </c>
      <c r="W71" s="213" t="s">
        <v>545</v>
      </c>
      <c r="X71" s="213" t="s">
        <v>540</v>
      </c>
      <c r="Y71" s="213" t="s">
        <v>546</v>
      </c>
      <c r="Z71" s="212">
        <v>394797</v>
      </c>
      <c r="AA71" s="212">
        <v>21023531</v>
      </c>
      <c r="AB71" s="217">
        <v>2.1614490000000002</v>
      </c>
      <c r="AC71" s="217">
        <v>3.4785219999999999</v>
      </c>
      <c r="AD71" s="212">
        <f t="shared" si="1"/>
        <v>45441290.056419</v>
      </c>
      <c r="AE71"/>
    </row>
    <row r="72" spans="2:31" s="66" customFormat="1" x14ac:dyDescent="0.15">
      <c r="B72" s="213">
        <v>17031002366</v>
      </c>
      <c r="C72" s="213">
        <v>17031001575</v>
      </c>
      <c r="D72" s="213">
        <v>17031001566</v>
      </c>
      <c r="E72" s="213" t="s">
        <v>533</v>
      </c>
      <c r="F72" s="213" t="s">
        <v>534</v>
      </c>
      <c r="G72" s="213" t="s">
        <v>365</v>
      </c>
      <c r="H72" s="213" t="s">
        <v>382</v>
      </c>
      <c r="I72" s="213"/>
      <c r="J72" s="213" t="s">
        <v>551</v>
      </c>
      <c r="K72" s="213" t="s">
        <v>555</v>
      </c>
      <c r="L72" s="213"/>
      <c r="M72" s="213"/>
      <c r="N72" s="213"/>
      <c r="O72" s="213"/>
      <c r="P72" s="213"/>
      <c r="Q72" s="213"/>
      <c r="R72" s="213"/>
      <c r="S72" s="213" t="s">
        <v>556</v>
      </c>
      <c r="T72" s="213"/>
      <c r="U72" s="213" t="s">
        <v>538</v>
      </c>
      <c r="V72" s="213">
        <v>2</v>
      </c>
      <c r="W72" s="213" t="s">
        <v>545</v>
      </c>
      <c r="X72" s="213" t="s">
        <v>540</v>
      </c>
      <c r="Y72" s="213" t="s">
        <v>580</v>
      </c>
      <c r="Z72" s="212">
        <v>846401</v>
      </c>
      <c r="AA72" s="212">
        <v>33460815</v>
      </c>
      <c r="AB72" s="217">
        <v>0.16676099999999999</v>
      </c>
      <c r="AC72" s="217">
        <v>0.268376</v>
      </c>
      <c r="AD72" s="212">
        <f t="shared" si="1"/>
        <v>5579958.9702150002</v>
      </c>
      <c r="AE72"/>
    </row>
    <row r="73" spans="2:31" s="66" customFormat="1" x14ac:dyDescent="0.15">
      <c r="B73" s="213">
        <v>17031002367</v>
      </c>
      <c r="C73" s="213">
        <v>17031004708</v>
      </c>
      <c r="D73" s="213">
        <v>17031001564</v>
      </c>
      <c r="E73" s="213" t="s">
        <v>533</v>
      </c>
      <c r="F73" s="213" t="s">
        <v>534</v>
      </c>
      <c r="G73" s="213" t="s">
        <v>365</v>
      </c>
      <c r="H73" s="213" t="s">
        <v>535</v>
      </c>
      <c r="I73" s="213"/>
      <c r="J73" s="213" t="s">
        <v>382</v>
      </c>
      <c r="K73" s="213" t="s">
        <v>536</v>
      </c>
      <c r="L73" s="213"/>
      <c r="M73" s="213"/>
      <c r="N73" s="213"/>
      <c r="O73" s="213"/>
      <c r="P73" s="213"/>
      <c r="Q73" s="213"/>
      <c r="R73" s="213"/>
      <c r="S73" s="213" t="s">
        <v>537</v>
      </c>
      <c r="T73" s="213"/>
      <c r="U73" s="213" t="s">
        <v>538</v>
      </c>
      <c r="V73" s="213">
        <v>2</v>
      </c>
      <c r="W73" s="213" t="s">
        <v>582</v>
      </c>
      <c r="X73" s="213" t="s">
        <v>549</v>
      </c>
      <c r="Y73" s="213" t="s">
        <v>540</v>
      </c>
      <c r="Z73" s="212">
        <v>26869</v>
      </c>
      <c r="AA73" s="212">
        <v>2438308</v>
      </c>
      <c r="AB73" s="217">
        <v>1.3152429999999999</v>
      </c>
      <c r="AC73" s="217">
        <v>2.1166830000000001</v>
      </c>
      <c r="AD73" s="212">
        <f t="shared" si="1"/>
        <v>3206967.5288439998</v>
      </c>
      <c r="AE73"/>
    </row>
    <row r="74" spans="2:31" s="66" customFormat="1" x14ac:dyDescent="0.15">
      <c r="B74" s="213">
        <v>17031002368</v>
      </c>
      <c r="C74" s="213">
        <v>17031007611</v>
      </c>
      <c r="D74" s="213">
        <v>17999024193</v>
      </c>
      <c r="E74" s="213" t="s">
        <v>533</v>
      </c>
      <c r="F74" s="213" t="s">
        <v>534</v>
      </c>
      <c r="G74" s="213" t="s">
        <v>365</v>
      </c>
      <c r="H74" s="213" t="s">
        <v>535</v>
      </c>
      <c r="I74" s="213"/>
      <c r="J74" s="213" t="s">
        <v>382</v>
      </c>
      <c r="K74" s="213" t="s">
        <v>536</v>
      </c>
      <c r="L74" s="213"/>
      <c r="M74" s="213"/>
      <c r="N74" s="213"/>
      <c r="O74" s="213"/>
      <c r="P74" s="213"/>
      <c r="Q74" s="213"/>
      <c r="R74" s="213"/>
      <c r="S74" s="213" t="s">
        <v>537</v>
      </c>
      <c r="T74" s="213"/>
      <c r="U74" s="213" t="s">
        <v>538</v>
      </c>
      <c r="V74" s="213">
        <v>1</v>
      </c>
      <c r="W74" s="213" t="s">
        <v>545</v>
      </c>
      <c r="X74" s="213" t="s">
        <v>549</v>
      </c>
      <c r="Y74" s="213" t="s">
        <v>540</v>
      </c>
      <c r="Z74" s="212">
        <v>26869</v>
      </c>
      <c r="AA74" s="212">
        <v>2438308</v>
      </c>
      <c r="AB74" s="217">
        <v>2.0109689999999998</v>
      </c>
      <c r="AC74" s="217">
        <v>3.2363469999999999</v>
      </c>
      <c r="AD74" s="212">
        <f t="shared" si="1"/>
        <v>4903361.8004519995</v>
      </c>
      <c r="AE74"/>
    </row>
    <row r="75" spans="2:31" s="66" customFormat="1" x14ac:dyDescent="0.15">
      <c r="B75" s="213">
        <v>17031002370</v>
      </c>
      <c r="C75" s="213">
        <v>17031004709</v>
      </c>
      <c r="D75" s="213">
        <v>17031001578</v>
      </c>
      <c r="E75" s="213" t="s">
        <v>533</v>
      </c>
      <c r="F75" s="213" t="s">
        <v>534</v>
      </c>
      <c r="G75" s="213" t="s">
        <v>365</v>
      </c>
      <c r="H75" s="213" t="s">
        <v>382</v>
      </c>
      <c r="I75" s="213"/>
      <c r="J75" s="213" t="s">
        <v>551</v>
      </c>
      <c r="K75" s="213" t="s">
        <v>555</v>
      </c>
      <c r="L75" s="213"/>
      <c r="M75" s="213"/>
      <c r="N75" s="213"/>
      <c r="O75" s="213"/>
      <c r="P75" s="213"/>
      <c r="Q75" s="213"/>
      <c r="R75" s="213"/>
      <c r="S75" s="213" t="s">
        <v>556</v>
      </c>
      <c r="T75" s="213"/>
      <c r="U75" s="213" t="s">
        <v>538</v>
      </c>
      <c r="V75" s="213">
        <v>2</v>
      </c>
      <c r="W75" s="213" t="s">
        <v>545</v>
      </c>
      <c r="X75" s="213" t="s">
        <v>540</v>
      </c>
      <c r="Y75" s="213" t="s">
        <v>580</v>
      </c>
      <c r="Z75" s="212">
        <v>846321</v>
      </c>
      <c r="AA75" s="212">
        <v>33452495</v>
      </c>
      <c r="AB75" s="217">
        <v>0.74214199999999997</v>
      </c>
      <c r="AC75" s="217">
        <v>1.194364</v>
      </c>
      <c r="AD75" s="212">
        <f t="shared" si="1"/>
        <v>24826501.544289999</v>
      </c>
      <c r="AE75"/>
    </row>
    <row r="76" spans="2:31" s="66" customFormat="1" x14ac:dyDescent="0.15">
      <c r="B76" s="213">
        <v>17031002371</v>
      </c>
      <c r="C76" s="213">
        <v>17999024399</v>
      </c>
      <c r="D76" s="213">
        <v>17031001589</v>
      </c>
      <c r="E76" s="213" t="s">
        <v>533</v>
      </c>
      <c r="F76" s="213" t="s">
        <v>534</v>
      </c>
      <c r="G76" s="213" t="s">
        <v>365</v>
      </c>
      <c r="H76" s="213" t="s">
        <v>535</v>
      </c>
      <c r="I76" s="213"/>
      <c r="J76" s="213" t="s">
        <v>542</v>
      </c>
      <c r="K76" s="213" t="s">
        <v>543</v>
      </c>
      <c r="L76" s="213" t="s">
        <v>382</v>
      </c>
      <c r="M76" s="213"/>
      <c r="N76" s="213"/>
      <c r="O76" s="213"/>
      <c r="P76" s="213"/>
      <c r="Q76" s="213"/>
      <c r="R76" s="213"/>
      <c r="S76" s="213" t="s">
        <v>544</v>
      </c>
      <c r="T76" s="213"/>
      <c r="U76" s="213" t="s">
        <v>538</v>
      </c>
      <c r="V76" s="213">
        <v>2</v>
      </c>
      <c r="W76" s="213" t="s">
        <v>545</v>
      </c>
      <c r="X76" s="213" t="s">
        <v>540</v>
      </c>
      <c r="Y76" s="213" t="s">
        <v>546</v>
      </c>
      <c r="Z76" s="212">
        <v>403238</v>
      </c>
      <c r="AA76" s="212">
        <v>21862919</v>
      </c>
      <c r="AB76" s="217">
        <v>1.095486</v>
      </c>
      <c r="AC76" s="217">
        <v>1.763018</v>
      </c>
      <c r="AD76" s="212">
        <f t="shared" si="1"/>
        <v>23950521.683633998</v>
      </c>
      <c r="AE76"/>
    </row>
    <row r="77" spans="2:31" s="66" customFormat="1" x14ac:dyDescent="0.15">
      <c r="B77" s="213">
        <v>17031002372</v>
      </c>
      <c r="C77" s="213">
        <v>17031004656</v>
      </c>
      <c r="D77" s="213">
        <v>17031004657</v>
      </c>
      <c r="E77" s="213" t="s">
        <v>533</v>
      </c>
      <c r="F77" s="213" t="s">
        <v>534</v>
      </c>
      <c r="G77" s="213" t="s">
        <v>365</v>
      </c>
      <c r="H77" s="213" t="s">
        <v>381</v>
      </c>
      <c r="I77" s="213"/>
      <c r="J77" s="213" t="s">
        <v>542</v>
      </c>
      <c r="K77" s="213" t="s">
        <v>547</v>
      </c>
      <c r="L77" s="213" t="s">
        <v>382</v>
      </c>
      <c r="M77" s="213"/>
      <c r="N77" s="213"/>
      <c r="O77" s="213"/>
      <c r="P77" s="213"/>
      <c r="Q77" s="213"/>
      <c r="R77" s="213"/>
      <c r="S77" s="213" t="s">
        <v>579</v>
      </c>
      <c r="T77" s="213"/>
      <c r="U77" s="213" t="s">
        <v>538</v>
      </c>
      <c r="V77" s="213">
        <v>3</v>
      </c>
      <c r="W77" s="213" t="s">
        <v>545</v>
      </c>
      <c r="X77" s="213" t="s">
        <v>549</v>
      </c>
      <c r="Y77" s="213" t="s">
        <v>580</v>
      </c>
      <c r="Z77" s="212">
        <v>2794758</v>
      </c>
      <c r="AA77" s="212">
        <v>85265824</v>
      </c>
      <c r="AB77" s="217">
        <v>1.2248509999999999</v>
      </c>
      <c r="AC77" s="217">
        <v>1.9712099999999999</v>
      </c>
      <c r="AD77" s="212">
        <f t="shared" si="1"/>
        <v>104437929.79222399</v>
      </c>
      <c r="AE77"/>
    </row>
    <row r="78" spans="2:31" s="66" customFormat="1" x14ac:dyDescent="0.15">
      <c r="B78" s="213">
        <v>17031002422</v>
      </c>
      <c r="C78" s="213">
        <v>17031004714</v>
      </c>
      <c r="D78" s="213">
        <v>17031001446</v>
      </c>
      <c r="E78" s="213" t="s">
        <v>533</v>
      </c>
      <c r="F78" s="213" t="s">
        <v>534</v>
      </c>
      <c r="G78" s="213" t="s">
        <v>365</v>
      </c>
      <c r="H78" s="213" t="s">
        <v>535</v>
      </c>
      <c r="I78" s="213"/>
      <c r="J78" s="213" t="s">
        <v>542</v>
      </c>
      <c r="K78" s="213" t="s">
        <v>543</v>
      </c>
      <c r="L78" s="213" t="s">
        <v>382</v>
      </c>
      <c r="M78" s="213"/>
      <c r="N78" s="213"/>
      <c r="O78" s="213"/>
      <c r="P78" s="213"/>
      <c r="Q78" s="213"/>
      <c r="R78" s="213"/>
      <c r="S78" s="213" t="s">
        <v>544</v>
      </c>
      <c r="T78" s="213"/>
      <c r="U78" s="213" t="s">
        <v>538</v>
      </c>
      <c r="V78" s="213">
        <v>3</v>
      </c>
      <c r="W78" s="213" t="s">
        <v>545</v>
      </c>
      <c r="X78" s="213" t="s">
        <v>549</v>
      </c>
      <c r="Y78" s="213" t="s">
        <v>546</v>
      </c>
      <c r="Z78" s="212">
        <v>394797</v>
      </c>
      <c r="AA78" s="212">
        <v>21023531</v>
      </c>
      <c r="AB78" s="217">
        <v>2.677235</v>
      </c>
      <c r="AC78" s="217">
        <v>4.3086000000000002</v>
      </c>
      <c r="AD78" s="212">
        <f t="shared" si="1"/>
        <v>56284933.016785003</v>
      </c>
      <c r="AE78"/>
    </row>
    <row r="79" spans="2:31" s="66" customFormat="1" x14ac:dyDescent="0.15">
      <c r="B79" s="213">
        <v>17031002427</v>
      </c>
      <c r="C79" s="213">
        <v>17031000675</v>
      </c>
      <c r="D79" s="213">
        <v>17031000723</v>
      </c>
      <c r="E79" s="213" t="s">
        <v>533</v>
      </c>
      <c r="F79" s="213" t="s">
        <v>534</v>
      </c>
      <c r="G79" s="213" t="s">
        <v>365</v>
      </c>
      <c r="H79" s="213" t="s">
        <v>535</v>
      </c>
      <c r="I79" s="213"/>
      <c r="J79" s="213"/>
      <c r="K79" s="213"/>
      <c r="L79" s="213"/>
      <c r="M79" s="213"/>
      <c r="N79" s="213"/>
      <c r="O79" s="213"/>
      <c r="P79" s="213"/>
      <c r="Q79" s="213"/>
      <c r="R79" s="213"/>
      <c r="S79" s="213" t="s">
        <v>624</v>
      </c>
      <c r="T79" s="213"/>
      <c r="U79" s="213" t="s">
        <v>538</v>
      </c>
      <c r="V79" s="213">
        <v>2</v>
      </c>
      <c r="W79" s="213" t="s">
        <v>582</v>
      </c>
      <c r="X79" s="213" t="s">
        <v>554</v>
      </c>
      <c r="Y79" s="213" t="s">
        <v>554</v>
      </c>
      <c r="Z79" s="212">
        <v>0</v>
      </c>
      <c r="AA79" s="212">
        <v>0</v>
      </c>
      <c r="AB79" s="217">
        <v>3.0634350000000001</v>
      </c>
      <c r="AC79" s="217">
        <v>4.9301300000000001</v>
      </c>
      <c r="AD79" s="212">
        <f t="shared" si="1"/>
        <v>0</v>
      </c>
      <c r="AE79"/>
    </row>
    <row r="80" spans="2:31" s="66" customFormat="1" x14ac:dyDescent="0.15">
      <c r="B80" s="213">
        <v>17031002432</v>
      </c>
      <c r="C80" s="213">
        <v>17031001427</v>
      </c>
      <c r="D80" s="213">
        <v>17031001423</v>
      </c>
      <c r="E80" s="213" t="s">
        <v>533</v>
      </c>
      <c r="F80" s="213" t="s">
        <v>534</v>
      </c>
      <c r="G80" s="213" t="s">
        <v>365</v>
      </c>
      <c r="H80" s="213" t="s">
        <v>382</v>
      </c>
      <c r="I80" s="213"/>
      <c r="J80" s="213" t="s">
        <v>542</v>
      </c>
      <c r="K80" s="213" t="s">
        <v>551</v>
      </c>
      <c r="L80" s="213" t="s">
        <v>555</v>
      </c>
      <c r="M80" s="213" t="s">
        <v>552</v>
      </c>
      <c r="N80" s="213" t="s">
        <v>535</v>
      </c>
      <c r="O80" s="213"/>
      <c r="P80" s="213"/>
      <c r="Q80" s="213"/>
      <c r="R80" s="213"/>
      <c r="S80" s="213" t="s">
        <v>556</v>
      </c>
      <c r="T80" s="213"/>
      <c r="U80" s="213" t="s">
        <v>538</v>
      </c>
      <c r="V80" s="213">
        <v>2</v>
      </c>
      <c r="W80" s="213" t="s">
        <v>545</v>
      </c>
      <c r="X80" s="213" t="s">
        <v>554</v>
      </c>
      <c r="Y80" s="213" t="s">
        <v>580</v>
      </c>
      <c r="Z80" s="212">
        <v>858065</v>
      </c>
      <c r="AA80" s="212">
        <v>34243624</v>
      </c>
      <c r="AB80" s="217">
        <v>0.40879300000000002</v>
      </c>
      <c r="AC80" s="217">
        <v>0.65788999999999997</v>
      </c>
      <c r="AD80" s="212">
        <f t="shared" si="1"/>
        <v>13998553.785832001</v>
      </c>
      <c r="AE80"/>
    </row>
    <row r="81" spans="2:31" s="66" customFormat="1" x14ac:dyDescent="0.15">
      <c r="B81" s="213">
        <v>17031002575</v>
      </c>
      <c r="C81" s="213">
        <v>17031006962</v>
      </c>
      <c r="D81" s="213">
        <v>17031006970</v>
      </c>
      <c r="E81" s="213" t="s">
        <v>533</v>
      </c>
      <c r="F81" s="213" t="s">
        <v>534</v>
      </c>
      <c r="G81" s="213" t="s">
        <v>365</v>
      </c>
      <c r="H81" s="213" t="s">
        <v>381</v>
      </c>
      <c r="I81" s="213"/>
      <c r="J81" s="213" t="s">
        <v>382</v>
      </c>
      <c r="K81" s="213" t="s">
        <v>535</v>
      </c>
      <c r="L81" s="213" t="s">
        <v>543</v>
      </c>
      <c r="M81" s="213"/>
      <c r="N81" s="213"/>
      <c r="O81" s="213"/>
      <c r="P81" s="213"/>
      <c r="Q81" s="213"/>
      <c r="R81" s="213"/>
      <c r="S81" s="213" t="s">
        <v>647</v>
      </c>
      <c r="T81" s="213" t="s">
        <v>668</v>
      </c>
      <c r="U81" s="213" t="s">
        <v>538</v>
      </c>
      <c r="V81" s="213">
        <v>2</v>
      </c>
      <c r="W81" s="213" t="s">
        <v>539</v>
      </c>
      <c r="X81" s="213" t="s">
        <v>541</v>
      </c>
      <c r="Y81" s="213" t="s">
        <v>580</v>
      </c>
      <c r="Z81" s="212">
        <v>72673</v>
      </c>
      <c r="AA81" s="212">
        <v>3647669</v>
      </c>
      <c r="AB81" s="217">
        <v>0.97503700000000004</v>
      </c>
      <c r="AC81" s="217">
        <v>1.5691729999999999</v>
      </c>
      <c r="AD81" s="212">
        <f t="shared" si="1"/>
        <v>3556612.2387530003</v>
      </c>
      <c r="AE81"/>
    </row>
    <row r="82" spans="2:31" s="66" customFormat="1" x14ac:dyDescent="0.15">
      <c r="B82" s="213">
        <v>17031002579</v>
      </c>
      <c r="C82" s="213">
        <v>17031004619</v>
      </c>
      <c r="D82" s="213">
        <v>17031004618</v>
      </c>
      <c r="E82" s="213" t="s">
        <v>533</v>
      </c>
      <c r="F82" s="213" t="s">
        <v>534</v>
      </c>
      <c r="G82" s="213" t="s">
        <v>365</v>
      </c>
      <c r="H82" s="213" t="s">
        <v>552</v>
      </c>
      <c r="I82" s="213"/>
      <c r="J82" s="213" t="s">
        <v>542</v>
      </c>
      <c r="K82" s="213" t="s">
        <v>547</v>
      </c>
      <c r="L82" s="213" t="s">
        <v>563</v>
      </c>
      <c r="M82" s="213"/>
      <c r="N82" s="213"/>
      <c r="O82" s="213"/>
      <c r="P82" s="213"/>
      <c r="Q82" s="213"/>
      <c r="R82" s="213"/>
      <c r="S82" s="213" t="s">
        <v>564</v>
      </c>
      <c r="T82" s="213"/>
      <c r="U82" s="213" t="s">
        <v>538</v>
      </c>
      <c r="V82" s="213">
        <v>2</v>
      </c>
      <c r="W82" s="213" t="s">
        <v>545</v>
      </c>
      <c r="X82" s="213" t="s">
        <v>549</v>
      </c>
      <c r="Y82" s="213" t="s">
        <v>541</v>
      </c>
      <c r="Z82" s="212">
        <v>27817</v>
      </c>
      <c r="AA82" s="212">
        <v>2593647</v>
      </c>
      <c r="AB82" s="217">
        <v>1.4529110000000001</v>
      </c>
      <c r="AC82" s="217">
        <v>2.3382390000000002</v>
      </c>
      <c r="AD82" s="212">
        <f t="shared" si="1"/>
        <v>3768338.2564170002</v>
      </c>
      <c r="AE82"/>
    </row>
    <row r="83" spans="2:31" s="66" customFormat="1" x14ac:dyDescent="0.15">
      <c r="B83" s="213">
        <v>17031002597</v>
      </c>
      <c r="C83" s="213">
        <v>17031004693</v>
      </c>
      <c r="D83" s="213">
        <v>17031004694</v>
      </c>
      <c r="E83" s="213" t="s">
        <v>533</v>
      </c>
      <c r="F83" s="213" t="s">
        <v>534</v>
      </c>
      <c r="G83" s="213" t="s">
        <v>365</v>
      </c>
      <c r="H83" s="213" t="s">
        <v>547</v>
      </c>
      <c r="I83" s="213"/>
      <c r="J83" s="213" t="s">
        <v>577</v>
      </c>
      <c r="K83" s="213" t="s">
        <v>551</v>
      </c>
      <c r="L83" s="213" t="s">
        <v>615</v>
      </c>
      <c r="M83" s="213"/>
      <c r="N83" s="213"/>
      <c r="O83" s="213"/>
      <c r="P83" s="213"/>
      <c r="Q83" s="213"/>
      <c r="R83" s="213"/>
      <c r="S83" s="213" t="s">
        <v>581</v>
      </c>
      <c r="T83" s="213"/>
      <c r="U83" s="213" t="s">
        <v>538</v>
      </c>
      <c r="V83" s="213">
        <v>2</v>
      </c>
      <c r="W83" s="213" t="s">
        <v>582</v>
      </c>
      <c r="X83" s="213" t="s">
        <v>540</v>
      </c>
      <c r="Y83" s="213" t="s">
        <v>540</v>
      </c>
      <c r="Z83" s="212">
        <v>103629</v>
      </c>
      <c r="AA83" s="212">
        <v>10039458</v>
      </c>
      <c r="AB83" s="217">
        <v>3.0581710000000002</v>
      </c>
      <c r="AC83" s="217">
        <v>4.9216579999999999</v>
      </c>
      <c r="AD83" s="212">
        <f t="shared" si="1"/>
        <v>30702379.311318003</v>
      </c>
      <c r="AE83"/>
    </row>
    <row r="84" spans="2:31" s="66" customFormat="1" x14ac:dyDescent="0.15">
      <c r="B84" s="213">
        <v>17031002600</v>
      </c>
      <c r="C84" s="213">
        <v>17031001432</v>
      </c>
      <c r="D84" s="213">
        <v>17031004715</v>
      </c>
      <c r="E84" s="213" t="s">
        <v>533</v>
      </c>
      <c r="F84" s="213" t="s">
        <v>534</v>
      </c>
      <c r="G84" s="213" t="s">
        <v>365</v>
      </c>
      <c r="H84" s="213" t="s">
        <v>551</v>
      </c>
      <c r="I84" s="213" t="s">
        <v>535</v>
      </c>
      <c r="J84" s="213" t="s">
        <v>542</v>
      </c>
      <c r="K84" s="213"/>
      <c r="L84" s="213"/>
      <c r="M84" s="213"/>
      <c r="N84" s="213"/>
      <c r="O84" s="213"/>
      <c r="P84" s="213"/>
      <c r="Q84" s="213"/>
      <c r="R84" s="213"/>
      <c r="S84" s="213" t="s">
        <v>553</v>
      </c>
      <c r="T84" s="213"/>
      <c r="U84" s="213" t="s">
        <v>538</v>
      </c>
      <c r="V84" s="213">
        <v>2</v>
      </c>
      <c r="W84" s="213" t="s">
        <v>545</v>
      </c>
      <c r="X84" s="213" t="s">
        <v>549</v>
      </c>
      <c r="Y84" s="213" t="s">
        <v>546</v>
      </c>
      <c r="Z84" s="212">
        <v>480874</v>
      </c>
      <c r="AA84" s="212">
        <v>22995173</v>
      </c>
      <c r="AB84" s="217">
        <v>3.4033310000000001</v>
      </c>
      <c r="AC84" s="217">
        <v>5.4771409999999996</v>
      </c>
      <c r="AD84" s="212">
        <f t="shared" si="1"/>
        <v>78260185.121262997</v>
      </c>
      <c r="AE84"/>
    </row>
    <row r="85" spans="2:31" s="66" customFormat="1" x14ac:dyDescent="0.15">
      <c r="B85" s="213">
        <v>17031002612</v>
      </c>
      <c r="C85" s="213">
        <v>17031001170</v>
      </c>
      <c r="D85" s="213">
        <v>17031001175</v>
      </c>
      <c r="E85" s="213" t="s">
        <v>533</v>
      </c>
      <c r="F85" s="213" t="s">
        <v>534</v>
      </c>
      <c r="G85" s="213" t="s">
        <v>365</v>
      </c>
      <c r="H85" s="213" t="s">
        <v>543</v>
      </c>
      <c r="I85" s="213"/>
      <c r="J85" s="213"/>
      <c r="K85" s="213"/>
      <c r="L85" s="213"/>
      <c r="M85" s="213"/>
      <c r="N85" s="213"/>
      <c r="O85" s="213"/>
      <c r="P85" s="213"/>
      <c r="Q85" s="213"/>
      <c r="R85" s="213"/>
      <c r="S85" s="213" t="s">
        <v>617</v>
      </c>
      <c r="T85" s="213"/>
      <c r="U85" s="213" t="s">
        <v>559</v>
      </c>
      <c r="V85" s="213">
        <v>1</v>
      </c>
      <c r="W85" s="213" t="s">
        <v>560</v>
      </c>
      <c r="X85" s="213" t="s">
        <v>541</v>
      </c>
      <c r="Y85" s="213" t="s">
        <v>541</v>
      </c>
      <c r="Z85" s="212">
        <v>0</v>
      </c>
      <c r="AA85" s="212">
        <v>0</v>
      </c>
      <c r="AB85" s="217">
        <v>0.114383</v>
      </c>
      <c r="AC85" s="217">
        <v>0.184082</v>
      </c>
      <c r="AD85" s="212">
        <f t="shared" si="1"/>
        <v>0</v>
      </c>
      <c r="AE85"/>
    </row>
    <row r="86" spans="2:31" s="66" customFormat="1" x14ac:dyDescent="0.15">
      <c r="B86" s="213">
        <v>17031002629</v>
      </c>
      <c r="C86" s="213">
        <v>17031004508</v>
      </c>
      <c r="D86" s="213">
        <v>17031001414</v>
      </c>
      <c r="E86" s="213" t="s">
        <v>533</v>
      </c>
      <c r="F86" s="213" t="s">
        <v>534</v>
      </c>
      <c r="G86" s="213" t="s">
        <v>365</v>
      </c>
      <c r="H86" s="213" t="s">
        <v>551</v>
      </c>
      <c r="I86" s="213" t="s">
        <v>535</v>
      </c>
      <c r="J86" s="213" t="s">
        <v>552</v>
      </c>
      <c r="K86" s="213"/>
      <c r="L86" s="213"/>
      <c r="M86" s="213"/>
      <c r="N86" s="213"/>
      <c r="O86" s="213"/>
      <c r="P86" s="213"/>
      <c r="Q86" s="213"/>
      <c r="R86" s="213"/>
      <c r="S86" s="213" t="s">
        <v>553</v>
      </c>
      <c r="T86" s="213"/>
      <c r="U86" s="213" t="s">
        <v>538</v>
      </c>
      <c r="V86" s="213">
        <v>1</v>
      </c>
      <c r="W86" s="213" t="s">
        <v>545</v>
      </c>
      <c r="X86" s="213" t="s">
        <v>541</v>
      </c>
      <c r="Y86" s="213" t="s">
        <v>554</v>
      </c>
      <c r="Z86" s="212">
        <v>0</v>
      </c>
      <c r="AA86" s="212">
        <v>0</v>
      </c>
      <c r="AB86" s="217">
        <v>0.396453</v>
      </c>
      <c r="AC86" s="217">
        <v>0.63803100000000001</v>
      </c>
      <c r="AD86" s="212">
        <f t="shared" si="1"/>
        <v>0</v>
      </c>
      <c r="AE86"/>
    </row>
    <row r="87" spans="2:31" s="66" customFormat="1" x14ac:dyDescent="0.15">
      <c r="B87" s="213">
        <v>17031002639</v>
      </c>
      <c r="C87" s="213">
        <v>17031001357</v>
      </c>
      <c r="D87" s="213">
        <v>17031001378</v>
      </c>
      <c r="E87" s="213" t="s">
        <v>533</v>
      </c>
      <c r="F87" s="213" t="s">
        <v>534</v>
      </c>
      <c r="G87" s="213" t="s">
        <v>365</v>
      </c>
      <c r="H87" s="213" t="s">
        <v>551</v>
      </c>
      <c r="I87" s="213" t="s">
        <v>535</v>
      </c>
      <c r="J87" s="213" t="s">
        <v>381</v>
      </c>
      <c r="K87" s="213" t="s">
        <v>552</v>
      </c>
      <c r="L87" s="213"/>
      <c r="M87" s="213"/>
      <c r="N87" s="213"/>
      <c r="O87" s="213"/>
      <c r="P87" s="213"/>
      <c r="Q87" s="213"/>
      <c r="R87" s="213"/>
      <c r="S87" s="213" t="s">
        <v>628</v>
      </c>
      <c r="T87" s="213"/>
      <c r="U87" s="213" t="s">
        <v>538</v>
      </c>
      <c r="V87" s="213">
        <v>1</v>
      </c>
      <c r="W87" s="213" t="s">
        <v>545</v>
      </c>
      <c r="X87" s="213" t="s">
        <v>541</v>
      </c>
      <c r="Y87" s="213" t="s">
        <v>541</v>
      </c>
      <c r="Z87" s="212">
        <v>40</v>
      </c>
      <c r="AA87" s="212">
        <v>3600</v>
      </c>
      <c r="AB87" s="217">
        <v>0.22509499999999999</v>
      </c>
      <c r="AC87" s="217">
        <v>0.36225600000000002</v>
      </c>
      <c r="AD87" s="212">
        <f t="shared" si="1"/>
        <v>810.34199999999998</v>
      </c>
      <c r="AE87"/>
    </row>
    <row r="88" spans="2:31" s="66" customFormat="1" x14ac:dyDescent="0.15">
      <c r="B88" s="213">
        <v>17031002778</v>
      </c>
      <c r="C88" s="213">
        <v>17031001221</v>
      </c>
      <c r="D88" s="213">
        <v>17031001218</v>
      </c>
      <c r="E88" s="213" t="s">
        <v>533</v>
      </c>
      <c r="F88" s="213" t="s">
        <v>534</v>
      </c>
      <c r="G88" s="213" t="s">
        <v>365</v>
      </c>
      <c r="H88" s="213" t="s">
        <v>543</v>
      </c>
      <c r="I88" s="213"/>
      <c r="J88" s="213" t="s">
        <v>577</v>
      </c>
      <c r="K88" s="213"/>
      <c r="L88" s="213"/>
      <c r="M88" s="213"/>
      <c r="N88" s="213"/>
      <c r="O88" s="213"/>
      <c r="P88" s="213"/>
      <c r="Q88" s="213"/>
      <c r="R88" s="213"/>
      <c r="S88" s="213" t="s">
        <v>656</v>
      </c>
      <c r="T88" s="213"/>
      <c r="U88" s="213" t="s">
        <v>559</v>
      </c>
      <c r="V88" s="213">
        <v>1</v>
      </c>
      <c r="W88" s="213" t="s">
        <v>560</v>
      </c>
      <c r="X88" s="213" t="s">
        <v>541</v>
      </c>
      <c r="Y88" s="213" t="s">
        <v>541</v>
      </c>
      <c r="Z88" s="212">
        <v>0</v>
      </c>
      <c r="AA88" s="212">
        <v>0</v>
      </c>
      <c r="AB88" s="217">
        <v>6.6364999999999993E-2</v>
      </c>
      <c r="AC88" s="217">
        <v>0.106804</v>
      </c>
      <c r="AD88" s="212">
        <f t="shared" si="1"/>
        <v>0</v>
      </c>
      <c r="AE88"/>
    </row>
    <row r="89" spans="2:31" s="66" customFormat="1" x14ac:dyDescent="0.15">
      <c r="B89" s="213">
        <v>17031002980</v>
      </c>
      <c r="C89" s="213">
        <v>17031000655</v>
      </c>
      <c r="D89" s="213">
        <v>17031000656</v>
      </c>
      <c r="E89" s="213" t="s">
        <v>533</v>
      </c>
      <c r="F89" s="213" t="s">
        <v>534</v>
      </c>
      <c r="G89" s="213" t="s">
        <v>365</v>
      </c>
      <c r="H89" s="213" t="s">
        <v>382</v>
      </c>
      <c r="I89" s="213"/>
      <c r="J89" s="213" t="s">
        <v>572</v>
      </c>
      <c r="K89" s="213"/>
      <c r="L89" s="213"/>
      <c r="M89" s="213"/>
      <c r="N89" s="213"/>
      <c r="O89" s="213"/>
      <c r="P89" s="213"/>
      <c r="Q89" s="213"/>
      <c r="R89" s="213"/>
      <c r="S89" s="213" t="s">
        <v>609</v>
      </c>
      <c r="T89" s="213" t="s">
        <v>610</v>
      </c>
      <c r="U89" s="213" t="s">
        <v>538</v>
      </c>
      <c r="V89" s="213">
        <v>1</v>
      </c>
      <c r="W89" s="213" t="s">
        <v>539</v>
      </c>
      <c r="X89" s="213" t="s">
        <v>541</v>
      </c>
      <c r="Y89" s="213" t="s">
        <v>540</v>
      </c>
      <c r="Z89" s="212">
        <v>5628</v>
      </c>
      <c r="AA89" s="212">
        <v>424432</v>
      </c>
      <c r="AB89" s="217">
        <v>0.85373100000000002</v>
      </c>
      <c r="AC89" s="217">
        <v>1.3739490000000001</v>
      </c>
      <c r="AD89" s="212">
        <f t="shared" si="1"/>
        <v>362350.75579199998</v>
      </c>
      <c r="AE89"/>
    </row>
    <row r="90" spans="2:31" s="66" customFormat="1" x14ac:dyDescent="0.15">
      <c r="B90" s="213">
        <v>17031002998</v>
      </c>
      <c r="C90" s="213">
        <v>17031000670</v>
      </c>
      <c r="D90" s="213">
        <v>17031000664</v>
      </c>
      <c r="E90" s="213" t="s">
        <v>533</v>
      </c>
      <c r="F90" s="213" t="s">
        <v>534</v>
      </c>
      <c r="G90" s="213" t="s">
        <v>365</v>
      </c>
      <c r="H90" s="213" t="s">
        <v>381</v>
      </c>
      <c r="I90" s="213"/>
      <c r="J90" s="213" t="s">
        <v>542</v>
      </c>
      <c r="K90" s="213" t="s">
        <v>577</v>
      </c>
      <c r="L90" s="213" t="s">
        <v>572</v>
      </c>
      <c r="M90" s="213" t="s">
        <v>547</v>
      </c>
      <c r="N90" s="213" t="s">
        <v>382</v>
      </c>
      <c r="O90" s="213"/>
      <c r="P90" s="213"/>
      <c r="Q90" s="213"/>
      <c r="R90" s="213"/>
      <c r="S90" s="213" t="s">
        <v>579</v>
      </c>
      <c r="T90" s="213"/>
      <c r="U90" s="213" t="s">
        <v>538</v>
      </c>
      <c r="V90" s="213">
        <v>4</v>
      </c>
      <c r="W90" s="213" t="s">
        <v>545</v>
      </c>
      <c r="X90" s="213" t="s">
        <v>540</v>
      </c>
      <c r="Y90" s="213" t="s">
        <v>549</v>
      </c>
      <c r="Z90" s="212">
        <v>2436993</v>
      </c>
      <c r="AA90" s="212">
        <v>67512640</v>
      </c>
      <c r="AB90" s="217">
        <v>0.87194000000000005</v>
      </c>
      <c r="AC90" s="217">
        <v>1.403254</v>
      </c>
      <c r="AD90" s="212">
        <f t="shared" si="1"/>
        <v>58866971.321600005</v>
      </c>
      <c r="AE90"/>
    </row>
    <row r="91" spans="2:31" s="66" customFormat="1" x14ac:dyDescent="0.15">
      <c r="B91" s="213">
        <v>17031003001</v>
      </c>
      <c r="C91" s="213">
        <v>17999021291</v>
      </c>
      <c r="D91" s="213">
        <v>17031004656</v>
      </c>
      <c r="E91" s="213" t="s">
        <v>533</v>
      </c>
      <c r="F91" s="213" t="s">
        <v>534</v>
      </c>
      <c r="G91" s="213" t="s">
        <v>365</v>
      </c>
      <c r="H91" s="213" t="s">
        <v>381</v>
      </c>
      <c r="I91" s="213"/>
      <c r="J91" s="213" t="s">
        <v>542</v>
      </c>
      <c r="K91" s="213" t="s">
        <v>547</v>
      </c>
      <c r="L91" s="213" t="s">
        <v>382</v>
      </c>
      <c r="M91" s="213"/>
      <c r="N91" s="213"/>
      <c r="O91" s="213"/>
      <c r="P91" s="213"/>
      <c r="Q91" s="213"/>
      <c r="R91" s="213"/>
      <c r="S91" s="213" t="s">
        <v>579</v>
      </c>
      <c r="T91" s="213"/>
      <c r="U91" s="213" t="s">
        <v>538</v>
      </c>
      <c r="V91" s="213">
        <v>3</v>
      </c>
      <c r="W91" s="213" t="s">
        <v>545</v>
      </c>
      <c r="X91" s="213" t="s">
        <v>549</v>
      </c>
      <c r="Y91" s="213" t="s">
        <v>580</v>
      </c>
      <c r="Z91" s="212">
        <v>2794758</v>
      </c>
      <c r="AA91" s="212">
        <v>85265824</v>
      </c>
      <c r="AB91" s="217">
        <v>0.87989300000000004</v>
      </c>
      <c r="AC91" s="217">
        <v>1.4160539999999999</v>
      </c>
      <c r="AD91" s="212">
        <f t="shared" si="1"/>
        <v>75024801.676832005</v>
      </c>
      <c r="AE91"/>
    </row>
    <row r="92" spans="2:31" s="66" customFormat="1" x14ac:dyDescent="0.15">
      <c r="B92" s="213">
        <v>17031003003</v>
      </c>
      <c r="C92" s="213">
        <v>17031001363</v>
      </c>
      <c r="D92" s="213">
        <v>17031001366</v>
      </c>
      <c r="E92" s="213" t="s">
        <v>533</v>
      </c>
      <c r="F92" s="213" t="s">
        <v>534</v>
      </c>
      <c r="G92" s="213" t="s">
        <v>365</v>
      </c>
      <c r="H92" s="213" t="s">
        <v>557</v>
      </c>
      <c r="I92" s="213"/>
      <c r="J92" s="213" t="s">
        <v>569</v>
      </c>
      <c r="K92" s="213" t="s">
        <v>535</v>
      </c>
      <c r="L92" s="213" t="s">
        <v>551</v>
      </c>
      <c r="M92" s="213" t="s">
        <v>543</v>
      </c>
      <c r="N92" s="213" t="s">
        <v>382</v>
      </c>
      <c r="O92" s="213" t="s">
        <v>552</v>
      </c>
      <c r="P92" s="213" t="s">
        <v>555</v>
      </c>
      <c r="Q92" s="213"/>
      <c r="R92" s="213"/>
      <c r="S92" s="213" t="s">
        <v>570</v>
      </c>
      <c r="T92" s="213" t="s">
        <v>600</v>
      </c>
      <c r="U92" s="213" t="s">
        <v>538</v>
      </c>
      <c r="V92" s="213">
        <v>2</v>
      </c>
      <c r="W92" s="213" t="s">
        <v>545</v>
      </c>
      <c r="X92" s="213" t="s">
        <v>554</v>
      </c>
      <c r="Y92" s="213" t="s">
        <v>546</v>
      </c>
      <c r="Z92" s="212">
        <v>1025767</v>
      </c>
      <c r="AA92" s="212">
        <v>33047697</v>
      </c>
      <c r="AB92" s="217">
        <v>7.7494999999999994E-2</v>
      </c>
      <c r="AC92" s="217">
        <v>0.12471599999999999</v>
      </c>
      <c r="AD92" s="212">
        <f t="shared" si="1"/>
        <v>2561031.279015</v>
      </c>
      <c r="AE92"/>
    </row>
    <row r="93" spans="2:31" s="66" customFormat="1" x14ac:dyDescent="0.15">
      <c r="B93" s="213">
        <v>17031003013</v>
      </c>
      <c r="C93" s="213">
        <v>17031001023</v>
      </c>
      <c r="D93" s="213">
        <v>17031000946</v>
      </c>
      <c r="E93" s="213" t="s">
        <v>533</v>
      </c>
      <c r="F93" s="213" t="s">
        <v>534</v>
      </c>
      <c r="G93" s="213" t="s">
        <v>365</v>
      </c>
      <c r="H93" s="213" t="s">
        <v>543</v>
      </c>
      <c r="I93" s="213"/>
      <c r="J93" s="213" t="s">
        <v>542</v>
      </c>
      <c r="K93" s="213"/>
      <c r="L93" s="213"/>
      <c r="M93" s="213"/>
      <c r="N93" s="213"/>
      <c r="O93" s="213"/>
      <c r="P93" s="213"/>
      <c r="Q93" s="213"/>
      <c r="R93" s="213"/>
      <c r="S93" s="213" t="s">
        <v>630</v>
      </c>
      <c r="T93" s="213"/>
      <c r="U93" s="213" t="s">
        <v>538</v>
      </c>
      <c r="V93" s="213">
        <v>4</v>
      </c>
      <c r="W93" s="213" t="s">
        <v>545</v>
      </c>
      <c r="X93" s="213" t="s">
        <v>549</v>
      </c>
      <c r="Y93" s="213" t="s">
        <v>580</v>
      </c>
      <c r="Z93" s="212">
        <v>2463629</v>
      </c>
      <c r="AA93" s="212">
        <v>64091127</v>
      </c>
      <c r="AB93" s="217">
        <v>0.96582900000000005</v>
      </c>
      <c r="AC93" s="217">
        <v>1.5543530000000001</v>
      </c>
      <c r="AD93" s="212">
        <f t="shared" si="1"/>
        <v>61901069.099283002</v>
      </c>
      <c r="AE93"/>
    </row>
    <row r="94" spans="2:31" s="66" customFormat="1" x14ac:dyDescent="0.15">
      <c r="B94" s="213">
        <v>17031003019</v>
      </c>
      <c r="C94" s="213">
        <v>17031000880</v>
      </c>
      <c r="D94" s="213">
        <v>17031000881</v>
      </c>
      <c r="E94" s="213" t="s">
        <v>533</v>
      </c>
      <c r="F94" s="213" t="s">
        <v>534</v>
      </c>
      <c r="G94" s="213" t="s">
        <v>365</v>
      </c>
      <c r="H94" s="213" t="s">
        <v>557</v>
      </c>
      <c r="I94" s="213"/>
      <c r="J94" s="213" t="s">
        <v>381</v>
      </c>
      <c r="K94" s="213" t="s">
        <v>382</v>
      </c>
      <c r="L94" s="213"/>
      <c r="M94" s="213"/>
      <c r="N94" s="213"/>
      <c r="O94" s="213"/>
      <c r="P94" s="213"/>
      <c r="Q94" s="213"/>
      <c r="R94" s="213"/>
      <c r="S94" s="213"/>
      <c r="T94" s="213"/>
      <c r="U94" s="213" t="s">
        <v>538</v>
      </c>
      <c r="V94" s="213">
        <v>1</v>
      </c>
      <c r="W94" s="213" t="s">
        <v>560</v>
      </c>
      <c r="X94" s="213" t="s">
        <v>541</v>
      </c>
      <c r="Y94" s="213" t="s">
        <v>541</v>
      </c>
      <c r="Z94" s="212">
        <v>0</v>
      </c>
      <c r="AA94" s="212">
        <v>0</v>
      </c>
      <c r="AB94" s="217">
        <v>0.20122399999999999</v>
      </c>
      <c r="AC94" s="217">
        <v>0.32383899999999999</v>
      </c>
      <c r="AD94" s="212">
        <f t="shared" si="1"/>
        <v>0</v>
      </c>
      <c r="AE94"/>
    </row>
    <row r="95" spans="2:31" s="66" customFormat="1" x14ac:dyDescent="0.15">
      <c r="B95" s="213">
        <v>17031003087</v>
      </c>
      <c r="C95" s="213">
        <v>17031000859</v>
      </c>
      <c r="D95" s="213">
        <v>17031000852</v>
      </c>
      <c r="E95" s="213" t="s">
        <v>533</v>
      </c>
      <c r="F95" s="213" t="s">
        <v>534</v>
      </c>
      <c r="G95" s="213" t="s">
        <v>365</v>
      </c>
      <c r="H95" s="213" t="s">
        <v>551</v>
      </c>
      <c r="I95" s="213" t="s">
        <v>535</v>
      </c>
      <c r="J95" s="213"/>
      <c r="K95" s="213"/>
      <c r="L95" s="213"/>
      <c r="M95" s="213"/>
      <c r="N95" s="213"/>
      <c r="O95" s="213"/>
      <c r="P95" s="213"/>
      <c r="Q95" s="213"/>
      <c r="R95" s="213"/>
      <c r="S95" s="213" t="s">
        <v>553</v>
      </c>
      <c r="T95" s="213" t="s">
        <v>553</v>
      </c>
      <c r="U95" s="213" t="s">
        <v>538</v>
      </c>
      <c r="V95" s="213">
        <v>1</v>
      </c>
      <c r="W95" s="213" t="s">
        <v>539</v>
      </c>
      <c r="X95" s="213" t="s">
        <v>554</v>
      </c>
      <c r="Y95" s="213" t="s">
        <v>541</v>
      </c>
      <c r="Z95" s="212">
        <v>0</v>
      </c>
      <c r="AA95" s="212">
        <v>0</v>
      </c>
      <c r="AB95" s="217">
        <v>0.32050600000000001</v>
      </c>
      <c r="AC95" s="217">
        <v>0.51580499999999996</v>
      </c>
      <c r="AD95" s="212">
        <f t="shared" si="1"/>
        <v>0</v>
      </c>
      <c r="AE95"/>
    </row>
    <row r="96" spans="2:31" s="66" customFormat="1" x14ac:dyDescent="0.15">
      <c r="B96" s="213">
        <v>17031003110</v>
      </c>
      <c r="C96" s="213">
        <v>17031000845</v>
      </c>
      <c r="D96" s="213">
        <v>17031000830</v>
      </c>
      <c r="E96" s="213" t="s">
        <v>533</v>
      </c>
      <c r="F96" s="213" t="s">
        <v>534</v>
      </c>
      <c r="G96" s="213" t="s">
        <v>365</v>
      </c>
      <c r="H96" s="213" t="s">
        <v>535</v>
      </c>
      <c r="I96" s="213"/>
      <c r="J96" s="213" t="s">
        <v>543</v>
      </c>
      <c r="K96" s="213"/>
      <c r="L96" s="213"/>
      <c r="M96" s="213"/>
      <c r="N96" s="213"/>
      <c r="O96" s="213"/>
      <c r="P96" s="213"/>
      <c r="Q96" s="213"/>
      <c r="R96" s="213"/>
      <c r="S96" s="213" t="s">
        <v>553</v>
      </c>
      <c r="T96" s="213"/>
      <c r="U96" s="213" t="s">
        <v>538</v>
      </c>
      <c r="V96" s="213">
        <v>1</v>
      </c>
      <c r="W96" s="213" t="s">
        <v>539</v>
      </c>
      <c r="X96" s="213" t="s">
        <v>554</v>
      </c>
      <c r="Y96" s="213" t="s">
        <v>541</v>
      </c>
      <c r="Z96" s="212">
        <v>72673</v>
      </c>
      <c r="AA96" s="212">
        <v>3647669</v>
      </c>
      <c r="AB96" s="217">
        <v>0.38086399999999998</v>
      </c>
      <c r="AC96" s="217">
        <v>0.61294199999999999</v>
      </c>
      <c r="AD96" s="212">
        <f t="shared" si="1"/>
        <v>1389265.806016</v>
      </c>
      <c r="AE96"/>
    </row>
    <row r="97" spans="2:31" s="66" customFormat="1" x14ac:dyDescent="0.15">
      <c r="B97" s="213">
        <v>17031003112</v>
      </c>
      <c r="C97" s="213">
        <v>17031000281</v>
      </c>
      <c r="D97" s="213">
        <v>17999019034</v>
      </c>
      <c r="E97" s="213" t="s">
        <v>533</v>
      </c>
      <c r="F97" s="213" t="s">
        <v>534</v>
      </c>
      <c r="G97" s="213" t="s">
        <v>365</v>
      </c>
      <c r="H97" s="213" t="s">
        <v>535</v>
      </c>
      <c r="I97" s="213"/>
      <c r="J97" s="213" t="s">
        <v>382</v>
      </c>
      <c r="K97" s="213" t="s">
        <v>536</v>
      </c>
      <c r="L97" s="213"/>
      <c r="M97" s="213"/>
      <c r="N97" s="213"/>
      <c r="O97" s="213"/>
      <c r="P97" s="213"/>
      <c r="Q97" s="213"/>
      <c r="R97" s="213"/>
      <c r="S97" s="213" t="s">
        <v>550</v>
      </c>
      <c r="T97" s="213"/>
      <c r="U97" s="213" t="s">
        <v>538</v>
      </c>
      <c r="V97" s="213">
        <v>1</v>
      </c>
      <c r="W97" s="213" t="s">
        <v>545</v>
      </c>
      <c r="X97" s="213" t="s">
        <v>549</v>
      </c>
      <c r="Y97" s="213" t="s">
        <v>540</v>
      </c>
      <c r="Z97" s="212">
        <v>30498</v>
      </c>
      <c r="AA97" s="212">
        <v>2859232</v>
      </c>
      <c r="AB97" s="217">
        <v>5.4187200000000004</v>
      </c>
      <c r="AC97" s="217">
        <v>8.7206030000000005</v>
      </c>
      <c r="AD97" s="212">
        <f t="shared" si="1"/>
        <v>15493377.623040002</v>
      </c>
      <c r="AE97"/>
    </row>
    <row r="98" spans="2:31" s="66" customFormat="1" x14ac:dyDescent="0.15">
      <c r="B98" s="213">
        <v>17031003186</v>
      </c>
      <c r="C98" s="213">
        <v>17031000670</v>
      </c>
      <c r="D98" s="213">
        <v>17031000659</v>
      </c>
      <c r="E98" s="213" t="s">
        <v>533</v>
      </c>
      <c r="F98" s="213" t="s">
        <v>534</v>
      </c>
      <c r="G98" s="213" t="s">
        <v>365</v>
      </c>
      <c r="H98" s="213" t="s">
        <v>382</v>
      </c>
      <c r="I98" s="213"/>
      <c r="J98" s="213"/>
      <c r="K98" s="213"/>
      <c r="L98" s="213"/>
      <c r="M98" s="213"/>
      <c r="N98" s="213"/>
      <c r="O98" s="213"/>
      <c r="P98" s="213"/>
      <c r="Q98" s="213"/>
      <c r="R98" s="213"/>
      <c r="S98" s="213"/>
      <c r="T98" s="213"/>
      <c r="U98" s="213" t="s">
        <v>538</v>
      </c>
      <c r="V98" s="213">
        <v>1</v>
      </c>
      <c r="W98" s="213" t="s">
        <v>539</v>
      </c>
      <c r="X98" s="213" t="s">
        <v>541</v>
      </c>
      <c r="Y98" s="213" t="s">
        <v>554</v>
      </c>
      <c r="Z98" s="212">
        <v>252520</v>
      </c>
      <c r="AA98" s="212">
        <v>3559680</v>
      </c>
      <c r="AB98" s="217">
        <v>0.36954599999999999</v>
      </c>
      <c r="AC98" s="217">
        <v>0.59472700000000001</v>
      </c>
      <c r="AD98" s="212">
        <f t="shared" si="1"/>
        <v>1315465.5052799999</v>
      </c>
      <c r="AE98"/>
    </row>
    <row r="99" spans="2:31" s="66" customFormat="1" x14ac:dyDescent="0.15">
      <c r="B99" s="213">
        <v>17031003226</v>
      </c>
      <c r="C99" s="213">
        <v>17031000787</v>
      </c>
      <c r="D99" s="213">
        <v>17031000799</v>
      </c>
      <c r="E99" s="213" t="s">
        <v>533</v>
      </c>
      <c r="F99" s="213" t="s">
        <v>534</v>
      </c>
      <c r="G99" s="213" t="s">
        <v>365</v>
      </c>
      <c r="H99" s="213" t="s">
        <v>543</v>
      </c>
      <c r="I99" s="213"/>
      <c r="J99" s="213" t="s">
        <v>382</v>
      </c>
      <c r="K99" s="213"/>
      <c r="L99" s="213"/>
      <c r="M99" s="213"/>
      <c r="N99" s="213"/>
      <c r="O99" s="213"/>
      <c r="P99" s="213"/>
      <c r="Q99" s="213"/>
      <c r="R99" s="213"/>
      <c r="S99" s="213"/>
      <c r="T99" s="213"/>
      <c r="U99" s="213" t="s">
        <v>559</v>
      </c>
      <c r="V99" s="213">
        <v>1</v>
      </c>
      <c r="W99" s="213" t="s">
        <v>560</v>
      </c>
      <c r="X99" s="213" t="s">
        <v>541</v>
      </c>
      <c r="Y99" s="213" t="s">
        <v>541</v>
      </c>
      <c r="Z99" s="212">
        <v>600</v>
      </c>
      <c r="AA99" s="212">
        <v>33400</v>
      </c>
      <c r="AB99" s="217">
        <v>0.28874899999999998</v>
      </c>
      <c r="AC99" s="217">
        <v>0.46469700000000003</v>
      </c>
      <c r="AD99" s="212">
        <f t="shared" si="1"/>
        <v>9644.2165999999997</v>
      </c>
      <c r="AE99"/>
    </row>
    <row r="100" spans="2:31" s="66" customFormat="1" x14ac:dyDescent="0.15">
      <c r="B100" s="213">
        <v>17031003228</v>
      </c>
      <c r="C100" s="213">
        <v>17031000372</v>
      </c>
      <c r="D100" s="213">
        <v>17031004583</v>
      </c>
      <c r="E100" s="213" t="s">
        <v>533</v>
      </c>
      <c r="F100" s="213" t="s">
        <v>534</v>
      </c>
      <c r="G100" s="213" t="s">
        <v>365</v>
      </c>
      <c r="H100" s="213" t="s">
        <v>382</v>
      </c>
      <c r="I100" s="213"/>
      <c r="J100" s="213" t="s">
        <v>547</v>
      </c>
      <c r="K100" s="213"/>
      <c r="L100" s="213"/>
      <c r="M100" s="213"/>
      <c r="N100" s="213"/>
      <c r="O100" s="213"/>
      <c r="P100" s="213"/>
      <c r="Q100" s="213"/>
      <c r="R100" s="213"/>
      <c r="S100" s="213" t="s">
        <v>565</v>
      </c>
      <c r="T100" s="213"/>
      <c r="U100" s="213" t="s">
        <v>538</v>
      </c>
      <c r="V100" s="213">
        <v>2</v>
      </c>
      <c r="W100" s="213" t="s">
        <v>566</v>
      </c>
      <c r="X100" s="213" t="s">
        <v>549</v>
      </c>
      <c r="Y100" s="213" t="s">
        <v>541</v>
      </c>
      <c r="Z100" s="212">
        <v>0</v>
      </c>
      <c r="AA100" s="212">
        <v>0</v>
      </c>
      <c r="AB100" s="217">
        <v>1.753312</v>
      </c>
      <c r="AC100" s="217">
        <v>2.8216869999999998</v>
      </c>
      <c r="AD100" s="212">
        <f t="shared" si="1"/>
        <v>0</v>
      </c>
      <c r="AE100"/>
    </row>
    <row r="101" spans="2:31" s="66" customFormat="1" x14ac:dyDescent="0.15">
      <c r="B101" s="213">
        <v>17031003233</v>
      </c>
      <c r="C101" s="213">
        <v>17031001434</v>
      </c>
      <c r="D101" s="213">
        <v>17031001422</v>
      </c>
      <c r="E101" s="213" t="s">
        <v>533</v>
      </c>
      <c r="F101" s="213" t="s">
        <v>534</v>
      </c>
      <c r="G101" s="213" t="s">
        <v>365</v>
      </c>
      <c r="H101" s="213" t="s">
        <v>535</v>
      </c>
      <c r="I101" s="213"/>
      <c r="J101" s="213" t="s">
        <v>542</v>
      </c>
      <c r="K101" s="213" t="s">
        <v>543</v>
      </c>
      <c r="L101" s="213" t="s">
        <v>382</v>
      </c>
      <c r="M101" s="213"/>
      <c r="N101" s="213"/>
      <c r="O101" s="213"/>
      <c r="P101" s="213"/>
      <c r="Q101" s="213"/>
      <c r="R101" s="213"/>
      <c r="S101" s="213" t="s">
        <v>544</v>
      </c>
      <c r="T101" s="213" t="s">
        <v>621</v>
      </c>
      <c r="U101" s="213" t="s">
        <v>538</v>
      </c>
      <c r="V101" s="213">
        <v>2</v>
      </c>
      <c r="W101" s="213" t="s">
        <v>545</v>
      </c>
      <c r="X101" s="213" t="s">
        <v>549</v>
      </c>
      <c r="Y101" s="213" t="s">
        <v>546</v>
      </c>
      <c r="Z101" s="212">
        <v>394797</v>
      </c>
      <c r="AA101" s="212">
        <v>21023531</v>
      </c>
      <c r="AB101" s="217">
        <v>1.575858</v>
      </c>
      <c r="AC101" s="217">
        <v>2.5361030000000002</v>
      </c>
      <c r="AD101" s="212">
        <f t="shared" si="1"/>
        <v>33130099.514598001</v>
      </c>
      <c r="AE101"/>
    </row>
    <row r="102" spans="2:31" s="66" customFormat="1" x14ac:dyDescent="0.15">
      <c r="B102" s="213">
        <v>17031003241</v>
      </c>
      <c r="C102" s="213">
        <v>17031004692</v>
      </c>
      <c r="D102" s="213">
        <v>17031004693</v>
      </c>
      <c r="E102" s="213" t="s">
        <v>533</v>
      </c>
      <c r="F102" s="213" t="s">
        <v>534</v>
      </c>
      <c r="G102" s="213" t="s">
        <v>365</v>
      </c>
      <c r="H102" s="213" t="s">
        <v>547</v>
      </c>
      <c r="I102" s="213"/>
      <c r="J102" s="213" t="s">
        <v>577</v>
      </c>
      <c r="K102" s="213" t="s">
        <v>551</v>
      </c>
      <c r="L102" s="213" t="s">
        <v>615</v>
      </c>
      <c r="M102" s="213"/>
      <c r="N102" s="213"/>
      <c r="O102" s="213"/>
      <c r="P102" s="213"/>
      <c r="Q102" s="213"/>
      <c r="R102" s="213"/>
      <c r="S102" s="213" t="s">
        <v>581</v>
      </c>
      <c r="T102" s="213"/>
      <c r="U102" s="213" t="s">
        <v>538</v>
      </c>
      <c r="V102" s="213">
        <v>2</v>
      </c>
      <c r="W102" s="213" t="s">
        <v>582</v>
      </c>
      <c r="X102" s="213" t="s">
        <v>540</v>
      </c>
      <c r="Y102" s="213" t="s">
        <v>540</v>
      </c>
      <c r="Z102" s="212">
        <v>103629</v>
      </c>
      <c r="AA102" s="212">
        <v>10039458</v>
      </c>
      <c r="AB102" s="217">
        <v>1.577285</v>
      </c>
      <c r="AC102" s="217">
        <v>2.5383990000000001</v>
      </c>
      <c r="AD102" s="212">
        <f t="shared" si="1"/>
        <v>15835086.511530001</v>
      </c>
      <c r="AE102"/>
    </row>
    <row r="103" spans="2:31" s="66" customFormat="1" x14ac:dyDescent="0.15">
      <c r="B103" s="213">
        <v>17031003243</v>
      </c>
      <c r="C103" s="213">
        <v>17031004687</v>
      </c>
      <c r="D103" s="213">
        <v>17031004688</v>
      </c>
      <c r="E103" s="213" t="s">
        <v>533</v>
      </c>
      <c r="F103" s="213" t="s">
        <v>534</v>
      </c>
      <c r="G103" s="213" t="s">
        <v>365</v>
      </c>
      <c r="H103" s="213" t="s">
        <v>547</v>
      </c>
      <c r="I103" s="213"/>
      <c r="J103" s="213" t="s">
        <v>543</v>
      </c>
      <c r="K103" s="213"/>
      <c r="L103" s="213"/>
      <c r="M103" s="213"/>
      <c r="N103" s="213"/>
      <c r="O103" s="213"/>
      <c r="P103" s="213"/>
      <c r="Q103" s="213"/>
      <c r="R103" s="213"/>
      <c r="S103" s="213" t="s">
        <v>602</v>
      </c>
      <c r="T103" s="213"/>
      <c r="U103" s="213" t="s">
        <v>538</v>
      </c>
      <c r="V103" s="213">
        <v>2</v>
      </c>
      <c r="W103" s="213" t="s">
        <v>582</v>
      </c>
      <c r="X103" s="213" t="s">
        <v>540</v>
      </c>
      <c r="Y103" s="213" t="s">
        <v>541</v>
      </c>
      <c r="Z103" s="212">
        <v>480</v>
      </c>
      <c r="AA103" s="212">
        <v>35280</v>
      </c>
      <c r="AB103" s="217">
        <v>1.1391819999999999</v>
      </c>
      <c r="AC103" s="217">
        <v>1.83334</v>
      </c>
      <c r="AD103" s="212">
        <f t="shared" si="1"/>
        <v>40190.340959999994</v>
      </c>
      <c r="AE103"/>
    </row>
    <row r="104" spans="2:31" s="66" customFormat="1" x14ac:dyDescent="0.15">
      <c r="B104" s="213">
        <v>17031003249</v>
      </c>
      <c r="C104" s="213">
        <v>17031004596</v>
      </c>
      <c r="D104" s="213">
        <v>17999019035</v>
      </c>
      <c r="E104" s="213" t="s">
        <v>533</v>
      </c>
      <c r="F104" s="213" t="s">
        <v>534</v>
      </c>
      <c r="G104" s="213" t="s">
        <v>365</v>
      </c>
      <c r="H104" s="213" t="s">
        <v>382</v>
      </c>
      <c r="I104" s="213"/>
      <c r="J104" s="213" t="s">
        <v>535</v>
      </c>
      <c r="K104" s="213" t="s">
        <v>547</v>
      </c>
      <c r="L104" s="213"/>
      <c r="M104" s="213"/>
      <c r="N104" s="213"/>
      <c r="O104" s="213"/>
      <c r="P104" s="213"/>
      <c r="Q104" s="213"/>
      <c r="R104" s="213"/>
      <c r="S104" s="213" t="s">
        <v>608</v>
      </c>
      <c r="T104" s="213"/>
      <c r="U104" s="213" t="s">
        <v>538</v>
      </c>
      <c r="V104" s="213">
        <v>2</v>
      </c>
      <c r="W104" s="213" t="s">
        <v>566</v>
      </c>
      <c r="X104" s="213" t="s">
        <v>549</v>
      </c>
      <c r="Y104" s="213" t="s">
        <v>549</v>
      </c>
      <c r="Z104" s="212">
        <v>15951</v>
      </c>
      <c r="AA104" s="212">
        <v>1564397</v>
      </c>
      <c r="AB104" s="217">
        <v>0.196962</v>
      </c>
      <c r="AC104" s="217">
        <v>0.31697999999999998</v>
      </c>
      <c r="AD104" s="212">
        <f t="shared" si="1"/>
        <v>308126.76191399997</v>
      </c>
      <c r="AE104"/>
    </row>
    <row r="105" spans="2:31" s="66" customFormat="1" x14ac:dyDescent="0.15">
      <c r="B105" s="213">
        <v>17031003252</v>
      </c>
      <c r="C105" s="213">
        <v>17031001223</v>
      </c>
      <c r="D105" s="213">
        <v>17031001187</v>
      </c>
      <c r="E105" s="213" t="s">
        <v>533</v>
      </c>
      <c r="F105" s="213" t="s">
        <v>534</v>
      </c>
      <c r="G105" s="213" t="s">
        <v>365</v>
      </c>
      <c r="H105" s="213" t="s">
        <v>543</v>
      </c>
      <c r="I105" s="213"/>
      <c r="J105" s="213"/>
      <c r="K105" s="213"/>
      <c r="L105" s="213"/>
      <c r="M105" s="213"/>
      <c r="N105" s="213"/>
      <c r="O105" s="213"/>
      <c r="P105" s="213"/>
      <c r="Q105" s="213"/>
      <c r="R105" s="213"/>
      <c r="S105" s="213"/>
      <c r="T105" s="213"/>
      <c r="U105" s="213" t="s">
        <v>559</v>
      </c>
      <c r="V105" s="213">
        <v>1</v>
      </c>
      <c r="W105" s="213" t="s">
        <v>560</v>
      </c>
      <c r="X105" s="213" t="s">
        <v>541</v>
      </c>
      <c r="Y105" s="213" t="s">
        <v>541</v>
      </c>
      <c r="Z105" s="212">
        <v>0</v>
      </c>
      <c r="AA105" s="212">
        <v>0</v>
      </c>
      <c r="AB105" s="217">
        <v>1.738883</v>
      </c>
      <c r="AC105" s="217">
        <v>2.7984659999999999</v>
      </c>
      <c r="AD105" s="212">
        <f t="shared" si="1"/>
        <v>0</v>
      </c>
      <c r="AE105"/>
    </row>
    <row r="106" spans="2:31" s="66" customFormat="1" x14ac:dyDescent="0.15">
      <c r="B106" s="213">
        <v>17031003265</v>
      </c>
      <c r="C106" s="213">
        <v>17031001095</v>
      </c>
      <c r="D106" s="213">
        <v>17031006705</v>
      </c>
      <c r="E106" s="213" t="s">
        <v>533</v>
      </c>
      <c r="F106" s="213" t="s">
        <v>534</v>
      </c>
      <c r="G106" s="213" t="s">
        <v>365</v>
      </c>
      <c r="H106" s="213" t="s">
        <v>535</v>
      </c>
      <c r="I106" s="213"/>
      <c r="J106" s="213"/>
      <c r="K106" s="213"/>
      <c r="L106" s="213"/>
      <c r="M106" s="213"/>
      <c r="N106" s="213"/>
      <c r="O106" s="213"/>
      <c r="P106" s="213"/>
      <c r="Q106" s="213"/>
      <c r="R106" s="213"/>
      <c r="S106" s="213" t="s">
        <v>597</v>
      </c>
      <c r="T106" s="213" t="s">
        <v>598</v>
      </c>
      <c r="U106" s="213" t="s">
        <v>538</v>
      </c>
      <c r="V106" s="213">
        <v>1</v>
      </c>
      <c r="W106" s="213" t="s">
        <v>539</v>
      </c>
      <c r="X106" s="213" t="s">
        <v>541</v>
      </c>
      <c r="Y106" s="213" t="s">
        <v>541</v>
      </c>
      <c r="Z106" s="212">
        <v>0</v>
      </c>
      <c r="AA106" s="212">
        <v>0</v>
      </c>
      <c r="AB106" s="217">
        <v>0.44065799999999999</v>
      </c>
      <c r="AC106" s="217">
        <v>0.709171</v>
      </c>
      <c r="AD106" s="212">
        <f t="shared" si="1"/>
        <v>0</v>
      </c>
      <c r="AE106"/>
    </row>
    <row r="107" spans="2:31" s="66" customFormat="1" x14ac:dyDescent="0.15">
      <c r="B107" s="213">
        <v>17031003279</v>
      </c>
      <c r="C107" s="213">
        <v>17031000882</v>
      </c>
      <c r="D107" s="213">
        <v>17031000862</v>
      </c>
      <c r="E107" s="213" t="s">
        <v>533</v>
      </c>
      <c r="F107" s="213" t="s">
        <v>534</v>
      </c>
      <c r="G107" s="213" t="s">
        <v>365</v>
      </c>
      <c r="H107" s="213" t="s">
        <v>535</v>
      </c>
      <c r="I107" s="213"/>
      <c r="J107" s="213" t="s">
        <v>542</v>
      </c>
      <c r="K107" s="213" t="s">
        <v>572</v>
      </c>
      <c r="L107" s="213" t="s">
        <v>547</v>
      </c>
      <c r="M107" s="213" t="s">
        <v>382</v>
      </c>
      <c r="N107" s="213" t="s">
        <v>552</v>
      </c>
      <c r="O107" s="213" t="s">
        <v>381</v>
      </c>
      <c r="P107" s="213"/>
      <c r="Q107" s="213"/>
      <c r="R107" s="213"/>
      <c r="S107" s="213" t="s">
        <v>601</v>
      </c>
      <c r="T107" s="213"/>
      <c r="U107" s="213" t="s">
        <v>538</v>
      </c>
      <c r="V107" s="213">
        <v>2</v>
      </c>
      <c r="W107" s="213" t="s">
        <v>545</v>
      </c>
      <c r="X107" s="213" t="s">
        <v>549</v>
      </c>
      <c r="Y107" s="213" t="s">
        <v>540</v>
      </c>
      <c r="Z107" s="212">
        <v>2000</v>
      </c>
      <c r="AA107" s="212">
        <v>169600</v>
      </c>
      <c r="AB107" s="217">
        <v>0.447712</v>
      </c>
      <c r="AC107" s="217">
        <v>0.72052400000000005</v>
      </c>
      <c r="AD107" s="212">
        <f t="shared" si="1"/>
        <v>75931.955199999997</v>
      </c>
      <c r="AE107"/>
    </row>
    <row r="108" spans="2:31" s="66" customFormat="1" x14ac:dyDescent="0.15">
      <c r="B108" s="213">
        <v>17031003284</v>
      </c>
      <c r="C108" s="213">
        <v>17031000479</v>
      </c>
      <c r="D108" s="213">
        <v>17031004640</v>
      </c>
      <c r="E108" s="213" t="s">
        <v>533</v>
      </c>
      <c r="F108" s="213" t="s">
        <v>534</v>
      </c>
      <c r="G108" s="213" t="s">
        <v>365</v>
      </c>
      <c r="H108" s="213" t="s">
        <v>552</v>
      </c>
      <c r="I108" s="213"/>
      <c r="J108" s="213" t="s">
        <v>551</v>
      </c>
      <c r="K108" s="213" t="s">
        <v>547</v>
      </c>
      <c r="L108" s="213" t="s">
        <v>382</v>
      </c>
      <c r="M108" s="213" t="s">
        <v>563</v>
      </c>
      <c r="N108" s="213"/>
      <c r="O108" s="213"/>
      <c r="P108" s="213"/>
      <c r="Q108" s="213"/>
      <c r="R108" s="213"/>
      <c r="S108" s="213" t="s">
        <v>589</v>
      </c>
      <c r="T108" s="213"/>
      <c r="U108" s="213" t="s">
        <v>538</v>
      </c>
      <c r="V108" s="213">
        <v>3</v>
      </c>
      <c r="W108" s="213" t="s">
        <v>545</v>
      </c>
      <c r="X108" s="213" t="s">
        <v>549</v>
      </c>
      <c r="Y108" s="213" t="s">
        <v>549</v>
      </c>
      <c r="Z108" s="212">
        <v>244221</v>
      </c>
      <c r="AA108" s="212">
        <v>19989495</v>
      </c>
      <c r="AB108" s="217">
        <v>0.29098800000000002</v>
      </c>
      <c r="AC108" s="217">
        <v>0.46829999999999999</v>
      </c>
      <c r="AD108" s="212">
        <f t="shared" si="1"/>
        <v>5816703.1710600005</v>
      </c>
      <c r="AE108"/>
    </row>
    <row r="109" spans="2:31" s="66" customFormat="1" x14ac:dyDescent="0.15">
      <c r="B109" s="213">
        <v>17031003286</v>
      </c>
      <c r="C109" s="213">
        <v>17031004642</v>
      </c>
      <c r="D109" s="213">
        <v>17031000484</v>
      </c>
      <c r="E109" s="213" t="s">
        <v>533</v>
      </c>
      <c r="F109" s="213" t="s">
        <v>534</v>
      </c>
      <c r="G109" s="213" t="s">
        <v>365</v>
      </c>
      <c r="H109" s="213" t="s">
        <v>552</v>
      </c>
      <c r="I109" s="213"/>
      <c r="J109" s="213" t="s">
        <v>551</v>
      </c>
      <c r="K109" s="213" t="s">
        <v>547</v>
      </c>
      <c r="L109" s="213" t="s">
        <v>382</v>
      </c>
      <c r="M109" s="213" t="s">
        <v>563</v>
      </c>
      <c r="N109" s="213"/>
      <c r="O109" s="213"/>
      <c r="P109" s="213"/>
      <c r="Q109" s="213"/>
      <c r="R109" s="213"/>
      <c r="S109" s="213" t="s">
        <v>589</v>
      </c>
      <c r="T109" s="213"/>
      <c r="U109" s="213" t="s">
        <v>538</v>
      </c>
      <c r="V109" s="213">
        <v>3</v>
      </c>
      <c r="W109" s="213" t="s">
        <v>545</v>
      </c>
      <c r="X109" s="213" t="s">
        <v>549</v>
      </c>
      <c r="Y109" s="213" t="s">
        <v>549</v>
      </c>
      <c r="Z109" s="212">
        <v>244221</v>
      </c>
      <c r="AA109" s="212">
        <v>19989495</v>
      </c>
      <c r="AB109" s="217">
        <v>0.62507900000000005</v>
      </c>
      <c r="AC109" s="217">
        <v>1.0059689999999999</v>
      </c>
      <c r="AD109" s="212">
        <f t="shared" si="1"/>
        <v>12495013.545105001</v>
      </c>
      <c r="AE109"/>
    </row>
    <row r="110" spans="2:31" s="66" customFormat="1" x14ac:dyDescent="0.15">
      <c r="B110" s="213">
        <v>17031003287</v>
      </c>
      <c r="C110" s="213">
        <v>17031000604</v>
      </c>
      <c r="D110" s="213">
        <v>17031000600</v>
      </c>
      <c r="E110" s="213" t="s">
        <v>533</v>
      </c>
      <c r="F110" s="213" t="s">
        <v>534</v>
      </c>
      <c r="G110" s="213" t="s">
        <v>365</v>
      </c>
      <c r="H110" s="213" t="s">
        <v>381</v>
      </c>
      <c r="I110" s="213"/>
      <c r="J110" s="213" t="s">
        <v>542</v>
      </c>
      <c r="K110" s="213" t="s">
        <v>547</v>
      </c>
      <c r="L110" s="213"/>
      <c r="M110" s="213"/>
      <c r="N110" s="213"/>
      <c r="O110" s="213"/>
      <c r="P110" s="213"/>
      <c r="Q110" s="213"/>
      <c r="R110" s="213"/>
      <c r="S110" s="213" t="s">
        <v>579</v>
      </c>
      <c r="T110" s="213"/>
      <c r="U110" s="213" t="s">
        <v>538</v>
      </c>
      <c r="V110" s="213">
        <v>4</v>
      </c>
      <c r="W110" s="213" t="s">
        <v>545</v>
      </c>
      <c r="X110" s="213" t="s">
        <v>541</v>
      </c>
      <c r="Y110" s="213" t="s">
        <v>541</v>
      </c>
      <c r="Z110" s="212">
        <v>105441</v>
      </c>
      <c r="AA110" s="212">
        <v>7547022</v>
      </c>
      <c r="AB110" s="217">
        <v>0.19759199999999999</v>
      </c>
      <c r="AC110" s="217">
        <v>0.31799300000000003</v>
      </c>
      <c r="AD110" s="212">
        <f t="shared" si="1"/>
        <v>1491231.171024</v>
      </c>
      <c r="AE110"/>
    </row>
    <row r="111" spans="2:31" s="66" customFormat="1" x14ac:dyDescent="0.15">
      <c r="B111" s="213">
        <v>17031003291</v>
      </c>
      <c r="C111" s="213">
        <v>17031004643</v>
      </c>
      <c r="D111" s="213">
        <v>17031000492</v>
      </c>
      <c r="E111" s="213" t="s">
        <v>533</v>
      </c>
      <c r="F111" s="213" t="s">
        <v>534</v>
      </c>
      <c r="G111" s="213" t="s">
        <v>365</v>
      </c>
      <c r="H111" s="213" t="s">
        <v>552</v>
      </c>
      <c r="I111" s="213"/>
      <c r="J111" s="213" t="s">
        <v>547</v>
      </c>
      <c r="K111" s="213" t="s">
        <v>563</v>
      </c>
      <c r="L111" s="213"/>
      <c r="M111" s="213"/>
      <c r="N111" s="213"/>
      <c r="O111" s="213"/>
      <c r="P111" s="213"/>
      <c r="Q111" s="213"/>
      <c r="R111" s="213"/>
      <c r="S111" s="213" t="s">
        <v>589</v>
      </c>
      <c r="T111" s="213"/>
      <c r="U111" s="213" t="s">
        <v>538</v>
      </c>
      <c r="V111" s="213">
        <v>3</v>
      </c>
      <c r="W111" s="213" t="s">
        <v>545</v>
      </c>
      <c r="X111" s="213" t="s">
        <v>549</v>
      </c>
      <c r="Y111" s="213" t="s">
        <v>541</v>
      </c>
      <c r="Z111" s="212">
        <v>88609</v>
      </c>
      <c r="AA111" s="212">
        <v>6717670</v>
      </c>
      <c r="AB111" s="217">
        <v>0.39276800000000001</v>
      </c>
      <c r="AC111" s="217">
        <v>0.6321</v>
      </c>
      <c r="AD111" s="212">
        <f t="shared" si="1"/>
        <v>2638485.8105600001</v>
      </c>
      <c r="AE111"/>
    </row>
    <row r="112" spans="2:31" s="66" customFormat="1" x14ac:dyDescent="0.15">
      <c r="B112" s="213">
        <v>17031003292</v>
      </c>
      <c r="C112" s="213">
        <v>17999019959</v>
      </c>
      <c r="D112" s="213">
        <v>17031000355</v>
      </c>
      <c r="E112" s="213" t="s">
        <v>533</v>
      </c>
      <c r="F112" s="213" t="s">
        <v>534</v>
      </c>
      <c r="G112" s="213" t="s">
        <v>365</v>
      </c>
      <c r="H112" s="213" t="s">
        <v>552</v>
      </c>
      <c r="I112" s="213"/>
      <c r="J112" s="213"/>
      <c r="K112" s="213"/>
      <c r="L112" s="213"/>
      <c r="M112" s="213"/>
      <c r="N112" s="213"/>
      <c r="O112" s="213"/>
      <c r="P112" s="213"/>
      <c r="Q112" s="213"/>
      <c r="R112" s="213"/>
      <c r="S112" s="213"/>
      <c r="T112" s="213"/>
      <c r="U112" s="213" t="s">
        <v>559</v>
      </c>
      <c r="V112" s="213">
        <v>1</v>
      </c>
      <c r="W112" s="213" t="s">
        <v>560</v>
      </c>
      <c r="X112" s="213" t="s">
        <v>541</v>
      </c>
      <c r="Y112" s="213" t="s">
        <v>541</v>
      </c>
      <c r="Z112" s="212">
        <v>0</v>
      </c>
      <c r="AA112" s="212">
        <v>0</v>
      </c>
      <c r="AB112" s="217">
        <v>0.30828</v>
      </c>
      <c r="AC112" s="217">
        <v>0.49612899999999999</v>
      </c>
      <c r="AD112" s="212">
        <f t="shared" si="1"/>
        <v>0</v>
      </c>
      <c r="AE112"/>
    </row>
    <row r="113" spans="2:31" s="66" customFormat="1" x14ac:dyDescent="0.15">
      <c r="B113" s="213">
        <v>17031003298</v>
      </c>
      <c r="C113" s="213">
        <v>17031001266</v>
      </c>
      <c r="D113" s="213">
        <v>17031004723</v>
      </c>
      <c r="E113" s="213" t="s">
        <v>533</v>
      </c>
      <c r="F113" s="213" t="s">
        <v>534</v>
      </c>
      <c r="G113" s="213" t="s">
        <v>365</v>
      </c>
      <c r="H113" s="213" t="s">
        <v>547</v>
      </c>
      <c r="I113" s="213"/>
      <c r="J113" s="213"/>
      <c r="K113" s="213"/>
      <c r="L113" s="213"/>
      <c r="M113" s="213"/>
      <c r="N113" s="213"/>
      <c r="O113" s="213"/>
      <c r="P113" s="213"/>
      <c r="Q113" s="213"/>
      <c r="R113" s="213"/>
      <c r="S113" s="213"/>
      <c r="T113" s="213"/>
      <c r="U113" s="213" t="s">
        <v>538</v>
      </c>
      <c r="V113" s="213">
        <v>1</v>
      </c>
      <c r="W113" s="213" t="s">
        <v>582</v>
      </c>
      <c r="X113" s="213" t="s">
        <v>541</v>
      </c>
      <c r="Y113" s="213" t="s">
        <v>541</v>
      </c>
      <c r="Z113" s="212">
        <v>0</v>
      </c>
      <c r="AA113" s="212">
        <v>0</v>
      </c>
      <c r="AB113" s="217">
        <v>0.379774</v>
      </c>
      <c r="AC113" s="217">
        <v>0.61118799999999995</v>
      </c>
      <c r="AD113" s="212">
        <f t="shared" si="1"/>
        <v>0</v>
      </c>
      <c r="AE113"/>
    </row>
    <row r="114" spans="2:31" s="66" customFormat="1" x14ac:dyDescent="0.15">
      <c r="B114" s="213">
        <v>17031003332</v>
      </c>
      <c r="C114" s="213">
        <v>17031001124</v>
      </c>
      <c r="D114" s="213">
        <v>17031001129</v>
      </c>
      <c r="E114" s="213" t="s">
        <v>533</v>
      </c>
      <c r="F114" s="213" t="s">
        <v>534</v>
      </c>
      <c r="G114" s="213" t="s">
        <v>365</v>
      </c>
      <c r="H114" s="213" t="s">
        <v>543</v>
      </c>
      <c r="I114" s="213"/>
      <c r="J114" s="213" t="s">
        <v>542</v>
      </c>
      <c r="K114" s="213" t="s">
        <v>552</v>
      </c>
      <c r="L114" s="213" t="s">
        <v>557</v>
      </c>
      <c r="M114" s="213" t="s">
        <v>661</v>
      </c>
      <c r="N114" s="213"/>
      <c r="O114" s="213"/>
      <c r="P114" s="213"/>
      <c r="Q114" s="213"/>
      <c r="R114" s="213"/>
      <c r="S114" s="213" t="s">
        <v>630</v>
      </c>
      <c r="T114" s="213"/>
      <c r="U114" s="213" t="s">
        <v>538</v>
      </c>
      <c r="V114" s="213">
        <v>2</v>
      </c>
      <c r="W114" s="213" t="s">
        <v>545</v>
      </c>
      <c r="X114" s="213" t="s">
        <v>540</v>
      </c>
      <c r="Y114" s="213" t="s">
        <v>575</v>
      </c>
      <c r="Z114" s="212">
        <v>2658147</v>
      </c>
      <c r="AA114" s="212">
        <v>74296668</v>
      </c>
      <c r="AB114" s="217">
        <v>0.18526200000000001</v>
      </c>
      <c r="AC114" s="217">
        <v>0.29815000000000003</v>
      </c>
      <c r="AD114" s="212">
        <f t="shared" si="1"/>
        <v>13764349.307016</v>
      </c>
      <c r="AE114"/>
    </row>
    <row r="115" spans="2:31" s="66" customFormat="1" x14ac:dyDescent="0.15">
      <c r="B115" s="213">
        <v>17031003467</v>
      </c>
      <c r="C115" s="213">
        <v>17031000940</v>
      </c>
      <c r="D115" s="213">
        <v>17031007705</v>
      </c>
      <c r="E115" s="213" t="s">
        <v>533</v>
      </c>
      <c r="F115" s="213" t="s">
        <v>534</v>
      </c>
      <c r="G115" s="213" t="s">
        <v>365</v>
      </c>
      <c r="H115" s="213" t="s">
        <v>535</v>
      </c>
      <c r="I115" s="213"/>
      <c r="J115" s="213" t="s">
        <v>542</v>
      </c>
      <c r="K115" s="213" t="s">
        <v>572</v>
      </c>
      <c r="L115" s="213" t="s">
        <v>547</v>
      </c>
      <c r="M115" s="213" t="s">
        <v>382</v>
      </c>
      <c r="N115" s="213"/>
      <c r="O115" s="213"/>
      <c r="P115" s="213"/>
      <c r="Q115" s="213"/>
      <c r="R115" s="213"/>
      <c r="S115" s="213" t="s">
        <v>601</v>
      </c>
      <c r="T115" s="213"/>
      <c r="U115" s="213" t="s">
        <v>538</v>
      </c>
      <c r="V115" s="213">
        <v>2</v>
      </c>
      <c r="W115" s="213" t="s">
        <v>545</v>
      </c>
      <c r="X115" s="213" t="s">
        <v>549</v>
      </c>
      <c r="Y115" s="213" t="s">
        <v>540</v>
      </c>
      <c r="Z115" s="212">
        <v>421038</v>
      </c>
      <c r="AA115" s="212">
        <v>6627039</v>
      </c>
      <c r="AB115" s="217">
        <v>0.54025999999999996</v>
      </c>
      <c r="AC115" s="217">
        <v>0.86946500000000004</v>
      </c>
      <c r="AD115" s="212">
        <f t="shared" si="1"/>
        <v>3580324.0901399995</v>
      </c>
      <c r="AE115"/>
    </row>
    <row r="116" spans="2:31" s="66" customFormat="1" x14ac:dyDescent="0.15">
      <c r="B116" s="213">
        <v>17031003490</v>
      </c>
      <c r="C116" s="213">
        <v>17031000967</v>
      </c>
      <c r="D116" s="213">
        <v>17031000901</v>
      </c>
      <c r="E116" s="213" t="s">
        <v>533</v>
      </c>
      <c r="F116" s="213" t="s">
        <v>534</v>
      </c>
      <c r="G116" s="213" t="s">
        <v>365</v>
      </c>
      <c r="H116" s="213" t="s">
        <v>381</v>
      </c>
      <c r="I116" s="213"/>
      <c r="J116" s="213" t="s">
        <v>551</v>
      </c>
      <c r="K116" s="213" t="s">
        <v>543</v>
      </c>
      <c r="L116" s="213" t="s">
        <v>382</v>
      </c>
      <c r="M116" s="213"/>
      <c r="N116" s="213"/>
      <c r="O116" s="213"/>
      <c r="P116" s="213"/>
      <c r="Q116" s="213"/>
      <c r="R116" s="213"/>
      <c r="S116" s="213" t="s">
        <v>647</v>
      </c>
      <c r="T116" s="213"/>
      <c r="U116" s="213" t="s">
        <v>538</v>
      </c>
      <c r="V116" s="213">
        <v>2</v>
      </c>
      <c r="W116" s="213" t="s">
        <v>545</v>
      </c>
      <c r="X116" s="213" t="s">
        <v>549</v>
      </c>
      <c r="Y116" s="213" t="s">
        <v>580</v>
      </c>
      <c r="Z116" s="212">
        <v>388210</v>
      </c>
      <c r="AA116" s="212">
        <v>18134526</v>
      </c>
      <c r="AB116" s="217">
        <v>1.4032910000000001</v>
      </c>
      <c r="AC116" s="217">
        <v>2.2583829999999998</v>
      </c>
      <c r="AD116" s="212">
        <f t="shared" si="1"/>
        <v>25448017.125066001</v>
      </c>
      <c r="AE116"/>
    </row>
    <row r="117" spans="2:31" s="66" customFormat="1" x14ac:dyDescent="0.15">
      <c r="B117" s="213">
        <v>17031003535</v>
      </c>
      <c r="C117" s="213">
        <v>17031001429</v>
      </c>
      <c r="D117" s="213">
        <v>17031001427</v>
      </c>
      <c r="E117" s="213" t="s">
        <v>533</v>
      </c>
      <c r="F117" s="213" t="s">
        <v>534</v>
      </c>
      <c r="G117" s="213" t="s">
        <v>365</v>
      </c>
      <c r="H117" s="213" t="s">
        <v>382</v>
      </c>
      <c r="I117" s="213"/>
      <c r="J117" s="213" t="s">
        <v>551</v>
      </c>
      <c r="K117" s="213" t="s">
        <v>555</v>
      </c>
      <c r="L117" s="213" t="s">
        <v>552</v>
      </c>
      <c r="M117" s="213"/>
      <c r="N117" s="213"/>
      <c r="O117" s="213"/>
      <c r="P117" s="213"/>
      <c r="Q117" s="213"/>
      <c r="R117" s="213"/>
      <c r="S117" s="213" t="s">
        <v>556</v>
      </c>
      <c r="T117" s="213"/>
      <c r="U117" s="213" t="s">
        <v>538</v>
      </c>
      <c r="V117" s="213">
        <v>2</v>
      </c>
      <c r="W117" s="213" t="s">
        <v>545</v>
      </c>
      <c r="X117" s="213" t="s">
        <v>554</v>
      </c>
      <c r="Y117" s="213" t="s">
        <v>580</v>
      </c>
      <c r="Z117" s="212">
        <v>847129</v>
      </c>
      <c r="AA117" s="212">
        <v>33520395</v>
      </c>
      <c r="AB117" s="217">
        <v>0.39536700000000002</v>
      </c>
      <c r="AC117" s="217">
        <v>0.63628300000000004</v>
      </c>
      <c r="AD117" s="212">
        <f t="shared" si="1"/>
        <v>13252858.009965001</v>
      </c>
      <c r="AE117"/>
    </row>
    <row r="118" spans="2:31" s="66" customFormat="1" x14ac:dyDescent="0.15">
      <c r="B118" s="213">
        <v>17031003538</v>
      </c>
      <c r="C118" s="213">
        <v>17031006831</v>
      </c>
      <c r="D118" s="213">
        <v>17031000704</v>
      </c>
      <c r="E118" s="213" t="s">
        <v>533</v>
      </c>
      <c r="F118" s="213" t="s">
        <v>534</v>
      </c>
      <c r="G118" s="213" t="s">
        <v>365</v>
      </c>
      <c r="H118" s="213" t="s">
        <v>382</v>
      </c>
      <c r="I118" s="213"/>
      <c r="J118" s="213"/>
      <c r="K118" s="213"/>
      <c r="L118" s="213"/>
      <c r="M118" s="213"/>
      <c r="N118" s="213"/>
      <c r="O118" s="213"/>
      <c r="P118" s="213"/>
      <c r="Q118" s="213"/>
      <c r="R118" s="213"/>
      <c r="S118" s="213"/>
      <c r="T118" s="213" t="s">
        <v>664</v>
      </c>
      <c r="U118" s="213" t="s">
        <v>559</v>
      </c>
      <c r="V118" s="213">
        <v>1</v>
      </c>
      <c r="W118" s="213" t="s">
        <v>560</v>
      </c>
      <c r="X118" s="213" t="s">
        <v>541</v>
      </c>
      <c r="Y118" s="213" t="s">
        <v>541</v>
      </c>
      <c r="Z118" s="212">
        <v>600</v>
      </c>
      <c r="AA118" s="212">
        <v>33400</v>
      </c>
      <c r="AB118" s="217">
        <v>0.62362099999999998</v>
      </c>
      <c r="AC118" s="217">
        <v>1.003622</v>
      </c>
      <c r="AD118" s="212">
        <f t="shared" si="1"/>
        <v>20828.9414</v>
      </c>
      <c r="AE118"/>
    </row>
    <row r="119" spans="2:31" s="66" customFormat="1" x14ac:dyDescent="0.15">
      <c r="B119" s="213">
        <v>17031003556</v>
      </c>
      <c r="C119" s="213">
        <v>17031001293</v>
      </c>
      <c r="D119" s="213">
        <v>17031004698</v>
      </c>
      <c r="E119" s="213" t="s">
        <v>533</v>
      </c>
      <c r="F119" s="213" t="s">
        <v>534</v>
      </c>
      <c r="G119" s="213" t="s">
        <v>365</v>
      </c>
      <c r="H119" s="213" t="s">
        <v>547</v>
      </c>
      <c r="I119" s="213"/>
      <c r="J119" s="213"/>
      <c r="K119" s="213"/>
      <c r="L119" s="213"/>
      <c r="M119" s="213"/>
      <c r="N119" s="213"/>
      <c r="O119" s="213"/>
      <c r="P119" s="213"/>
      <c r="Q119" s="213"/>
      <c r="R119" s="213"/>
      <c r="S119" s="213" t="s">
        <v>611</v>
      </c>
      <c r="T119" s="213"/>
      <c r="U119" s="213" t="s">
        <v>538</v>
      </c>
      <c r="V119" s="213">
        <v>1</v>
      </c>
      <c r="W119" s="213" t="s">
        <v>582</v>
      </c>
      <c r="X119" s="213" t="s">
        <v>540</v>
      </c>
      <c r="Y119" s="213" t="s">
        <v>541</v>
      </c>
      <c r="Z119" s="212">
        <v>0</v>
      </c>
      <c r="AA119" s="212">
        <v>0</v>
      </c>
      <c r="AB119" s="217">
        <v>0.55063499999999999</v>
      </c>
      <c r="AC119" s="217">
        <v>0.88616300000000003</v>
      </c>
      <c r="AD119" s="212">
        <f t="shared" si="1"/>
        <v>0</v>
      </c>
      <c r="AE119"/>
    </row>
    <row r="120" spans="2:31" s="66" customFormat="1" x14ac:dyDescent="0.15">
      <c r="B120" s="213">
        <v>17031003561</v>
      </c>
      <c r="C120" s="213">
        <v>17031001587</v>
      </c>
      <c r="D120" s="213">
        <v>17031001575</v>
      </c>
      <c r="E120" s="213" t="s">
        <v>533</v>
      </c>
      <c r="F120" s="213" t="s">
        <v>534</v>
      </c>
      <c r="G120" s="213" t="s">
        <v>365</v>
      </c>
      <c r="H120" s="213" t="s">
        <v>382</v>
      </c>
      <c r="I120" s="213"/>
      <c r="J120" s="213" t="s">
        <v>551</v>
      </c>
      <c r="K120" s="213" t="s">
        <v>555</v>
      </c>
      <c r="L120" s="213"/>
      <c r="M120" s="213"/>
      <c r="N120" s="213"/>
      <c r="O120" s="213"/>
      <c r="P120" s="213"/>
      <c r="Q120" s="213"/>
      <c r="R120" s="213"/>
      <c r="S120" s="213" t="s">
        <v>556</v>
      </c>
      <c r="T120" s="213" t="s">
        <v>599</v>
      </c>
      <c r="U120" s="213" t="s">
        <v>538</v>
      </c>
      <c r="V120" s="213">
        <v>2</v>
      </c>
      <c r="W120" s="213" t="s">
        <v>545</v>
      </c>
      <c r="X120" s="213" t="s">
        <v>540</v>
      </c>
      <c r="Y120" s="213" t="s">
        <v>580</v>
      </c>
      <c r="Z120" s="212">
        <v>846401</v>
      </c>
      <c r="AA120" s="212">
        <v>33460815</v>
      </c>
      <c r="AB120" s="217">
        <v>0.64715299999999998</v>
      </c>
      <c r="AC120" s="217">
        <v>1.0414939999999999</v>
      </c>
      <c r="AD120" s="212">
        <f t="shared" si="1"/>
        <v>21654266.809694998</v>
      </c>
      <c r="AE120"/>
    </row>
    <row r="121" spans="2:31" s="66" customFormat="1" x14ac:dyDescent="0.15">
      <c r="B121" s="213">
        <v>17031003579</v>
      </c>
      <c r="C121" s="213">
        <v>17031001368</v>
      </c>
      <c r="D121" s="213">
        <v>17031001373</v>
      </c>
      <c r="E121" s="213" t="s">
        <v>533</v>
      </c>
      <c r="F121" s="213" t="s">
        <v>534</v>
      </c>
      <c r="G121" s="213" t="s">
        <v>365</v>
      </c>
      <c r="H121" s="213" t="s">
        <v>557</v>
      </c>
      <c r="I121" s="213"/>
      <c r="J121" s="213" t="s">
        <v>381</v>
      </c>
      <c r="K121" s="213" t="s">
        <v>535</v>
      </c>
      <c r="L121" s="213" t="s">
        <v>552</v>
      </c>
      <c r="M121" s="213" t="s">
        <v>551</v>
      </c>
      <c r="N121" s="213" t="s">
        <v>615</v>
      </c>
      <c r="O121" s="213" t="s">
        <v>543</v>
      </c>
      <c r="P121" s="213" t="s">
        <v>382</v>
      </c>
      <c r="Q121" s="213"/>
      <c r="R121" s="213"/>
      <c r="S121" s="213" t="s">
        <v>570</v>
      </c>
      <c r="T121" s="213" t="s">
        <v>600</v>
      </c>
      <c r="U121" s="213" t="s">
        <v>538</v>
      </c>
      <c r="V121" s="213">
        <v>2</v>
      </c>
      <c r="W121" s="213" t="s">
        <v>545</v>
      </c>
      <c r="X121" s="213" t="s">
        <v>554</v>
      </c>
      <c r="Y121" s="213" t="s">
        <v>546</v>
      </c>
      <c r="Z121" s="212">
        <v>1236177</v>
      </c>
      <c r="AA121" s="212">
        <v>46570627</v>
      </c>
      <c r="AB121" s="217">
        <v>4.6850000000000003E-2</v>
      </c>
      <c r="AC121" s="217">
        <v>7.5398000000000007E-2</v>
      </c>
      <c r="AD121" s="212">
        <f t="shared" si="1"/>
        <v>2181833.8749500001</v>
      </c>
      <c r="AE121"/>
    </row>
    <row r="122" spans="2:31" s="66" customFormat="1" x14ac:dyDescent="0.15">
      <c r="B122" s="213">
        <v>17031003600</v>
      </c>
      <c r="C122" s="213">
        <v>17031000966</v>
      </c>
      <c r="D122" s="213">
        <v>17031007116</v>
      </c>
      <c r="E122" s="213" t="s">
        <v>533</v>
      </c>
      <c r="F122" s="213" t="s">
        <v>534</v>
      </c>
      <c r="G122" s="213" t="s">
        <v>365</v>
      </c>
      <c r="H122" s="213" t="s">
        <v>571</v>
      </c>
      <c r="I122" s="213"/>
      <c r="J122" s="213" t="s">
        <v>381</v>
      </c>
      <c r="K122" s="213" t="s">
        <v>535</v>
      </c>
      <c r="L122" s="213" t="s">
        <v>552</v>
      </c>
      <c r="M122" s="213" t="s">
        <v>572</v>
      </c>
      <c r="N122" s="213" t="s">
        <v>551</v>
      </c>
      <c r="O122" s="213" t="s">
        <v>555</v>
      </c>
      <c r="P122" s="213" t="s">
        <v>543</v>
      </c>
      <c r="Q122" s="213" t="s">
        <v>382</v>
      </c>
      <c r="R122" s="213" t="s">
        <v>563</v>
      </c>
      <c r="S122" s="213" t="s">
        <v>605</v>
      </c>
      <c r="T122" s="213" t="s">
        <v>574</v>
      </c>
      <c r="U122" s="213" t="s">
        <v>538</v>
      </c>
      <c r="V122" s="213">
        <v>2</v>
      </c>
      <c r="W122" s="213" t="s">
        <v>545</v>
      </c>
      <c r="X122" s="213" t="s">
        <v>554</v>
      </c>
      <c r="Y122" s="213" t="s">
        <v>575</v>
      </c>
      <c r="Z122" s="212">
        <v>351463</v>
      </c>
      <c r="AA122" s="212">
        <v>18478756</v>
      </c>
      <c r="AB122" s="217">
        <v>0.25418099999999999</v>
      </c>
      <c r="AC122" s="217">
        <v>0.40906599999999999</v>
      </c>
      <c r="AD122" s="212">
        <f t="shared" si="1"/>
        <v>4696948.6788360002</v>
      </c>
      <c r="AE122"/>
    </row>
    <row r="123" spans="2:31" s="66" customFormat="1" x14ac:dyDescent="0.15">
      <c r="B123" s="213">
        <v>17031003601</v>
      </c>
      <c r="C123" s="213">
        <v>17031000974</v>
      </c>
      <c r="D123" s="213">
        <v>17031000972</v>
      </c>
      <c r="E123" s="213" t="s">
        <v>533</v>
      </c>
      <c r="F123" s="213" t="s">
        <v>534</v>
      </c>
      <c r="G123" s="213" t="s">
        <v>365</v>
      </c>
      <c r="H123" s="213" t="s">
        <v>571</v>
      </c>
      <c r="I123" s="213"/>
      <c r="J123" s="213" t="s">
        <v>381</v>
      </c>
      <c r="K123" s="213" t="s">
        <v>535</v>
      </c>
      <c r="L123" s="213" t="s">
        <v>572</v>
      </c>
      <c r="M123" s="213" t="s">
        <v>552</v>
      </c>
      <c r="N123" s="213" t="s">
        <v>551</v>
      </c>
      <c r="O123" s="213" t="s">
        <v>555</v>
      </c>
      <c r="P123" s="213" t="s">
        <v>543</v>
      </c>
      <c r="Q123" s="213" t="s">
        <v>382</v>
      </c>
      <c r="R123" s="213" t="s">
        <v>563</v>
      </c>
      <c r="S123" s="213" t="s">
        <v>622</v>
      </c>
      <c r="T123" s="213" t="s">
        <v>574</v>
      </c>
      <c r="U123" s="213" t="s">
        <v>538</v>
      </c>
      <c r="V123" s="213">
        <v>1</v>
      </c>
      <c r="W123" s="213" t="s">
        <v>545</v>
      </c>
      <c r="X123" s="213" t="s">
        <v>554</v>
      </c>
      <c r="Y123" s="213" t="s">
        <v>575</v>
      </c>
      <c r="Z123" s="212">
        <v>351463</v>
      </c>
      <c r="AA123" s="212">
        <v>18478756</v>
      </c>
      <c r="AB123" s="217">
        <v>0.109761</v>
      </c>
      <c r="AC123" s="217">
        <v>0.17664299999999999</v>
      </c>
      <c r="AD123" s="212">
        <f t="shared" si="1"/>
        <v>2028246.737316</v>
      </c>
      <c r="AE123"/>
    </row>
    <row r="124" spans="2:31" s="66" customFormat="1" x14ac:dyDescent="0.15">
      <c r="B124" s="213">
        <v>17031003602</v>
      </c>
      <c r="C124" s="213">
        <v>17031000972</v>
      </c>
      <c r="D124" s="213">
        <v>17031000977</v>
      </c>
      <c r="E124" s="213" t="s">
        <v>533</v>
      </c>
      <c r="F124" s="213" t="s">
        <v>534</v>
      </c>
      <c r="G124" s="213" t="s">
        <v>365</v>
      </c>
      <c r="H124" s="213" t="s">
        <v>571</v>
      </c>
      <c r="I124" s="213"/>
      <c r="J124" s="213" t="s">
        <v>381</v>
      </c>
      <c r="K124" s="213" t="s">
        <v>535</v>
      </c>
      <c r="L124" s="213" t="s">
        <v>552</v>
      </c>
      <c r="M124" s="213" t="s">
        <v>572</v>
      </c>
      <c r="N124" s="213" t="s">
        <v>551</v>
      </c>
      <c r="O124" s="213" t="s">
        <v>555</v>
      </c>
      <c r="P124" s="213" t="s">
        <v>543</v>
      </c>
      <c r="Q124" s="213" t="s">
        <v>382</v>
      </c>
      <c r="R124" s="213" t="s">
        <v>563</v>
      </c>
      <c r="S124" s="213" t="s">
        <v>622</v>
      </c>
      <c r="T124" s="213" t="s">
        <v>574</v>
      </c>
      <c r="U124" s="213" t="s">
        <v>538</v>
      </c>
      <c r="V124" s="213">
        <v>1</v>
      </c>
      <c r="W124" s="213" t="s">
        <v>545</v>
      </c>
      <c r="X124" s="213" t="s">
        <v>541</v>
      </c>
      <c r="Y124" s="213" t="s">
        <v>575</v>
      </c>
      <c r="Z124" s="212">
        <v>343867</v>
      </c>
      <c r="AA124" s="212">
        <v>17820652</v>
      </c>
      <c r="AB124" s="217">
        <v>0.23910999999999999</v>
      </c>
      <c r="AC124" s="217">
        <v>0.38481100000000001</v>
      </c>
      <c r="AD124" s="212">
        <f t="shared" si="1"/>
        <v>4261096.0997199994</v>
      </c>
      <c r="AE124"/>
    </row>
    <row r="125" spans="2:31" s="66" customFormat="1" x14ac:dyDescent="0.15">
      <c r="B125" s="213">
        <v>17031003605</v>
      </c>
      <c r="C125" s="213">
        <v>17031001008</v>
      </c>
      <c r="D125" s="213">
        <v>17031001013</v>
      </c>
      <c r="E125" s="213" t="s">
        <v>533</v>
      </c>
      <c r="F125" s="213" t="s">
        <v>534</v>
      </c>
      <c r="G125" s="213" t="s">
        <v>365</v>
      </c>
      <c r="H125" s="213" t="s">
        <v>571</v>
      </c>
      <c r="I125" s="213"/>
      <c r="J125" s="213" t="s">
        <v>535</v>
      </c>
      <c r="K125" s="213" t="s">
        <v>552</v>
      </c>
      <c r="L125" s="213" t="s">
        <v>572</v>
      </c>
      <c r="M125" s="213" t="s">
        <v>551</v>
      </c>
      <c r="N125" s="213" t="s">
        <v>555</v>
      </c>
      <c r="O125" s="213" t="s">
        <v>543</v>
      </c>
      <c r="P125" s="213" t="s">
        <v>382</v>
      </c>
      <c r="Q125" s="213" t="s">
        <v>381</v>
      </c>
      <c r="R125" s="213"/>
      <c r="S125" s="213" t="s">
        <v>573</v>
      </c>
      <c r="T125" s="213"/>
      <c r="U125" s="213" t="s">
        <v>538</v>
      </c>
      <c r="V125" s="213">
        <v>4</v>
      </c>
      <c r="W125" s="213" t="s">
        <v>545</v>
      </c>
      <c r="X125" s="213" t="s">
        <v>554</v>
      </c>
      <c r="Y125" s="213" t="s">
        <v>575</v>
      </c>
      <c r="Z125" s="212">
        <v>388467</v>
      </c>
      <c r="AA125" s="212">
        <v>19916620</v>
      </c>
      <c r="AB125" s="217">
        <v>0.157217</v>
      </c>
      <c r="AC125" s="217">
        <v>0.25301699999999999</v>
      </c>
      <c r="AD125" s="212">
        <f t="shared" si="1"/>
        <v>3131231.2465399997</v>
      </c>
      <c r="AE125"/>
    </row>
    <row r="126" spans="2:31" s="66" customFormat="1" x14ac:dyDescent="0.15">
      <c r="B126" s="213">
        <v>17031003606</v>
      </c>
      <c r="C126" s="213">
        <v>17031000884</v>
      </c>
      <c r="D126" s="213">
        <v>17031001007</v>
      </c>
      <c r="E126" s="213" t="s">
        <v>533</v>
      </c>
      <c r="F126" s="213" t="s">
        <v>534</v>
      </c>
      <c r="G126" s="213" t="s">
        <v>365</v>
      </c>
      <c r="H126" s="213" t="s">
        <v>551</v>
      </c>
      <c r="I126" s="213" t="s">
        <v>535</v>
      </c>
      <c r="J126" s="213"/>
      <c r="K126" s="213"/>
      <c r="L126" s="213"/>
      <c r="M126" s="213"/>
      <c r="N126" s="213"/>
      <c r="O126" s="213"/>
      <c r="P126" s="213"/>
      <c r="Q126" s="213"/>
      <c r="R126" s="213"/>
      <c r="S126" s="213" t="s">
        <v>553</v>
      </c>
      <c r="T126" s="213"/>
      <c r="U126" s="213" t="s">
        <v>538</v>
      </c>
      <c r="V126" s="213">
        <v>1</v>
      </c>
      <c r="W126" s="213" t="s">
        <v>582</v>
      </c>
      <c r="X126" s="213" t="s">
        <v>540</v>
      </c>
      <c r="Y126" s="213" t="s">
        <v>541</v>
      </c>
      <c r="Z126" s="212">
        <v>0</v>
      </c>
      <c r="AA126" s="212">
        <v>0</v>
      </c>
      <c r="AB126" s="217">
        <v>2.2838289999999999</v>
      </c>
      <c r="AC126" s="217">
        <v>3.6754739999999999</v>
      </c>
      <c r="AD126" s="212">
        <f t="shared" si="1"/>
        <v>0</v>
      </c>
      <c r="AE126"/>
    </row>
    <row r="127" spans="2:31" s="66" customFormat="1" x14ac:dyDescent="0.15">
      <c r="B127" s="213">
        <v>17031003608</v>
      </c>
      <c r="C127" s="213">
        <v>17031000851</v>
      </c>
      <c r="D127" s="213">
        <v>17031000849</v>
      </c>
      <c r="E127" s="213" t="s">
        <v>533</v>
      </c>
      <c r="F127" s="213" t="s">
        <v>534</v>
      </c>
      <c r="G127" s="213" t="s">
        <v>365</v>
      </c>
      <c r="H127" s="213" t="s">
        <v>571</v>
      </c>
      <c r="I127" s="213"/>
      <c r="J127" s="213"/>
      <c r="K127" s="213"/>
      <c r="L127" s="213"/>
      <c r="M127" s="213"/>
      <c r="N127" s="213"/>
      <c r="O127" s="213"/>
      <c r="P127" s="213"/>
      <c r="Q127" s="213"/>
      <c r="R127" s="213"/>
      <c r="S127" s="213"/>
      <c r="T127" s="213"/>
      <c r="U127" s="213" t="s">
        <v>559</v>
      </c>
      <c r="V127" s="213">
        <v>1</v>
      </c>
      <c r="W127" s="213" t="s">
        <v>560</v>
      </c>
      <c r="X127" s="213" t="s">
        <v>541</v>
      </c>
      <c r="Y127" s="213" t="s">
        <v>541</v>
      </c>
      <c r="Z127" s="212">
        <v>0</v>
      </c>
      <c r="AA127" s="212">
        <v>0</v>
      </c>
      <c r="AB127" s="217">
        <v>0.30147699999999999</v>
      </c>
      <c r="AC127" s="217">
        <v>0.48518099999999997</v>
      </c>
      <c r="AD127" s="212">
        <f t="shared" si="1"/>
        <v>0</v>
      </c>
      <c r="AE127"/>
    </row>
    <row r="128" spans="2:31" s="66" customFormat="1" x14ac:dyDescent="0.15">
      <c r="B128" s="213">
        <v>17031003619</v>
      </c>
      <c r="C128" s="213">
        <v>17031001325</v>
      </c>
      <c r="D128" s="213">
        <v>17031001317</v>
      </c>
      <c r="E128" s="213" t="s">
        <v>533</v>
      </c>
      <c r="F128" s="213" t="s">
        <v>534</v>
      </c>
      <c r="G128" s="213" t="s">
        <v>365</v>
      </c>
      <c r="H128" s="213" t="s">
        <v>551</v>
      </c>
      <c r="I128" s="213"/>
      <c r="J128" s="213" t="s">
        <v>381</v>
      </c>
      <c r="K128" s="213" t="s">
        <v>535</v>
      </c>
      <c r="L128" s="213" t="s">
        <v>552</v>
      </c>
      <c r="M128" s="213"/>
      <c r="N128" s="213"/>
      <c r="O128" s="213"/>
      <c r="P128" s="213"/>
      <c r="Q128" s="213"/>
      <c r="R128" s="213"/>
      <c r="S128" s="213" t="s">
        <v>603</v>
      </c>
      <c r="T128" s="213"/>
      <c r="U128" s="213" t="s">
        <v>538</v>
      </c>
      <c r="V128" s="213">
        <v>2</v>
      </c>
      <c r="W128" s="213" t="s">
        <v>545</v>
      </c>
      <c r="X128" s="213" t="s">
        <v>540</v>
      </c>
      <c r="Y128" s="213" t="s">
        <v>575</v>
      </c>
      <c r="Z128" s="212">
        <v>853221</v>
      </c>
      <c r="AA128" s="212">
        <v>45095902</v>
      </c>
      <c r="AB128" s="217">
        <v>0.26160600000000001</v>
      </c>
      <c r="AC128" s="217">
        <v>0.42101499999999997</v>
      </c>
      <c r="AD128" s="212">
        <f t="shared" si="1"/>
        <v>11797358.538612001</v>
      </c>
      <c r="AE128"/>
    </row>
    <row r="129" spans="2:31" s="66" customFormat="1" x14ac:dyDescent="0.15">
      <c r="B129" s="213">
        <v>17031003625</v>
      </c>
      <c r="C129" s="213">
        <v>17031000772</v>
      </c>
      <c r="D129" s="213">
        <v>17031004717</v>
      </c>
      <c r="E129" s="213" t="s">
        <v>533</v>
      </c>
      <c r="F129" s="213" t="s">
        <v>534</v>
      </c>
      <c r="G129" s="213" t="s">
        <v>365</v>
      </c>
      <c r="H129" s="213" t="s">
        <v>551</v>
      </c>
      <c r="I129" s="213"/>
      <c r="J129" s="213"/>
      <c r="K129" s="213"/>
      <c r="L129" s="213"/>
      <c r="M129" s="213"/>
      <c r="N129" s="213"/>
      <c r="O129" s="213"/>
      <c r="P129" s="213"/>
      <c r="Q129" s="213"/>
      <c r="R129" s="213"/>
      <c r="S129" s="213" t="s">
        <v>600</v>
      </c>
      <c r="T129" s="213"/>
      <c r="U129" s="213" t="s">
        <v>538</v>
      </c>
      <c r="V129" s="213">
        <v>2</v>
      </c>
      <c r="W129" s="213" t="s">
        <v>582</v>
      </c>
      <c r="X129" s="213" t="s">
        <v>540</v>
      </c>
      <c r="Y129" s="213" t="s">
        <v>549</v>
      </c>
      <c r="Z129" s="212">
        <v>192774</v>
      </c>
      <c r="AA129" s="212">
        <v>6267418</v>
      </c>
      <c r="AB129" s="217">
        <v>1.854956</v>
      </c>
      <c r="AC129" s="217">
        <v>2.9852690000000002</v>
      </c>
      <c r="AD129" s="212">
        <f t="shared" si="1"/>
        <v>11625784.623608001</v>
      </c>
      <c r="AE129"/>
    </row>
    <row r="130" spans="2:31" s="66" customFormat="1" x14ac:dyDescent="0.15">
      <c r="B130" s="213">
        <v>17031003631</v>
      </c>
      <c r="C130" s="213">
        <v>17031001020</v>
      </c>
      <c r="D130" s="213">
        <v>17031001019</v>
      </c>
      <c r="E130" s="213" t="s">
        <v>533</v>
      </c>
      <c r="F130" s="213" t="s">
        <v>534</v>
      </c>
      <c r="G130" s="213" t="s">
        <v>365</v>
      </c>
      <c r="H130" s="213" t="s">
        <v>571</v>
      </c>
      <c r="I130" s="213"/>
      <c r="J130" s="213" t="s">
        <v>552</v>
      </c>
      <c r="K130" s="213" t="s">
        <v>572</v>
      </c>
      <c r="L130" s="213" t="s">
        <v>555</v>
      </c>
      <c r="M130" s="213" t="s">
        <v>543</v>
      </c>
      <c r="N130" s="213" t="s">
        <v>382</v>
      </c>
      <c r="O130" s="213"/>
      <c r="P130" s="213"/>
      <c r="Q130" s="213"/>
      <c r="R130" s="213"/>
      <c r="S130" s="213" t="s">
        <v>573</v>
      </c>
      <c r="T130" s="213"/>
      <c r="U130" s="213" t="s">
        <v>538</v>
      </c>
      <c r="V130" s="213">
        <v>2</v>
      </c>
      <c r="W130" s="213" t="s">
        <v>545</v>
      </c>
      <c r="X130" s="213" t="s">
        <v>554</v>
      </c>
      <c r="Y130" s="213" t="s">
        <v>580</v>
      </c>
      <c r="Z130" s="212">
        <v>383331</v>
      </c>
      <c r="AA130" s="212">
        <v>19455504</v>
      </c>
      <c r="AB130" s="217">
        <v>0.38766099999999998</v>
      </c>
      <c r="AC130" s="217">
        <v>0.62388100000000002</v>
      </c>
      <c r="AD130" s="212">
        <f t="shared" si="1"/>
        <v>7542140.1361439992</v>
      </c>
      <c r="AE130"/>
    </row>
    <row r="131" spans="2:31" s="66" customFormat="1" x14ac:dyDescent="0.15">
      <c r="B131" s="213">
        <v>17031003641</v>
      </c>
      <c r="C131" s="213">
        <v>17031000808</v>
      </c>
      <c r="D131" s="213">
        <v>17031000818</v>
      </c>
      <c r="E131" s="213" t="s">
        <v>533</v>
      </c>
      <c r="F131" s="213" t="s">
        <v>534</v>
      </c>
      <c r="G131" s="213" t="s">
        <v>365</v>
      </c>
      <c r="H131" s="213" t="s">
        <v>535</v>
      </c>
      <c r="I131" s="213"/>
      <c r="J131" s="213" t="s">
        <v>543</v>
      </c>
      <c r="K131" s="213"/>
      <c r="L131" s="213"/>
      <c r="M131" s="213"/>
      <c r="N131" s="213"/>
      <c r="O131" s="213"/>
      <c r="P131" s="213"/>
      <c r="Q131" s="213"/>
      <c r="R131" s="213"/>
      <c r="S131" s="213"/>
      <c r="T131" s="213"/>
      <c r="U131" s="213" t="s">
        <v>538</v>
      </c>
      <c r="V131" s="213">
        <v>1</v>
      </c>
      <c r="W131" s="213" t="s">
        <v>560</v>
      </c>
      <c r="X131" s="213" t="s">
        <v>541</v>
      </c>
      <c r="Y131" s="213" t="s">
        <v>541</v>
      </c>
      <c r="Z131" s="212">
        <v>0</v>
      </c>
      <c r="AA131" s="212">
        <v>0</v>
      </c>
      <c r="AB131" s="217">
        <v>0.87914000000000003</v>
      </c>
      <c r="AC131" s="217">
        <v>1.414841</v>
      </c>
      <c r="AD131" s="212">
        <f t="shared" si="1"/>
        <v>0</v>
      </c>
      <c r="AE131"/>
    </row>
    <row r="132" spans="2:31" s="66" customFormat="1" x14ac:dyDescent="0.15">
      <c r="B132" s="213">
        <v>17031003654</v>
      </c>
      <c r="C132" s="213">
        <v>17031001034</v>
      </c>
      <c r="D132" s="213">
        <v>17031001048</v>
      </c>
      <c r="E132" s="213" t="s">
        <v>533</v>
      </c>
      <c r="F132" s="213" t="s">
        <v>534</v>
      </c>
      <c r="G132" s="213" t="s">
        <v>365</v>
      </c>
      <c r="H132" s="213" t="s">
        <v>571</v>
      </c>
      <c r="I132" s="213"/>
      <c r="J132" s="213" t="s">
        <v>542</v>
      </c>
      <c r="K132" s="213" t="s">
        <v>552</v>
      </c>
      <c r="L132" s="213" t="s">
        <v>572</v>
      </c>
      <c r="M132" s="213" t="s">
        <v>555</v>
      </c>
      <c r="N132" s="213" t="s">
        <v>543</v>
      </c>
      <c r="O132" s="213" t="s">
        <v>382</v>
      </c>
      <c r="P132" s="213"/>
      <c r="Q132" s="213"/>
      <c r="R132" s="213"/>
      <c r="S132" s="213" t="s">
        <v>573</v>
      </c>
      <c r="T132" s="213"/>
      <c r="U132" s="213" t="s">
        <v>538</v>
      </c>
      <c r="V132" s="213">
        <v>3</v>
      </c>
      <c r="W132" s="213" t="s">
        <v>545</v>
      </c>
      <c r="X132" s="213" t="s">
        <v>554</v>
      </c>
      <c r="Y132" s="213" t="s">
        <v>575</v>
      </c>
      <c r="Z132" s="212">
        <v>239597</v>
      </c>
      <c r="AA132" s="212">
        <v>12158790</v>
      </c>
      <c r="AB132" s="217">
        <v>0.408665</v>
      </c>
      <c r="AC132" s="217">
        <v>0.65768300000000002</v>
      </c>
      <c r="AD132" s="212">
        <f t="shared" si="1"/>
        <v>4968871.9153500004</v>
      </c>
      <c r="AE132"/>
    </row>
    <row r="133" spans="2:31" s="66" customFormat="1" x14ac:dyDescent="0.15">
      <c r="B133" s="213">
        <v>17031003658</v>
      </c>
      <c r="C133" s="213">
        <v>17031001068</v>
      </c>
      <c r="D133" s="213">
        <v>17031001077</v>
      </c>
      <c r="E133" s="213" t="s">
        <v>533</v>
      </c>
      <c r="F133" s="213" t="s">
        <v>534</v>
      </c>
      <c r="G133" s="213" t="s">
        <v>365</v>
      </c>
      <c r="H133" s="213" t="s">
        <v>577</v>
      </c>
      <c r="I133" s="213"/>
      <c r="J133" s="213"/>
      <c r="K133" s="213"/>
      <c r="L133" s="213"/>
      <c r="M133" s="213"/>
      <c r="N133" s="213"/>
      <c r="O133" s="213"/>
      <c r="P133" s="213"/>
      <c r="Q133" s="213"/>
      <c r="R133" s="213"/>
      <c r="S133" s="213"/>
      <c r="T133" s="213"/>
      <c r="U133" s="213" t="s">
        <v>538</v>
      </c>
      <c r="V133" s="213">
        <v>1</v>
      </c>
      <c r="W133" s="213" t="s">
        <v>560</v>
      </c>
      <c r="X133" s="213" t="s">
        <v>541</v>
      </c>
      <c r="Y133" s="213" t="s">
        <v>541</v>
      </c>
      <c r="Z133" s="212">
        <v>0</v>
      </c>
      <c r="AA133" s="212">
        <v>0</v>
      </c>
      <c r="AB133" s="217">
        <v>0.239617</v>
      </c>
      <c r="AC133" s="217">
        <v>0.385627</v>
      </c>
      <c r="AD133" s="212">
        <f t="shared" si="1"/>
        <v>0</v>
      </c>
      <c r="AE133"/>
    </row>
    <row r="134" spans="2:31" s="66" customFormat="1" x14ac:dyDescent="0.15">
      <c r="B134" s="213">
        <v>17031003666</v>
      </c>
      <c r="C134" s="213">
        <v>17031001284</v>
      </c>
      <c r="D134" s="213">
        <v>17031001243</v>
      </c>
      <c r="E134" s="213" t="s">
        <v>533</v>
      </c>
      <c r="F134" s="213" t="s">
        <v>534</v>
      </c>
      <c r="G134" s="213" t="s">
        <v>365</v>
      </c>
      <c r="H134" s="213" t="s">
        <v>547</v>
      </c>
      <c r="I134" s="213"/>
      <c r="J134" s="213" t="s">
        <v>577</v>
      </c>
      <c r="K134" s="213" t="s">
        <v>615</v>
      </c>
      <c r="L134" s="213"/>
      <c r="M134" s="213"/>
      <c r="N134" s="213"/>
      <c r="O134" s="213"/>
      <c r="P134" s="213"/>
      <c r="Q134" s="213"/>
      <c r="R134" s="213"/>
      <c r="S134" s="213" t="s">
        <v>581</v>
      </c>
      <c r="T134" s="213"/>
      <c r="U134" s="213" t="s">
        <v>538</v>
      </c>
      <c r="V134" s="213">
        <v>2</v>
      </c>
      <c r="W134" s="213" t="s">
        <v>582</v>
      </c>
      <c r="X134" s="213" t="s">
        <v>540</v>
      </c>
      <c r="Y134" s="213" t="s">
        <v>541</v>
      </c>
      <c r="Z134" s="212">
        <v>0</v>
      </c>
      <c r="AA134" s="212">
        <v>0</v>
      </c>
      <c r="AB134" s="217">
        <v>1.262448</v>
      </c>
      <c r="AC134" s="217">
        <v>2.0317180000000001</v>
      </c>
      <c r="AD134" s="212">
        <f t="shared" ref="AD134:AD197" si="2">AA134*AB134</f>
        <v>0</v>
      </c>
      <c r="AE134"/>
    </row>
    <row r="135" spans="2:31" s="66" customFormat="1" x14ac:dyDescent="0.15">
      <c r="B135" s="213">
        <v>17031003668</v>
      </c>
      <c r="C135" s="213">
        <v>17031001158</v>
      </c>
      <c r="D135" s="213">
        <v>17031004707</v>
      </c>
      <c r="E135" s="213" t="s">
        <v>533</v>
      </c>
      <c r="F135" s="213" t="s">
        <v>534</v>
      </c>
      <c r="G135" s="213" t="s">
        <v>365</v>
      </c>
      <c r="H135" s="213" t="s">
        <v>547</v>
      </c>
      <c r="I135" s="213"/>
      <c r="J135" s="213" t="s">
        <v>577</v>
      </c>
      <c r="K135" s="213"/>
      <c r="L135" s="213"/>
      <c r="M135" s="213"/>
      <c r="N135" s="213"/>
      <c r="O135" s="213"/>
      <c r="P135" s="213"/>
      <c r="Q135" s="213"/>
      <c r="R135" s="213"/>
      <c r="S135" s="213" t="s">
        <v>581</v>
      </c>
      <c r="T135" s="213"/>
      <c r="U135" s="213" t="s">
        <v>538</v>
      </c>
      <c r="V135" s="213">
        <v>2</v>
      </c>
      <c r="W135" s="213" t="s">
        <v>582</v>
      </c>
      <c r="X135" s="213" t="s">
        <v>540</v>
      </c>
      <c r="Y135" s="213" t="s">
        <v>541</v>
      </c>
      <c r="Z135" s="212">
        <v>0</v>
      </c>
      <c r="AA135" s="212">
        <v>0</v>
      </c>
      <c r="AB135" s="217">
        <v>1.0891470000000001</v>
      </c>
      <c r="AC135" s="217">
        <v>1.7528159999999999</v>
      </c>
      <c r="AD135" s="212">
        <f t="shared" si="2"/>
        <v>0</v>
      </c>
      <c r="AE135"/>
    </row>
    <row r="136" spans="2:31" s="66" customFormat="1" x14ac:dyDescent="0.15">
      <c r="B136" s="213">
        <v>17031003670</v>
      </c>
      <c r="C136" s="213">
        <v>17031000843</v>
      </c>
      <c r="D136" s="213">
        <v>17031000877</v>
      </c>
      <c r="E136" s="213" t="s">
        <v>533</v>
      </c>
      <c r="F136" s="213" t="s">
        <v>534</v>
      </c>
      <c r="G136" s="213" t="s">
        <v>365</v>
      </c>
      <c r="H136" s="213" t="s">
        <v>547</v>
      </c>
      <c r="I136" s="213"/>
      <c r="J136" s="213" t="s">
        <v>542</v>
      </c>
      <c r="K136" s="213" t="s">
        <v>543</v>
      </c>
      <c r="L136" s="213" t="s">
        <v>382</v>
      </c>
      <c r="M136" s="213"/>
      <c r="N136" s="213"/>
      <c r="O136" s="213"/>
      <c r="P136" s="213"/>
      <c r="Q136" s="213"/>
      <c r="R136" s="213"/>
      <c r="S136" s="213" t="s">
        <v>602</v>
      </c>
      <c r="T136" s="213" t="s">
        <v>659</v>
      </c>
      <c r="U136" s="213" t="s">
        <v>538</v>
      </c>
      <c r="V136" s="213">
        <v>2</v>
      </c>
      <c r="W136" s="213" t="s">
        <v>545</v>
      </c>
      <c r="X136" s="213" t="s">
        <v>540</v>
      </c>
      <c r="Y136" s="213" t="s">
        <v>540</v>
      </c>
      <c r="Z136" s="212">
        <v>224110</v>
      </c>
      <c r="AA136" s="212">
        <v>9929890</v>
      </c>
      <c r="AB136" s="217">
        <v>0.76160700000000003</v>
      </c>
      <c r="AC136" s="217">
        <v>1.2256899999999999</v>
      </c>
      <c r="AD136" s="212">
        <f t="shared" si="2"/>
        <v>7562673.7332300004</v>
      </c>
      <c r="AE136"/>
    </row>
    <row r="137" spans="2:31" s="66" customFormat="1" x14ac:dyDescent="0.15">
      <c r="B137" s="213">
        <v>17031003674</v>
      </c>
      <c r="C137" s="213">
        <v>17031007051</v>
      </c>
      <c r="D137" s="213">
        <v>17031007052</v>
      </c>
      <c r="E137" s="213" t="s">
        <v>533</v>
      </c>
      <c r="F137" s="213" t="s">
        <v>534</v>
      </c>
      <c r="G137" s="213" t="s">
        <v>365</v>
      </c>
      <c r="H137" s="213" t="s">
        <v>547</v>
      </c>
      <c r="I137" s="213"/>
      <c r="J137" s="213"/>
      <c r="K137" s="213"/>
      <c r="L137" s="213"/>
      <c r="M137" s="213"/>
      <c r="N137" s="213"/>
      <c r="O137" s="213"/>
      <c r="P137" s="213"/>
      <c r="Q137" s="213"/>
      <c r="R137" s="213"/>
      <c r="S137" s="213" t="s">
        <v>611</v>
      </c>
      <c r="T137" s="213"/>
      <c r="U137" s="213" t="s">
        <v>538</v>
      </c>
      <c r="V137" s="213">
        <v>2</v>
      </c>
      <c r="W137" s="213" t="s">
        <v>582</v>
      </c>
      <c r="X137" s="213" t="s">
        <v>540</v>
      </c>
      <c r="Y137" s="213" t="s">
        <v>541</v>
      </c>
      <c r="Z137" s="212">
        <v>0</v>
      </c>
      <c r="AA137" s="212">
        <v>0</v>
      </c>
      <c r="AB137" s="217">
        <v>0.36161900000000002</v>
      </c>
      <c r="AC137" s="217">
        <v>0.58196999999999999</v>
      </c>
      <c r="AD137" s="212">
        <f t="shared" si="2"/>
        <v>0</v>
      </c>
      <c r="AE137"/>
    </row>
    <row r="138" spans="2:31" s="66" customFormat="1" x14ac:dyDescent="0.15">
      <c r="B138" s="213">
        <v>17031003682</v>
      </c>
      <c r="C138" s="213">
        <v>17031001302</v>
      </c>
      <c r="D138" s="213">
        <v>17031001310</v>
      </c>
      <c r="E138" s="213" t="s">
        <v>533</v>
      </c>
      <c r="F138" s="213" t="s">
        <v>534</v>
      </c>
      <c r="G138" s="213" t="s">
        <v>365</v>
      </c>
      <c r="H138" s="213" t="s">
        <v>551</v>
      </c>
      <c r="I138" s="213"/>
      <c r="J138" s="213"/>
      <c r="K138" s="213"/>
      <c r="L138" s="213"/>
      <c r="M138" s="213"/>
      <c r="N138" s="213"/>
      <c r="O138" s="213"/>
      <c r="P138" s="213"/>
      <c r="Q138" s="213"/>
      <c r="R138" s="213"/>
      <c r="S138" s="213" t="s">
        <v>603</v>
      </c>
      <c r="T138" s="213" t="s">
        <v>603</v>
      </c>
      <c r="U138" s="213" t="s">
        <v>538</v>
      </c>
      <c r="V138" s="213">
        <v>3</v>
      </c>
      <c r="W138" s="213" t="s">
        <v>545</v>
      </c>
      <c r="X138" s="213" t="s">
        <v>540</v>
      </c>
      <c r="Y138" s="213" t="s">
        <v>575</v>
      </c>
      <c r="Z138" s="212">
        <v>1306520</v>
      </c>
      <c r="AA138" s="212">
        <v>66665285</v>
      </c>
      <c r="AB138" s="217">
        <v>0.116281</v>
      </c>
      <c r="AC138" s="217">
        <v>0.187136</v>
      </c>
      <c r="AD138" s="212">
        <f t="shared" si="2"/>
        <v>7751906.0050849998</v>
      </c>
      <c r="AE138"/>
    </row>
    <row r="139" spans="2:31" s="66" customFormat="1" x14ac:dyDescent="0.15">
      <c r="B139" s="213">
        <v>17031003683</v>
      </c>
      <c r="C139" s="213">
        <v>17031001310</v>
      </c>
      <c r="D139" s="213">
        <v>17031001313</v>
      </c>
      <c r="E139" s="213" t="s">
        <v>533</v>
      </c>
      <c r="F139" s="213" t="s">
        <v>534</v>
      </c>
      <c r="G139" s="213" t="s">
        <v>365</v>
      </c>
      <c r="H139" s="213" t="s">
        <v>551</v>
      </c>
      <c r="I139" s="213"/>
      <c r="J139" s="213"/>
      <c r="K139" s="213"/>
      <c r="L139" s="213"/>
      <c r="M139" s="213"/>
      <c r="N139" s="213"/>
      <c r="O139" s="213"/>
      <c r="P139" s="213"/>
      <c r="Q139" s="213"/>
      <c r="R139" s="213"/>
      <c r="S139" s="213" t="s">
        <v>603</v>
      </c>
      <c r="T139" s="213"/>
      <c r="U139" s="213" t="s">
        <v>538</v>
      </c>
      <c r="V139" s="213">
        <v>3</v>
      </c>
      <c r="W139" s="213" t="s">
        <v>545</v>
      </c>
      <c r="X139" s="213" t="s">
        <v>540</v>
      </c>
      <c r="Y139" s="213" t="s">
        <v>575</v>
      </c>
      <c r="Z139" s="212">
        <v>1306760</v>
      </c>
      <c r="AA139" s="212">
        <v>66684325</v>
      </c>
      <c r="AB139" s="217">
        <v>0.11040899999999999</v>
      </c>
      <c r="AC139" s="217">
        <v>0.17768600000000001</v>
      </c>
      <c r="AD139" s="212">
        <f t="shared" si="2"/>
        <v>7362549.6389249992</v>
      </c>
      <c r="AE139"/>
    </row>
    <row r="140" spans="2:31" s="66" customFormat="1" x14ac:dyDescent="0.15">
      <c r="B140" s="213">
        <v>17031003684</v>
      </c>
      <c r="C140" s="213">
        <v>17031001176</v>
      </c>
      <c r="D140" s="213">
        <v>17031004721</v>
      </c>
      <c r="E140" s="213" t="s">
        <v>533</v>
      </c>
      <c r="F140" s="213" t="s">
        <v>534</v>
      </c>
      <c r="G140" s="213" t="s">
        <v>365</v>
      </c>
      <c r="H140" s="213" t="s">
        <v>551</v>
      </c>
      <c r="I140" s="213"/>
      <c r="J140" s="213"/>
      <c r="K140" s="213"/>
      <c r="L140" s="213"/>
      <c r="M140" s="213"/>
      <c r="N140" s="213"/>
      <c r="O140" s="213"/>
      <c r="P140" s="213"/>
      <c r="Q140" s="213"/>
      <c r="R140" s="213"/>
      <c r="S140" s="213" t="s">
        <v>600</v>
      </c>
      <c r="T140" s="213"/>
      <c r="U140" s="213" t="s">
        <v>538</v>
      </c>
      <c r="V140" s="213">
        <v>2</v>
      </c>
      <c r="W140" s="213" t="s">
        <v>582</v>
      </c>
      <c r="X140" s="213" t="s">
        <v>540</v>
      </c>
      <c r="Y140" s="213" t="s">
        <v>575</v>
      </c>
      <c r="Z140" s="212">
        <v>422030</v>
      </c>
      <c r="AA140" s="212">
        <v>9732094</v>
      </c>
      <c r="AB140" s="217">
        <v>2.6328870000000002</v>
      </c>
      <c r="AC140" s="217">
        <v>4.2372290000000001</v>
      </c>
      <c r="AD140" s="212">
        <f t="shared" si="2"/>
        <v>25623503.775378004</v>
      </c>
      <c r="AE140"/>
    </row>
    <row r="141" spans="2:31" s="66" customFormat="1" x14ac:dyDescent="0.15">
      <c r="B141" s="213">
        <v>17031003685</v>
      </c>
      <c r="C141" s="213">
        <v>17031001019</v>
      </c>
      <c r="D141" s="213">
        <v>17031001016</v>
      </c>
      <c r="E141" s="213" t="s">
        <v>533</v>
      </c>
      <c r="F141" s="213" t="s">
        <v>534</v>
      </c>
      <c r="G141" s="213" t="s">
        <v>365</v>
      </c>
      <c r="H141" s="213" t="s">
        <v>571</v>
      </c>
      <c r="I141" s="213"/>
      <c r="J141" s="213" t="s">
        <v>552</v>
      </c>
      <c r="K141" s="213" t="s">
        <v>572</v>
      </c>
      <c r="L141" s="213" t="s">
        <v>555</v>
      </c>
      <c r="M141" s="213" t="s">
        <v>543</v>
      </c>
      <c r="N141" s="213" t="s">
        <v>382</v>
      </c>
      <c r="O141" s="213"/>
      <c r="P141" s="213"/>
      <c r="Q141" s="213"/>
      <c r="R141" s="213"/>
      <c r="S141" s="213" t="s">
        <v>573</v>
      </c>
      <c r="T141" s="213"/>
      <c r="U141" s="213" t="s">
        <v>538</v>
      </c>
      <c r="V141" s="213">
        <v>2</v>
      </c>
      <c r="W141" s="213" t="s">
        <v>545</v>
      </c>
      <c r="X141" s="213" t="s">
        <v>554</v>
      </c>
      <c r="Y141" s="213" t="s">
        <v>580</v>
      </c>
      <c r="Z141" s="212">
        <v>383331</v>
      </c>
      <c r="AA141" s="212">
        <v>19455504</v>
      </c>
      <c r="AB141" s="217">
        <v>0.689029</v>
      </c>
      <c r="AC141" s="217">
        <v>1.108887</v>
      </c>
      <c r="AD141" s="212">
        <f t="shared" si="2"/>
        <v>13405406.465616001</v>
      </c>
      <c r="AE141"/>
    </row>
    <row r="142" spans="2:31" s="66" customFormat="1" x14ac:dyDescent="0.15">
      <c r="B142" s="213">
        <v>17031003687</v>
      </c>
      <c r="C142" s="213">
        <v>17031001017</v>
      </c>
      <c r="D142" s="213">
        <v>17031001006</v>
      </c>
      <c r="E142" s="213" t="s">
        <v>533</v>
      </c>
      <c r="F142" s="213" t="s">
        <v>534</v>
      </c>
      <c r="G142" s="213" t="s">
        <v>365</v>
      </c>
      <c r="H142" s="213" t="s">
        <v>547</v>
      </c>
      <c r="I142" s="213"/>
      <c r="J142" s="213" t="s">
        <v>543</v>
      </c>
      <c r="K142" s="213" t="s">
        <v>382</v>
      </c>
      <c r="L142" s="213"/>
      <c r="M142" s="213"/>
      <c r="N142" s="213"/>
      <c r="O142" s="213"/>
      <c r="P142" s="213"/>
      <c r="Q142" s="213"/>
      <c r="R142" s="213"/>
      <c r="S142" s="213" t="s">
        <v>602</v>
      </c>
      <c r="T142" s="213"/>
      <c r="U142" s="213" t="s">
        <v>538</v>
      </c>
      <c r="V142" s="213">
        <v>2</v>
      </c>
      <c r="W142" s="213" t="s">
        <v>582</v>
      </c>
      <c r="X142" s="213" t="s">
        <v>554</v>
      </c>
      <c r="Y142" s="213" t="s">
        <v>541</v>
      </c>
      <c r="Z142" s="212">
        <v>0</v>
      </c>
      <c r="AA142" s="212">
        <v>0</v>
      </c>
      <c r="AB142" s="217">
        <v>1.148112</v>
      </c>
      <c r="AC142" s="217">
        <v>1.8477110000000001</v>
      </c>
      <c r="AD142" s="212">
        <f t="shared" si="2"/>
        <v>0</v>
      </c>
      <c r="AE142"/>
    </row>
    <row r="143" spans="2:31" s="66" customFormat="1" x14ac:dyDescent="0.15">
      <c r="B143" s="213">
        <v>17031003691</v>
      </c>
      <c r="C143" s="213">
        <v>17031004585</v>
      </c>
      <c r="D143" s="213">
        <v>17031004584</v>
      </c>
      <c r="E143" s="213" t="s">
        <v>533</v>
      </c>
      <c r="F143" s="213" t="s">
        <v>534</v>
      </c>
      <c r="G143" s="213" t="s">
        <v>365</v>
      </c>
      <c r="H143" s="213" t="s">
        <v>382</v>
      </c>
      <c r="I143" s="213"/>
      <c r="J143" s="213" t="s">
        <v>547</v>
      </c>
      <c r="K143" s="213"/>
      <c r="L143" s="213"/>
      <c r="M143" s="213"/>
      <c r="N143" s="213"/>
      <c r="O143" s="213"/>
      <c r="P143" s="213"/>
      <c r="Q143" s="213"/>
      <c r="R143" s="213"/>
      <c r="S143" s="213" t="s">
        <v>565</v>
      </c>
      <c r="T143" s="213"/>
      <c r="U143" s="213" t="s">
        <v>538</v>
      </c>
      <c r="V143" s="213">
        <v>2</v>
      </c>
      <c r="W143" s="213" t="s">
        <v>566</v>
      </c>
      <c r="X143" s="213" t="s">
        <v>549</v>
      </c>
      <c r="Y143" s="213" t="s">
        <v>541</v>
      </c>
      <c r="Z143" s="212">
        <v>0</v>
      </c>
      <c r="AA143" s="212">
        <v>0</v>
      </c>
      <c r="AB143" s="217">
        <v>0.73214699999999999</v>
      </c>
      <c r="AC143" s="217">
        <v>1.1782790000000001</v>
      </c>
      <c r="AD143" s="212">
        <f t="shared" si="2"/>
        <v>0</v>
      </c>
      <c r="AE143"/>
    </row>
    <row r="144" spans="2:31" s="66" customFormat="1" x14ac:dyDescent="0.15">
      <c r="B144" s="213">
        <v>17031003695</v>
      </c>
      <c r="C144" s="213">
        <v>17031004577</v>
      </c>
      <c r="D144" s="213">
        <v>17031004576</v>
      </c>
      <c r="E144" s="213" t="s">
        <v>533</v>
      </c>
      <c r="F144" s="213" t="s">
        <v>534</v>
      </c>
      <c r="G144" s="213" t="s">
        <v>365</v>
      </c>
      <c r="H144" s="213" t="s">
        <v>382</v>
      </c>
      <c r="I144" s="213"/>
      <c r="J144" s="213" t="s">
        <v>547</v>
      </c>
      <c r="K144" s="213"/>
      <c r="L144" s="213"/>
      <c r="M144" s="213"/>
      <c r="N144" s="213"/>
      <c r="O144" s="213"/>
      <c r="P144" s="213"/>
      <c r="Q144" s="213"/>
      <c r="R144" s="213"/>
      <c r="S144" s="213" t="s">
        <v>565</v>
      </c>
      <c r="T144" s="213"/>
      <c r="U144" s="213" t="s">
        <v>538</v>
      </c>
      <c r="V144" s="213">
        <v>2</v>
      </c>
      <c r="W144" s="213" t="s">
        <v>566</v>
      </c>
      <c r="X144" s="213" t="s">
        <v>549</v>
      </c>
      <c r="Y144" s="213" t="s">
        <v>541</v>
      </c>
      <c r="Z144" s="212">
        <v>0</v>
      </c>
      <c r="AA144" s="212">
        <v>0</v>
      </c>
      <c r="AB144" s="217">
        <v>0.86067099999999996</v>
      </c>
      <c r="AC144" s="217">
        <v>1.385119</v>
      </c>
      <c r="AD144" s="212">
        <f t="shared" si="2"/>
        <v>0</v>
      </c>
      <c r="AE144"/>
    </row>
    <row r="145" spans="2:31" s="66" customFormat="1" x14ac:dyDescent="0.15">
      <c r="B145" s="213">
        <v>17031003813</v>
      </c>
      <c r="C145" s="213">
        <v>17031001261</v>
      </c>
      <c r="D145" s="213">
        <v>17031001275</v>
      </c>
      <c r="E145" s="213" t="s">
        <v>533</v>
      </c>
      <c r="F145" s="213" t="s">
        <v>534</v>
      </c>
      <c r="G145" s="213" t="s">
        <v>365</v>
      </c>
      <c r="H145" s="213" t="s">
        <v>543</v>
      </c>
      <c r="I145" s="213"/>
      <c r="J145" s="213"/>
      <c r="K145" s="213"/>
      <c r="L145" s="213"/>
      <c r="M145" s="213"/>
      <c r="N145" s="213"/>
      <c r="O145" s="213"/>
      <c r="P145" s="213"/>
      <c r="Q145" s="213"/>
      <c r="R145" s="213"/>
      <c r="S145" s="213" t="s">
        <v>617</v>
      </c>
      <c r="T145" s="213"/>
      <c r="U145" s="213" t="s">
        <v>559</v>
      </c>
      <c r="V145" s="213">
        <v>1</v>
      </c>
      <c r="W145" s="213" t="s">
        <v>560</v>
      </c>
      <c r="X145" s="213" t="s">
        <v>541</v>
      </c>
      <c r="Y145" s="213" t="s">
        <v>541</v>
      </c>
      <c r="Z145" s="212">
        <v>0</v>
      </c>
      <c r="AA145" s="212">
        <v>0</v>
      </c>
      <c r="AB145" s="217">
        <v>0.64395599999999997</v>
      </c>
      <c r="AC145" s="217">
        <v>1.036348</v>
      </c>
      <c r="AD145" s="212">
        <f t="shared" si="2"/>
        <v>0</v>
      </c>
      <c r="AE145"/>
    </row>
    <row r="146" spans="2:31" s="66" customFormat="1" x14ac:dyDescent="0.15">
      <c r="B146" s="213">
        <v>17031003821</v>
      </c>
      <c r="C146" s="213">
        <v>17031000778</v>
      </c>
      <c r="D146" s="213">
        <v>17031000777</v>
      </c>
      <c r="E146" s="213" t="s">
        <v>533</v>
      </c>
      <c r="F146" s="213" t="s">
        <v>534</v>
      </c>
      <c r="G146" s="213" t="s">
        <v>365</v>
      </c>
      <c r="H146" s="213" t="s">
        <v>535</v>
      </c>
      <c r="I146" s="213"/>
      <c r="J146" s="213" t="s">
        <v>542</v>
      </c>
      <c r="K146" s="213" t="s">
        <v>572</v>
      </c>
      <c r="L146" s="213" t="s">
        <v>547</v>
      </c>
      <c r="M146" s="213" t="s">
        <v>382</v>
      </c>
      <c r="N146" s="213"/>
      <c r="O146" s="213"/>
      <c r="P146" s="213"/>
      <c r="Q146" s="213"/>
      <c r="R146" s="213"/>
      <c r="S146" s="213" t="s">
        <v>601</v>
      </c>
      <c r="T146" s="213"/>
      <c r="U146" s="213" t="s">
        <v>538</v>
      </c>
      <c r="V146" s="213">
        <v>2</v>
      </c>
      <c r="W146" s="213" t="s">
        <v>545</v>
      </c>
      <c r="X146" s="213" t="s">
        <v>549</v>
      </c>
      <c r="Y146" s="213" t="s">
        <v>540</v>
      </c>
      <c r="Z146" s="212">
        <v>2332</v>
      </c>
      <c r="AA146" s="212">
        <v>215240</v>
      </c>
      <c r="AB146" s="217">
        <v>0.43827700000000003</v>
      </c>
      <c r="AC146" s="217">
        <v>0.70533900000000005</v>
      </c>
      <c r="AD146" s="212">
        <f t="shared" si="2"/>
        <v>94334.741480000012</v>
      </c>
      <c r="AE146"/>
    </row>
    <row r="147" spans="2:31" s="66" customFormat="1" x14ac:dyDescent="0.15">
      <c r="B147" s="213">
        <v>17031003826</v>
      </c>
      <c r="C147" s="213">
        <v>17031000638</v>
      </c>
      <c r="D147" s="213">
        <v>17031000648</v>
      </c>
      <c r="E147" s="213" t="s">
        <v>533</v>
      </c>
      <c r="F147" s="213" t="s">
        <v>534</v>
      </c>
      <c r="G147" s="213" t="s">
        <v>365</v>
      </c>
      <c r="H147" s="213" t="s">
        <v>543</v>
      </c>
      <c r="I147" s="213"/>
      <c r="J147" s="213"/>
      <c r="K147" s="213"/>
      <c r="L147" s="213"/>
      <c r="M147" s="213"/>
      <c r="N147" s="213"/>
      <c r="O147" s="213"/>
      <c r="P147" s="213"/>
      <c r="Q147" s="213"/>
      <c r="R147" s="213"/>
      <c r="S147" s="213" t="s">
        <v>639</v>
      </c>
      <c r="T147" s="213"/>
      <c r="U147" s="213" t="s">
        <v>538</v>
      </c>
      <c r="V147" s="213">
        <v>1</v>
      </c>
      <c r="W147" s="213" t="s">
        <v>560</v>
      </c>
      <c r="X147" s="213" t="s">
        <v>541</v>
      </c>
      <c r="Y147" s="213" t="s">
        <v>541</v>
      </c>
      <c r="Z147" s="212">
        <v>0</v>
      </c>
      <c r="AA147" s="212">
        <v>0</v>
      </c>
      <c r="AB147" s="217">
        <v>0.17707100000000001</v>
      </c>
      <c r="AC147" s="217">
        <v>0.28496899999999997</v>
      </c>
      <c r="AD147" s="212">
        <f t="shared" si="2"/>
        <v>0</v>
      </c>
      <c r="AE147"/>
    </row>
    <row r="148" spans="2:31" s="66" customFormat="1" x14ac:dyDescent="0.15">
      <c r="B148" s="213">
        <v>17031003836</v>
      </c>
      <c r="C148" s="213">
        <v>17031000873</v>
      </c>
      <c r="D148" s="213">
        <v>17031000851</v>
      </c>
      <c r="E148" s="213" t="s">
        <v>533</v>
      </c>
      <c r="F148" s="213" t="s">
        <v>534</v>
      </c>
      <c r="G148" s="213" t="s">
        <v>365</v>
      </c>
      <c r="H148" s="213" t="s">
        <v>571</v>
      </c>
      <c r="I148" s="213"/>
      <c r="J148" s="213" t="s">
        <v>381</v>
      </c>
      <c r="K148" s="213" t="s">
        <v>382</v>
      </c>
      <c r="L148" s="213"/>
      <c r="M148" s="213"/>
      <c r="N148" s="213"/>
      <c r="O148" s="213"/>
      <c r="P148" s="213"/>
      <c r="Q148" s="213"/>
      <c r="R148" s="213"/>
      <c r="S148" s="213" t="s">
        <v>654</v>
      </c>
      <c r="T148" s="213"/>
      <c r="U148" s="213" t="s">
        <v>559</v>
      </c>
      <c r="V148" s="213">
        <v>1</v>
      </c>
      <c r="W148" s="213" t="s">
        <v>560</v>
      </c>
      <c r="X148" s="213" t="s">
        <v>541</v>
      </c>
      <c r="Y148" s="213" t="s">
        <v>541</v>
      </c>
      <c r="Z148" s="212">
        <v>0</v>
      </c>
      <c r="AA148" s="212">
        <v>0</v>
      </c>
      <c r="AB148" s="217">
        <v>1.499091</v>
      </c>
      <c r="AC148" s="217">
        <v>2.4125570000000001</v>
      </c>
      <c r="AD148" s="212">
        <f t="shared" si="2"/>
        <v>0</v>
      </c>
      <c r="AE148"/>
    </row>
    <row r="149" spans="2:31" s="66" customFormat="1" x14ac:dyDescent="0.15">
      <c r="B149" s="213">
        <v>17031003839</v>
      </c>
      <c r="C149" s="213">
        <v>17031004620</v>
      </c>
      <c r="D149" s="213">
        <v>17031004619</v>
      </c>
      <c r="E149" s="213" t="s">
        <v>533</v>
      </c>
      <c r="F149" s="213" t="s">
        <v>534</v>
      </c>
      <c r="G149" s="213" t="s">
        <v>365</v>
      </c>
      <c r="H149" s="213" t="s">
        <v>552</v>
      </c>
      <c r="I149" s="213"/>
      <c r="J149" s="213" t="s">
        <v>542</v>
      </c>
      <c r="K149" s="213" t="s">
        <v>547</v>
      </c>
      <c r="L149" s="213" t="s">
        <v>563</v>
      </c>
      <c r="M149" s="213"/>
      <c r="N149" s="213"/>
      <c r="O149" s="213"/>
      <c r="P149" s="213"/>
      <c r="Q149" s="213"/>
      <c r="R149" s="213"/>
      <c r="S149" s="213" t="s">
        <v>564</v>
      </c>
      <c r="T149" s="213"/>
      <c r="U149" s="213" t="s">
        <v>538</v>
      </c>
      <c r="V149" s="213">
        <v>2</v>
      </c>
      <c r="W149" s="213" t="s">
        <v>545</v>
      </c>
      <c r="X149" s="213" t="s">
        <v>549</v>
      </c>
      <c r="Y149" s="213" t="s">
        <v>541</v>
      </c>
      <c r="Z149" s="212">
        <v>27817</v>
      </c>
      <c r="AA149" s="212">
        <v>2593647</v>
      </c>
      <c r="AB149" s="217">
        <v>1.334903</v>
      </c>
      <c r="AC149" s="217">
        <v>2.148323</v>
      </c>
      <c r="AD149" s="212">
        <f t="shared" si="2"/>
        <v>3462267.1612410001</v>
      </c>
      <c r="AE149"/>
    </row>
    <row r="150" spans="2:31" s="66" customFormat="1" x14ac:dyDescent="0.15">
      <c r="B150" s="213">
        <v>17031003843</v>
      </c>
      <c r="C150" s="213">
        <v>17031000783</v>
      </c>
      <c r="D150" s="213">
        <v>17031000771</v>
      </c>
      <c r="E150" s="213" t="s">
        <v>533</v>
      </c>
      <c r="F150" s="213" t="s">
        <v>534</v>
      </c>
      <c r="G150" s="213" t="s">
        <v>365</v>
      </c>
      <c r="H150" s="213" t="s">
        <v>381</v>
      </c>
      <c r="I150" s="213"/>
      <c r="J150" s="213"/>
      <c r="K150" s="213"/>
      <c r="L150" s="213"/>
      <c r="M150" s="213"/>
      <c r="N150" s="213"/>
      <c r="O150" s="213"/>
      <c r="P150" s="213"/>
      <c r="Q150" s="213"/>
      <c r="R150" s="213"/>
      <c r="S150" s="213"/>
      <c r="T150" s="213"/>
      <c r="U150" s="213" t="s">
        <v>559</v>
      </c>
      <c r="V150" s="213">
        <v>1</v>
      </c>
      <c r="W150" s="213" t="s">
        <v>560</v>
      </c>
      <c r="X150" s="213" t="s">
        <v>541</v>
      </c>
      <c r="Y150" s="213" t="s">
        <v>541</v>
      </c>
      <c r="Z150" s="212">
        <v>0</v>
      </c>
      <c r="AA150" s="212">
        <v>0</v>
      </c>
      <c r="AB150" s="217">
        <v>0.24884800000000001</v>
      </c>
      <c r="AC150" s="217">
        <v>0.40048299999999998</v>
      </c>
      <c r="AD150" s="212">
        <f t="shared" si="2"/>
        <v>0</v>
      </c>
      <c r="AE150"/>
    </row>
    <row r="151" spans="2:31" s="66" customFormat="1" x14ac:dyDescent="0.15">
      <c r="B151" s="213">
        <v>17031003844</v>
      </c>
      <c r="C151" s="213">
        <v>17031000812</v>
      </c>
      <c r="D151" s="213">
        <v>17031000780</v>
      </c>
      <c r="E151" s="213" t="s">
        <v>533</v>
      </c>
      <c r="F151" s="213" t="s">
        <v>534</v>
      </c>
      <c r="G151" s="213" t="s">
        <v>365</v>
      </c>
      <c r="H151" s="213" t="s">
        <v>535</v>
      </c>
      <c r="I151" s="213"/>
      <c r="J151" s="213" t="s">
        <v>542</v>
      </c>
      <c r="K151" s="213" t="s">
        <v>572</v>
      </c>
      <c r="L151" s="213" t="s">
        <v>547</v>
      </c>
      <c r="M151" s="213" t="s">
        <v>382</v>
      </c>
      <c r="N151" s="213"/>
      <c r="O151" s="213"/>
      <c r="P151" s="213"/>
      <c r="Q151" s="213"/>
      <c r="R151" s="213"/>
      <c r="S151" s="213" t="s">
        <v>601</v>
      </c>
      <c r="T151" s="213"/>
      <c r="U151" s="213" t="s">
        <v>538</v>
      </c>
      <c r="V151" s="213">
        <v>2</v>
      </c>
      <c r="W151" s="213" t="s">
        <v>545</v>
      </c>
      <c r="X151" s="213" t="s">
        <v>549</v>
      </c>
      <c r="Y151" s="213" t="s">
        <v>540</v>
      </c>
      <c r="Z151" s="212">
        <v>72221</v>
      </c>
      <c r="AA151" s="212">
        <v>3606629</v>
      </c>
      <c r="AB151" s="217">
        <v>1.3319000000000001</v>
      </c>
      <c r="AC151" s="217">
        <v>2.1434899999999999</v>
      </c>
      <c r="AD151" s="212">
        <f t="shared" si="2"/>
        <v>4803669.1650999999</v>
      </c>
      <c r="AE151"/>
    </row>
    <row r="152" spans="2:31" s="66" customFormat="1" x14ac:dyDescent="0.15">
      <c r="B152" s="213">
        <v>17031003854</v>
      </c>
      <c r="C152" s="213">
        <v>17031001320</v>
      </c>
      <c r="D152" s="213">
        <v>99999022337</v>
      </c>
      <c r="E152" s="213" t="s">
        <v>533</v>
      </c>
      <c r="F152" s="213" t="s">
        <v>534</v>
      </c>
      <c r="G152" s="213" t="s">
        <v>365</v>
      </c>
      <c r="H152" s="213" t="s">
        <v>557</v>
      </c>
      <c r="I152" s="213"/>
      <c r="J152" s="213"/>
      <c r="K152" s="213"/>
      <c r="L152" s="213"/>
      <c r="M152" s="213"/>
      <c r="N152" s="213"/>
      <c r="O152" s="213"/>
      <c r="P152" s="213"/>
      <c r="Q152" s="213"/>
      <c r="R152" s="213"/>
      <c r="S152" s="213" t="s">
        <v>665</v>
      </c>
      <c r="T152" s="213"/>
      <c r="U152" s="213" t="s">
        <v>559</v>
      </c>
      <c r="V152" s="213">
        <v>1</v>
      </c>
      <c r="W152" s="213" t="s">
        <v>560</v>
      </c>
      <c r="X152" s="213" t="s">
        <v>541</v>
      </c>
      <c r="Y152" s="213" t="s">
        <v>541</v>
      </c>
      <c r="Z152" s="212">
        <v>280</v>
      </c>
      <c r="AA152" s="212">
        <v>28520</v>
      </c>
      <c r="AB152" s="217">
        <v>2.1834060000000002</v>
      </c>
      <c r="AC152" s="217">
        <v>3.5138579999999999</v>
      </c>
      <c r="AD152" s="212">
        <f t="shared" si="2"/>
        <v>62270.739120000006</v>
      </c>
      <c r="AE152"/>
    </row>
    <row r="153" spans="2:31" s="66" customFormat="1" x14ac:dyDescent="0.15">
      <c r="B153" s="213">
        <v>17031003855</v>
      </c>
      <c r="C153" s="213">
        <v>17031001193</v>
      </c>
      <c r="D153" s="213">
        <v>17031001204</v>
      </c>
      <c r="E153" s="213" t="s">
        <v>533</v>
      </c>
      <c r="F153" s="213" t="s">
        <v>534</v>
      </c>
      <c r="G153" s="213" t="s">
        <v>365</v>
      </c>
      <c r="H153" s="213" t="s">
        <v>577</v>
      </c>
      <c r="I153" s="213"/>
      <c r="J153" s="213"/>
      <c r="K153" s="213"/>
      <c r="L153" s="213"/>
      <c r="M153" s="213"/>
      <c r="N153" s="213"/>
      <c r="O153" s="213"/>
      <c r="P153" s="213"/>
      <c r="Q153" s="213"/>
      <c r="R153" s="213"/>
      <c r="S153" s="213"/>
      <c r="T153" s="213"/>
      <c r="U153" s="213" t="s">
        <v>538</v>
      </c>
      <c r="V153" s="213">
        <v>1</v>
      </c>
      <c r="W153" s="213" t="s">
        <v>560</v>
      </c>
      <c r="X153" s="213" t="s">
        <v>541</v>
      </c>
      <c r="Y153" s="213" t="s">
        <v>541</v>
      </c>
      <c r="Z153" s="212">
        <v>0</v>
      </c>
      <c r="AA153" s="212">
        <v>0</v>
      </c>
      <c r="AB153" s="217">
        <v>0.324075</v>
      </c>
      <c r="AC153" s="217">
        <v>0.52154900000000004</v>
      </c>
      <c r="AD153" s="212">
        <f t="shared" si="2"/>
        <v>0</v>
      </c>
      <c r="AE153"/>
    </row>
    <row r="154" spans="2:31" s="66" customFormat="1" x14ac:dyDescent="0.15">
      <c r="B154" s="213">
        <v>17031003872</v>
      </c>
      <c r="C154" s="213">
        <v>17031000753</v>
      </c>
      <c r="D154" s="213">
        <v>17031000747</v>
      </c>
      <c r="E154" s="213" t="s">
        <v>533</v>
      </c>
      <c r="F154" s="213" t="s">
        <v>534</v>
      </c>
      <c r="G154" s="213" t="s">
        <v>365</v>
      </c>
      <c r="H154" s="213" t="s">
        <v>535</v>
      </c>
      <c r="I154" s="213"/>
      <c r="J154" s="213"/>
      <c r="K154" s="213"/>
      <c r="L154" s="213"/>
      <c r="M154" s="213"/>
      <c r="N154" s="213"/>
      <c r="O154" s="213"/>
      <c r="P154" s="213"/>
      <c r="Q154" s="213"/>
      <c r="R154" s="213"/>
      <c r="S154" s="213" t="s">
        <v>624</v>
      </c>
      <c r="T154" s="213"/>
      <c r="U154" s="213" t="s">
        <v>538</v>
      </c>
      <c r="V154" s="213">
        <v>2</v>
      </c>
      <c r="W154" s="213" t="s">
        <v>582</v>
      </c>
      <c r="X154" s="213" t="s">
        <v>554</v>
      </c>
      <c r="Y154" s="213" t="s">
        <v>554</v>
      </c>
      <c r="Z154" s="212">
        <v>0</v>
      </c>
      <c r="AA154" s="212">
        <v>0</v>
      </c>
      <c r="AB154" s="217">
        <v>0.41718699999999997</v>
      </c>
      <c r="AC154" s="217">
        <v>0.67139899999999997</v>
      </c>
      <c r="AD154" s="212">
        <f t="shared" si="2"/>
        <v>0</v>
      </c>
      <c r="AE154"/>
    </row>
    <row r="155" spans="2:31" s="66" customFormat="1" x14ac:dyDescent="0.15">
      <c r="B155" s="213">
        <v>17031003878</v>
      </c>
      <c r="C155" s="213">
        <v>17031004653</v>
      </c>
      <c r="D155" s="213">
        <v>17031000576</v>
      </c>
      <c r="E155" s="213" t="s">
        <v>533</v>
      </c>
      <c r="F155" s="213" t="s">
        <v>534</v>
      </c>
      <c r="G155" s="213" t="s">
        <v>365</v>
      </c>
      <c r="H155" s="213" t="s">
        <v>382</v>
      </c>
      <c r="I155" s="213"/>
      <c r="J155" s="213" t="s">
        <v>572</v>
      </c>
      <c r="K155" s="213" t="s">
        <v>547</v>
      </c>
      <c r="L155" s="213"/>
      <c r="M155" s="213"/>
      <c r="N155" s="213"/>
      <c r="O155" s="213"/>
      <c r="P155" s="213"/>
      <c r="Q155" s="213"/>
      <c r="R155" s="213"/>
      <c r="S155" s="213" t="s">
        <v>583</v>
      </c>
      <c r="T155" s="213"/>
      <c r="U155" s="213" t="s">
        <v>538</v>
      </c>
      <c r="V155" s="213">
        <v>3</v>
      </c>
      <c r="W155" s="213" t="s">
        <v>545</v>
      </c>
      <c r="X155" s="213" t="s">
        <v>549</v>
      </c>
      <c r="Y155" s="213" t="s">
        <v>580</v>
      </c>
      <c r="Z155" s="212">
        <v>1094381</v>
      </c>
      <c r="AA155" s="212">
        <v>33287005</v>
      </c>
      <c r="AB155" s="217">
        <v>1.7631019999999999</v>
      </c>
      <c r="AC155" s="217">
        <v>2.8374429999999999</v>
      </c>
      <c r="AD155" s="212">
        <f t="shared" si="2"/>
        <v>58688385.089510001</v>
      </c>
      <c r="AE155"/>
    </row>
    <row r="156" spans="2:31" s="66" customFormat="1" x14ac:dyDescent="0.15">
      <c r="B156" s="213">
        <v>17031003895</v>
      </c>
      <c r="C156" s="213">
        <v>17031000505</v>
      </c>
      <c r="D156" s="213">
        <v>17031000501</v>
      </c>
      <c r="E156" s="213" t="s">
        <v>533</v>
      </c>
      <c r="F156" s="213" t="s">
        <v>534</v>
      </c>
      <c r="G156" s="213" t="s">
        <v>365</v>
      </c>
      <c r="H156" s="213" t="s">
        <v>382</v>
      </c>
      <c r="I156" s="213"/>
      <c r="J156" s="213"/>
      <c r="K156" s="213"/>
      <c r="L156" s="213"/>
      <c r="M156" s="213"/>
      <c r="N156" s="213"/>
      <c r="O156" s="213"/>
      <c r="P156" s="213"/>
      <c r="Q156" s="213"/>
      <c r="R156" s="213"/>
      <c r="S156" s="213" t="s">
        <v>586</v>
      </c>
      <c r="T156" s="213"/>
      <c r="U156" s="213" t="s">
        <v>538</v>
      </c>
      <c r="V156" s="213">
        <v>2</v>
      </c>
      <c r="W156" s="213" t="s">
        <v>582</v>
      </c>
      <c r="X156" s="213" t="s">
        <v>554</v>
      </c>
      <c r="Y156" s="213" t="s">
        <v>549</v>
      </c>
      <c r="Z156" s="212">
        <v>146165</v>
      </c>
      <c r="AA156" s="212">
        <v>16419172</v>
      </c>
      <c r="AB156" s="217">
        <v>8.5568000000000005E-2</v>
      </c>
      <c r="AC156" s="217">
        <v>0.137709</v>
      </c>
      <c r="AD156" s="212">
        <f t="shared" si="2"/>
        <v>1404955.709696</v>
      </c>
      <c r="AE156"/>
    </row>
    <row r="157" spans="2:31" s="66" customFormat="1" x14ac:dyDescent="0.15">
      <c r="B157" s="213">
        <v>17031003918</v>
      </c>
      <c r="C157" s="213">
        <v>17031000540</v>
      </c>
      <c r="D157" s="213">
        <v>17031000526</v>
      </c>
      <c r="E157" s="213" t="s">
        <v>533</v>
      </c>
      <c r="F157" s="213" t="s">
        <v>534</v>
      </c>
      <c r="G157" s="213" t="s">
        <v>365</v>
      </c>
      <c r="H157" s="213" t="s">
        <v>557</v>
      </c>
      <c r="I157" s="213"/>
      <c r="J157" s="213" t="s">
        <v>535</v>
      </c>
      <c r="K157" s="213" t="s">
        <v>552</v>
      </c>
      <c r="L157" s="213" t="s">
        <v>543</v>
      </c>
      <c r="M157" s="213" t="s">
        <v>382</v>
      </c>
      <c r="N157" s="213"/>
      <c r="O157" s="213"/>
      <c r="P157" s="213"/>
      <c r="Q157" s="213"/>
      <c r="R157" s="213"/>
      <c r="S157" s="213" t="s">
        <v>570</v>
      </c>
      <c r="T157" s="213"/>
      <c r="U157" s="213" t="s">
        <v>538</v>
      </c>
      <c r="V157" s="213">
        <v>2</v>
      </c>
      <c r="W157" s="213" t="s">
        <v>545</v>
      </c>
      <c r="X157" s="213" t="s">
        <v>540</v>
      </c>
      <c r="Y157" s="213" t="s">
        <v>546</v>
      </c>
      <c r="Z157" s="212">
        <v>882911</v>
      </c>
      <c r="AA157" s="212">
        <v>46150374</v>
      </c>
      <c r="AB157" s="217">
        <v>0.37395800000000001</v>
      </c>
      <c r="AC157" s="217">
        <v>0.60182899999999995</v>
      </c>
      <c r="AD157" s="212">
        <f t="shared" si="2"/>
        <v>17258301.560292002</v>
      </c>
      <c r="AE157"/>
    </row>
    <row r="158" spans="2:31" s="66" customFormat="1" x14ac:dyDescent="0.15">
      <c r="B158" s="213">
        <v>17031003919</v>
      </c>
      <c r="C158" s="213">
        <v>17031000602</v>
      </c>
      <c r="D158" s="213">
        <v>17031000601</v>
      </c>
      <c r="E158" s="213" t="s">
        <v>533</v>
      </c>
      <c r="F158" s="213" t="s">
        <v>534</v>
      </c>
      <c r="G158" s="213" t="s">
        <v>365</v>
      </c>
      <c r="H158" s="213" t="s">
        <v>557</v>
      </c>
      <c r="I158" s="213"/>
      <c r="J158" s="213" t="s">
        <v>535</v>
      </c>
      <c r="K158" s="213" t="s">
        <v>552</v>
      </c>
      <c r="L158" s="213" t="s">
        <v>543</v>
      </c>
      <c r="M158" s="213" t="s">
        <v>382</v>
      </c>
      <c r="N158" s="213"/>
      <c r="O158" s="213"/>
      <c r="P158" s="213"/>
      <c r="Q158" s="213"/>
      <c r="R158" s="213"/>
      <c r="S158" s="213" t="s">
        <v>570</v>
      </c>
      <c r="T158" s="213"/>
      <c r="U158" s="213" t="s">
        <v>538</v>
      </c>
      <c r="V158" s="213">
        <v>2</v>
      </c>
      <c r="W158" s="213" t="s">
        <v>545</v>
      </c>
      <c r="X158" s="213" t="s">
        <v>540</v>
      </c>
      <c r="Y158" s="213" t="s">
        <v>580</v>
      </c>
      <c r="Z158" s="212">
        <v>1550052</v>
      </c>
      <c r="AA158" s="212">
        <v>61534331</v>
      </c>
      <c r="AB158" s="217">
        <v>0.17310400000000001</v>
      </c>
      <c r="AC158" s="217">
        <v>0.278584</v>
      </c>
      <c r="AD158" s="212">
        <f t="shared" si="2"/>
        <v>10651838.833424</v>
      </c>
      <c r="AE158"/>
    </row>
    <row r="159" spans="2:31" s="66" customFormat="1" x14ac:dyDescent="0.15">
      <c r="B159" s="213">
        <v>17031003921</v>
      </c>
      <c r="C159" s="213">
        <v>17031000900</v>
      </c>
      <c r="D159" s="213">
        <v>17031000881</v>
      </c>
      <c r="E159" s="213" t="s">
        <v>533</v>
      </c>
      <c r="F159" s="213" t="s">
        <v>534</v>
      </c>
      <c r="G159" s="213" t="s">
        <v>365</v>
      </c>
      <c r="H159" s="213" t="s">
        <v>557</v>
      </c>
      <c r="I159" s="213"/>
      <c r="J159" s="213" t="s">
        <v>381</v>
      </c>
      <c r="K159" s="213" t="s">
        <v>535</v>
      </c>
      <c r="L159" s="213" t="s">
        <v>552</v>
      </c>
      <c r="M159" s="213" t="s">
        <v>543</v>
      </c>
      <c r="N159" s="213" t="s">
        <v>382</v>
      </c>
      <c r="O159" s="213"/>
      <c r="P159" s="213"/>
      <c r="Q159" s="213"/>
      <c r="R159" s="213"/>
      <c r="S159" s="213" t="s">
        <v>570</v>
      </c>
      <c r="T159" s="213"/>
      <c r="U159" s="213" t="s">
        <v>538</v>
      </c>
      <c r="V159" s="213">
        <v>2</v>
      </c>
      <c r="W159" s="213" t="s">
        <v>545</v>
      </c>
      <c r="X159" s="213" t="s">
        <v>540</v>
      </c>
      <c r="Y159" s="213" t="s">
        <v>580</v>
      </c>
      <c r="Z159" s="212">
        <v>1930293</v>
      </c>
      <c r="AA159" s="212">
        <v>80562683</v>
      </c>
      <c r="AB159" s="217">
        <v>0.28747</v>
      </c>
      <c r="AC159" s="217">
        <v>0.46263799999999999</v>
      </c>
      <c r="AD159" s="212">
        <f t="shared" si="2"/>
        <v>23159354.482009999</v>
      </c>
      <c r="AE159"/>
    </row>
    <row r="160" spans="2:31" s="66" customFormat="1" x14ac:dyDescent="0.15">
      <c r="B160" s="213">
        <v>17031003924</v>
      </c>
      <c r="C160" s="213">
        <v>17031000570</v>
      </c>
      <c r="D160" s="213">
        <v>17031000566</v>
      </c>
      <c r="E160" s="213" t="s">
        <v>533</v>
      </c>
      <c r="F160" s="213" t="s">
        <v>534</v>
      </c>
      <c r="G160" s="213" t="s">
        <v>365</v>
      </c>
      <c r="H160" s="213" t="s">
        <v>382</v>
      </c>
      <c r="I160" s="213"/>
      <c r="J160" s="213" t="s">
        <v>547</v>
      </c>
      <c r="K160" s="213"/>
      <c r="L160" s="213"/>
      <c r="M160" s="213"/>
      <c r="N160" s="213"/>
      <c r="O160" s="213"/>
      <c r="P160" s="213"/>
      <c r="Q160" s="213"/>
      <c r="R160" s="213"/>
      <c r="S160" s="213" t="s">
        <v>583</v>
      </c>
      <c r="T160" s="213" t="s">
        <v>674</v>
      </c>
      <c r="U160" s="213" t="s">
        <v>538</v>
      </c>
      <c r="V160" s="213">
        <v>4</v>
      </c>
      <c r="W160" s="213" t="s">
        <v>545</v>
      </c>
      <c r="X160" s="213" t="s">
        <v>540</v>
      </c>
      <c r="Y160" s="213" t="s">
        <v>541</v>
      </c>
      <c r="Z160" s="212">
        <v>0</v>
      </c>
      <c r="AA160" s="212">
        <v>0</v>
      </c>
      <c r="AB160" s="217">
        <v>0.50454399999999999</v>
      </c>
      <c r="AC160" s="217">
        <v>0.81198700000000001</v>
      </c>
      <c r="AD160" s="212">
        <f t="shared" si="2"/>
        <v>0</v>
      </c>
      <c r="AE160"/>
    </row>
    <row r="161" spans="2:31" s="66" customFormat="1" x14ac:dyDescent="0.15">
      <c r="B161" s="213">
        <v>17031003929</v>
      </c>
      <c r="C161" s="213">
        <v>17031001137</v>
      </c>
      <c r="D161" s="213">
        <v>17031001115</v>
      </c>
      <c r="E161" s="213" t="s">
        <v>533</v>
      </c>
      <c r="F161" s="213" t="s">
        <v>534</v>
      </c>
      <c r="G161" s="213" t="s">
        <v>365</v>
      </c>
      <c r="H161" s="213" t="s">
        <v>571</v>
      </c>
      <c r="I161" s="213"/>
      <c r="J161" s="213"/>
      <c r="K161" s="213"/>
      <c r="L161" s="213"/>
      <c r="M161" s="213"/>
      <c r="N161" s="213"/>
      <c r="O161" s="213"/>
      <c r="P161" s="213"/>
      <c r="Q161" s="213"/>
      <c r="R161" s="213"/>
      <c r="S161" s="213" t="s">
        <v>573</v>
      </c>
      <c r="T161" s="213"/>
      <c r="U161" s="213" t="s">
        <v>538</v>
      </c>
      <c r="V161" s="213">
        <v>2</v>
      </c>
      <c r="W161" s="213" t="s">
        <v>545</v>
      </c>
      <c r="X161" s="213" t="s">
        <v>541</v>
      </c>
      <c r="Y161" s="213" t="s">
        <v>546</v>
      </c>
      <c r="Z161" s="212">
        <v>0</v>
      </c>
      <c r="AA161" s="212">
        <v>0</v>
      </c>
      <c r="AB161" s="217">
        <v>0.49542199999999997</v>
      </c>
      <c r="AC161" s="217">
        <v>0.79730699999999999</v>
      </c>
      <c r="AD161" s="212">
        <f t="shared" si="2"/>
        <v>0</v>
      </c>
      <c r="AE161"/>
    </row>
    <row r="162" spans="2:31" s="66" customFormat="1" x14ac:dyDescent="0.15">
      <c r="B162" s="213">
        <v>17031003930</v>
      </c>
      <c r="C162" s="213">
        <v>17031001129</v>
      </c>
      <c r="D162" s="213">
        <v>17031001101</v>
      </c>
      <c r="E162" s="213" t="s">
        <v>533</v>
      </c>
      <c r="F162" s="213" t="s">
        <v>534</v>
      </c>
      <c r="G162" s="213" t="s">
        <v>365</v>
      </c>
      <c r="H162" s="213" t="s">
        <v>571</v>
      </c>
      <c r="I162" s="213"/>
      <c r="J162" s="213" t="s">
        <v>552</v>
      </c>
      <c r="K162" s="213" t="s">
        <v>543</v>
      </c>
      <c r="L162" s="213"/>
      <c r="M162" s="213"/>
      <c r="N162" s="213"/>
      <c r="O162" s="213"/>
      <c r="P162" s="213"/>
      <c r="Q162" s="213"/>
      <c r="R162" s="213"/>
      <c r="S162" s="213"/>
      <c r="T162" s="213"/>
      <c r="U162" s="213" t="s">
        <v>538</v>
      </c>
      <c r="V162" s="213">
        <v>1</v>
      </c>
      <c r="W162" s="213" t="s">
        <v>545</v>
      </c>
      <c r="X162" s="213" t="s">
        <v>554</v>
      </c>
      <c r="Y162" s="213" t="s">
        <v>540</v>
      </c>
      <c r="Z162" s="212">
        <v>201254</v>
      </c>
      <c r="AA162" s="212">
        <v>10786005</v>
      </c>
      <c r="AB162" s="217">
        <v>0.25048500000000001</v>
      </c>
      <c r="AC162" s="217">
        <v>0.40311799999999998</v>
      </c>
      <c r="AD162" s="212">
        <f t="shared" si="2"/>
        <v>2701732.462425</v>
      </c>
      <c r="AE162"/>
    </row>
    <row r="163" spans="2:31" s="66" customFormat="1" x14ac:dyDescent="0.15">
      <c r="B163" s="213">
        <v>17031003954</v>
      </c>
      <c r="C163" s="213">
        <v>17031001116</v>
      </c>
      <c r="D163" s="213">
        <v>17031001084</v>
      </c>
      <c r="E163" s="213" t="s">
        <v>533</v>
      </c>
      <c r="F163" s="213" t="s">
        <v>534</v>
      </c>
      <c r="G163" s="213" t="s">
        <v>365</v>
      </c>
      <c r="H163" s="213" t="s">
        <v>535</v>
      </c>
      <c r="I163" s="213"/>
      <c r="J163" s="213" t="s">
        <v>542</v>
      </c>
      <c r="K163" s="213" t="s">
        <v>572</v>
      </c>
      <c r="L163" s="213" t="s">
        <v>543</v>
      </c>
      <c r="M163" s="213"/>
      <c r="N163" s="213"/>
      <c r="O163" s="213"/>
      <c r="P163" s="213"/>
      <c r="Q163" s="213"/>
      <c r="R163" s="213"/>
      <c r="S163" s="213" t="s">
        <v>544</v>
      </c>
      <c r="T163" s="213"/>
      <c r="U163" s="213" t="s">
        <v>538</v>
      </c>
      <c r="V163" s="213">
        <v>2</v>
      </c>
      <c r="W163" s="213" t="s">
        <v>545</v>
      </c>
      <c r="X163" s="213" t="s">
        <v>549</v>
      </c>
      <c r="Y163" s="213" t="s">
        <v>546</v>
      </c>
      <c r="Z163" s="212">
        <v>54557</v>
      </c>
      <c r="AA163" s="212">
        <v>4993342</v>
      </c>
      <c r="AB163" s="217">
        <v>0.28298200000000001</v>
      </c>
      <c r="AC163" s="217">
        <v>0.45541700000000002</v>
      </c>
      <c r="AD163" s="212">
        <f t="shared" si="2"/>
        <v>1413025.9058440002</v>
      </c>
      <c r="AE163"/>
    </row>
    <row r="164" spans="2:31" s="66" customFormat="1" x14ac:dyDescent="0.15">
      <c r="B164" s="213">
        <v>17031003956</v>
      </c>
      <c r="C164" s="213">
        <v>17031000640</v>
      </c>
      <c r="D164" s="213">
        <v>17031000645</v>
      </c>
      <c r="E164" s="213" t="s">
        <v>533</v>
      </c>
      <c r="F164" s="213" t="s">
        <v>534</v>
      </c>
      <c r="G164" s="213" t="s">
        <v>365</v>
      </c>
      <c r="H164" s="213" t="s">
        <v>547</v>
      </c>
      <c r="I164" s="213"/>
      <c r="J164" s="213"/>
      <c r="K164" s="213"/>
      <c r="L164" s="213"/>
      <c r="M164" s="213"/>
      <c r="N164" s="213"/>
      <c r="O164" s="213"/>
      <c r="P164" s="213"/>
      <c r="Q164" s="213"/>
      <c r="R164" s="213"/>
      <c r="S164" s="213" t="s">
        <v>581</v>
      </c>
      <c r="T164" s="213"/>
      <c r="U164" s="213" t="s">
        <v>538</v>
      </c>
      <c r="V164" s="213">
        <v>3</v>
      </c>
      <c r="W164" s="213" t="s">
        <v>582</v>
      </c>
      <c r="X164" s="213" t="s">
        <v>540</v>
      </c>
      <c r="Y164" s="213" t="s">
        <v>541</v>
      </c>
      <c r="Z164" s="212">
        <v>0</v>
      </c>
      <c r="AA164" s="212">
        <v>0</v>
      </c>
      <c r="AB164" s="217">
        <v>9.3101000000000003E-2</v>
      </c>
      <c r="AC164" s="217">
        <v>0.14983099999999999</v>
      </c>
      <c r="AD164" s="212">
        <f t="shared" si="2"/>
        <v>0</v>
      </c>
      <c r="AE164"/>
    </row>
    <row r="165" spans="2:31" s="66" customFormat="1" x14ac:dyDescent="0.15">
      <c r="B165" s="213">
        <v>17031003960</v>
      </c>
      <c r="C165" s="213">
        <v>17031000741</v>
      </c>
      <c r="D165" s="213">
        <v>17031004664</v>
      </c>
      <c r="E165" s="213" t="s">
        <v>533</v>
      </c>
      <c r="F165" s="213" t="s">
        <v>534</v>
      </c>
      <c r="G165" s="213" t="s">
        <v>365</v>
      </c>
      <c r="H165" s="213" t="s">
        <v>381</v>
      </c>
      <c r="I165" s="213"/>
      <c r="J165" s="213" t="s">
        <v>542</v>
      </c>
      <c r="K165" s="213" t="s">
        <v>547</v>
      </c>
      <c r="L165" s="213" t="s">
        <v>382</v>
      </c>
      <c r="M165" s="213"/>
      <c r="N165" s="213"/>
      <c r="O165" s="213"/>
      <c r="P165" s="213"/>
      <c r="Q165" s="213"/>
      <c r="R165" s="213"/>
      <c r="S165" s="213" t="s">
        <v>579</v>
      </c>
      <c r="T165" s="213"/>
      <c r="U165" s="213" t="s">
        <v>538</v>
      </c>
      <c r="V165" s="213">
        <v>5</v>
      </c>
      <c r="W165" s="213" t="s">
        <v>545</v>
      </c>
      <c r="X165" s="213" t="s">
        <v>549</v>
      </c>
      <c r="Y165" s="213" t="s">
        <v>580</v>
      </c>
      <c r="Z165" s="212">
        <v>2414957</v>
      </c>
      <c r="AA165" s="212">
        <v>66249232</v>
      </c>
      <c r="AB165" s="217">
        <v>1.5954299999999999</v>
      </c>
      <c r="AC165" s="217">
        <v>2.5676009999999998</v>
      </c>
      <c r="AD165" s="212">
        <f t="shared" si="2"/>
        <v>105696012.20976</v>
      </c>
      <c r="AE165"/>
    </row>
    <row r="166" spans="2:31" s="66" customFormat="1" x14ac:dyDescent="0.15">
      <c r="B166" s="213">
        <v>17031003962</v>
      </c>
      <c r="C166" s="213">
        <v>17031004521</v>
      </c>
      <c r="D166" s="213">
        <v>17031004658</v>
      </c>
      <c r="E166" s="213" t="s">
        <v>533</v>
      </c>
      <c r="F166" s="213" t="s">
        <v>534</v>
      </c>
      <c r="G166" s="213" t="s">
        <v>365</v>
      </c>
      <c r="H166" s="213" t="s">
        <v>381</v>
      </c>
      <c r="I166" s="213"/>
      <c r="J166" s="213" t="s">
        <v>542</v>
      </c>
      <c r="K166" s="213" t="s">
        <v>547</v>
      </c>
      <c r="L166" s="213" t="s">
        <v>382</v>
      </c>
      <c r="M166" s="213"/>
      <c r="N166" s="213"/>
      <c r="O166" s="213"/>
      <c r="P166" s="213"/>
      <c r="Q166" s="213"/>
      <c r="R166" s="213"/>
      <c r="S166" s="213" t="s">
        <v>579</v>
      </c>
      <c r="T166" s="213"/>
      <c r="U166" s="213" t="s">
        <v>538</v>
      </c>
      <c r="V166" s="213">
        <v>3</v>
      </c>
      <c r="W166" s="213" t="s">
        <v>545</v>
      </c>
      <c r="X166" s="213" t="s">
        <v>549</v>
      </c>
      <c r="Y166" s="213" t="s">
        <v>580</v>
      </c>
      <c r="Z166" s="212">
        <v>2794758</v>
      </c>
      <c r="AA166" s="212">
        <v>85265824</v>
      </c>
      <c r="AB166" s="217">
        <v>0.69527000000000005</v>
      </c>
      <c r="AC166" s="217">
        <v>1.118932</v>
      </c>
      <c r="AD166" s="212">
        <f t="shared" si="2"/>
        <v>59282769.452480003</v>
      </c>
      <c r="AE166"/>
    </row>
    <row r="167" spans="2:31" s="66" customFormat="1" x14ac:dyDescent="0.15">
      <c r="B167" s="213">
        <v>17031003981</v>
      </c>
      <c r="C167" s="213">
        <v>17031000626</v>
      </c>
      <c r="D167" s="213">
        <v>17031000604</v>
      </c>
      <c r="E167" s="213" t="s">
        <v>533</v>
      </c>
      <c r="F167" s="213" t="s">
        <v>534</v>
      </c>
      <c r="G167" s="213" t="s">
        <v>365</v>
      </c>
      <c r="H167" s="213" t="s">
        <v>381</v>
      </c>
      <c r="I167" s="213"/>
      <c r="J167" s="213" t="s">
        <v>542</v>
      </c>
      <c r="K167" s="213" t="s">
        <v>547</v>
      </c>
      <c r="L167" s="213"/>
      <c r="M167" s="213"/>
      <c r="N167" s="213"/>
      <c r="O167" s="213"/>
      <c r="P167" s="213"/>
      <c r="Q167" s="213"/>
      <c r="R167" s="213"/>
      <c r="S167" s="213" t="s">
        <v>579</v>
      </c>
      <c r="T167" s="213"/>
      <c r="U167" s="213" t="s">
        <v>538</v>
      </c>
      <c r="V167" s="213">
        <v>2</v>
      </c>
      <c r="W167" s="213" t="s">
        <v>545</v>
      </c>
      <c r="X167" s="213" t="s">
        <v>541</v>
      </c>
      <c r="Y167" s="213" t="s">
        <v>541</v>
      </c>
      <c r="Z167" s="212">
        <v>105441</v>
      </c>
      <c r="AA167" s="212">
        <v>7547022</v>
      </c>
      <c r="AB167" s="217">
        <v>0.59470100000000004</v>
      </c>
      <c r="AC167" s="217">
        <v>0.95708099999999996</v>
      </c>
      <c r="AD167" s="212">
        <f t="shared" si="2"/>
        <v>4488221.5304220002</v>
      </c>
      <c r="AE167"/>
    </row>
    <row r="168" spans="2:31" s="66" customFormat="1" x14ac:dyDescent="0.15">
      <c r="B168" s="213">
        <v>17031003982</v>
      </c>
      <c r="C168" s="213">
        <v>17031007765</v>
      </c>
      <c r="D168" s="213">
        <v>17031000643</v>
      </c>
      <c r="E168" s="213" t="s">
        <v>533</v>
      </c>
      <c r="F168" s="213" t="s">
        <v>534</v>
      </c>
      <c r="G168" s="213" t="s">
        <v>365</v>
      </c>
      <c r="H168" s="213" t="s">
        <v>557</v>
      </c>
      <c r="I168" s="213"/>
      <c r="J168" s="213" t="s">
        <v>535</v>
      </c>
      <c r="K168" s="213"/>
      <c r="L168" s="213"/>
      <c r="M168" s="213"/>
      <c r="N168" s="213"/>
      <c r="O168" s="213"/>
      <c r="P168" s="213"/>
      <c r="Q168" s="213"/>
      <c r="R168" s="213"/>
      <c r="S168" s="213"/>
      <c r="T168" s="213"/>
      <c r="U168" s="213" t="s">
        <v>538</v>
      </c>
      <c r="V168" s="213">
        <v>1</v>
      </c>
      <c r="W168" s="213" t="s">
        <v>560</v>
      </c>
      <c r="X168" s="213" t="s">
        <v>541</v>
      </c>
      <c r="Y168" s="213" t="s">
        <v>541</v>
      </c>
      <c r="Z168" s="212">
        <v>1880</v>
      </c>
      <c r="AA168" s="212">
        <v>153400</v>
      </c>
      <c r="AB168" s="217">
        <v>0.27813700000000002</v>
      </c>
      <c r="AC168" s="217">
        <v>0.44761899999999999</v>
      </c>
      <c r="AD168" s="212">
        <f t="shared" si="2"/>
        <v>42666.215800000005</v>
      </c>
      <c r="AE168"/>
    </row>
    <row r="169" spans="2:31" s="66" customFormat="1" x14ac:dyDescent="0.15">
      <c r="B169" s="213">
        <v>17031004016</v>
      </c>
      <c r="C169" s="213">
        <v>17031000909</v>
      </c>
      <c r="D169" s="213">
        <v>17031000908</v>
      </c>
      <c r="E169" s="213" t="s">
        <v>533</v>
      </c>
      <c r="F169" s="213" t="s">
        <v>534</v>
      </c>
      <c r="G169" s="213" t="s">
        <v>365</v>
      </c>
      <c r="H169" s="213" t="s">
        <v>557</v>
      </c>
      <c r="I169" s="213"/>
      <c r="J169" s="213"/>
      <c r="K169" s="213"/>
      <c r="L169" s="213"/>
      <c r="M169" s="213"/>
      <c r="N169" s="213"/>
      <c r="O169" s="213"/>
      <c r="P169" s="213"/>
      <c r="Q169" s="213"/>
      <c r="R169" s="213"/>
      <c r="S169" s="213" t="s">
        <v>666</v>
      </c>
      <c r="T169" s="213"/>
      <c r="U169" s="213" t="s">
        <v>559</v>
      </c>
      <c r="V169" s="213">
        <v>1</v>
      </c>
      <c r="W169" s="213" t="s">
        <v>560</v>
      </c>
      <c r="X169" s="213" t="s">
        <v>541</v>
      </c>
      <c r="Y169" s="213" t="s">
        <v>541</v>
      </c>
      <c r="Z169" s="212">
        <v>0</v>
      </c>
      <c r="AA169" s="212">
        <v>0</v>
      </c>
      <c r="AB169" s="217">
        <v>1.456353</v>
      </c>
      <c r="AC169" s="217">
        <v>2.3437779999999999</v>
      </c>
      <c r="AD169" s="212">
        <f t="shared" si="2"/>
        <v>0</v>
      </c>
      <c r="AE169"/>
    </row>
    <row r="170" spans="2:31" s="66" customFormat="1" x14ac:dyDescent="0.15">
      <c r="B170" s="213">
        <v>17031004020</v>
      </c>
      <c r="C170" s="213">
        <v>17031000810</v>
      </c>
      <c r="D170" s="213">
        <v>17031000787</v>
      </c>
      <c r="E170" s="213" t="s">
        <v>533</v>
      </c>
      <c r="F170" s="213" t="s">
        <v>534</v>
      </c>
      <c r="G170" s="213" t="s">
        <v>365</v>
      </c>
      <c r="H170" s="213" t="s">
        <v>547</v>
      </c>
      <c r="I170" s="213"/>
      <c r="J170" s="213"/>
      <c r="K170" s="213"/>
      <c r="L170" s="213"/>
      <c r="M170" s="213"/>
      <c r="N170" s="213"/>
      <c r="O170" s="213"/>
      <c r="P170" s="213"/>
      <c r="Q170" s="213"/>
      <c r="R170" s="213"/>
      <c r="S170" s="213" t="s">
        <v>602</v>
      </c>
      <c r="T170" s="213"/>
      <c r="U170" s="213" t="s">
        <v>538</v>
      </c>
      <c r="V170" s="213">
        <v>2</v>
      </c>
      <c r="W170" s="213" t="s">
        <v>545</v>
      </c>
      <c r="X170" s="213" t="s">
        <v>540</v>
      </c>
      <c r="Y170" s="213" t="s">
        <v>541</v>
      </c>
      <c r="Z170" s="212">
        <v>0</v>
      </c>
      <c r="AA170" s="212">
        <v>0</v>
      </c>
      <c r="AB170" s="217">
        <v>0.39506599999999997</v>
      </c>
      <c r="AC170" s="217">
        <v>0.635799</v>
      </c>
      <c r="AD170" s="212">
        <f t="shared" si="2"/>
        <v>0</v>
      </c>
      <c r="AE170"/>
    </row>
    <row r="171" spans="2:31" s="66" customFormat="1" x14ac:dyDescent="0.15">
      <c r="B171" s="213">
        <v>17031004021</v>
      </c>
      <c r="C171" s="213">
        <v>17031000705</v>
      </c>
      <c r="D171" s="213">
        <v>17031000787</v>
      </c>
      <c r="E171" s="213" t="s">
        <v>533</v>
      </c>
      <c r="F171" s="213" t="s">
        <v>534</v>
      </c>
      <c r="G171" s="213" t="s">
        <v>365</v>
      </c>
      <c r="H171" s="213" t="s">
        <v>547</v>
      </c>
      <c r="I171" s="213"/>
      <c r="J171" s="213" t="s">
        <v>382</v>
      </c>
      <c r="K171" s="213"/>
      <c r="L171" s="213"/>
      <c r="M171" s="213"/>
      <c r="N171" s="213"/>
      <c r="O171" s="213"/>
      <c r="P171" s="213"/>
      <c r="Q171" s="213"/>
      <c r="R171" s="213"/>
      <c r="S171" s="213" t="s">
        <v>602</v>
      </c>
      <c r="T171" s="213"/>
      <c r="U171" s="213" t="s">
        <v>538</v>
      </c>
      <c r="V171" s="213">
        <v>2</v>
      </c>
      <c r="W171" s="213" t="s">
        <v>545</v>
      </c>
      <c r="X171" s="213" t="s">
        <v>540</v>
      </c>
      <c r="Y171" s="213" t="s">
        <v>541</v>
      </c>
      <c r="Z171" s="212">
        <v>0</v>
      </c>
      <c r="AA171" s="212">
        <v>0</v>
      </c>
      <c r="AB171" s="217">
        <v>1.7369049999999999</v>
      </c>
      <c r="AC171" s="217">
        <v>2.795283</v>
      </c>
      <c r="AD171" s="212">
        <f t="shared" si="2"/>
        <v>0</v>
      </c>
      <c r="AE171"/>
    </row>
    <row r="172" spans="2:31" s="66" customFormat="1" x14ac:dyDescent="0.15">
      <c r="B172" s="213">
        <v>17031004030</v>
      </c>
      <c r="C172" s="213">
        <v>17031000480</v>
      </c>
      <c r="D172" s="213">
        <v>17031000495</v>
      </c>
      <c r="E172" s="213" t="s">
        <v>533</v>
      </c>
      <c r="F172" s="213" t="s">
        <v>534</v>
      </c>
      <c r="G172" s="213" t="s">
        <v>365</v>
      </c>
      <c r="H172" s="213" t="s">
        <v>590</v>
      </c>
      <c r="I172" s="213"/>
      <c r="J172" s="213"/>
      <c r="K172" s="213"/>
      <c r="L172" s="213"/>
      <c r="M172" s="213"/>
      <c r="N172" s="213"/>
      <c r="O172" s="213"/>
      <c r="P172" s="213"/>
      <c r="Q172" s="213"/>
      <c r="R172" s="213"/>
      <c r="S172" s="213"/>
      <c r="T172" s="213"/>
      <c r="U172" s="213" t="s">
        <v>559</v>
      </c>
      <c r="V172" s="213">
        <v>1</v>
      </c>
      <c r="W172" s="213" t="s">
        <v>560</v>
      </c>
      <c r="X172" s="213" t="s">
        <v>541</v>
      </c>
      <c r="Y172" s="213" t="s">
        <v>541</v>
      </c>
      <c r="Z172" s="212">
        <v>0</v>
      </c>
      <c r="AA172" s="212">
        <v>0</v>
      </c>
      <c r="AB172" s="217">
        <v>0.27563100000000001</v>
      </c>
      <c r="AC172" s="217">
        <v>0.44358599999999998</v>
      </c>
      <c r="AD172" s="212">
        <f t="shared" si="2"/>
        <v>0</v>
      </c>
      <c r="AE172"/>
    </row>
    <row r="173" spans="2:31" s="66" customFormat="1" x14ac:dyDescent="0.15">
      <c r="B173" s="213">
        <v>17031004031</v>
      </c>
      <c r="C173" s="213">
        <v>17031000495</v>
      </c>
      <c r="D173" s="213">
        <v>17031000504</v>
      </c>
      <c r="E173" s="213" t="s">
        <v>533</v>
      </c>
      <c r="F173" s="213" t="s">
        <v>534</v>
      </c>
      <c r="G173" s="213" t="s">
        <v>365</v>
      </c>
      <c r="H173" s="213" t="s">
        <v>590</v>
      </c>
      <c r="I173" s="213"/>
      <c r="J173" s="213"/>
      <c r="K173" s="213"/>
      <c r="L173" s="213"/>
      <c r="M173" s="213"/>
      <c r="N173" s="213"/>
      <c r="O173" s="213"/>
      <c r="P173" s="213"/>
      <c r="Q173" s="213"/>
      <c r="R173" s="213"/>
      <c r="S173" s="213"/>
      <c r="T173" s="213"/>
      <c r="U173" s="213" t="s">
        <v>559</v>
      </c>
      <c r="V173" s="213">
        <v>1</v>
      </c>
      <c r="W173" s="213" t="s">
        <v>560</v>
      </c>
      <c r="X173" s="213" t="s">
        <v>541</v>
      </c>
      <c r="Y173" s="213" t="s">
        <v>541</v>
      </c>
      <c r="Z173" s="212">
        <v>0</v>
      </c>
      <c r="AA173" s="212">
        <v>0</v>
      </c>
      <c r="AB173" s="217">
        <v>0.27329700000000001</v>
      </c>
      <c r="AC173" s="217">
        <v>0.43983</v>
      </c>
      <c r="AD173" s="212">
        <f t="shared" si="2"/>
        <v>0</v>
      </c>
      <c r="AE173"/>
    </row>
    <row r="174" spans="2:31" s="66" customFormat="1" x14ac:dyDescent="0.15">
      <c r="B174" s="213">
        <v>17031004055</v>
      </c>
      <c r="C174" s="213">
        <v>17031000681</v>
      </c>
      <c r="D174" s="213">
        <v>17031000666</v>
      </c>
      <c r="E174" s="213" t="s">
        <v>533</v>
      </c>
      <c r="F174" s="213" t="s">
        <v>534</v>
      </c>
      <c r="G174" s="213" t="s">
        <v>365</v>
      </c>
      <c r="H174" s="213" t="s">
        <v>535</v>
      </c>
      <c r="I174" s="213"/>
      <c r="J174" s="213" t="s">
        <v>542</v>
      </c>
      <c r="K174" s="213" t="s">
        <v>572</v>
      </c>
      <c r="L174" s="213"/>
      <c r="M174" s="213"/>
      <c r="N174" s="213"/>
      <c r="O174" s="213"/>
      <c r="P174" s="213"/>
      <c r="Q174" s="213"/>
      <c r="R174" s="213"/>
      <c r="S174" s="213" t="s">
        <v>544</v>
      </c>
      <c r="T174" s="213"/>
      <c r="U174" s="213" t="s">
        <v>538</v>
      </c>
      <c r="V174" s="213">
        <v>2</v>
      </c>
      <c r="W174" s="213" t="s">
        <v>545</v>
      </c>
      <c r="X174" s="213" t="s">
        <v>541</v>
      </c>
      <c r="Y174" s="213" t="s">
        <v>549</v>
      </c>
      <c r="Z174" s="212">
        <v>8958</v>
      </c>
      <c r="AA174" s="212">
        <v>744576</v>
      </c>
      <c r="AB174" s="217">
        <v>0.20763799999999999</v>
      </c>
      <c r="AC174" s="217">
        <v>0.33416200000000001</v>
      </c>
      <c r="AD174" s="212">
        <f t="shared" si="2"/>
        <v>154602.271488</v>
      </c>
      <c r="AE174"/>
    </row>
    <row r="175" spans="2:31" s="66" customFormat="1" x14ac:dyDescent="0.15">
      <c r="B175" s="213">
        <v>17031004056</v>
      </c>
      <c r="C175" s="213">
        <v>17031004739</v>
      </c>
      <c r="D175" s="213">
        <v>17031001151</v>
      </c>
      <c r="E175" s="213" t="s">
        <v>533</v>
      </c>
      <c r="F175" s="213" t="s">
        <v>534</v>
      </c>
      <c r="G175" s="213" t="s">
        <v>365</v>
      </c>
      <c r="H175" s="213" t="s">
        <v>543</v>
      </c>
      <c r="I175" s="213"/>
      <c r="J175" s="213" t="s">
        <v>542</v>
      </c>
      <c r="K175" s="213" t="s">
        <v>552</v>
      </c>
      <c r="L175" s="213" t="s">
        <v>557</v>
      </c>
      <c r="M175" s="213" t="s">
        <v>661</v>
      </c>
      <c r="N175" s="213"/>
      <c r="O175" s="213"/>
      <c r="P175" s="213"/>
      <c r="Q175" s="213"/>
      <c r="R175" s="213"/>
      <c r="S175" s="213" t="s">
        <v>630</v>
      </c>
      <c r="T175" s="213"/>
      <c r="U175" s="213" t="s">
        <v>538</v>
      </c>
      <c r="V175" s="213">
        <v>4</v>
      </c>
      <c r="W175" s="213" t="s">
        <v>545</v>
      </c>
      <c r="X175" s="213" t="s">
        <v>540</v>
      </c>
      <c r="Y175" s="213" t="s">
        <v>575</v>
      </c>
      <c r="Z175" s="212">
        <v>2658147</v>
      </c>
      <c r="AA175" s="212">
        <v>74296668</v>
      </c>
      <c r="AB175" s="217">
        <v>0.32247399999999998</v>
      </c>
      <c r="AC175" s="217">
        <v>0.51897300000000002</v>
      </c>
      <c r="AD175" s="212">
        <f t="shared" si="2"/>
        <v>23958743.716631997</v>
      </c>
      <c r="AE175"/>
    </row>
    <row r="176" spans="2:31" s="66" customFormat="1" x14ac:dyDescent="0.15">
      <c r="B176" s="213">
        <v>17031004057</v>
      </c>
      <c r="C176" s="213">
        <v>17031007820</v>
      </c>
      <c r="D176" s="213">
        <v>17031001118</v>
      </c>
      <c r="E176" s="213" t="s">
        <v>533</v>
      </c>
      <c r="F176" s="213" t="s">
        <v>534</v>
      </c>
      <c r="G176" s="213" t="s">
        <v>365</v>
      </c>
      <c r="H176" s="213" t="s">
        <v>543</v>
      </c>
      <c r="I176" s="213"/>
      <c r="J176" s="213"/>
      <c r="K176" s="213"/>
      <c r="L176" s="213"/>
      <c r="M176" s="213"/>
      <c r="N176" s="213"/>
      <c r="O176" s="213"/>
      <c r="P176" s="213"/>
      <c r="Q176" s="213"/>
      <c r="R176" s="213"/>
      <c r="S176" s="213" t="s">
        <v>617</v>
      </c>
      <c r="T176" s="213"/>
      <c r="U176" s="213" t="s">
        <v>559</v>
      </c>
      <c r="V176" s="213">
        <v>1</v>
      </c>
      <c r="W176" s="213" t="s">
        <v>560</v>
      </c>
      <c r="X176" s="213" t="s">
        <v>541</v>
      </c>
      <c r="Y176" s="213" t="s">
        <v>541</v>
      </c>
      <c r="Z176" s="212">
        <v>0</v>
      </c>
      <c r="AA176" s="212">
        <v>0</v>
      </c>
      <c r="AB176" s="217">
        <v>0.73368</v>
      </c>
      <c r="AC176" s="217">
        <v>1.180747</v>
      </c>
      <c r="AD176" s="212">
        <f t="shared" si="2"/>
        <v>0</v>
      </c>
      <c r="AE176"/>
    </row>
    <row r="177" spans="2:31" s="66" customFormat="1" x14ac:dyDescent="0.15">
      <c r="B177" s="213">
        <v>17031004058</v>
      </c>
      <c r="C177" s="213">
        <v>17031001170</v>
      </c>
      <c r="D177" s="213">
        <v>17031007820</v>
      </c>
      <c r="E177" s="213" t="s">
        <v>533</v>
      </c>
      <c r="F177" s="213" t="s">
        <v>534</v>
      </c>
      <c r="G177" s="213" t="s">
        <v>365</v>
      </c>
      <c r="H177" s="213" t="s">
        <v>543</v>
      </c>
      <c r="I177" s="213"/>
      <c r="J177" s="213"/>
      <c r="K177" s="213"/>
      <c r="L177" s="213"/>
      <c r="M177" s="213"/>
      <c r="N177" s="213"/>
      <c r="O177" s="213"/>
      <c r="P177" s="213"/>
      <c r="Q177" s="213"/>
      <c r="R177" s="213"/>
      <c r="S177" s="213" t="s">
        <v>617</v>
      </c>
      <c r="T177" s="213"/>
      <c r="U177" s="213" t="s">
        <v>559</v>
      </c>
      <c r="V177" s="213">
        <v>1</v>
      </c>
      <c r="W177" s="213" t="s">
        <v>560</v>
      </c>
      <c r="X177" s="213" t="s">
        <v>541</v>
      </c>
      <c r="Y177" s="213" t="s">
        <v>541</v>
      </c>
      <c r="Z177" s="212">
        <v>0</v>
      </c>
      <c r="AA177" s="212">
        <v>0</v>
      </c>
      <c r="AB177" s="217">
        <v>0.47153299999999998</v>
      </c>
      <c r="AC177" s="217">
        <v>0.75885999999999998</v>
      </c>
      <c r="AD177" s="212">
        <f t="shared" si="2"/>
        <v>0</v>
      </c>
      <c r="AE177"/>
    </row>
    <row r="178" spans="2:31" s="66" customFormat="1" x14ac:dyDescent="0.15">
      <c r="B178" s="213">
        <v>17031004059</v>
      </c>
      <c r="C178" s="213">
        <v>17031000880</v>
      </c>
      <c r="D178" s="213">
        <v>17031000868</v>
      </c>
      <c r="E178" s="213" t="s">
        <v>533</v>
      </c>
      <c r="F178" s="213" t="s">
        <v>534</v>
      </c>
      <c r="G178" s="213" t="s">
        <v>365</v>
      </c>
      <c r="H178" s="213" t="s">
        <v>381</v>
      </c>
      <c r="I178" s="213"/>
      <c r="J178" s="213" t="s">
        <v>382</v>
      </c>
      <c r="K178" s="213"/>
      <c r="L178" s="213"/>
      <c r="M178" s="213"/>
      <c r="N178" s="213"/>
      <c r="O178" s="213"/>
      <c r="P178" s="213"/>
      <c r="Q178" s="213"/>
      <c r="R178" s="213"/>
      <c r="S178" s="213" t="s">
        <v>647</v>
      </c>
      <c r="T178" s="213"/>
      <c r="U178" s="213" t="s">
        <v>538</v>
      </c>
      <c r="V178" s="213">
        <v>2</v>
      </c>
      <c r="W178" s="213" t="s">
        <v>545</v>
      </c>
      <c r="X178" s="213" t="s">
        <v>549</v>
      </c>
      <c r="Y178" s="213" t="s">
        <v>580</v>
      </c>
      <c r="Z178" s="212">
        <v>22516</v>
      </c>
      <c r="AA178" s="212">
        <v>1290368</v>
      </c>
      <c r="AB178" s="217">
        <v>0.45023600000000003</v>
      </c>
      <c r="AC178" s="217">
        <v>0.72458699999999998</v>
      </c>
      <c r="AD178" s="212">
        <f t="shared" si="2"/>
        <v>580970.12684799999</v>
      </c>
      <c r="AE178"/>
    </row>
    <row r="179" spans="2:31" s="66" customFormat="1" x14ac:dyDescent="0.15">
      <c r="B179" s="213">
        <v>17031004060</v>
      </c>
      <c r="C179" s="213">
        <v>17031000868</v>
      </c>
      <c r="D179" s="213">
        <v>17031000864</v>
      </c>
      <c r="E179" s="213" t="s">
        <v>533</v>
      </c>
      <c r="F179" s="213" t="s">
        <v>534</v>
      </c>
      <c r="G179" s="213" t="s">
        <v>365</v>
      </c>
      <c r="H179" s="213" t="s">
        <v>381</v>
      </c>
      <c r="I179" s="213"/>
      <c r="J179" s="213" t="s">
        <v>382</v>
      </c>
      <c r="K179" s="213"/>
      <c r="L179" s="213"/>
      <c r="M179" s="213"/>
      <c r="N179" s="213"/>
      <c r="O179" s="213"/>
      <c r="P179" s="213"/>
      <c r="Q179" s="213"/>
      <c r="R179" s="213"/>
      <c r="S179" s="213" t="s">
        <v>647</v>
      </c>
      <c r="T179" s="213"/>
      <c r="U179" s="213" t="s">
        <v>538</v>
      </c>
      <c r="V179" s="213">
        <v>2</v>
      </c>
      <c r="W179" s="213" t="s">
        <v>545</v>
      </c>
      <c r="X179" s="213" t="s">
        <v>549</v>
      </c>
      <c r="Y179" s="213" t="s">
        <v>580</v>
      </c>
      <c r="Z179" s="212">
        <v>22516</v>
      </c>
      <c r="AA179" s="212">
        <v>1290368</v>
      </c>
      <c r="AB179" s="217">
        <v>0.20927000000000001</v>
      </c>
      <c r="AC179" s="217">
        <v>0.33678900000000001</v>
      </c>
      <c r="AD179" s="212">
        <f t="shared" si="2"/>
        <v>270035.31135999999</v>
      </c>
      <c r="AE179"/>
    </row>
    <row r="180" spans="2:31" s="66" customFormat="1" x14ac:dyDescent="0.15">
      <c r="B180" s="213">
        <v>17031004061</v>
      </c>
      <c r="C180" s="213">
        <v>17031006853</v>
      </c>
      <c r="D180" s="213">
        <v>17031000823</v>
      </c>
      <c r="E180" s="213" t="s">
        <v>533</v>
      </c>
      <c r="F180" s="213" t="s">
        <v>534</v>
      </c>
      <c r="G180" s="213" t="s">
        <v>365</v>
      </c>
      <c r="H180" s="213" t="s">
        <v>543</v>
      </c>
      <c r="I180" s="213"/>
      <c r="J180" s="213" t="s">
        <v>542</v>
      </c>
      <c r="K180" s="213"/>
      <c r="L180" s="213"/>
      <c r="M180" s="213"/>
      <c r="N180" s="213"/>
      <c r="O180" s="213"/>
      <c r="P180" s="213"/>
      <c r="Q180" s="213"/>
      <c r="R180" s="213"/>
      <c r="S180" s="213" t="s">
        <v>630</v>
      </c>
      <c r="T180" s="213"/>
      <c r="U180" s="213" t="s">
        <v>538</v>
      </c>
      <c r="V180" s="213">
        <v>2</v>
      </c>
      <c r="W180" s="213" t="s">
        <v>545</v>
      </c>
      <c r="X180" s="213" t="s">
        <v>540</v>
      </c>
      <c r="Y180" s="213" t="s">
        <v>549</v>
      </c>
      <c r="Z180" s="212">
        <v>2463629</v>
      </c>
      <c r="AA180" s="212">
        <v>64091127</v>
      </c>
      <c r="AB180" s="217">
        <v>0.57260900000000003</v>
      </c>
      <c r="AC180" s="217">
        <v>0.92152599999999996</v>
      </c>
      <c r="AD180" s="212">
        <f t="shared" si="2"/>
        <v>36699156.140343003</v>
      </c>
      <c r="AE180"/>
    </row>
    <row r="181" spans="2:31" s="66" customFormat="1" x14ac:dyDescent="0.15">
      <c r="B181" s="213">
        <v>17031004068</v>
      </c>
      <c r="C181" s="213">
        <v>17031000708</v>
      </c>
      <c r="D181" s="213">
        <v>17031004674</v>
      </c>
      <c r="E181" s="213" t="s">
        <v>533</v>
      </c>
      <c r="F181" s="213" t="s">
        <v>534</v>
      </c>
      <c r="G181" s="213" t="s">
        <v>365</v>
      </c>
      <c r="H181" s="213" t="s">
        <v>644</v>
      </c>
      <c r="I181" s="213"/>
      <c r="J181" s="213"/>
      <c r="K181" s="213"/>
      <c r="L181" s="213"/>
      <c r="M181" s="213"/>
      <c r="N181" s="213"/>
      <c r="O181" s="213"/>
      <c r="P181" s="213"/>
      <c r="Q181" s="213"/>
      <c r="R181" s="213"/>
      <c r="S181" s="213"/>
      <c r="T181" s="213"/>
      <c r="U181" s="213" t="s">
        <v>559</v>
      </c>
      <c r="V181" s="213">
        <v>1</v>
      </c>
      <c r="W181" s="213" t="s">
        <v>560</v>
      </c>
      <c r="X181" s="213" t="s">
        <v>541</v>
      </c>
      <c r="Y181" s="213" t="s">
        <v>541</v>
      </c>
      <c r="Z181" s="212">
        <v>0</v>
      </c>
      <c r="AA181" s="212">
        <v>0</v>
      </c>
      <c r="AB181" s="217">
        <v>0.98022399999999998</v>
      </c>
      <c r="AC181" s="217">
        <v>1.57752</v>
      </c>
      <c r="AD181" s="212">
        <f t="shared" si="2"/>
        <v>0</v>
      </c>
      <c r="AE181"/>
    </row>
    <row r="182" spans="2:31" s="66" customFormat="1" x14ac:dyDescent="0.15">
      <c r="B182" s="213">
        <v>17031004070</v>
      </c>
      <c r="C182" s="213">
        <v>17031000435</v>
      </c>
      <c r="D182" s="213">
        <v>17031004630</v>
      </c>
      <c r="E182" s="213" t="s">
        <v>533</v>
      </c>
      <c r="F182" s="213" t="s">
        <v>534</v>
      </c>
      <c r="G182" s="213" t="s">
        <v>365</v>
      </c>
      <c r="H182" s="213" t="s">
        <v>535</v>
      </c>
      <c r="I182" s="213"/>
      <c r="J182" s="213" t="s">
        <v>552</v>
      </c>
      <c r="K182" s="213" t="s">
        <v>547</v>
      </c>
      <c r="L182" s="213" t="s">
        <v>551</v>
      </c>
      <c r="M182" s="213"/>
      <c r="N182" s="213"/>
      <c r="O182" s="213"/>
      <c r="P182" s="213"/>
      <c r="Q182" s="213"/>
      <c r="R182" s="213"/>
      <c r="S182" s="213" t="s">
        <v>548</v>
      </c>
      <c r="T182" s="213"/>
      <c r="U182" s="213" t="s">
        <v>538</v>
      </c>
      <c r="V182" s="213">
        <v>3</v>
      </c>
      <c r="W182" s="213" t="s">
        <v>545</v>
      </c>
      <c r="X182" s="213" t="s">
        <v>554</v>
      </c>
      <c r="Y182" s="213" t="s">
        <v>546</v>
      </c>
      <c r="Z182" s="212">
        <v>662317</v>
      </c>
      <c r="AA182" s="212">
        <v>30356922</v>
      </c>
      <c r="AB182" s="217">
        <v>0.23444699999999999</v>
      </c>
      <c r="AC182" s="217">
        <v>0.377307</v>
      </c>
      <c r="AD182" s="212">
        <f t="shared" si="2"/>
        <v>7117089.292134</v>
      </c>
      <c r="AE182"/>
    </row>
    <row r="183" spans="2:31" s="66" customFormat="1" x14ac:dyDescent="0.15">
      <c r="B183" s="213">
        <v>17031004071</v>
      </c>
      <c r="C183" s="213">
        <v>17031007606</v>
      </c>
      <c r="D183" s="213">
        <v>17031004633</v>
      </c>
      <c r="E183" s="213" t="s">
        <v>533</v>
      </c>
      <c r="F183" s="213" t="s">
        <v>534</v>
      </c>
      <c r="G183" s="213" t="s">
        <v>365</v>
      </c>
      <c r="H183" s="213" t="s">
        <v>551</v>
      </c>
      <c r="I183" s="213"/>
      <c r="J183" s="213" t="s">
        <v>535</v>
      </c>
      <c r="K183" s="213"/>
      <c r="L183" s="213"/>
      <c r="M183" s="213"/>
      <c r="N183" s="213"/>
      <c r="O183" s="213"/>
      <c r="P183" s="213"/>
      <c r="Q183" s="213"/>
      <c r="R183" s="213"/>
      <c r="S183" s="213" t="s">
        <v>667</v>
      </c>
      <c r="T183" s="213"/>
      <c r="U183" s="213" t="s">
        <v>538</v>
      </c>
      <c r="V183" s="213">
        <v>2</v>
      </c>
      <c r="W183" s="213" t="s">
        <v>582</v>
      </c>
      <c r="X183" s="213" t="s">
        <v>541</v>
      </c>
      <c r="Y183" s="213" t="s">
        <v>541</v>
      </c>
      <c r="Z183" s="212">
        <v>0</v>
      </c>
      <c r="AA183" s="212">
        <v>0</v>
      </c>
      <c r="AB183" s="217">
        <v>0.65344199999999997</v>
      </c>
      <c r="AC183" s="217">
        <v>1.051615</v>
      </c>
      <c r="AD183" s="212">
        <f t="shared" si="2"/>
        <v>0</v>
      </c>
      <c r="AE183"/>
    </row>
    <row r="184" spans="2:31" s="66" customFormat="1" x14ac:dyDescent="0.15">
      <c r="B184" s="213">
        <v>17031004072</v>
      </c>
      <c r="C184" s="213">
        <v>17031000619</v>
      </c>
      <c r="D184" s="213">
        <v>17031000617</v>
      </c>
      <c r="E184" s="213" t="s">
        <v>533</v>
      </c>
      <c r="F184" s="213" t="s">
        <v>534</v>
      </c>
      <c r="G184" s="213" t="s">
        <v>365</v>
      </c>
      <c r="H184" s="213" t="s">
        <v>551</v>
      </c>
      <c r="I184" s="213"/>
      <c r="J184" s="213" t="s">
        <v>535</v>
      </c>
      <c r="K184" s="213"/>
      <c r="L184" s="213"/>
      <c r="M184" s="213"/>
      <c r="N184" s="213"/>
      <c r="O184" s="213"/>
      <c r="P184" s="213"/>
      <c r="Q184" s="213"/>
      <c r="R184" s="213"/>
      <c r="S184" s="213" t="s">
        <v>667</v>
      </c>
      <c r="T184" s="213"/>
      <c r="U184" s="213" t="s">
        <v>538</v>
      </c>
      <c r="V184" s="213">
        <v>2</v>
      </c>
      <c r="W184" s="213" t="s">
        <v>582</v>
      </c>
      <c r="X184" s="213" t="s">
        <v>541</v>
      </c>
      <c r="Y184" s="213" t="s">
        <v>541</v>
      </c>
      <c r="Z184" s="212">
        <v>0</v>
      </c>
      <c r="AA184" s="212">
        <v>0</v>
      </c>
      <c r="AB184" s="217">
        <v>0.50689899999999999</v>
      </c>
      <c r="AC184" s="217">
        <v>0.81577599999999995</v>
      </c>
      <c r="AD184" s="212">
        <f t="shared" si="2"/>
        <v>0</v>
      </c>
      <c r="AE184"/>
    </row>
    <row r="185" spans="2:31" s="66" customFormat="1" x14ac:dyDescent="0.15">
      <c r="B185" s="213">
        <v>17031004082</v>
      </c>
      <c r="C185" s="213">
        <v>17031004655</v>
      </c>
      <c r="D185" s="213">
        <v>17031000757</v>
      </c>
      <c r="E185" s="213" t="s">
        <v>533</v>
      </c>
      <c r="F185" s="213" t="s">
        <v>534</v>
      </c>
      <c r="G185" s="213" t="s">
        <v>365</v>
      </c>
      <c r="H185" s="213" t="s">
        <v>535</v>
      </c>
      <c r="I185" s="213"/>
      <c r="J185" s="213"/>
      <c r="K185" s="213"/>
      <c r="L185" s="213"/>
      <c r="M185" s="213"/>
      <c r="N185" s="213"/>
      <c r="O185" s="213"/>
      <c r="P185" s="213"/>
      <c r="Q185" s="213"/>
      <c r="R185" s="213"/>
      <c r="S185" s="213" t="s">
        <v>624</v>
      </c>
      <c r="T185" s="213"/>
      <c r="U185" s="213" t="s">
        <v>538</v>
      </c>
      <c r="V185" s="213">
        <v>2</v>
      </c>
      <c r="W185" s="213" t="s">
        <v>582</v>
      </c>
      <c r="X185" s="213" t="s">
        <v>554</v>
      </c>
      <c r="Y185" s="213" t="s">
        <v>554</v>
      </c>
      <c r="Z185" s="212">
        <v>0</v>
      </c>
      <c r="AA185" s="212">
        <v>0</v>
      </c>
      <c r="AB185" s="217">
        <v>0.48969299999999999</v>
      </c>
      <c r="AC185" s="217">
        <v>0.78808599999999995</v>
      </c>
      <c r="AD185" s="212">
        <f t="shared" si="2"/>
        <v>0</v>
      </c>
      <c r="AE185"/>
    </row>
    <row r="186" spans="2:31" s="66" customFormat="1" x14ac:dyDescent="0.15">
      <c r="B186" s="213">
        <v>17031004089</v>
      </c>
      <c r="C186" s="213">
        <v>17031000719</v>
      </c>
      <c r="D186" s="213">
        <v>17031000717</v>
      </c>
      <c r="E186" s="213" t="s">
        <v>533</v>
      </c>
      <c r="F186" s="213" t="s">
        <v>534</v>
      </c>
      <c r="G186" s="213" t="s">
        <v>365</v>
      </c>
      <c r="H186" s="213" t="s">
        <v>381</v>
      </c>
      <c r="I186" s="213"/>
      <c r="J186" s="213" t="s">
        <v>542</v>
      </c>
      <c r="K186" s="213" t="s">
        <v>572</v>
      </c>
      <c r="L186" s="213" t="s">
        <v>547</v>
      </c>
      <c r="M186" s="213" t="s">
        <v>382</v>
      </c>
      <c r="N186" s="213" t="s">
        <v>571</v>
      </c>
      <c r="O186" s="213" t="s">
        <v>535</v>
      </c>
      <c r="P186" s="213" t="s">
        <v>543</v>
      </c>
      <c r="Q186" s="213"/>
      <c r="R186" s="213"/>
      <c r="S186" s="213" t="s">
        <v>579</v>
      </c>
      <c r="T186" s="213"/>
      <c r="U186" s="213" t="s">
        <v>538</v>
      </c>
      <c r="V186" s="213">
        <v>4</v>
      </c>
      <c r="W186" s="213" t="s">
        <v>545</v>
      </c>
      <c r="X186" s="213" t="s">
        <v>549</v>
      </c>
      <c r="Y186" s="213" t="s">
        <v>580</v>
      </c>
      <c r="Z186" s="212">
        <v>2414597</v>
      </c>
      <c r="AA186" s="212">
        <v>66219872</v>
      </c>
      <c r="AB186" s="217">
        <v>0.14871000000000001</v>
      </c>
      <c r="AC186" s="217">
        <v>0.23932600000000001</v>
      </c>
      <c r="AD186" s="212">
        <f t="shared" si="2"/>
        <v>9847557.16512</v>
      </c>
      <c r="AE186"/>
    </row>
    <row r="187" spans="2:31" s="66" customFormat="1" x14ac:dyDescent="0.15">
      <c r="B187" s="213">
        <v>17031004154</v>
      </c>
      <c r="C187" s="213">
        <v>17031000554</v>
      </c>
      <c r="D187" s="213">
        <v>17031000557</v>
      </c>
      <c r="E187" s="213" t="s">
        <v>533</v>
      </c>
      <c r="F187" s="213" t="s">
        <v>534</v>
      </c>
      <c r="G187" s="213" t="s">
        <v>365</v>
      </c>
      <c r="H187" s="213" t="s">
        <v>382</v>
      </c>
      <c r="I187" s="213"/>
      <c r="J187" s="213" t="s">
        <v>547</v>
      </c>
      <c r="K187" s="213"/>
      <c r="L187" s="213"/>
      <c r="M187" s="213"/>
      <c r="N187" s="213"/>
      <c r="O187" s="213"/>
      <c r="P187" s="213"/>
      <c r="Q187" s="213"/>
      <c r="R187" s="213"/>
      <c r="S187" s="213" t="s">
        <v>583</v>
      </c>
      <c r="T187" s="213"/>
      <c r="U187" s="213" t="s">
        <v>538</v>
      </c>
      <c r="V187" s="213">
        <v>4</v>
      </c>
      <c r="W187" s="213" t="s">
        <v>545</v>
      </c>
      <c r="X187" s="213" t="s">
        <v>554</v>
      </c>
      <c r="Y187" s="213" t="s">
        <v>541</v>
      </c>
      <c r="Z187" s="212">
        <v>0</v>
      </c>
      <c r="AA187" s="212">
        <v>0</v>
      </c>
      <c r="AB187" s="217">
        <v>5.2949999999999997E-2</v>
      </c>
      <c r="AC187" s="217">
        <v>8.5214999999999999E-2</v>
      </c>
      <c r="AD187" s="212">
        <f t="shared" si="2"/>
        <v>0</v>
      </c>
      <c r="AE187"/>
    </row>
    <row r="188" spans="2:31" s="66" customFormat="1" x14ac:dyDescent="0.15">
      <c r="B188" s="213">
        <v>17031004182</v>
      </c>
      <c r="C188" s="213">
        <v>17031000256</v>
      </c>
      <c r="D188" s="213">
        <v>17031004614</v>
      </c>
      <c r="E188" s="213" t="s">
        <v>533</v>
      </c>
      <c r="F188" s="213" t="s">
        <v>534</v>
      </c>
      <c r="G188" s="213" t="s">
        <v>365</v>
      </c>
      <c r="H188" s="213" t="s">
        <v>552</v>
      </c>
      <c r="I188" s="213"/>
      <c r="J188" s="213" t="s">
        <v>542</v>
      </c>
      <c r="K188" s="213" t="s">
        <v>547</v>
      </c>
      <c r="L188" s="213" t="s">
        <v>563</v>
      </c>
      <c r="M188" s="213" t="s">
        <v>382</v>
      </c>
      <c r="N188" s="213"/>
      <c r="O188" s="213"/>
      <c r="P188" s="213"/>
      <c r="Q188" s="213"/>
      <c r="R188" s="213"/>
      <c r="S188" s="213" t="s">
        <v>564</v>
      </c>
      <c r="T188" s="213"/>
      <c r="U188" s="213" t="s">
        <v>538</v>
      </c>
      <c r="V188" s="213">
        <v>2</v>
      </c>
      <c r="W188" s="213" t="s">
        <v>545</v>
      </c>
      <c r="X188" s="213" t="s">
        <v>549</v>
      </c>
      <c r="Y188" s="213" t="s">
        <v>549</v>
      </c>
      <c r="Z188" s="212">
        <v>500525</v>
      </c>
      <c r="AA188" s="212">
        <v>34229964</v>
      </c>
      <c r="AB188" s="217">
        <v>0.55004200000000003</v>
      </c>
      <c r="AC188" s="217">
        <v>0.88520900000000002</v>
      </c>
      <c r="AD188" s="212">
        <f t="shared" si="2"/>
        <v>18827917.858488001</v>
      </c>
      <c r="AE188"/>
    </row>
    <row r="189" spans="2:31" s="66" customFormat="1" x14ac:dyDescent="0.15">
      <c r="B189" s="213">
        <v>17031004188</v>
      </c>
      <c r="C189" s="213">
        <v>17031000665</v>
      </c>
      <c r="D189" s="213">
        <v>17031000626</v>
      </c>
      <c r="E189" s="213" t="s">
        <v>533</v>
      </c>
      <c r="F189" s="213" t="s">
        <v>534</v>
      </c>
      <c r="G189" s="213" t="s">
        <v>365</v>
      </c>
      <c r="H189" s="213" t="s">
        <v>381</v>
      </c>
      <c r="I189" s="213"/>
      <c r="J189" s="213" t="s">
        <v>542</v>
      </c>
      <c r="K189" s="213" t="s">
        <v>547</v>
      </c>
      <c r="L189" s="213"/>
      <c r="M189" s="213"/>
      <c r="N189" s="213"/>
      <c r="O189" s="213"/>
      <c r="P189" s="213"/>
      <c r="Q189" s="213"/>
      <c r="R189" s="213"/>
      <c r="S189" s="213" t="s">
        <v>579</v>
      </c>
      <c r="T189" s="213" t="s">
        <v>660</v>
      </c>
      <c r="U189" s="213" t="s">
        <v>538</v>
      </c>
      <c r="V189" s="213">
        <v>2</v>
      </c>
      <c r="W189" s="213" t="s">
        <v>545</v>
      </c>
      <c r="X189" s="213" t="s">
        <v>554</v>
      </c>
      <c r="Y189" s="213" t="s">
        <v>541</v>
      </c>
      <c r="Z189" s="212">
        <v>105441</v>
      </c>
      <c r="AA189" s="212">
        <v>7547022</v>
      </c>
      <c r="AB189" s="217">
        <v>0.55506599999999995</v>
      </c>
      <c r="AC189" s="217">
        <v>0.893293</v>
      </c>
      <c r="AD189" s="212">
        <f t="shared" si="2"/>
        <v>4189095.3134519998</v>
      </c>
      <c r="AE189"/>
    </row>
    <row r="190" spans="2:31" s="66" customFormat="1" x14ac:dyDescent="0.15">
      <c r="B190" s="213">
        <v>17031004201</v>
      </c>
      <c r="C190" s="213">
        <v>17031000346</v>
      </c>
      <c r="D190" s="213">
        <v>17031000348</v>
      </c>
      <c r="E190" s="213" t="s">
        <v>533</v>
      </c>
      <c r="F190" s="213" t="s">
        <v>534</v>
      </c>
      <c r="G190" s="213" t="s">
        <v>365</v>
      </c>
      <c r="H190" s="213" t="s">
        <v>590</v>
      </c>
      <c r="I190" s="213"/>
      <c r="J190" s="213"/>
      <c r="K190" s="213"/>
      <c r="L190" s="213"/>
      <c r="M190" s="213"/>
      <c r="N190" s="213"/>
      <c r="O190" s="213"/>
      <c r="P190" s="213"/>
      <c r="Q190" s="213"/>
      <c r="R190" s="213"/>
      <c r="S190" s="213"/>
      <c r="T190" s="213"/>
      <c r="U190" s="213" t="s">
        <v>559</v>
      </c>
      <c r="V190" s="213">
        <v>1</v>
      </c>
      <c r="W190" s="213" t="s">
        <v>560</v>
      </c>
      <c r="X190" s="213" t="s">
        <v>541</v>
      </c>
      <c r="Y190" s="213" t="s">
        <v>541</v>
      </c>
      <c r="Z190" s="212">
        <v>0</v>
      </c>
      <c r="AA190" s="212">
        <v>0</v>
      </c>
      <c r="AB190" s="217">
        <v>0.79060900000000001</v>
      </c>
      <c r="AC190" s="217">
        <v>1.272365</v>
      </c>
      <c r="AD190" s="212">
        <f t="shared" si="2"/>
        <v>0</v>
      </c>
      <c r="AE190"/>
    </row>
    <row r="191" spans="2:31" s="66" customFormat="1" x14ac:dyDescent="0.15">
      <c r="B191" s="213">
        <v>17031004202</v>
      </c>
      <c r="C191" s="213">
        <v>17031007568</v>
      </c>
      <c r="D191" s="213">
        <v>17031007567</v>
      </c>
      <c r="E191" s="213" t="s">
        <v>533</v>
      </c>
      <c r="F191" s="213" t="s">
        <v>534</v>
      </c>
      <c r="G191" s="213" t="s">
        <v>365</v>
      </c>
      <c r="H191" s="213" t="s">
        <v>590</v>
      </c>
      <c r="I191" s="213"/>
      <c r="J191" s="213"/>
      <c r="K191" s="213"/>
      <c r="L191" s="213"/>
      <c r="M191" s="213"/>
      <c r="N191" s="213"/>
      <c r="O191" s="213"/>
      <c r="P191" s="213"/>
      <c r="Q191" s="213"/>
      <c r="R191" s="213"/>
      <c r="S191" s="213"/>
      <c r="T191" s="213"/>
      <c r="U191" s="213" t="s">
        <v>559</v>
      </c>
      <c r="V191" s="213">
        <v>1</v>
      </c>
      <c r="W191" s="213" t="s">
        <v>560</v>
      </c>
      <c r="X191" s="213" t="s">
        <v>541</v>
      </c>
      <c r="Y191" s="213" t="s">
        <v>541</v>
      </c>
      <c r="Z191" s="212">
        <v>0</v>
      </c>
      <c r="AA191" s="212">
        <v>0</v>
      </c>
      <c r="AB191" s="217">
        <v>0.51705999999999996</v>
      </c>
      <c r="AC191" s="217">
        <v>0.83213000000000004</v>
      </c>
      <c r="AD191" s="212">
        <f t="shared" si="2"/>
        <v>0</v>
      </c>
      <c r="AE191"/>
    </row>
    <row r="192" spans="2:31" s="66" customFormat="1" x14ac:dyDescent="0.15">
      <c r="B192" s="213">
        <v>17031004203</v>
      </c>
      <c r="C192" s="213">
        <v>17031007556</v>
      </c>
      <c r="D192" s="213">
        <v>17031000356</v>
      </c>
      <c r="E192" s="213" t="s">
        <v>533</v>
      </c>
      <c r="F192" s="213" t="s">
        <v>534</v>
      </c>
      <c r="G192" s="213" t="s">
        <v>365</v>
      </c>
      <c r="H192" s="213" t="s">
        <v>590</v>
      </c>
      <c r="I192" s="213"/>
      <c r="J192" s="213"/>
      <c r="K192" s="213"/>
      <c r="L192" s="213"/>
      <c r="M192" s="213"/>
      <c r="N192" s="213"/>
      <c r="O192" s="213"/>
      <c r="P192" s="213"/>
      <c r="Q192" s="213"/>
      <c r="R192" s="213"/>
      <c r="S192" s="213"/>
      <c r="T192" s="213"/>
      <c r="U192" s="213" t="s">
        <v>559</v>
      </c>
      <c r="V192" s="213">
        <v>1</v>
      </c>
      <c r="W192" s="213" t="s">
        <v>560</v>
      </c>
      <c r="X192" s="213" t="s">
        <v>541</v>
      </c>
      <c r="Y192" s="213" t="s">
        <v>541</v>
      </c>
      <c r="Z192" s="212">
        <v>0</v>
      </c>
      <c r="AA192" s="212">
        <v>0</v>
      </c>
      <c r="AB192" s="217">
        <v>0.90288900000000005</v>
      </c>
      <c r="AC192" s="217">
        <v>1.4530620000000001</v>
      </c>
      <c r="AD192" s="212">
        <f t="shared" si="2"/>
        <v>0</v>
      </c>
      <c r="AE192"/>
    </row>
    <row r="193" spans="2:31" s="66" customFormat="1" x14ac:dyDescent="0.15">
      <c r="B193" s="213">
        <v>17031004207</v>
      </c>
      <c r="C193" s="213">
        <v>17031000326</v>
      </c>
      <c r="D193" s="213">
        <v>17031000332</v>
      </c>
      <c r="E193" s="213" t="s">
        <v>533</v>
      </c>
      <c r="F193" s="213" t="s">
        <v>534</v>
      </c>
      <c r="G193" s="213" t="s">
        <v>365</v>
      </c>
      <c r="H193" s="213" t="s">
        <v>590</v>
      </c>
      <c r="I193" s="213"/>
      <c r="J193" s="213"/>
      <c r="K193" s="213"/>
      <c r="L193" s="213"/>
      <c r="M193" s="213"/>
      <c r="N193" s="213"/>
      <c r="O193" s="213"/>
      <c r="P193" s="213"/>
      <c r="Q193" s="213"/>
      <c r="R193" s="213"/>
      <c r="S193" s="213"/>
      <c r="T193" s="213"/>
      <c r="U193" s="213" t="s">
        <v>559</v>
      </c>
      <c r="V193" s="213">
        <v>1</v>
      </c>
      <c r="W193" s="213" t="s">
        <v>560</v>
      </c>
      <c r="X193" s="213" t="s">
        <v>541</v>
      </c>
      <c r="Y193" s="213" t="s">
        <v>541</v>
      </c>
      <c r="Z193" s="212">
        <v>0</v>
      </c>
      <c r="AA193" s="212">
        <v>0</v>
      </c>
      <c r="AB193" s="217">
        <v>0.14003499999999999</v>
      </c>
      <c r="AC193" s="217">
        <v>0.22536500000000001</v>
      </c>
      <c r="AD193" s="212">
        <f t="shared" si="2"/>
        <v>0</v>
      </c>
      <c r="AE193"/>
    </row>
    <row r="194" spans="2:31" s="66" customFormat="1" x14ac:dyDescent="0.15">
      <c r="B194" s="213">
        <v>17031004213</v>
      </c>
      <c r="C194" s="213">
        <v>17031000319</v>
      </c>
      <c r="D194" s="213">
        <v>17031000327</v>
      </c>
      <c r="E194" s="213" t="s">
        <v>533</v>
      </c>
      <c r="F194" s="213" t="s">
        <v>534</v>
      </c>
      <c r="G194" s="213" t="s">
        <v>365</v>
      </c>
      <c r="H194" s="213" t="s">
        <v>590</v>
      </c>
      <c r="I194" s="213"/>
      <c r="J194" s="213"/>
      <c r="K194" s="213"/>
      <c r="L194" s="213"/>
      <c r="M194" s="213"/>
      <c r="N194" s="213"/>
      <c r="O194" s="213"/>
      <c r="P194" s="213"/>
      <c r="Q194" s="213"/>
      <c r="R194" s="213"/>
      <c r="S194" s="213"/>
      <c r="T194" s="213"/>
      <c r="U194" s="213" t="s">
        <v>559</v>
      </c>
      <c r="V194" s="213">
        <v>1</v>
      </c>
      <c r="W194" s="213" t="s">
        <v>560</v>
      </c>
      <c r="X194" s="213" t="s">
        <v>541</v>
      </c>
      <c r="Y194" s="213" t="s">
        <v>541</v>
      </c>
      <c r="Z194" s="212">
        <v>0</v>
      </c>
      <c r="AA194" s="212">
        <v>0</v>
      </c>
      <c r="AB194" s="217">
        <v>0.24935199999999999</v>
      </c>
      <c r="AC194" s="217">
        <v>0.40129399999999998</v>
      </c>
      <c r="AD194" s="212">
        <f t="shared" si="2"/>
        <v>0</v>
      </c>
      <c r="AE194"/>
    </row>
    <row r="195" spans="2:31" s="66" customFormat="1" x14ac:dyDescent="0.15">
      <c r="B195" s="213">
        <v>17031004214</v>
      </c>
      <c r="C195" s="213">
        <v>17031000327</v>
      </c>
      <c r="D195" s="213">
        <v>17031000334</v>
      </c>
      <c r="E195" s="213" t="s">
        <v>533</v>
      </c>
      <c r="F195" s="213" t="s">
        <v>534</v>
      </c>
      <c r="G195" s="213" t="s">
        <v>365</v>
      </c>
      <c r="H195" s="213" t="s">
        <v>590</v>
      </c>
      <c r="I195" s="213"/>
      <c r="J195" s="213"/>
      <c r="K195" s="213"/>
      <c r="L195" s="213"/>
      <c r="M195" s="213"/>
      <c r="N195" s="213"/>
      <c r="O195" s="213"/>
      <c r="P195" s="213"/>
      <c r="Q195" s="213"/>
      <c r="R195" s="213"/>
      <c r="S195" s="213"/>
      <c r="T195" s="213"/>
      <c r="U195" s="213" t="s">
        <v>559</v>
      </c>
      <c r="V195" s="213">
        <v>1</v>
      </c>
      <c r="W195" s="213" t="s">
        <v>560</v>
      </c>
      <c r="X195" s="213" t="s">
        <v>541</v>
      </c>
      <c r="Y195" s="213" t="s">
        <v>541</v>
      </c>
      <c r="Z195" s="212">
        <v>0</v>
      </c>
      <c r="AA195" s="212">
        <v>0</v>
      </c>
      <c r="AB195" s="217">
        <v>0.126133</v>
      </c>
      <c r="AC195" s="217">
        <v>0.20299200000000001</v>
      </c>
      <c r="AD195" s="212">
        <f t="shared" si="2"/>
        <v>0</v>
      </c>
      <c r="AE195"/>
    </row>
    <row r="196" spans="2:31" s="66" customFormat="1" x14ac:dyDescent="0.15">
      <c r="B196" s="213">
        <v>17031004215</v>
      </c>
      <c r="C196" s="213">
        <v>17031000313</v>
      </c>
      <c r="D196" s="213">
        <v>17031000319</v>
      </c>
      <c r="E196" s="213" t="s">
        <v>533</v>
      </c>
      <c r="F196" s="213" t="s">
        <v>534</v>
      </c>
      <c r="G196" s="213" t="s">
        <v>365</v>
      </c>
      <c r="H196" s="213" t="s">
        <v>590</v>
      </c>
      <c r="I196" s="213"/>
      <c r="J196" s="213"/>
      <c r="K196" s="213"/>
      <c r="L196" s="213"/>
      <c r="M196" s="213"/>
      <c r="N196" s="213"/>
      <c r="O196" s="213"/>
      <c r="P196" s="213"/>
      <c r="Q196" s="213"/>
      <c r="R196" s="213"/>
      <c r="S196" s="213"/>
      <c r="T196" s="213"/>
      <c r="U196" s="213" t="s">
        <v>559</v>
      </c>
      <c r="V196" s="213">
        <v>1</v>
      </c>
      <c r="W196" s="213" t="s">
        <v>560</v>
      </c>
      <c r="X196" s="213" t="s">
        <v>541</v>
      </c>
      <c r="Y196" s="213" t="s">
        <v>541</v>
      </c>
      <c r="Z196" s="212">
        <v>0</v>
      </c>
      <c r="AA196" s="212">
        <v>0</v>
      </c>
      <c r="AB196" s="217">
        <v>0.239289</v>
      </c>
      <c r="AC196" s="217">
        <v>0.38509900000000002</v>
      </c>
      <c r="AD196" s="212">
        <f t="shared" si="2"/>
        <v>0</v>
      </c>
      <c r="AE196"/>
    </row>
    <row r="197" spans="2:31" s="66" customFormat="1" x14ac:dyDescent="0.15">
      <c r="B197" s="213">
        <v>17031004246</v>
      </c>
      <c r="C197" s="213">
        <v>17031001561</v>
      </c>
      <c r="D197" s="213">
        <v>17031001576</v>
      </c>
      <c r="E197" s="213" t="s">
        <v>533</v>
      </c>
      <c r="F197" s="213" t="s">
        <v>534</v>
      </c>
      <c r="G197" s="213" t="s">
        <v>365</v>
      </c>
      <c r="H197" s="213" t="s">
        <v>382</v>
      </c>
      <c r="I197" s="213"/>
      <c r="J197" s="213"/>
      <c r="K197" s="213"/>
      <c r="L197" s="213"/>
      <c r="M197" s="213"/>
      <c r="N197" s="213"/>
      <c r="O197" s="213"/>
      <c r="P197" s="213"/>
      <c r="Q197" s="213"/>
      <c r="R197" s="213"/>
      <c r="S197" s="213" t="s">
        <v>576</v>
      </c>
      <c r="T197" s="213"/>
      <c r="U197" s="213" t="s">
        <v>559</v>
      </c>
      <c r="V197" s="213">
        <v>1</v>
      </c>
      <c r="W197" s="213" t="s">
        <v>560</v>
      </c>
      <c r="X197" s="213" t="s">
        <v>541</v>
      </c>
      <c r="Y197" s="213" t="s">
        <v>541</v>
      </c>
      <c r="Z197" s="212">
        <v>0</v>
      </c>
      <c r="AA197" s="212">
        <v>0</v>
      </c>
      <c r="AB197" s="217">
        <v>0.31204999999999999</v>
      </c>
      <c r="AC197" s="217">
        <v>0.50219800000000003</v>
      </c>
      <c r="AD197" s="212">
        <f t="shared" si="2"/>
        <v>0</v>
      </c>
      <c r="AE197"/>
    </row>
    <row r="198" spans="2:31" s="66" customFormat="1" x14ac:dyDescent="0.15">
      <c r="B198" s="213">
        <v>17031004249</v>
      </c>
      <c r="C198" s="213">
        <v>17031001574</v>
      </c>
      <c r="D198" s="213">
        <v>17031001583</v>
      </c>
      <c r="E198" s="213" t="s">
        <v>533</v>
      </c>
      <c r="F198" s="213" t="s">
        <v>534</v>
      </c>
      <c r="G198" s="213" t="s">
        <v>365</v>
      </c>
      <c r="H198" s="213" t="s">
        <v>382</v>
      </c>
      <c r="I198" s="213"/>
      <c r="J198" s="213"/>
      <c r="K198" s="213"/>
      <c r="L198" s="213"/>
      <c r="M198" s="213"/>
      <c r="N198" s="213"/>
      <c r="O198" s="213"/>
      <c r="P198" s="213"/>
      <c r="Q198" s="213"/>
      <c r="R198" s="213"/>
      <c r="S198" s="213" t="s">
        <v>576</v>
      </c>
      <c r="T198" s="213"/>
      <c r="U198" s="213" t="s">
        <v>559</v>
      </c>
      <c r="V198" s="213">
        <v>1</v>
      </c>
      <c r="W198" s="213" t="s">
        <v>560</v>
      </c>
      <c r="X198" s="213" t="s">
        <v>541</v>
      </c>
      <c r="Y198" s="213" t="s">
        <v>541</v>
      </c>
      <c r="Z198" s="212">
        <v>0</v>
      </c>
      <c r="AA198" s="212">
        <v>0</v>
      </c>
      <c r="AB198" s="217">
        <v>0.10358299999999999</v>
      </c>
      <c r="AC198" s="217">
        <v>0.16670099999999999</v>
      </c>
      <c r="AD198" s="212">
        <f t="shared" ref="AD198:AD261" si="3">AA198*AB198</f>
        <v>0</v>
      </c>
      <c r="AE198"/>
    </row>
    <row r="199" spans="2:31" s="66" customFormat="1" x14ac:dyDescent="0.15">
      <c r="B199" s="213">
        <v>17031004254</v>
      </c>
      <c r="C199" s="213">
        <v>17031001550</v>
      </c>
      <c r="D199" s="213">
        <v>17031001549</v>
      </c>
      <c r="E199" s="213" t="s">
        <v>533</v>
      </c>
      <c r="F199" s="213" t="s">
        <v>534</v>
      </c>
      <c r="G199" s="213" t="s">
        <v>365</v>
      </c>
      <c r="H199" s="213" t="s">
        <v>382</v>
      </c>
      <c r="I199" s="213"/>
      <c r="J199" s="213"/>
      <c r="K199" s="213"/>
      <c r="L199" s="213"/>
      <c r="M199" s="213"/>
      <c r="N199" s="213"/>
      <c r="O199" s="213"/>
      <c r="P199" s="213"/>
      <c r="Q199" s="213"/>
      <c r="R199" s="213"/>
      <c r="S199" s="213" t="s">
        <v>576</v>
      </c>
      <c r="T199" s="213"/>
      <c r="U199" s="213" t="s">
        <v>559</v>
      </c>
      <c r="V199" s="213">
        <v>1</v>
      </c>
      <c r="W199" s="213" t="s">
        <v>560</v>
      </c>
      <c r="X199" s="213" t="s">
        <v>541</v>
      </c>
      <c r="Y199" s="213" t="s">
        <v>541</v>
      </c>
      <c r="Z199" s="212">
        <v>0</v>
      </c>
      <c r="AA199" s="212">
        <v>0</v>
      </c>
      <c r="AB199" s="217">
        <v>0.14615500000000001</v>
      </c>
      <c r="AC199" s="217">
        <v>0.23521400000000001</v>
      </c>
      <c r="AD199" s="212">
        <f t="shared" si="3"/>
        <v>0</v>
      </c>
      <c r="AE199"/>
    </row>
    <row r="200" spans="2:31" s="66" customFormat="1" x14ac:dyDescent="0.15">
      <c r="B200" s="213">
        <v>17031004260</v>
      </c>
      <c r="C200" s="213">
        <v>17031000302</v>
      </c>
      <c r="D200" s="213">
        <v>17031004616</v>
      </c>
      <c r="E200" s="213" t="s">
        <v>533</v>
      </c>
      <c r="F200" s="213" t="s">
        <v>534</v>
      </c>
      <c r="G200" s="213" t="s">
        <v>365</v>
      </c>
      <c r="H200" s="213" t="s">
        <v>552</v>
      </c>
      <c r="I200" s="213"/>
      <c r="J200" s="213" t="s">
        <v>542</v>
      </c>
      <c r="K200" s="213" t="s">
        <v>547</v>
      </c>
      <c r="L200" s="213" t="s">
        <v>563</v>
      </c>
      <c r="M200" s="213"/>
      <c r="N200" s="213"/>
      <c r="O200" s="213"/>
      <c r="P200" s="213"/>
      <c r="Q200" s="213"/>
      <c r="R200" s="213"/>
      <c r="S200" s="213" t="s">
        <v>564</v>
      </c>
      <c r="T200" s="213"/>
      <c r="U200" s="213" t="s">
        <v>538</v>
      </c>
      <c r="V200" s="213">
        <v>2</v>
      </c>
      <c r="W200" s="213" t="s">
        <v>545</v>
      </c>
      <c r="X200" s="213" t="s">
        <v>549</v>
      </c>
      <c r="Y200" s="213" t="s">
        <v>541</v>
      </c>
      <c r="Z200" s="212">
        <v>27817</v>
      </c>
      <c r="AA200" s="212">
        <v>2593647</v>
      </c>
      <c r="AB200" s="217">
        <v>1.728121</v>
      </c>
      <c r="AC200" s="217">
        <v>2.7811460000000001</v>
      </c>
      <c r="AD200" s="212">
        <f t="shared" si="3"/>
        <v>4482135.8472870002</v>
      </c>
      <c r="AE200"/>
    </row>
    <row r="201" spans="2:31" s="66" customFormat="1" x14ac:dyDescent="0.15">
      <c r="B201" s="213">
        <v>17031004263</v>
      </c>
      <c r="C201" s="213">
        <v>17031001394</v>
      </c>
      <c r="D201" s="213">
        <v>99999022928</v>
      </c>
      <c r="E201" s="213" t="s">
        <v>533</v>
      </c>
      <c r="F201" s="213" t="s">
        <v>534</v>
      </c>
      <c r="G201" s="213" t="s">
        <v>365</v>
      </c>
      <c r="H201" s="213" t="s">
        <v>551</v>
      </c>
      <c r="I201" s="213"/>
      <c r="J201" s="213"/>
      <c r="K201" s="213"/>
      <c r="L201" s="213"/>
      <c r="M201" s="213"/>
      <c r="N201" s="213"/>
      <c r="O201" s="213"/>
      <c r="P201" s="213"/>
      <c r="Q201" s="213"/>
      <c r="R201" s="213"/>
      <c r="S201" s="213" t="s">
        <v>603</v>
      </c>
      <c r="T201" s="213"/>
      <c r="U201" s="213" t="s">
        <v>538</v>
      </c>
      <c r="V201" s="213">
        <v>2</v>
      </c>
      <c r="W201" s="213" t="s">
        <v>545</v>
      </c>
      <c r="X201" s="213" t="s">
        <v>554</v>
      </c>
      <c r="Y201" s="213" t="s">
        <v>575</v>
      </c>
      <c r="Z201" s="212">
        <v>1671878</v>
      </c>
      <c r="AA201" s="212">
        <v>66618044</v>
      </c>
      <c r="AB201" s="217">
        <v>1.4485E-2</v>
      </c>
      <c r="AC201" s="217">
        <v>2.3310999999999998E-2</v>
      </c>
      <c r="AD201" s="212">
        <f t="shared" si="3"/>
        <v>964962.36734</v>
      </c>
      <c r="AE201"/>
    </row>
    <row r="202" spans="2:31" s="66" customFormat="1" x14ac:dyDescent="0.15">
      <c r="B202" s="213">
        <v>17031004267</v>
      </c>
      <c r="C202" s="213">
        <v>17031000745</v>
      </c>
      <c r="D202" s="213">
        <v>17031000748</v>
      </c>
      <c r="E202" s="213" t="s">
        <v>533</v>
      </c>
      <c r="F202" s="213" t="s">
        <v>534</v>
      </c>
      <c r="G202" s="213" t="s">
        <v>365</v>
      </c>
      <c r="H202" s="213" t="s">
        <v>571</v>
      </c>
      <c r="I202" s="213"/>
      <c r="J202" s="213" t="s">
        <v>535</v>
      </c>
      <c r="K202" s="213"/>
      <c r="L202" s="213"/>
      <c r="M202" s="213"/>
      <c r="N202" s="213"/>
      <c r="O202" s="213"/>
      <c r="P202" s="213"/>
      <c r="Q202" s="213"/>
      <c r="R202" s="213"/>
      <c r="S202" s="213"/>
      <c r="T202" s="213"/>
      <c r="U202" s="213" t="s">
        <v>538</v>
      </c>
      <c r="V202" s="213">
        <v>1</v>
      </c>
      <c r="W202" s="213" t="s">
        <v>560</v>
      </c>
      <c r="X202" s="213" t="s">
        <v>541</v>
      </c>
      <c r="Y202" s="213" t="s">
        <v>541</v>
      </c>
      <c r="Z202" s="212">
        <v>0</v>
      </c>
      <c r="AA202" s="212">
        <v>0</v>
      </c>
      <c r="AB202" s="217">
        <v>0.17902399999999999</v>
      </c>
      <c r="AC202" s="217">
        <v>0.28811199999999998</v>
      </c>
      <c r="AD202" s="212">
        <f t="shared" si="3"/>
        <v>0</v>
      </c>
      <c r="AE202"/>
    </row>
    <row r="203" spans="2:31" s="66" customFormat="1" x14ac:dyDescent="0.15">
      <c r="B203" s="213">
        <v>17031004282</v>
      </c>
      <c r="C203" s="213">
        <v>17031000636</v>
      </c>
      <c r="D203" s="213">
        <v>17031000631</v>
      </c>
      <c r="E203" s="213" t="s">
        <v>533</v>
      </c>
      <c r="F203" s="213" t="s">
        <v>534</v>
      </c>
      <c r="G203" s="213" t="s">
        <v>365</v>
      </c>
      <c r="H203" s="213" t="s">
        <v>571</v>
      </c>
      <c r="I203" s="213"/>
      <c r="J203" s="213" t="s">
        <v>535</v>
      </c>
      <c r="K203" s="213" t="s">
        <v>552</v>
      </c>
      <c r="L203" s="213" t="s">
        <v>551</v>
      </c>
      <c r="M203" s="213" t="s">
        <v>563</v>
      </c>
      <c r="N203" s="213"/>
      <c r="O203" s="213"/>
      <c r="P203" s="213"/>
      <c r="Q203" s="213"/>
      <c r="R203" s="213"/>
      <c r="S203" s="213" t="s">
        <v>573</v>
      </c>
      <c r="T203" s="213" t="s">
        <v>612</v>
      </c>
      <c r="U203" s="213" t="s">
        <v>538</v>
      </c>
      <c r="V203" s="213">
        <v>2</v>
      </c>
      <c r="W203" s="213" t="s">
        <v>545</v>
      </c>
      <c r="X203" s="213" t="s">
        <v>554</v>
      </c>
      <c r="Y203" s="213" t="s">
        <v>546</v>
      </c>
      <c r="Z203" s="212">
        <v>59256</v>
      </c>
      <c r="AA203" s="212">
        <v>3443324</v>
      </c>
      <c r="AB203" s="217">
        <v>0.175759</v>
      </c>
      <c r="AC203" s="217">
        <v>0.282858</v>
      </c>
      <c r="AD203" s="212">
        <f t="shared" si="3"/>
        <v>605195.18291600002</v>
      </c>
      <c r="AE203"/>
    </row>
    <row r="204" spans="2:31" s="66" customFormat="1" x14ac:dyDescent="0.15">
      <c r="B204" s="213">
        <v>17031004508</v>
      </c>
      <c r="C204" s="213">
        <v>17031000712</v>
      </c>
      <c r="D204" s="213">
        <v>17031000701</v>
      </c>
      <c r="E204" s="213" t="s">
        <v>533</v>
      </c>
      <c r="F204" s="213" t="s">
        <v>534</v>
      </c>
      <c r="G204" s="213" t="s">
        <v>365</v>
      </c>
      <c r="H204" s="213" t="s">
        <v>381</v>
      </c>
      <c r="I204" s="213"/>
      <c r="J204" s="213"/>
      <c r="K204" s="213"/>
      <c r="L204" s="213"/>
      <c r="M204" s="213"/>
      <c r="N204" s="213"/>
      <c r="O204" s="213"/>
      <c r="P204" s="213"/>
      <c r="Q204" s="213"/>
      <c r="R204" s="213"/>
      <c r="S204" s="213"/>
      <c r="T204" s="213"/>
      <c r="U204" s="213" t="s">
        <v>559</v>
      </c>
      <c r="V204" s="213">
        <v>1</v>
      </c>
      <c r="W204" s="213" t="s">
        <v>560</v>
      </c>
      <c r="X204" s="213" t="s">
        <v>541</v>
      </c>
      <c r="Y204" s="213" t="s">
        <v>541</v>
      </c>
      <c r="Z204" s="212">
        <v>0</v>
      </c>
      <c r="AA204" s="212">
        <v>0</v>
      </c>
      <c r="AB204" s="217">
        <v>0.35751100000000002</v>
      </c>
      <c r="AC204" s="217">
        <v>0.57535899999999995</v>
      </c>
      <c r="AD204" s="212">
        <f t="shared" si="3"/>
        <v>0</v>
      </c>
      <c r="AE204"/>
    </row>
    <row r="205" spans="2:31" s="66" customFormat="1" x14ac:dyDescent="0.15">
      <c r="B205" s="213">
        <v>17031004540</v>
      </c>
      <c r="C205" s="213">
        <v>17031001376</v>
      </c>
      <c r="D205" s="213">
        <v>17031001374</v>
      </c>
      <c r="E205" s="213" t="s">
        <v>533</v>
      </c>
      <c r="F205" s="213" t="s">
        <v>534</v>
      </c>
      <c r="G205" s="213" t="s">
        <v>365</v>
      </c>
      <c r="H205" s="213" t="s">
        <v>382</v>
      </c>
      <c r="I205" s="213"/>
      <c r="J205" s="213" t="s">
        <v>542</v>
      </c>
      <c r="K205" s="213" t="s">
        <v>551</v>
      </c>
      <c r="L205" s="213" t="s">
        <v>555</v>
      </c>
      <c r="M205" s="213" t="s">
        <v>552</v>
      </c>
      <c r="N205" s="213"/>
      <c r="O205" s="213"/>
      <c r="P205" s="213"/>
      <c r="Q205" s="213"/>
      <c r="R205" s="213"/>
      <c r="S205" s="213" t="s">
        <v>556</v>
      </c>
      <c r="T205" s="213"/>
      <c r="U205" s="213" t="s">
        <v>538</v>
      </c>
      <c r="V205" s="213">
        <v>2</v>
      </c>
      <c r="W205" s="213" t="s">
        <v>545</v>
      </c>
      <c r="X205" s="213" t="s">
        <v>540</v>
      </c>
      <c r="Y205" s="213" t="s">
        <v>540</v>
      </c>
      <c r="Z205" s="212">
        <v>53566</v>
      </c>
      <c r="AA205" s="212">
        <v>2591704</v>
      </c>
      <c r="AB205" s="217">
        <v>4.9706E-2</v>
      </c>
      <c r="AC205" s="217">
        <v>7.9993999999999996E-2</v>
      </c>
      <c r="AD205" s="212">
        <f t="shared" si="3"/>
        <v>128823.23902399999</v>
      </c>
      <c r="AE205"/>
    </row>
    <row r="206" spans="2:31" s="66" customFormat="1" x14ac:dyDescent="0.15">
      <c r="B206" s="213">
        <v>17031004675</v>
      </c>
      <c r="C206" s="213">
        <v>17031001143</v>
      </c>
      <c r="D206" s="213">
        <v>17031001134</v>
      </c>
      <c r="E206" s="213" t="s">
        <v>533</v>
      </c>
      <c r="F206" s="213" t="s">
        <v>534</v>
      </c>
      <c r="G206" s="213" t="s">
        <v>365</v>
      </c>
      <c r="H206" s="213" t="s">
        <v>543</v>
      </c>
      <c r="I206" s="213"/>
      <c r="J206" s="213" t="s">
        <v>577</v>
      </c>
      <c r="K206" s="213"/>
      <c r="L206" s="213"/>
      <c r="M206" s="213"/>
      <c r="N206" s="213"/>
      <c r="O206" s="213"/>
      <c r="P206" s="213"/>
      <c r="Q206" s="213"/>
      <c r="R206" s="213"/>
      <c r="S206" s="213" t="s">
        <v>656</v>
      </c>
      <c r="T206" s="213" t="s">
        <v>657</v>
      </c>
      <c r="U206" s="213" t="s">
        <v>559</v>
      </c>
      <c r="V206" s="213">
        <v>1</v>
      </c>
      <c r="W206" s="213" t="s">
        <v>560</v>
      </c>
      <c r="X206" s="213" t="s">
        <v>541</v>
      </c>
      <c r="Y206" s="213" t="s">
        <v>541</v>
      </c>
      <c r="Z206" s="212">
        <v>0</v>
      </c>
      <c r="AA206" s="212">
        <v>0</v>
      </c>
      <c r="AB206" s="217">
        <v>0.30999599999999999</v>
      </c>
      <c r="AC206" s="217">
        <v>0.49889099999999997</v>
      </c>
      <c r="AD206" s="212">
        <f t="shared" si="3"/>
        <v>0</v>
      </c>
      <c r="AE206"/>
    </row>
    <row r="207" spans="2:31" s="66" customFormat="1" x14ac:dyDescent="0.15">
      <c r="B207" s="213">
        <v>17031004679</v>
      </c>
      <c r="C207" s="213">
        <v>17031001208</v>
      </c>
      <c r="D207" s="213">
        <v>17031001172</v>
      </c>
      <c r="E207" s="213" t="s">
        <v>533</v>
      </c>
      <c r="F207" s="213" t="s">
        <v>534</v>
      </c>
      <c r="G207" s="213" t="s">
        <v>365</v>
      </c>
      <c r="H207" s="213" t="s">
        <v>627</v>
      </c>
      <c r="I207" s="213"/>
      <c r="J207" s="213"/>
      <c r="K207" s="213"/>
      <c r="L207" s="213"/>
      <c r="M207" s="213"/>
      <c r="N207" s="213"/>
      <c r="O207" s="213"/>
      <c r="P207" s="213"/>
      <c r="Q207" s="213"/>
      <c r="R207" s="213"/>
      <c r="S207" s="213"/>
      <c r="T207" s="213"/>
      <c r="U207" s="213" t="s">
        <v>538</v>
      </c>
      <c r="V207" s="213">
        <v>1</v>
      </c>
      <c r="W207" s="213" t="s">
        <v>545</v>
      </c>
      <c r="X207" s="213" t="s">
        <v>554</v>
      </c>
      <c r="Y207" s="213" t="s">
        <v>541</v>
      </c>
      <c r="Z207" s="212">
        <v>0</v>
      </c>
      <c r="AA207" s="212">
        <v>0</v>
      </c>
      <c r="AB207" s="217">
        <v>5.9547999999999997E-2</v>
      </c>
      <c r="AC207" s="217">
        <v>9.5834000000000003E-2</v>
      </c>
      <c r="AD207" s="212">
        <f t="shared" si="3"/>
        <v>0</v>
      </c>
      <c r="AE207"/>
    </row>
    <row r="208" spans="2:31" s="66" customFormat="1" x14ac:dyDescent="0.15">
      <c r="B208" s="213">
        <v>17031004836</v>
      </c>
      <c r="C208" s="213">
        <v>17031001199</v>
      </c>
      <c r="D208" s="213">
        <v>17031001213</v>
      </c>
      <c r="E208" s="213" t="s">
        <v>533</v>
      </c>
      <c r="F208" s="213" t="s">
        <v>534</v>
      </c>
      <c r="G208" s="213" t="s">
        <v>365</v>
      </c>
      <c r="H208" s="213" t="s">
        <v>577</v>
      </c>
      <c r="I208" s="213"/>
      <c r="J208" s="213"/>
      <c r="K208" s="213"/>
      <c r="L208" s="213"/>
      <c r="M208" s="213"/>
      <c r="N208" s="213"/>
      <c r="O208" s="213"/>
      <c r="P208" s="213"/>
      <c r="Q208" s="213"/>
      <c r="R208" s="213"/>
      <c r="S208" s="213"/>
      <c r="T208" s="213"/>
      <c r="U208" s="213" t="s">
        <v>559</v>
      </c>
      <c r="V208" s="213">
        <v>1</v>
      </c>
      <c r="W208" s="213" t="s">
        <v>560</v>
      </c>
      <c r="X208" s="213" t="s">
        <v>541</v>
      </c>
      <c r="Y208" s="213" t="s">
        <v>541</v>
      </c>
      <c r="Z208" s="212">
        <v>0</v>
      </c>
      <c r="AA208" s="212">
        <v>0</v>
      </c>
      <c r="AB208" s="217">
        <v>0.42548399999999997</v>
      </c>
      <c r="AC208" s="217">
        <v>0.684751</v>
      </c>
      <c r="AD208" s="212">
        <f t="shared" si="3"/>
        <v>0</v>
      </c>
      <c r="AE208"/>
    </row>
    <row r="209" spans="1:31" s="66" customFormat="1" x14ac:dyDescent="0.15">
      <c r="B209" s="213">
        <v>17031004883</v>
      </c>
      <c r="C209" s="213">
        <v>17031001253</v>
      </c>
      <c r="D209" s="213">
        <v>17031001257</v>
      </c>
      <c r="E209" s="213" t="s">
        <v>533</v>
      </c>
      <c r="F209" s="213" t="s">
        <v>534</v>
      </c>
      <c r="G209" s="213" t="s">
        <v>365</v>
      </c>
      <c r="H209" s="213" t="s">
        <v>613</v>
      </c>
      <c r="I209" s="213"/>
      <c r="J209" s="213" t="s">
        <v>577</v>
      </c>
      <c r="K209" s="213" t="s">
        <v>572</v>
      </c>
      <c r="L209" s="213"/>
      <c r="M209" s="213"/>
      <c r="N209" s="213"/>
      <c r="O209" s="213"/>
      <c r="P209" s="213"/>
      <c r="Q209" s="213"/>
      <c r="R209" s="213"/>
      <c r="S209" s="213"/>
      <c r="T209" s="213"/>
      <c r="U209" s="213" t="s">
        <v>559</v>
      </c>
      <c r="V209" s="213">
        <v>1</v>
      </c>
      <c r="W209" s="213" t="s">
        <v>560</v>
      </c>
      <c r="X209" s="213" t="s">
        <v>541</v>
      </c>
      <c r="Y209" s="213" t="s">
        <v>541</v>
      </c>
      <c r="Z209" s="212">
        <v>0</v>
      </c>
      <c r="AA209" s="212">
        <v>0</v>
      </c>
      <c r="AB209" s="217">
        <v>9.9544999999999995E-2</v>
      </c>
      <c r="AC209" s="217">
        <v>0.16020200000000001</v>
      </c>
      <c r="AD209" s="212">
        <f t="shared" si="3"/>
        <v>0</v>
      </c>
      <c r="AE209"/>
    </row>
    <row r="210" spans="1:31" s="66" customFormat="1" x14ac:dyDescent="0.15">
      <c r="B210" s="213">
        <v>17031004887</v>
      </c>
      <c r="C210" s="213">
        <v>17031001285</v>
      </c>
      <c r="D210" s="213">
        <v>17031001313</v>
      </c>
      <c r="E210" s="213" t="s">
        <v>533</v>
      </c>
      <c r="F210" s="213" t="s">
        <v>534</v>
      </c>
      <c r="G210" s="213" t="s">
        <v>365</v>
      </c>
      <c r="H210" s="213" t="s">
        <v>551</v>
      </c>
      <c r="I210" s="213"/>
      <c r="J210" s="213"/>
      <c r="K210" s="213"/>
      <c r="L210" s="213"/>
      <c r="M210" s="213"/>
      <c r="N210" s="213"/>
      <c r="O210" s="213"/>
      <c r="P210" s="213"/>
      <c r="Q210" s="213"/>
      <c r="R210" s="213"/>
      <c r="S210" s="213" t="s">
        <v>614</v>
      </c>
      <c r="T210" s="213"/>
      <c r="U210" s="213" t="s">
        <v>559</v>
      </c>
      <c r="V210" s="213">
        <v>1</v>
      </c>
      <c r="W210" s="213" t="s">
        <v>560</v>
      </c>
      <c r="X210" s="213" t="s">
        <v>541</v>
      </c>
      <c r="Y210" s="213" t="s">
        <v>541</v>
      </c>
      <c r="Z210" s="212">
        <v>0</v>
      </c>
      <c r="AA210" s="212">
        <v>0</v>
      </c>
      <c r="AB210" s="217">
        <v>0.71516400000000002</v>
      </c>
      <c r="AC210" s="217">
        <v>1.1509469999999999</v>
      </c>
      <c r="AD210" s="212">
        <f t="shared" si="3"/>
        <v>0</v>
      </c>
      <c r="AE210"/>
    </row>
    <row r="211" spans="1:31" s="66" customFormat="1" x14ac:dyDescent="0.15">
      <c r="B211" s="213">
        <v>17031004989</v>
      </c>
      <c r="C211" s="213">
        <v>17031001393</v>
      </c>
      <c r="D211" s="213">
        <v>17031001386</v>
      </c>
      <c r="E211" s="213" t="s">
        <v>533</v>
      </c>
      <c r="F211" s="213" t="s">
        <v>534</v>
      </c>
      <c r="G211" s="213" t="s">
        <v>365</v>
      </c>
      <c r="H211" s="213" t="s">
        <v>551</v>
      </c>
      <c r="I211" s="213"/>
      <c r="J211" s="213" t="s">
        <v>557</v>
      </c>
      <c r="K211" s="213"/>
      <c r="L211" s="213"/>
      <c r="M211" s="213"/>
      <c r="N211" s="213"/>
      <c r="O211" s="213"/>
      <c r="P211" s="213"/>
      <c r="Q211" s="213"/>
      <c r="R211" s="213"/>
      <c r="S211" s="213" t="s">
        <v>603</v>
      </c>
      <c r="T211" s="213"/>
      <c r="U211" s="213" t="s">
        <v>538</v>
      </c>
      <c r="V211" s="213">
        <v>1</v>
      </c>
      <c r="W211" s="213" t="s">
        <v>545</v>
      </c>
      <c r="X211" s="213" t="s">
        <v>554</v>
      </c>
      <c r="Y211" s="213" t="s">
        <v>575</v>
      </c>
      <c r="Z211" s="212">
        <v>0</v>
      </c>
      <c r="AA211" s="212">
        <v>0</v>
      </c>
      <c r="AB211" s="217">
        <v>0.10864</v>
      </c>
      <c r="AC211" s="217">
        <v>0.17484</v>
      </c>
      <c r="AD211" s="212">
        <f t="shared" si="3"/>
        <v>0</v>
      </c>
      <c r="AE211"/>
    </row>
    <row r="212" spans="1:31" s="66" customFormat="1" x14ac:dyDescent="0.15">
      <c r="B212" s="213">
        <v>17031005057</v>
      </c>
      <c r="C212" s="213">
        <v>17031001551</v>
      </c>
      <c r="D212" s="213">
        <v>17031001547</v>
      </c>
      <c r="E212" s="213" t="s">
        <v>533</v>
      </c>
      <c r="F212" s="213" t="s">
        <v>534</v>
      </c>
      <c r="G212" s="213" t="s">
        <v>365</v>
      </c>
      <c r="H212" s="213" t="s">
        <v>382</v>
      </c>
      <c r="I212" s="213"/>
      <c r="J212" s="213"/>
      <c r="K212" s="213"/>
      <c r="L212" s="213"/>
      <c r="M212" s="213"/>
      <c r="N212" s="213"/>
      <c r="O212" s="213"/>
      <c r="P212" s="213"/>
      <c r="Q212" s="213"/>
      <c r="R212" s="213"/>
      <c r="S212" s="213" t="s">
        <v>576</v>
      </c>
      <c r="T212" s="213"/>
      <c r="U212" s="213" t="s">
        <v>559</v>
      </c>
      <c r="V212" s="213">
        <v>1</v>
      </c>
      <c r="W212" s="213" t="s">
        <v>560</v>
      </c>
      <c r="X212" s="213" t="s">
        <v>541</v>
      </c>
      <c r="Y212" s="213" t="s">
        <v>541</v>
      </c>
      <c r="Z212" s="212">
        <v>0</v>
      </c>
      <c r="AA212" s="212">
        <v>0</v>
      </c>
      <c r="AB212" s="217">
        <v>6.3673999999999994E-2</v>
      </c>
      <c r="AC212" s="217">
        <v>0.102474</v>
      </c>
      <c r="AD212" s="212">
        <f t="shared" si="3"/>
        <v>0</v>
      </c>
      <c r="AE212"/>
    </row>
    <row r="213" spans="1:31" s="66" customFormat="1" x14ac:dyDescent="0.15">
      <c r="B213" s="213">
        <v>17031005080</v>
      </c>
      <c r="C213" s="213">
        <v>17031001324</v>
      </c>
      <c r="D213" s="213">
        <v>17031001346</v>
      </c>
      <c r="E213" s="213" t="s">
        <v>533</v>
      </c>
      <c r="F213" s="213" t="s">
        <v>534</v>
      </c>
      <c r="G213" s="213" t="s">
        <v>365</v>
      </c>
      <c r="H213" s="213" t="s">
        <v>543</v>
      </c>
      <c r="I213" s="213"/>
      <c r="J213" s="213"/>
      <c r="K213" s="213"/>
      <c r="L213" s="213"/>
      <c r="M213" s="213"/>
      <c r="N213" s="213"/>
      <c r="O213" s="213"/>
      <c r="P213" s="213"/>
      <c r="Q213" s="213"/>
      <c r="R213" s="213"/>
      <c r="S213" s="213"/>
      <c r="T213" s="213" t="s">
        <v>669</v>
      </c>
      <c r="U213" s="213" t="s">
        <v>559</v>
      </c>
      <c r="V213" s="213">
        <v>1</v>
      </c>
      <c r="W213" s="213" t="s">
        <v>560</v>
      </c>
      <c r="X213" s="213" t="s">
        <v>541</v>
      </c>
      <c r="Y213" s="213" t="s">
        <v>541</v>
      </c>
      <c r="Z213" s="212">
        <v>0</v>
      </c>
      <c r="AA213" s="212">
        <v>0</v>
      </c>
      <c r="AB213" s="217">
        <v>7.7465999999999993E-2</v>
      </c>
      <c r="AC213" s="217">
        <v>0.124669</v>
      </c>
      <c r="AD213" s="212">
        <f t="shared" si="3"/>
        <v>0</v>
      </c>
      <c r="AE213"/>
    </row>
    <row r="214" spans="1:31" s="66" customFormat="1" x14ac:dyDescent="0.15">
      <c r="B214" s="213">
        <v>17031005159</v>
      </c>
      <c r="C214" s="213">
        <v>17031000585</v>
      </c>
      <c r="D214" s="213">
        <v>17031004742</v>
      </c>
      <c r="E214" s="213" t="s">
        <v>533</v>
      </c>
      <c r="F214" s="213" t="s">
        <v>534</v>
      </c>
      <c r="G214" s="213" t="s">
        <v>365</v>
      </c>
      <c r="H214" s="213" t="s">
        <v>547</v>
      </c>
      <c r="I214" s="213"/>
      <c r="J214" s="213" t="s">
        <v>627</v>
      </c>
      <c r="K214" s="213"/>
      <c r="L214" s="213"/>
      <c r="M214" s="213"/>
      <c r="N214" s="213"/>
      <c r="O214" s="213"/>
      <c r="P214" s="213"/>
      <c r="Q214" s="213"/>
      <c r="R214" s="213"/>
      <c r="S214" s="213"/>
      <c r="T214" s="213"/>
      <c r="U214" s="213" t="s">
        <v>538</v>
      </c>
      <c r="V214" s="213">
        <v>4</v>
      </c>
      <c r="W214" s="213" t="s">
        <v>545</v>
      </c>
      <c r="X214" s="213" t="s">
        <v>554</v>
      </c>
      <c r="Y214" s="213" t="s">
        <v>541</v>
      </c>
      <c r="Z214" s="212">
        <v>0</v>
      </c>
      <c r="AA214" s="212">
        <v>0</v>
      </c>
      <c r="AB214" s="217">
        <v>0.66449000000000003</v>
      </c>
      <c r="AC214" s="217">
        <v>1.0693950000000001</v>
      </c>
      <c r="AD214" s="212">
        <f t="shared" si="3"/>
        <v>0</v>
      </c>
      <c r="AE214"/>
    </row>
    <row r="215" spans="1:31" x14ac:dyDescent="0.15">
      <c r="A215" s="66"/>
      <c r="B215" s="213">
        <v>17031005307</v>
      </c>
      <c r="C215" s="213">
        <v>17031001381</v>
      </c>
      <c r="D215" s="213">
        <v>17031001393</v>
      </c>
      <c r="E215" s="213" t="s">
        <v>533</v>
      </c>
      <c r="F215" s="213" t="s">
        <v>534</v>
      </c>
      <c r="G215" s="213" t="s">
        <v>365</v>
      </c>
      <c r="H215" s="213" t="s">
        <v>543</v>
      </c>
      <c r="I215" s="213"/>
      <c r="J215" s="213" t="s">
        <v>557</v>
      </c>
      <c r="K215" s="213"/>
      <c r="L215" s="213"/>
      <c r="M215" s="213"/>
      <c r="N215" s="213"/>
      <c r="O215" s="213"/>
      <c r="P215" s="213"/>
      <c r="Q215" s="213"/>
      <c r="R215" s="213"/>
      <c r="S215" s="213" t="s">
        <v>558</v>
      </c>
      <c r="T215" s="213"/>
      <c r="U215" s="213" t="s">
        <v>559</v>
      </c>
      <c r="V215" s="213">
        <v>1</v>
      </c>
      <c r="W215" s="213" t="s">
        <v>560</v>
      </c>
      <c r="X215" s="213" t="s">
        <v>541</v>
      </c>
      <c r="Y215" s="213" t="s">
        <v>541</v>
      </c>
      <c r="Z215" s="212">
        <v>0</v>
      </c>
      <c r="AA215" s="212">
        <v>0</v>
      </c>
      <c r="AB215" s="217">
        <v>0.13320399999999999</v>
      </c>
      <c r="AC215" s="217">
        <v>0.21437100000000001</v>
      </c>
      <c r="AD215" s="212">
        <f t="shared" si="3"/>
        <v>0</v>
      </c>
    </row>
    <row r="216" spans="1:31" x14ac:dyDescent="0.15">
      <c r="A216" s="66"/>
      <c r="B216" s="213">
        <v>17031005311</v>
      </c>
      <c r="C216" s="213">
        <v>17031001516</v>
      </c>
      <c r="D216" s="213">
        <v>17031001518</v>
      </c>
      <c r="E216" s="213" t="s">
        <v>533</v>
      </c>
      <c r="F216" s="213" t="s">
        <v>534</v>
      </c>
      <c r="G216" s="213" t="s">
        <v>365</v>
      </c>
      <c r="H216" s="213" t="s">
        <v>382</v>
      </c>
      <c r="I216" s="213"/>
      <c r="J216" s="213"/>
      <c r="K216" s="213"/>
      <c r="L216" s="213"/>
      <c r="M216" s="213"/>
      <c r="N216" s="213"/>
      <c r="O216" s="213"/>
      <c r="P216" s="213"/>
      <c r="Q216" s="213"/>
      <c r="R216" s="213"/>
      <c r="S216" s="213" t="s">
        <v>576</v>
      </c>
      <c r="T216" s="213"/>
      <c r="U216" s="213" t="s">
        <v>559</v>
      </c>
      <c r="V216" s="213">
        <v>1</v>
      </c>
      <c r="W216" s="213" t="s">
        <v>560</v>
      </c>
      <c r="X216" s="213" t="s">
        <v>541</v>
      </c>
      <c r="Y216" s="213" t="s">
        <v>541</v>
      </c>
      <c r="Z216" s="212">
        <v>0</v>
      </c>
      <c r="AA216" s="212">
        <v>0</v>
      </c>
      <c r="AB216" s="217">
        <v>0.144812</v>
      </c>
      <c r="AC216" s="217">
        <v>0.23305200000000001</v>
      </c>
      <c r="AD216" s="212">
        <f t="shared" si="3"/>
        <v>0</v>
      </c>
    </row>
    <row r="217" spans="1:31" x14ac:dyDescent="0.15">
      <c r="A217" s="66"/>
      <c r="B217" s="213">
        <v>17031005330</v>
      </c>
      <c r="C217" s="213">
        <v>17031001547</v>
      </c>
      <c r="D217" s="213">
        <v>17031001548</v>
      </c>
      <c r="E217" s="213" t="s">
        <v>533</v>
      </c>
      <c r="F217" s="213" t="s">
        <v>534</v>
      </c>
      <c r="G217" s="213" t="s">
        <v>365</v>
      </c>
      <c r="H217" s="213" t="s">
        <v>382</v>
      </c>
      <c r="I217" s="213"/>
      <c r="J217" s="213"/>
      <c r="K217" s="213"/>
      <c r="L217" s="213"/>
      <c r="M217" s="213"/>
      <c r="N217" s="213"/>
      <c r="O217" s="213"/>
      <c r="P217" s="213"/>
      <c r="Q217" s="213"/>
      <c r="R217" s="213"/>
      <c r="S217" s="213" t="s">
        <v>576</v>
      </c>
      <c r="T217" s="213"/>
      <c r="U217" s="213" t="s">
        <v>559</v>
      </c>
      <c r="V217" s="213">
        <v>1</v>
      </c>
      <c r="W217" s="213" t="s">
        <v>560</v>
      </c>
      <c r="X217" s="213" t="s">
        <v>541</v>
      </c>
      <c r="Y217" s="213" t="s">
        <v>541</v>
      </c>
      <c r="Z217" s="212">
        <v>0</v>
      </c>
      <c r="AA217" s="212">
        <v>0</v>
      </c>
      <c r="AB217" s="217">
        <v>0.195934</v>
      </c>
      <c r="AC217" s="217">
        <v>0.315326</v>
      </c>
      <c r="AD217" s="212">
        <f t="shared" si="3"/>
        <v>0</v>
      </c>
    </row>
    <row r="218" spans="1:31" x14ac:dyDescent="0.15">
      <c r="A218" s="66"/>
      <c r="B218" s="213">
        <v>17031005338</v>
      </c>
      <c r="C218" s="213">
        <v>17031000327</v>
      </c>
      <c r="D218" s="213">
        <v>17031000325</v>
      </c>
      <c r="E218" s="213" t="s">
        <v>533</v>
      </c>
      <c r="F218" s="213" t="s">
        <v>534</v>
      </c>
      <c r="G218" s="213" t="s">
        <v>365</v>
      </c>
      <c r="H218" s="213" t="s">
        <v>590</v>
      </c>
      <c r="I218" s="213"/>
      <c r="J218" s="213"/>
      <c r="K218" s="213"/>
      <c r="L218" s="213"/>
      <c r="M218" s="213"/>
      <c r="N218" s="213"/>
      <c r="O218" s="213"/>
      <c r="P218" s="213"/>
      <c r="Q218" s="213"/>
      <c r="R218" s="213"/>
      <c r="S218" s="213"/>
      <c r="T218" s="213"/>
      <c r="U218" s="213" t="s">
        <v>559</v>
      </c>
      <c r="V218" s="213">
        <v>1</v>
      </c>
      <c r="W218" s="213" t="s">
        <v>560</v>
      </c>
      <c r="X218" s="213" t="s">
        <v>541</v>
      </c>
      <c r="Y218" s="213" t="s">
        <v>541</v>
      </c>
      <c r="Z218" s="212">
        <v>0</v>
      </c>
      <c r="AA218" s="212">
        <v>0</v>
      </c>
      <c r="AB218" s="217">
        <v>6.4187999999999995E-2</v>
      </c>
      <c r="AC218" s="217">
        <v>0.1033</v>
      </c>
      <c r="AD218" s="212">
        <f t="shared" si="3"/>
        <v>0</v>
      </c>
    </row>
    <row r="219" spans="1:31" x14ac:dyDescent="0.15">
      <c r="A219" s="66"/>
      <c r="B219" s="213">
        <v>17031005363</v>
      </c>
      <c r="C219" s="213">
        <v>17031001380</v>
      </c>
      <c r="D219" s="213">
        <v>17031001387</v>
      </c>
      <c r="E219" s="213" t="s">
        <v>533</v>
      </c>
      <c r="F219" s="213" t="s">
        <v>534</v>
      </c>
      <c r="G219" s="213" t="s">
        <v>365</v>
      </c>
      <c r="H219" s="213" t="s">
        <v>557</v>
      </c>
      <c r="I219" s="213"/>
      <c r="J219" s="213"/>
      <c r="K219" s="213"/>
      <c r="L219" s="213"/>
      <c r="M219" s="213"/>
      <c r="N219" s="213"/>
      <c r="O219" s="213"/>
      <c r="P219" s="213"/>
      <c r="Q219" s="213"/>
      <c r="R219" s="213"/>
      <c r="S219" s="213" t="s">
        <v>567</v>
      </c>
      <c r="T219" s="213"/>
      <c r="U219" s="213" t="s">
        <v>559</v>
      </c>
      <c r="V219" s="213">
        <v>1</v>
      </c>
      <c r="W219" s="213" t="s">
        <v>560</v>
      </c>
      <c r="X219" s="213" t="s">
        <v>541</v>
      </c>
      <c r="Y219" s="213" t="s">
        <v>541</v>
      </c>
      <c r="Z219" s="212">
        <v>280</v>
      </c>
      <c r="AA219" s="212">
        <v>28520</v>
      </c>
      <c r="AB219" s="217">
        <v>0.23732200000000001</v>
      </c>
      <c r="AC219" s="217">
        <v>0.381934</v>
      </c>
      <c r="AD219" s="212">
        <f t="shared" si="3"/>
        <v>6768.4234400000005</v>
      </c>
    </row>
    <row r="220" spans="1:31" x14ac:dyDescent="0.15">
      <c r="A220" s="66"/>
      <c r="B220" s="213">
        <v>17031005364</v>
      </c>
      <c r="C220" s="213">
        <v>17031001141</v>
      </c>
      <c r="D220" s="213">
        <v>17031001184</v>
      </c>
      <c r="E220" s="213" t="s">
        <v>533</v>
      </c>
      <c r="F220" s="213" t="s">
        <v>534</v>
      </c>
      <c r="G220" s="213" t="s">
        <v>365</v>
      </c>
      <c r="H220" s="213" t="s">
        <v>543</v>
      </c>
      <c r="I220" s="213"/>
      <c r="J220" s="213"/>
      <c r="K220" s="213"/>
      <c r="L220" s="213"/>
      <c r="M220" s="213"/>
      <c r="N220" s="213"/>
      <c r="O220" s="213"/>
      <c r="P220" s="213"/>
      <c r="Q220" s="213"/>
      <c r="R220" s="213"/>
      <c r="S220" s="213" t="s">
        <v>604</v>
      </c>
      <c r="T220" s="213" t="s">
        <v>623</v>
      </c>
      <c r="U220" s="213" t="s">
        <v>538</v>
      </c>
      <c r="V220" s="213">
        <v>1</v>
      </c>
      <c r="W220" s="213" t="s">
        <v>545</v>
      </c>
      <c r="X220" s="213" t="s">
        <v>554</v>
      </c>
      <c r="Y220" s="213" t="s">
        <v>546</v>
      </c>
      <c r="Z220" s="212">
        <v>6400</v>
      </c>
      <c r="AA220" s="212">
        <v>597639</v>
      </c>
      <c r="AB220" s="217">
        <v>1.1110949999999999</v>
      </c>
      <c r="AC220" s="217">
        <v>1.788138</v>
      </c>
      <c r="AD220" s="212">
        <f t="shared" si="3"/>
        <v>664033.70470499992</v>
      </c>
    </row>
    <row r="221" spans="1:31" x14ac:dyDescent="0.15">
      <c r="A221" s="66"/>
      <c r="B221" s="213">
        <v>17031005370</v>
      </c>
      <c r="C221" s="213">
        <v>17031001154</v>
      </c>
      <c r="D221" s="213">
        <v>17031004727</v>
      </c>
      <c r="E221" s="213" t="s">
        <v>533</v>
      </c>
      <c r="F221" s="213" t="s">
        <v>534</v>
      </c>
      <c r="G221" s="213" t="s">
        <v>365</v>
      </c>
      <c r="H221" s="213" t="s">
        <v>557</v>
      </c>
      <c r="I221" s="213"/>
      <c r="J221" s="213" t="s">
        <v>381</v>
      </c>
      <c r="K221" s="213" t="s">
        <v>535</v>
      </c>
      <c r="L221" s="213" t="s">
        <v>552</v>
      </c>
      <c r="M221" s="213" t="s">
        <v>551</v>
      </c>
      <c r="N221" s="213" t="s">
        <v>543</v>
      </c>
      <c r="O221" s="213" t="s">
        <v>382</v>
      </c>
      <c r="P221" s="213"/>
      <c r="Q221" s="213"/>
      <c r="R221" s="213"/>
      <c r="S221" s="213" t="s">
        <v>570</v>
      </c>
      <c r="T221" s="213"/>
      <c r="U221" s="213" t="s">
        <v>538</v>
      </c>
      <c r="V221" s="213">
        <v>2</v>
      </c>
      <c r="W221" s="213" t="s">
        <v>545</v>
      </c>
      <c r="X221" s="213" t="s">
        <v>540</v>
      </c>
      <c r="Y221" s="213" t="s">
        <v>575</v>
      </c>
      <c r="Z221" s="212">
        <v>1939103</v>
      </c>
      <c r="AA221" s="212">
        <v>84419739</v>
      </c>
      <c r="AB221" s="217">
        <v>0.31860899999999998</v>
      </c>
      <c r="AC221" s="217">
        <v>0.51275300000000001</v>
      </c>
      <c r="AD221" s="212">
        <f t="shared" si="3"/>
        <v>26896888.623050999</v>
      </c>
    </row>
    <row r="222" spans="1:31" x14ac:dyDescent="0.15">
      <c r="A222" s="66"/>
      <c r="B222" s="213">
        <v>17031005454</v>
      </c>
      <c r="C222" s="213">
        <v>17031007811</v>
      </c>
      <c r="D222" s="213">
        <v>17031007812</v>
      </c>
      <c r="E222" s="213" t="s">
        <v>533</v>
      </c>
      <c r="F222" s="213" t="s">
        <v>534</v>
      </c>
      <c r="G222" s="213" t="s">
        <v>365</v>
      </c>
      <c r="H222" s="213" t="s">
        <v>613</v>
      </c>
      <c r="I222" s="213"/>
      <c r="J222" s="213" t="s">
        <v>577</v>
      </c>
      <c r="K222" s="213" t="s">
        <v>572</v>
      </c>
      <c r="L222" s="213"/>
      <c r="M222" s="213"/>
      <c r="N222" s="213"/>
      <c r="O222" s="213"/>
      <c r="P222" s="213"/>
      <c r="Q222" s="213"/>
      <c r="R222" s="213"/>
      <c r="S222" s="213"/>
      <c r="T222" s="213"/>
      <c r="U222" s="213" t="s">
        <v>559</v>
      </c>
      <c r="V222" s="213">
        <v>1</v>
      </c>
      <c r="W222" s="213" t="s">
        <v>560</v>
      </c>
      <c r="X222" s="213" t="s">
        <v>541</v>
      </c>
      <c r="Y222" s="213" t="s">
        <v>541</v>
      </c>
      <c r="Z222" s="212">
        <v>0</v>
      </c>
      <c r="AA222" s="212">
        <v>0</v>
      </c>
      <c r="AB222" s="217">
        <v>0.415103</v>
      </c>
      <c r="AC222" s="217">
        <v>0.668045</v>
      </c>
      <c r="AD222" s="212">
        <f t="shared" si="3"/>
        <v>0</v>
      </c>
    </row>
    <row r="223" spans="1:31" x14ac:dyDescent="0.15">
      <c r="A223" s="66"/>
      <c r="B223" s="213">
        <v>17031005469</v>
      </c>
      <c r="C223" s="213">
        <v>17031000981</v>
      </c>
      <c r="D223" s="213">
        <v>17031000969</v>
      </c>
      <c r="E223" s="213" t="s">
        <v>533</v>
      </c>
      <c r="F223" s="213" t="s">
        <v>534</v>
      </c>
      <c r="G223" s="213" t="s">
        <v>365</v>
      </c>
      <c r="H223" s="213" t="s">
        <v>571</v>
      </c>
      <c r="I223" s="213"/>
      <c r="J223" s="213" t="s">
        <v>381</v>
      </c>
      <c r="K223" s="213" t="s">
        <v>535</v>
      </c>
      <c r="L223" s="213" t="s">
        <v>552</v>
      </c>
      <c r="M223" s="213" t="s">
        <v>572</v>
      </c>
      <c r="N223" s="213" t="s">
        <v>551</v>
      </c>
      <c r="O223" s="213" t="s">
        <v>555</v>
      </c>
      <c r="P223" s="213" t="s">
        <v>543</v>
      </c>
      <c r="Q223" s="213" t="s">
        <v>382</v>
      </c>
      <c r="R223" s="213" t="s">
        <v>563</v>
      </c>
      <c r="S223" s="213" t="s">
        <v>605</v>
      </c>
      <c r="T223" s="213" t="s">
        <v>574</v>
      </c>
      <c r="U223" s="213" t="s">
        <v>538</v>
      </c>
      <c r="V223" s="213">
        <v>2</v>
      </c>
      <c r="W223" s="213" t="s">
        <v>545</v>
      </c>
      <c r="X223" s="213" t="s">
        <v>554</v>
      </c>
      <c r="Y223" s="213" t="s">
        <v>575</v>
      </c>
      <c r="Z223" s="212">
        <v>344239</v>
      </c>
      <c r="AA223" s="212">
        <v>17727348</v>
      </c>
      <c r="AB223" s="217">
        <v>0.67534899999999998</v>
      </c>
      <c r="AC223" s="217">
        <v>1.0868720000000001</v>
      </c>
      <c r="AD223" s="212">
        <f t="shared" si="3"/>
        <v>11972146.744452</v>
      </c>
    </row>
    <row r="224" spans="1:31" x14ac:dyDescent="0.15">
      <c r="A224" s="66"/>
      <c r="B224" s="213">
        <v>17031005480</v>
      </c>
      <c r="C224" s="213">
        <v>17031004732</v>
      </c>
      <c r="D224" s="213">
        <v>17031000985</v>
      </c>
      <c r="E224" s="213" t="s">
        <v>533</v>
      </c>
      <c r="F224" s="213" t="s">
        <v>534</v>
      </c>
      <c r="G224" s="213" t="s">
        <v>365</v>
      </c>
      <c r="H224" s="213" t="s">
        <v>571</v>
      </c>
      <c r="I224" s="213"/>
      <c r="J224" s="213" t="s">
        <v>381</v>
      </c>
      <c r="K224" s="213" t="s">
        <v>535</v>
      </c>
      <c r="L224" s="213" t="s">
        <v>552</v>
      </c>
      <c r="M224" s="213" t="s">
        <v>551</v>
      </c>
      <c r="N224" s="213" t="s">
        <v>382</v>
      </c>
      <c r="O224" s="213"/>
      <c r="P224" s="213"/>
      <c r="Q224" s="213"/>
      <c r="R224" s="213"/>
      <c r="S224" s="213"/>
      <c r="T224" s="213" t="s">
        <v>574</v>
      </c>
      <c r="U224" s="213" t="s">
        <v>559</v>
      </c>
      <c r="V224" s="213">
        <v>1</v>
      </c>
      <c r="W224" s="213" t="s">
        <v>560</v>
      </c>
      <c r="X224" s="213" t="s">
        <v>541</v>
      </c>
      <c r="Y224" s="213" t="s">
        <v>541</v>
      </c>
      <c r="Z224" s="212">
        <v>0</v>
      </c>
      <c r="AA224" s="212">
        <v>0</v>
      </c>
      <c r="AB224" s="217">
        <v>0.26659500000000003</v>
      </c>
      <c r="AC224" s="217">
        <v>0.42904399999999998</v>
      </c>
      <c r="AD224" s="212">
        <f t="shared" si="3"/>
        <v>0</v>
      </c>
    </row>
    <row r="225" spans="1:30" x14ac:dyDescent="0.15">
      <c r="A225" s="66"/>
      <c r="B225" s="213">
        <v>17031005484</v>
      </c>
      <c r="C225" s="213">
        <v>17031007121</v>
      </c>
      <c r="D225" s="213">
        <v>17031001008</v>
      </c>
      <c r="E225" s="213" t="s">
        <v>533</v>
      </c>
      <c r="F225" s="213" t="s">
        <v>534</v>
      </c>
      <c r="G225" s="213" t="s">
        <v>365</v>
      </c>
      <c r="H225" s="213" t="s">
        <v>571</v>
      </c>
      <c r="I225" s="213"/>
      <c r="J225" s="213" t="s">
        <v>381</v>
      </c>
      <c r="K225" s="213" t="s">
        <v>535</v>
      </c>
      <c r="L225" s="213" t="s">
        <v>552</v>
      </c>
      <c r="M225" s="213" t="s">
        <v>551</v>
      </c>
      <c r="N225" s="213" t="s">
        <v>382</v>
      </c>
      <c r="O225" s="213"/>
      <c r="P225" s="213"/>
      <c r="Q225" s="213"/>
      <c r="R225" s="213"/>
      <c r="S225" s="213"/>
      <c r="T225" s="213" t="s">
        <v>574</v>
      </c>
      <c r="U225" s="213" t="s">
        <v>559</v>
      </c>
      <c r="V225" s="213">
        <v>1</v>
      </c>
      <c r="W225" s="213" t="s">
        <v>560</v>
      </c>
      <c r="X225" s="213" t="s">
        <v>541</v>
      </c>
      <c r="Y225" s="213" t="s">
        <v>541</v>
      </c>
      <c r="Z225" s="212">
        <v>0</v>
      </c>
      <c r="AA225" s="212">
        <v>0</v>
      </c>
      <c r="AB225" s="217">
        <v>0.41309600000000002</v>
      </c>
      <c r="AC225" s="217">
        <v>0.66481400000000002</v>
      </c>
      <c r="AD225" s="212">
        <f t="shared" si="3"/>
        <v>0</v>
      </c>
    </row>
    <row r="226" spans="1:30" x14ac:dyDescent="0.15">
      <c r="A226" s="66"/>
      <c r="B226" s="213">
        <v>17031005509</v>
      </c>
      <c r="C226" s="213">
        <v>17031000662</v>
      </c>
      <c r="D226" s="213">
        <v>17031000638</v>
      </c>
      <c r="E226" s="213" t="s">
        <v>533</v>
      </c>
      <c r="F226" s="213" t="s">
        <v>534</v>
      </c>
      <c r="G226" s="213" t="s">
        <v>365</v>
      </c>
      <c r="H226" s="213" t="s">
        <v>382</v>
      </c>
      <c r="I226" s="213"/>
      <c r="J226" s="213" t="s">
        <v>572</v>
      </c>
      <c r="K226" s="213"/>
      <c r="L226" s="213"/>
      <c r="M226" s="213"/>
      <c r="N226" s="213"/>
      <c r="O226" s="213"/>
      <c r="P226" s="213"/>
      <c r="Q226" s="213"/>
      <c r="R226" s="213"/>
      <c r="S226" s="213" t="s">
        <v>609</v>
      </c>
      <c r="T226" s="213" t="s">
        <v>695</v>
      </c>
      <c r="U226" s="213" t="s">
        <v>538</v>
      </c>
      <c r="V226" s="213">
        <v>1</v>
      </c>
      <c r="W226" s="213" t="s">
        <v>539</v>
      </c>
      <c r="X226" s="213" t="s">
        <v>541</v>
      </c>
      <c r="Y226" s="213" t="s">
        <v>546</v>
      </c>
      <c r="Z226" s="212">
        <v>258148</v>
      </c>
      <c r="AA226" s="212">
        <v>3984112</v>
      </c>
      <c r="AB226" s="217">
        <v>0.46578900000000001</v>
      </c>
      <c r="AC226" s="217">
        <v>0.74961599999999995</v>
      </c>
      <c r="AD226" s="212">
        <f t="shared" si="3"/>
        <v>1855755.544368</v>
      </c>
    </row>
    <row r="227" spans="1:30" x14ac:dyDescent="0.15">
      <c r="A227" s="66"/>
      <c r="B227" s="213">
        <v>17031005559</v>
      </c>
      <c r="C227" s="213">
        <v>17031000702</v>
      </c>
      <c r="D227" s="213">
        <v>17031000700</v>
      </c>
      <c r="E227" s="213" t="s">
        <v>533</v>
      </c>
      <c r="F227" s="213" t="s">
        <v>534</v>
      </c>
      <c r="G227" s="213" t="s">
        <v>365</v>
      </c>
      <c r="H227" s="213" t="s">
        <v>381</v>
      </c>
      <c r="I227" s="213"/>
      <c r="J227" s="213"/>
      <c r="K227" s="213"/>
      <c r="L227" s="213"/>
      <c r="M227" s="213"/>
      <c r="N227" s="213"/>
      <c r="O227" s="213"/>
      <c r="P227" s="213"/>
      <c r="Q227" s="213"/>
      <c r="R227" s="213"/>
      <c r="S227" s="213"/>
      <c r="T227" s="213"/>
      <c r="U227" s="213" t="s">
        <v>559</v>
      </c>
      <c r="V227" s="213">
        <v>1</v>
      </c>
      <c r="W227" s="213" t="s">
        <v>560</v>
      </c>
      <c r="X227" s="213" t="s">
        <v>541</v>
      </c>
      <c r="Y227" s="213" t="s">
        <v>541</v>
      </c>
      <c r="Z227" s="212">
        <v>0</v>
      </c>
      <c r="AA227" s="212">
        <v>0</v>
      </c>
      <c r="AB227" s="217">
        <v>0.23491699999999999</v>
      </c>
      <c r="AC227" s="217">
        <v>0.37806200000000001</v>
      </c>
      <c r="AD227" s="212">
        <f t="shared" si="3"/>
        <v>0</v>
      </c>
    </row>
    <row r="228" spans="1:30" x14ac:dyDescent="0.15">
      <c r="A228" s="66"/>
      <c r="B228" s="213">
        <v>17031005641</v>
      </c>
      <c r="C228" s="213">
        <v>17031001319</v>
      </c>
      <c r="D228" s="213">
        <v>17031001333</v>
      </c>
      <c r="E228" s="213" t="s">
        <v>533</v>
      </c>
      <c r="F228" s="213" t="s">
        <v>534</v>
      </c>
      <c r="G228" s="213" t="s">
        <v>365</v>
      </c>
      <c r="H228" s="213" t="s">
        <v>615</v>
      </c>
      <c r="I228" s="213"/>
      <c r="J228" s="213" t="s">
        <v>577</v>
      </c>
      <c r="K228" s="213" t="s">
        <v>551</v>
      </c>
      <c r="L228" s="213"/>
      <c r="M228" s="213"/>
      <c r="N228" s="213"/>
      <c r="O228" s="213"/>
      <c r="P228" s="213"/>
      <c r="Q228" s="213"/>
      <c r="R228" s="213"/>
      <c r="S228" s="213"/>
      <c r="T228" s="213"/>
      <c r="U228" s="213" t="s">
        <v>559</v>
      </c>
      <c r="V228" s="213">
        <v>1</v>
      </c>
      <c r="W228" s="213" t="s">
        <v>560</v>
      </c>
      <c r="X228" s="213" t="s">
        <v>541</v>
      </c>
      <c r="Y228" s="213" t="s">
        <v>541</v>
      </c>
      <c r="Z228" s="212">
        <v>103629</v>
      </c>
      <c r="AA228" s="212">
        <v>10039458</v>
      </c>
      <c r="AB228" s="217">
        <v>1.0292889999999999</v>
      </c>
      <c r="AC228" s="217">
        <v>1.6564829999999999</v>
      </c>
      <c r="AD228" s="212">
        <f t="shared" si="3"/>
        <v>10333503.685361998</v>
      </c>
    </row>
    <row r="229" spans="1:30" x14ac:dyDescent="0.15">
      <c r="B229" s="213">
        <v>17031005650</v>
      </c>
      <c r="C229" s="213">
        <v>17031000630</v>
      </c>
      <c r="D229" s="213">
        <v>17031000669</v>
      </c>
      <c r="E229" s="213" t="s">
        <v>533</v>
      </c>
      <c r="F229" s="213" t="s">
        <v>534</v>
      </c>
      <c r="G229" s="213" t="s">
        <v>365</v>
      </c>
      <c r="H229" s="213" t="s">
        <v>551</v>
      </c>
      <c r="I229" s="213"/>
      <c r="J229" s="213"/>
      <c r="K229" s="213"/>
      <c r="L229" s="213"/>
      <c r="M229" s="213"/>
      <c r="N229" s="213"/>
      <c r="O229" s="213"/>
      <c r="P229" s="213"/>
      <c r="Q229" s="213"/>
      <c r="R229" s="213"/>
      <c r="S229" s="213" t="s">
        <v>649</v>
      </c>
      <c r="T229" s="213"/>
      <c r="U229" s="213" t="s">
        <v>559</v>
      </c>
      <c r="V229" s="213">
        <v>1</v>
      </c>
      <c r="W229" s="213" t="s">
        <v>539</v>
      </c>
      <c r="X229" s="213" t="s">
        <v>541</v>
      </c>
      <c r="Y229" s="213" t="s">
        <v>541</v>
      </c>
      <c r="Z229" s="212">
        <v>1200</v>
      </c>
      <c r="AA229" s="212">
        <v>104280</v>
      </c>
      <c r="AB229" s="217">
        <v>0.41852299999999998</v>
      </c>
      <c r="AC229" s="217">
        <v>0.67354899999999995</v>
      </c>
      <c r="AD229" s="212">
        <f t="shared" si="3"/>
        <v>43643.578439999997</v>
      </c>
    </row>
    <row r="230" spans="1:30" x14ac:dyDescent="0.15">
      <c r="B230" s="213">
        <v>17031005658</v>
      </c>
      <c r="C230" s="213">
        <v>17031000542</v>
      </c>
      <c r="D230" s="213">
        <v>17031000549</v>
      </c>
      <c r="E230" s="213" t="s">
        <v>533</v>
      </c>
      <c r="F230" s="213" t="s">
        <v>534</v>
      </c>
      <c r="G230" s="213" t="s">
        <v>365</v>
      </c>
      <c r="H230" s="213" t="s">
        <v>382</v>
      </c>
      <c r="I230" s="213"/>
      <c r="J230" s="213"/>
      <c r="K230" s="213"/>
      <c r="L230" s="213"/>
      <c r="M230" s="213"/>
      <c r="N230" s="213"/>
      <c r="O230" s="213"/>
      <c r="P230" s="213"/>
      <c r="Q230" s="213"/>
      <c r="R230" s="213"/>
      <c r="S230" s="213" t="s">
        <v>646</v>
      </c>
      <c r="T230" s="213"/>
      <c r="U230" s="213" t="s">
        <v>559</v>
      </c>
      <c r="V230" s="213">
        <v>1</v>
      </c>
      <c r="W230" s="213" t="s">
        <v>560</v>
      </c>
      <c r="X230" s="213" t="s">
        <v>541</v>
      </c>
      <c r="Y230" s="213" t="s">
        <v>541</v>
      </c>
      <c r="Z230" s="212">
        <v>0</v>
      </c>
      <c r="AA230" s="212">
        <v>0</v>
      </c>
      <c r="AB230" s="217">
        <v>0.108754</v>
      </c>
      <c r="AC230" s="217">
        <v>0.17502400000000001</v>
      </c>
      <c r="AD230" s="212">
        <f t="shared" si="3"/>
        <v>0</v>
      </c>
    </row>
    <row r="231" spans="1:30" x14ac:dyDescent="0.15">
      <c r="B231" s="213">
        <v>17031005661</v>
      </c>
      <c r="C231" s="213">
        <v>17031000587</v>
      </c>
      <c r="D231" s="213">
        <v>17031000583</v>
      </c>
      <c r="E231" s="213" t="s">
        <v>533</v>
      </c>
      <c r="F231" s="213" t="s">
        <v>534</v>
      </c>
      <c r="G231" s="213" t="s">
        <v>365</v>
      </c>
      <c r="H231" s="213" t="s">
        <v>382</v>
      </c>
      <c r="I231" s="213"/>
      <c r="J231" s="213" t="s">
        <v>547</v>
      </c>
      <c r="K231" s="213"/>
      <c r="L231" s="213"/>
      <c r="M231" s="213"/>
      <c r="N231" s="213"/>
      <c r="O231" s="213"/>
      <c r="P231" s="213"/>
      <c r="Q231" s="213"/>
      <c r="R231" s="213"/>
      <c r="S231" s="213" t="s">
        <v>583</v>
      </c>
      <c r="T231" s="213"/>
      <c r="U231" s="213" t="s">
        <v>538</v>
      </c>
      <c r="V231" s="213">
        <v>4</v>
      </c>
      <c r="W231" s="213" t="s">
        <v>545</v>
      </c>
      <c r="X231" s="213" t="s">
        <v>541</v>
      </c>
      <c r="Y231" s="213" t="s">
        <v>541</v>
      </c>
      <c r="Z231" s="212">
        <v>0</v>
      </c>
      <c r="AA231" s="212">
        <v>0</v>
      </c>
      <c r="AB231" s="217">
        <v>0.26130500000000001</v>
      </c>
      <c r="AC231" s="217">
        <v>0.42053000000000001</v>
      </c>
      <c r="AD231" s="212">
        <f t="shared" si="3"/>
        <v>0</v>
      </c>
    </row>
    <row r="232" spans="1:30" x14ac:dyDescent="0.15">
      <c r="B232" s="213">
        <v>17031005665</v>
      </c>
      <c r="C232" s="213">
        <v>17031000792</v>
      </c>
      <c r="D232" s="213">
        <v>17031006832</v>
      </c>
      <c r="E232" s="213" t="s">
        <v>533</v>
      </c>
      <c r="F232" s="213" t="s">
        <v>534</v>
      </c>
      <c r="G232" s="213" t="s">
        <v>365</v>
      </c>
      <c r="H232" s="213" t="s">
        <v>382</v>
      </c>
      <c r="I232" s="213"/>
      <c r="J232" s="213"/>
      <c r="K232" s="213"/>
      <c r="L232" s="213"/>
      <c r="M232" s="213"/>
      <c r="N232" s="213"/>
      <c r="O232" s="213"/>
      <c r="P232" s="213"/>
      <c r="Q232" s="213"/>
      <c r="R232" s="213"/>
      <c r="S232" s="213"/>
      <c r="T232" s="213"/>
      <c r="U232" s="213" t="s">
        <v>559</v>
      </c>
      <c r="V232" s="213">
        <v>1</v>
      </c>
      <c r="W232" s="213" t="s">
        <v>560</v>
      </c>
      <c r="X232" s="213" t="s">
        <v>541</v>
      </c>
      <c r="Y232" s="213" t="s">
        <v>541</v>
      </c>
      <c r="Z232" s="212">
        <v>600</v>
      </c>
      <c r="AA232" s="212">
        <v>33400</v>
      </c>
      <c r="AB232" s="217">
        <v>6.9421999999999998E-2</v>
      </c>
      <c r="AC232" s="217">
        <v>0.111724</v>
      </c>
      <c r="AD232" s="212">
        <f t="shared" si="3"/>
        <v>2318.6947999999998</v>
      </c>
    </row>
    <row r="233" spans="1:30" x14ac:dyDescent="0.15">
      <c r="B233" s="213">
        <v>17031005678</v>
      </c>
      <c r="C233" s="213">
        <v>17031004748</v>
      </c>
      <c r="D233" s="213">
        <v>17031001353</v>
      </c>
      <c r="E233" s="213" t="s">
        <v>533</v>
      </c>
      <c r="F233" s="213" t="s">
        <v>534</v>
      </c>
      <c r="G233" s="213" t="s">
        <v>365</v>
      </c>
      <c r="H233" s="213" t="s">
        <v>551</v>
      </c>
      <c r="I233" s="213"/>
      <c r="J233" s="213"/>
      <c r="K233" s="213"/>
      <c r="L233" s="213"/>
      <c r="M233" s="213"/>
      <c r="N233" s="213"/>
      <c r="O233" s="213"/>
      <c r="P233" s="213"/>
      <c r="Q233" s="213"/>
      <c r="R233" s="213"/>
      <c r="S233" s="213" t="s">
        <v>603</v>
      </c>
      <c r="T233" s="213"/>
      <c r="U233" s="213" t="s">
        <v>538</v>
      </c>
      <c r="V233" s="213">
        <v>2</v>
      </c>
      <c r="W233" s="213" t="s">
        <v>545</v>
      </c>
      <c r="X233" s="213" t="s">
        <v>554</v>
      </c>
      <c r="Y233" s="213" t="s">
        <v>575</v>
      </c>
      <c r="Z233" s="212">
        <v>1410419</v>
      </c>
      <c r="AA233" s="212">
        <v>69150098</v>
      </c>
      <c r="AB233" s="217">
        <v>0.38470900000000002</v>
      </c>
      <c r="AC233" s="217">
        <v>0.61912999999999996</v>
      </c>
      <c r="AD233" s="212">
        <f t="shared" si="3"/>
        <v>26602665.051482003</v>
      </c>
    </row>
    <row r="234" spans="1:30" x14ac:dyDescent="0.15">
      <c r="B234" s="213">
        <v>17031005680</v>
      </c>
      <c r="C234" s="213">
        <v>17031001396</v>
      </c>
      <c r="D234" s="213">
        <v>17031001391</v>
      </c>
      <c r="E234" s="213" t="s">
        <v>533</v>
      </c>
      <c r="F234" s="213" t="s">
        <v>534</v>
      </c>
      <c r="G234" s="213" t="s">
        <v>365</v>
      </c>
      <c r="H234" s="213" t="s">
        <v>551</v>
      </c>
      <c r="I234" s="213"/>
      <c r="J234" s="213"/>
      <c r="K234" s="213"/>
      <c r="L234" s="213"/>
      <c r="M234" s="213"/>
      <c r="N234" s="213"/>
      <c r="O234" s="213"/>
      <c r="P234" s="213"/>
      <c r="Q234" s="213"/>
      <c r="R234" s="213"/>
      <c r="S234" s="213" t="s">
        <v>603</v>
      </c>
      <c r="T234" s="213"/>
      <c r="U234" s="213" t="s">
        <v>538</v>
      </c>
      <c r="V234" s="213">
        <v>1</v>
      </c>
      <c r="W234" s="213" t="s">
        <v>545</v>
      </c>
      <c r="X234" s="213" t="s">
        <v>554</v>
      </c>
      <c r="Y234" s="213" t="s">
        <v>575</v>
      </c>
      <c r="Z234" s="212">
        <v>1671878</v>
      </c>
      <c r="AA234" s="212">
        <v>66618044</v>
      </c>
      <c r="AB234" s="217">
        <v>0.12209</v>
      </c>
      <c r="AC234" s="217">
        <v>0.19648499999999999</v>
      </c>
      <c r="AD234" s="212">
        <f t="shared" si="3"/>
        <v>8133396.9919600002</v>
      </c>
    </row>
    <row r="235" spans="1:30" x14ac:dyDescent="0.15">
      <c r="B235" s="213">
        <v>17031005685</v>
      </c>
      <c r="C235" s="213">
        <v>17031001519</v>
      </c>
      <c r="D235" s="213">
        <v>17031001526</v>
      </c>
      <c r="E235" s="213" t="s">
        <v>533</v>
      </c>
      <c r="F235" s="213" t="s">
        <v>534</v>
      </c>
      <c r="G235" s="213" t="s">
        <v>365</v>
      </c>
      <c r="H235" s="213" t="s">
        <v>382</v>
      </c>
      <c r="I235" s="213"/>
      <c r="J235" s="213"/>
      <c r="K235" s="213"/>
      <c r="L235" s="213"/>
      <c r="M235" s="213"/>
      <c r="N235" s="213"/>
      <c r="O235" s="213"/>
      <c r="P235" s="213"/>
      <c r="Q235" s="213"/>
      <c r="R235" s="213"/>
      <c r="S235" s="213" t="s">
        <v>576</v>
      </c>
      <c r="T235" s="213"/>
      <c r="U235" s="213" t="s">
        <v>559</v>
      </c>
      <c r="V235" s="213">
        <v>1</v>
      </c>
      <c r="W235" s="213" t="s">
        <v>560</v>
      </c>
      <c r="X235" s="213" t="s">
        <v>541</v>
      </c>
      <c r="Y235" s="213" t="s">
        <v>541</v>
      </c>
      <c r="Z235" s="212">
        <v>0</v>
      </c>
      <c r="AA235" s="212">
        <v>0</v>
      </c>
      <c r="AB235" s="217">
        <v>4.7886999999999999E-2</v>
      </c>
      <c r="AC235" s="217">
        <v>7.7066999999999997E-2</v>
      </c>
      <c r="AD235" s="212">
        <f t="shared" si="3"/>
        <v>0</v>
      </c>
    </row>
    <row r="236" spans="1:30" x14ac:dyDescent="0.15">
      <c r="B236" s="213">
        <v>17031005688</v>
      </c>
      <c r="C236" s="213">
        <v>17031001566</v>
      </c>
      <c r="D236" s="213">
        <v>17031001563</v>
      </c>
      <c r="E236" s="213" t="s">
        <v>533</v>
      </c>
      <c r="F236" s="213" t="s">
        <v>534</v>
      </c>
      <c r="G236" s="213" t="s">
        <v>365</v>
      </c>
      <c r="H236" s="213" t="s">
        <v>535</v>
      </c>
      <c r="I236" s="213"/>
      <c r="J236" s="213"/>
      <c r="K236" s="213"/>
      <c r="L236" s="213"/>
      <c r="M236" s="213"/>
      <c r="N236" s="213"/>
      <c r="O236" s="213"/>
      <c r="P236" s="213"/>
      <c r="Q236" s="213"/>
      <c r="R236" s="213"/>
      <c r="S236" s="213"/>
      <c r="T236" s="213"/>
      <c r="U236" s="213" t="s">
        <v>538</v>
      </c>
      <c r="V236" s="213">
        <v>1</v>
      </c>
      <c r="W236" s="213" t="s">
        <v>560</v>
      </c>
      <c r="X236" s="213" t="s">
        <v>541</v>
      </c>
      <c r="Y236" s="213" t="s">
        <v>541</v>
      </c>
      <c r="Z236" s="212">
        <v>6896</v>
      </c>
      <c r="AA236" s="212">
        <v>604644</v>
      </c>
      <c r="AB236" s="217">
        <v>0.12982299999999999</v>
      </c>
      <c r="AC236" s="217">
        <v>0.20893100000000001</v>
      </c>
      <c r="AD236" s="212">
        <f t="shared" si="3"/>
        <v>78496.698011999993</v>
      </c>
    </row>
    <row r="237" spans="1:30" x14ac:dyDescent="0.15">
      <c r="B237" s="213">
        <v>17031005733</v>
      </c>
      <c r="C237" s="213">
        <v>17031001048</v>
      </c>
      <c r="D237" s="213">
        <v>17031001051</v>
      </c>
      <c r="E237" s="213" t="s">
        <v>533</v>
      </c>
      <c r="F237" s="213" t="s">
        <v>534</v>
      </c>
      <c r="G237" s="213" t="s">
        <v>365</v>
      </c>
      <c r="H237" s="213" t="s">
        <v>543</v>
      </c>
      <c r="I237" s="213"/>
      <c r="J237" s="213"/>
      <c r="K237" s="213"/>
      <c r="L237" s="213"/>
      <c r="M237" s="213"/>
      <c r="N237" s="213"/>
      <c r="O237" s="213"/>
      <c r="P237" s="213"/>
      <c r="Q237" s="213"/>
      <c r="R237" s="213"/>
      <c r="S237" s="213" t="s">
        <v>604</v>
      </c>
      <c r="T237" s="213"/>
      <c r="U237" s="213" t="s">
        <v>538</v>
      </c>
      <c r="V237" s="213">
        <v>1</v>
      </c>
      <c r="W237" s="213" t="s">
        <v>545</v>
      </c>
      <c r="X237" s="213" t="s">
        <v>554</v>
      </c>
      <c r="Y237" s="213" t="s">
        <v>549</v>
      </c>
      <c r="Z237" s="212">
        <v>0</v>
      </c>
      <c r="AA237" s="212">
        <v>0</v>
      </c>
      <c r="AB237" s="217">
        <v>0.12070500000000001</v>
      </c>
      <c r="AC237" s="217">
        <v>0.19425600000000001</v>
      </c>
      <c r="AD237" s="212">
        <f t="shared" si="3"/>
        <v>0</v>
      </c>
    </row>
    <row r="238" spans="1:30" x14ac:dyDescent="0.15">
      <c r="B238" s="213">
        <v>17031005734</v>
      </c>
      <c r="C238" s="213">
        <v>17031001034</v>
      </c>
      <c r="D238" s="213">
        <v>17031001051</v>
      </c>
      <c r="E238" s="213" t="s">
        <v>533</v>
      </c>
      <c r="F238" s="213" t="s">
        <v>534</v>
      </c>
      <c r="G238" s="213" t="s">
        <v>365</v>
      </c>
      <c r="H238" s="213" t="s">
        <v>543</v>
      </c>
      <c r="I238" s="213"/>
      <c r="J238" s="213"/>
      <c r="K238" s="213"/>
      <c r="L238" s="213"/>
      <c r="M238" s="213"/>
      <c r="N238" s="213"/>
      <c r="O238" s="213"/>
      <c r="P238" s="213"/>
      <c r="Q238" s="213"/>
      <c r="R238" s="213"/>
      <c r="S238" s="213" t="s">
        <v>604</v>
      </c>
      <c r="T238" s="213"/>
      <c r="U238" s="213" t="s">
        <v>538</v>
      </c>
      <c r="V238" s="213">
        <v>1</v>
      </c>
      <c r="W238" s="213" t="s">
        <v>582</v>
      </c>
      <c r="X238" s="213" t="s">
        <v>554</v>
      </c>
      <c r="Y238" s="213" t="s">
        <v>549</v>
      </c>
      <c r="Z238" s="212">
        <v>0</v>
      </c>
      <c r="AA238" s="212">
        <v>0</v>
      </c>
      <c r="AB238" s="217">
        <v>0.52502400000000005</v>
      </c>
      <c r="AC238" s="217">
        <v>0.844947</v>
      </c>
      <c r="AD238" s="212">
        <f t="shared" si="3"/>
        <v>0</v>
      </c>
    </row>
    <row r="239" spans="1:30" x14ac:dyDescent="0.15">
      <c r="B239" s="213">
        <v>17031005735</v>
      </c>
      <c r="C239" s="213">
        <v>17031001051</v>
      </c>
      <c r="D239" s="213">
        <v>17031001060</v>
      </c>
      <c r="E239" s="213" t="s">
        <v>533</v>
      </c>
      <c r="F239" s="213" t="s">
        <v>534</v>
      </c>
      <c r="G239" s="213" t="s">
        <v>365</v>
      </c>
      <c r="H239" s="213" t="s">
        <v>543</v>
      </c>
      <c r="I239" s="213"/>
      <c r="J239" s="213"/>
      <c r="K239" s="213"/>
      <c r="L239" s="213"/>
      <c r="M239" s="213"/>
      <c r="N239" s="213"/>
      <c r="O239" s="213"/>
      <c r="P239" s="213"/>
      <c r="Q239" s="213"/>
      <c r="R239" s="213"/>
      <c r="S239" s="213" t="s">
        <v>604</v>
      </c>
      <c r="T239" s="213"/>
      <c r="U239" s="213" t="s">
        <v>538</v>
      </c>
      <c r="V239" s="213">
        <v>2</v>
      </c>
      <c r="W239" s="213" t="s">
        <v>545</v>
      </c>
      <c r="X239" s="213" t="s">
        <v>540</v>
      </c>
      <c r="Y239" s="213" t="s">
        <v>549</v>
      </c>
      <c r="Z239" s="212">
        <v>0</v>
      </c>
      <c r="AA239" s="212">
        <v>0</v>
      </c>
      <c r="AB239" s="217">
        <v>0.697218</v>
      </c>
      <c r="AC239" s="217">
        <v>1.1220650000000001</v>
      </c>
      <c r="AD239" s="212">
        <f t="shared" si="3"/>
        <v>0</v>
      </c>
    </row>
    <row r="240" spans="1:30" x14ac:dyDescent="0.15">
      <c r="B240" s="213">
        <v>17031005738</v>
      </c>
      <c r="C240" s="213">
        <v>17031001370</v>
      </c>
      <c r="D240" s="213">
        <v>17031001364</v>
      </c>
      <c r="E240" s="213" t="s">
        <v>533</v>
      </c>
      <c r="F240" s="213" t="s">
        <v>534</v>
      </c>
      <c r="G240" s="213" t="s">
        <v>365</v>
      </c>
      <c r="H240" s="213" t="s">
        <v>535</v>
      </c>
      <c r="I240" s="213"/>
      <c r="J240" s="213" t="s">
        <v>382</v>
      </c>
      <c r="K240" s="213" t="s">
        <v>555</v>
      </c>
      <c r="L240" s="213" t="s">
        <v>557</v>
      </c>
      <c r="M240" s="213"/>
      <c r="N240" s="213"/>
      <c r="O240" s="213"/>
      <c r="P240" s="213"/>
      <c r="Q240" s="213"/>
      <c r="R240" s="213"/>
      <c r="S240" s="213"/>
      <c r="T240" s="213"/>
      <c r="U240" s="213" t="s">
        <v>538</v>
      </c>
      <c r="V240" s="213">
        <v>1</v>
      </c>
      <c r="W240" s="213" t="s">
        <v>560</v>
      </c>
      <c r="X240" s="213" t="s">
        <v>541</v>
      </c>
      <c r="Y240" s="213" t="s">
        <v>541</v>
      </c>
      <c r="Z240" s="212">
        <v>84066</v>
      </c>
      <c r="AA240" s="212">
        <v>8668856</v>
      </c>
      <c r="AB240" s="217">
        <v>0.52598199999999995</v>
      </c>
      <c r="AC240" s="217">
        <v>0.84648800000000002</v>
      </c>
      <c r="AD240" s="212">
        <f t="shared" si="3"/>
        <v>4559662.2165919999</v>
      </c>
    </row>
    <row r="241" spans="2:30" x14ac:dyDescent="0.15">
      <c r="B241" s="213">
        <v>17031005956</v>
      </c>
      <c r="C241" s="213">
        <v>17031000610</v>
      </c>
      <c r="D241" s="213">
        <v>17031000634</v>
      </c>
      <c r="E241" s="213" t="s">
        <v>533</v>
      </c>
      <c r="F241" s="213" t="s">
        <v>534</v>
      </c>
      <c r="G241" s="213" t="s">
        <v>365</v>
      </c>
      <c r="H241" s="213" t="s">
        <v>547</v>
      </c>
      <c r="I241" s="213"/>
      <c r="J241" s="213"/>
      <c r="K241" s="213"/>
      <c r="L241" s="213"/>
      <c r="M241" s="213"/>
      <c r="N241" s="213"/>
      <c r="O241" s="213"/>
      <c r="P241" s="213"/>
      <c r="Q241" s="213"/>
      <c r="R241" s="213"/>
      <c r="S241" s="213" t="s">
        <v>581</v>
      </c>
      <c r="T241" s="213"/>
      <c r="U241" s="213" t="s">
        <v>538</v>
      </c>
      <c r="V241" s="213">
        <v>4</v>
      </c>
      <c r="W241" s="213" t="s">
        <v>582</v>
      </c>
      <c r="X241" s="213" t="s">
        <v>541</v>
      </c>
      <c r="Y241" s="213" t="s">
        <v>541</v>
      </c>
      <c r="Z241" s="212">
        <v>0</v>
      </c>
      <c r="AA241" s="212">
        <v>0</v>
      </c>
      <c r="AB241" s="217">
        <v>0.252774</v>
      </c>
      <c r="AC241" s="217">
        <v>0.40680100000000002</v>
      </c>
      <c r="AD241" s="212">
        <f t="shared" si="3"/>
        <v>0</v>
      </c>
    </row>
    <row r="242" spans="2:30" x14ac:dyDescent="0.15">
      <c r="B242" s="213">
        <v>17031005984</v>
      </c>
      <c r="C242" s="213">
        <v>17031000534</v>
      </c>
      <c r="D242" s="213">
        <v>17031000540</v>
      </c>
      <c r="E242" s="213" t="s">
        <v>533</v>
      </c>
      <c r="F242" s="213" t="s">
        <v>534</v>
      </c>
      <c r="G242" s="213" t="s">
        <v>365</v>
      </c>
      <c r="H242" s="213" t="s">
        <v>382</v>
      </c>
      <c r="I242" s="213"/>
      <c r="J242" s="213" t="s">
        <v>535</v>
      </c>
      <c r="K242" s="213" t="s">
        <v>552</v>
      </c>
      <c r="L242" s="213" t="s">
        <v>557</v>
      </c>
      <c r="M242" s="213" t="s">
        <v>543</v>
      </c>
      <c r="N242" s="213"/>
      <c r="O242" s="213"/>
      <c r="P242" s="213"/>
      <c r="Q242" s="213"/>
      <c r="R242" s="213"/>
      <c r="S242" s="213"/>
      <c r="T242" s="213"/>
      <c r="U242" s="213" t="s">
        <v>559</v>
      </c>
      <c r="V242" s="213">
        <v>1</v>
      </c>
      <c r="W242" s="213" t="s">
        <v>539</v>
      </c>
      <c r="X242" s="213" t="s">
        <v>541</v>
      </c>
      <c r="Y242" s="213" t="s">
        <v>541</v>
      </c>
      <c r="Z242" s="212">
        <v>1288</v>
      </c>
      <c r="AA242" s="212">
        <v>106636</v>
      </c>
      <c r="AB242" s="217">
        <v>0.30993500000000002</v>
      </c>
      <c r="AC242" s="217">
        <v>0.49879400000000002</v>
      </c>
      <c r="AD242" s="212">
        <f t="shared" si="3"/>
        <v>33050.228660000001</v>
      </c>
    </row>
    <row r="243" spans="2:30" x14ac:dyDescent="0.15">
      <c r="B243" s="213">
        <v>17031006058</v>
      </c>
      <c r="C243" s="213">
        <v>17031000696</v>
      </c>
      <c r="D243" s="213">
        <v>17031000664</v>
      </c>
      <c r="E243" s="213" t="s">
        <v>533</v>
      </c>
      <c r="F243" s="213" t="s">
        <v>534</v>
      </c>
      <c r="G243" s="213" t="s">
        <v>365</v>
      </c>
      <c r="H243" s="213" t="s">
        <v>381</v>
      </c>
      <c r="I243" s="213"/>
      <c r="J243" s="213"/>
      <c r="K243" s="213"/>
      <c r="L243" s="213"/>
      <c r="M243" s="213"/>
      <c r="N243" s="213"/>
      <c r="O243" s="213"/>
      <c r="P243" s="213"/>
      <c r="Q243" s="213"/>
      <c r="R243" s="213"/>
      <c r="S243" s="213"/>
      <c r="T243" s="213"/>
      <c r="U243" s="213" t="s">
        <v>559</v>
      </c>
      <c r="V243" s="213">
        <v>1</v>
      </c>
      <c r="W243" s="213" t="s">
        <v>560</v>
      </c>
      <c r="X243" s="213" t="s">
        <v>541</v>
      </c>
      <c r="Y243" s="213" t="s">
        <v>541</v>
      </c>
      <c r="Z243" s="212">
        <v>0</v>
      </c>
      <c r="AA243" s="212">
        <v>0</v>
      </c>
      <c r="AB243" s="217">
        <v>0.52745600000000004</v>
      </c>
      <c r="AC243" s="217">
        <v>0.84885999999999995</v>
      </c>
      <c r="AD243" s="212">
        <f t="shared" si="3"/>
        <v>0</v>
      </c>
    </row>
    <row r="244" spans="2:30" x14ac:dyDescent="0.15">
      <c r="B244" s="213">
        <v>17031006129</v>
      </c>
      <c r="C244" s="213">
        <v>17031007600</v>
      </c>
      <c r="D244" s="213">
        <v>17031000375</v>
      </c>
      <c r="E244" s="213" t="s">
        <v>533</v>
      </c>
      <c r="F244" s="213" t="s">
        <v>534</v>
      </c>
      <c r="G244" s="213" t="s">
        <v>365</v>
      </c>
      <c r="H244" s="213" t="s">
        <v>382</v>
      </c>
      <c r="I244" s="213"/>
      <c r="J244" s="213"/>
      <c r="K244" s="213"/>
      <c r="L244" s="213"/>
      <c r="M244" s="213"/>
      <c r="N244" s="213"/>
      <c r="O244" s="213"/>
      <c r="P244" s="213"/>
      <c r="Q244" s="213"/>
      <c r="R244" s="213"/>
      <c r="S244" s="213" t="s">
        <v>616</v>
      </c>
      <c r="T244" s="213"/>
      <c r="U244" s="213" t="s">
        <v>559</v>
      </c>
      <c r="V244" s="213">
        <v>1</v>
      </c>
      <c r="W244" s="213" t="s">
        <v>560</v>
      </c>
      <c r="X244" s="213" t="s">
        <v>541</v>
      </c>
      <c r="Y244" s="213" t="s">
        <v>541</v>
      </c>
      <c r="Z244" s="212">
        <v>0</v>
      </c>
      <c r="AA244" s="212">
        <v>0</v>
      </c>
      <c r="AB244" s="217">
        <v>1.3308439999999999</v>
      </c>
      <c r="AC244" s="217">
        <v>2.1417899999999999</v>
      </c>
      <c r="AD244" s="212">
        <f t="shared" si="3"/>
        <v>0</v>
      </c>
    </row>
    <row r="245" spans="2:30" x14ac:dyDescent="0.15">
      <c r="B245" s="213">
        <v>17031006130</v>
      </c>
      <c r="C245" s="213">
        <v>17031000492</v>
      </c>
      <c r="D245" s="213">
        <v>17031000496</v>
      </c>
      <c r="E245" s="213" t="s">
        <v>533</v>
      </c>
      <c r="F245" s="213" t="s">
        <v>534</v>
      </c>
      <c r="G245" s="213" t="s">
        <v>365</v>
      </c>
      <c r="H245" s="213" t="s">
        <v>552</v>
      </c>
      <c r="I245" s="213"/>
      <c r="J245" s="213" t="s">
        <v>547</v>
      </c>
      <c r="K245" s="213"/>
      <c r="L245" s="213"/>
      <c r="M245" s="213"/>
      <c r="N245" s="213"/>
      <c r="O245" s="213"/>
      <c r="P245" s="213"/>
      <c r="Q245" s="213"/>
      <c r="R245" s="213"/>
      <c r="S245" s="213" t="s">
        <v>589</v>
      </c>
      <c r="T245" s="213"/>
      <c r="U245" s="213" t="s">
        <v>538</v>
      </c>
      <c r="V245" s="213">
        <v>3</v>
      </c>
      <c r="W245" s="213" t="s">
        <v>545</v>
      </c>
      <c r="X245" s="213" t="s">
        <v>540</v>
      </c>
      <c r="Y245" s="213" t="s">
        <v>541</v>
      </c>
      <c r="Z245" s="212">
        <v>74113</v>
      </c>
      <c r="AA245" s="212">
        <v>5380834</v>
      </c>
      <c r="AB245" s="217">
        <v>0.20166799999999999</v>
      </c>
      <c r="AC245" s="217">
        <v>0.32455400000000001</v>
      </c>
      <c r="AD245" s="212">
        <f t="shared" si="3"/>
        <v>1085142.0311119999</v>
      </c>
    </row>
    <row r="246" spans="2:30" x14ac:dyDescent="0.15">
      <c r="B246" s="213">
        <v>17031006132</v>
      </c>
      <c r="C246" s="213">
        <v>17031000658</v>
      </c>
      <c r="D246" s="213">
        <v>17031000663</v>
      </c>
      <c r="E246" s="213" t="s">
        <v>533</v>
      </c>
      <c r="F246" s="213" t="s">
        <v>534</v>
      </c>
      <c r="G246" s="213" t="s">
        <v>365</v>
      </c>
      <c r="H246" s="213" t="s">
        <v>382</v>
      </c>
      <c r="I246" s="213"/>
      <c r="J246" s="213" t="s">
        <v>542</v>
      </c>
      <c r="K246" s="213" t="s">
        <v>577</v>
      </c>
      <c r="L246" s="213" t="s">
        <v>572</v>
      </c>
      <c r="M246" s="213"/>
      <c r="N246" s="213"/>
      <c r="O246" s="213"/>
      <c r="P246" s="213"/>
      <c r="Q246" s="213"/>
      <c r="R246" s="213"/>
      <c r="S246" s="213"/>
      <c r="T246" s="213"/>
      <c r="U246" s="213" t="s">
        <v>538</v>
      </c>
      <c r="V246" s="213">
        <v>1</v>
      </c>
      <c r="W246" s="213" t="s">
        <v>560</v>
      </c>
      <c r="X246" s="213" t="s">
        <v>541</v>
      </c>
      <c r="Y246" s="213" t="s">
        <v>541</v>
      </c>
      <c r="Z246" s="212">
        <v>3118</v>
      </c>
      <c r="AA246" s="212">
        <v>275584</v>
      </c>
      <c r="AB246" s="217">
        <v>8.6028999999999994E-2</v>
      </c>
      <c r="AC246" s="217">
        <v>0.13845099999999999</v>
      </c>
      <c r="AD246" s="212">
        <f t="shared" si="3"/>
        <v>23708.215935999997</v>
      </c>
    </row>
    <row r="247" spans="2:30" x14ac:dyDescent="0.15">
      <c r="B247" s="213">
        <v>17031006143</v>
      </c>
      <c r="C247" s="213">
        <v>17031000796</v>
      </c>
      <c r="D247" s="213">
        <v>17031000821</v>
      </c>
      <c r="E247" s="213" t="s">
        <v>533</v>
      </c>
      <c r="F247" s="213" t="s">
        <v>534</v>
      </c>
      <c r="G247" s="213" t="s">
        <v>365</v>
      </c>
      <c r="H247" s="213" t="s">
        <v>543</v>
      </c>
      <c r="I247" s="213"/>
      <c r="J247" s="213" t="s">
        <v>535</v>
      </c>
      <c r="K247" s="213"/>
      <c r="L247" s="213"/>
      <c r="M247" s="213"/>
      <c r="N247" s="213"/>
      <c r="O247" s="213"/>
      <c r="P247" s="213"/>
      <c r="Q247" s="213"/>
      <c r="R247" s="213"/>
      <c r="S247" s="213" t="s">
        <v>658</v>
      </c>
      <c r="T247" s="213"/>
      <c r="U247" s="213" t="s">
        <v>559</v>
      </c>
      <c r="V247" s="213">
        <v>1</v>
      </c>
      <c r="W247" s="213" t="s">
        <v>560</v>
      </c>
      <c r="X247" s="213" t="s">
        <v>541</v>
      </c>
      <c r="Y247" s="213" t="s">
        <v>541</v>
      </c>
      <c r="Z247" s="212">
        <v>72673</v>
      </c>
      <c r="AA247" s="212">
        <v>3647669</v>
      </c>
      <c r="AB247" s="217">
        <v>0.46486899999999998</v>
      </c>
      <c r="AC247" s="217">
        <v>0.74813600000000002</v>
      </c>
      <c r="AD247" s="212">
        <f t="shared" si="3"/>
        <v>1695688.2403609999</v>
      </c>
    </row>
    <row r="248" spans="2:30" x14ac:dyDescent="0.15">
      <c r="B248" s="213">
        <v>17031006154</v>
      </c>
      <c r="C248" s="213">
        <v>17031001106</v>
      </c>
      <c r="D248" s="213">
        <v>17031001141</v>
      </c>
      <c r="E248" s="213" t="s">
        <v>533</v>
      </c>
      <c r="F248" s="213" t="s">
        <v>534</v>
      </c>
      <c r="G248" s="213" t="s">
        <v>365</v>
      </c>
      <c r="H248" s="213" t="s">
        <v>543</v>
      </c>
      <c r="I248" s="213"/>
      <c r="J248" s="213"/>
      <c r="K248" s="213"/>
      <c r="L248" s="213"/>
      <c r="M248" s="213"/>
      <c r="N248" s="213"/>
      <c r="O248" s="213"/>
      <c r="P248" s="213"/>
      <c r="Q248" s="213"/>
      <c r="R248" s="213"/>
      <c r="S248" s="213" t="s">
        <v>604</v>
      </c>
      <c r="T248" s="213" t="s">
        <v>623</v>
      </c>
      <c r="U248" s="213" t="s">
        <v>538</v>
      </c>
      <c r="V248" s="213">
        <v>1</v>
      </c>
      <c r="W248" s="213" t="s">
        <v>545</v>
      </c>
      <c r="X248" s="213" t="s">
        <v>540</v>
      </c>
      <c r="Y248" s="213" t="s">
        <v>546</v>
      </c>
      <c r="Z248" s="212">
        <v>6400</v>
      </c>
      <c r="AA248" s="212">
        <v>597639</v>
      </c>
      <c r="AB248" s="217">
        <v>0.91504799999999997</v>
      </c>
      <c r="AC248" s="217">
        <v>1.472629</v>
      </c>
      <c r="AD248" s="212">
        <f t="shared" si="3"/>
        <v>546868.37167200004</v>
      </c>
    </row>
    <row r="249" spans="2:30" x14ac:dyDescent="0.15">
      <c r="B249" s="213">
        <v>17031006166</v>
      </c>
      <c r="C249" s="213">
        <v>17031000692</v>
      </c>
      <c r="D249" s="213">
        <v>17031000688</v>
      </c>
      <c r="E249" s="213" t="s">
        <v>533</v>
      </c>
      <c r="F249" s="213" t="s">
        <v>534</v>
      </c>
      <c r="G249" s="213" t="s">
        <v>365</v>
      </c>
      <c r="H249" s="213" t="s">
        <v>381</v>
      </c>
      <c r="I249" s="213"/>
      <c r="J249" s="213"/>
      <c r="K249" s="213"/>
      <c r="L249" s="213"/>
      <c r="M249" s="213"/>
      <c r="N249" s="213"/>
      <c r="O249" s="213"/>
      <c r="P249" s="213"/>
      <c r="Q249" s="213"/>
      <c r="R249" s="213"/>
      <c r="S249" s="213"/>
      <c r="T249" s="213"/>
      <c r="U249" s="213" t="s">
        <v>559</v>
      </c>
      <c r="V249" s="213">
        <v>1</v>
      </c>
      <c r="W249" s="213" t="s">
        <v>560</v>
      </c>
      <c r="X249" s="213" t="s">
        <v>541</v>
      </c>
      <c r="Y249" s="213" t="s">
        <v>541</v>
      </c>
      <c r="Z249" s="212">
        <v>0</v>
      </c>
      <c r="AA249" s="212">
        <v>0</v>
      </c>
      <c r="AB249" s="217">
        <v>4.8036000000000002E-2</v>
      </c>
      <c r="AC249" s="217">
        <v>7.7307000000000001E-2</v>
      </c>
      <c r="AD249" s="212">
        <f t="shared" si="3"/>
        <v>0</v>
      </c>
    </row>
    <row r="250" spans="2:30" x14ac:dyDescent="0.15">
      <c r="B250" s="213">
        <v>17031006167</v>
      </c>
      <c r="C250" s="213">
        <v>17031000688</v>
      </c>
      <c r="D250" s="213">
        <v>17031000718</v>
      </c>
      <c r="E250" s="213" t="s">
        <v>533</v>
      </c>
      <c r="F250" s="213" t="s">
        <v>534</v>
      </c>
      <c r="G250" s="213" t="s">
        <v>365</v>
      </c>
      <c r="H250" s="213" t="s">
        <v>381</v>
      </c>
      <c r="I250" s="213"/>
      <c r="J250" s="213"/>
      <c r="K250" s="213"/>
      <c r="L250" s="213"/>
      <c r="M250" s="213"/>
      <c r="N250" s="213"/>
      <c r="O250" s="213"/>
      <c r="P250" s="213"/>
      <c r="Q250" s="213"/>
      <c r="R250" s="213"/>
      <c r="S250" s="213"/>
      <c r="T250" s="213"/>
      <c r="U250" s="213" t="s">
        <v>559</v>
      </c>
      <c r="V250" s="213">
        <v>1</v>
      </c>
      <c r="W250" s="213" t="s">
        <v>560</v>
      </c>
      <c r="X250" s="213" t="s">
        <v>541</v>
      </c>
      <c r="Y250" s="213" t="s">
        <v>541</v>
      </c>
      <c r="Z250" s="212">
        <v>0</v>
      </c>
      <c r="AA250" s="212">
        <v>0</v>
      </c>
      <c r="AB250" s="217">
        <v>0.73253599999999996</v>
      </c>
      <c r="AC250" s="217">
        <v>1.178904</v>
      </c>
      <c r="AD250" s="212">
        <f t="shared" si="3"/>
        <v>0</v>
      </c>
    </row>
    <row r="251" spans="2:30" x14ac:dyDescent="0.15">
      <c r="B251" s="213">
        <v>17031006168</v>
      </c>
      <c r="C251" s="213">
        <v>17031000680</v>
      </c>
      <c r="D251" s="213">
        <v>17031000694</v>
      </c>
      <c r="E251" s="213" t="s">
        <v>533</v>
      </c>
      <c r="F251" s="213" t="s">
        <v>534</v>
      </c>
      <c r="G251" s="213" t="s">
        <v>365</v>
      </c>
      <c r="H251" s="213" t="s">
        <v>551</v>
      </c>
      <c r="I251" s="213"/>
      <c r="J251" s="213"/>
      <c r="K251" s="213"/>
      <c r="L251" s="213"/>
      <c r="M251" s="213"/>
      <c r="N251" s="213"/>
      <c r="O251" s="213"/>
      <c r="P251" s="213"/>
      <c r="Q251" s="213"/>
      <c r="R251" s="213"/>
      <c r="S251" s="213" t="s">
        <v>600</v>
      </c>
      <c r="T251" s="213"/>
      <c r="U251" s="213" t="s">
        <v>538</v>
      </c>
      <c r="V251" s="213">
        <v>2</v>
      </c>
      <c r="W251" s="213" t="s">
        <v>582</v>
      </c>
      <c r="X251" s="213" t="s">
        <v>554</v>
      </c>
      <c r="Y251" s="213" t="s">
        <v>549</v>
      </c>
      <c r="Z251" s="212">
        <v>192774</v>
      </c>
      <c r="AA251" s="212">
        <v>6267418</v>
      </c>
      <c r="AB251" s="217">
        <v>0.44461600000000001</v>
      </c>
      <c r="AC251" s="217">
        <v>0.71554200000000001</v>
      </c>
      <c r="AD251" s="212">
        <f t="shared" si="3"/>
        <v>2786594.321488</v>
      </c>
    </row>
    <row r="252" spans="2:30" x14ac:dyDescent="0.15">
      <c r="B252" s="213">
        <v>17031006173</v>
      </c>
      <c r="C252" s="213">
        <v>17031000647</v>
      </c>
      <c r="D252" s="213">
        <v>17031000680</v>
      </c>
      <c r="E252" s="213" t="s">
        <v>533</v>
      </c>
      <c r="F252" s="213" t="s">
        <v>534</v>
      </c>
      <c r="G252" s="213" t="s">
        <v>365</v>
      </c>
      <c r="H252" s="213" t="s">
        <v>551</v>
      </c>
      <c r="I252" s="213"/>
      <c r="J252" s="213"/>
      <c r="K252" s="213"/>
      <c r="L252" s="213"/>
      <c r="M252" s="213"/>
      <c r="N252" s="213"/>
      <c r="O252" s="213"/>
      <c r="P252" s="213"/>
      <c r="Q252" s="213"/>
      <c r="R252" s="213"/>
      <c r="S252" s="213" t="s">
        <v>600</v>
      </c>
      <c r="T252" s="213"/>
      <c r="U252" s="213" t="s">
        <v>538</v>
      </c>
      <c r="V252" s="213">
        <v>2</v>
      </c>
      <c r="W252" s="213" t="s">
        <v>582</v>
      </c>
      <c r="X252" s="213" t="s">
        <v>554</v>
      </c>
      <c r="Y252" s="213" t="s">
        <v>549</v>
      </c>
      <c r="Z252" s="212">
        <v>192774</v>
      </c>
      <c r="AA252" s="212">
        <v>6267418</v>
      </c>
      <c r="AB252" s="217">
        <v>0.163661</v>
      </c>
      <c r="AC252" s="217">
        <v>0.26338699999999998</v>
      </c>
      <c r="AD252" s="212">
        <f t="shared" si="3"/>
        <v>1025731.8972980001</v>
      </c>
    </row>
    <row r="253" spans="2:30" x14ac:dyDescent="0.15">
      <c r="B253" s="213">
        <v>17031006179</v>
      </c>
      <c r="C253" s="213">
        <v>17031001084</v>
      </c>
      <c r="D253" s="213">
        <v>17031001076</v>
      </c>
      <c r="E253" s="213" t="s">
        <v>533</v>
      </c>
      <c r="F253" s="213" t="s">
        <v>534</v>
      </c>
      <c r="G253" s="213" t="s">
        <v>365</v>
      </c>
      <c r="H253" s="213" t="s">
        <v>535</v>
      </c>
      <c r="I253" s="213"/>
      <c r="J253" s="213" t="s">
        <v>542</v>
      </c>
      <c r="K253" s="213" t="s">
        <v>572</v>
      </c>
      <c r="L253" s="213"/>
      <c r="M253" s="213"/>
      <c r="N253" s="213"/>
      <c r="O253" s="213"/>
      <c r="P253" s="213"/>
      <c r="Q253" s="213"/>
      <c r="R253" s="213"/>
      <c r="S253" s="213" t="s">
        <v>544</v>
      </c>
      <c r="T253" s="213"/>
      <c r="U253" s="213" t="s">
        <v>538</v>
      </c>
      <c r="V253" s="213">
        <v>2</v>
      </c>
      <c r="W253" s="213" t="s">
        <v>545</v>
      </c>
      <c r="X253" s="213" t="s">
        <v>549</v>
      </c>
      <c r="Y253" s="213" t="s">
        <v>549</v>
      </c>
      <c r="Z253" s="212">
        <v>9558</v>
      </c>
      <c r="AA253" s="212">
        <v>806456</v>
      </c>
      <c r="AB253" s="217">
        <v>0.23946000000000001</v>
      </c>
      <c r="AC253" s="217">
        <v>0.38537399999999999</v>
      </c>
      <c r="AD253" s="212">
        <f t="shared" si="3"/>
        <v>193113.95376</v>
      </c>
    </row>
    <row r="254" spans="2:30" x14ac:dyDescent="0.15">
      <c r="B254" s="213">
        <v>17031006180</v>
      </c>
      <c r="C254" s="213">
        <v>17031001084</v>
      </c>
      <c r="D254" s="213">
        <v>17031001099</v>
      </c>
      <c r="E254" s="213" t="s">
        <v>533</v>
      </c>
      <c r="F254" s="213" t="s">
        <v>534</v>
      </c>
      <c r="G254" s="213" t="s">
        <v>365</v>
      </c>
      <c r="H254" s="213" t="s">
        <v>571</v>
      </c>
      <c r="I254" s="213"/>
      <c r="J254" s="213" t="s">
        <v>572</v>
      </c>
      <c r="K254" s="213" t="s">
        <v>543</v>
      </c>
      <c r="L254" s="213"/>
      <c r="M254" s="213"/>
      <c r="N254" s="213"/>
      <c r="O254" s="213"/>
      <c r="P254" s="213"/>
      <c r="Q254" s="213"/>
      <c r="R254" s="213"/>
      <c r="S254" s="213"/>
      <c r="T254" s="213"/>
      <c r="U254" s="213" t="s">
        <v>538</v>
      </c>
      <c r="V254" s="213">
        <v>1</v>
      </c>
      <c r="W254" s="213" t="s">
        <v>560</v>
      </c>
      <c r="X254" s="213" t="s">
        <v>541</v>
      </c>
      <c r="Y254" s="213" t="s">
        <v>541</v>
      </c>
      <c r="Z254" s="212">
        <v>45711</v>
      </c>
      <c r="AA254" s="212">
        <v>4240446</v>
      </c>
      <c r="AB254" s="217">
        <v>0.62182199999999999</v>
      </c>
      <c r="AC254" s="217">
        <v>1.0007280000000001</v>
      </c>
      <c r="AD254" s="212">
        <f t="shared" si="3"/>
        <v>2636802.6126119997</v>
      </c>
    </row>
    <row r="255" spans="2:30" x14ac:dyDescent="0.15">
      <c r="B255" s="213">
        <v>17031006183</v>
      </c>
      <c r="C255" s="213">
        <v>17031000729</v>
      </c>
      <c r="D255" s="213">
        <v>17031000730</v>
      </c>
      <c r="E255" s="213" t="s">
        <v>533</v>
      </c>
      <c r="F255" s="213" t="s">
        <v>534</v>
      </c>
      <c r="G255" s="213" t="s">
        <v>365</v>
      </c>
      <c r="H255" s="213" t="s">
        <v>535</v>
      </c>
      <c r="I255" s="213"/>
      <c r="J255" s="213" t="s">
        <v>542</v>
      </c>
      <c r="K255" s="213" t="s">
        <v>572</v>
      </c>
      <c r="L255" s="213" t="s">
        <v>547</v>
      </c>
      <c r="M255" s="213" t="s">
        <v>382</v>
      </c>
      <c r="N255" s="213"/>
      <c r="O255" s="213"/>
      <c r="P255" s="213"/>
      <c r="Q255" s="213"/>
      <c r="R255" s="213"/>
      <c r="S255" s="213" t="s">
        <v>624</v>
      </c>
      <c r="T255" s="213" t="s">
        <v>625</v>
      </c>
      <c r="U255" s="213" t="s">
        <v>538</v>
      </c>
      <c r="V255" s="213">
        <v>2</v>
      </c>
      <c r="W255" s="213" t="s">
        <v>545</v>
      </c>
      <c r="X255" s="213" t="s">
        <v>554</v>
      </c>
      <c r="Y255" s="213" t="s">
        <v>549</v>
      </c>
      <c r="Z255" s="212">
        <v>2212</v>
      </c>
      <c r="AA255" s="212">
        <v>203360</v>
      </c>
      <c r="AB255" s="217">
        <v>3.8067999999999998E-2</v>
      </c>
      <c r="AC255" s="217">
        <v>6.1265E-2</v>
      </c>
      <c r="AD255" s="212">
        <f t="shared" si="3"/>
        <v>7741.5084799999995</v>
      </c>
    </row>
    <row r="256" spans="2:30" x14ac:dyDescent="0.15">
      <c r="B256" s="213">
        <v>17031006185</v>
      </c>
      <c r="C256" s="213">
        <v>17031000752</v>
      </c>
      <c r="D256" s="213">
        <v>17031000744</v>
      </c>
      <c r="E256" s="213" t="s">
        <v>533</v>
      </c>
      <c r="F256" s="213" t="s">
        <v>534</v>
      </c>
      <c r="G256" s="213" t="s">
        <v>365</v>
      </c>
      <c r="H256" s="213" t="s">
        <v>644</v>
      </c>
      <c r="I256" s="213"/>
      <c r="J256" s="213" t="s">
        <v>535</v>
      </c>
      <c r="K256" s="213"/>
      <c r="L256" s="213"/>
      <c r="M256" s="213"/>
      <c r="N256" s="213"/>
      <c r="O256" s="213"/>
      <c r="P256" s="213"/>
      <c r="Q256" s="213"/>
      <c r="R256" s="213"/>
      <c r="S256" s="213"/>
      <c r="T256" s="213"/>
      <c r="U256" s="213" t="s">
        <v>559</v>
      </c>
      <c r="V256" s="213">
        <v>1</v>
      </c>
      <c r="W256" s="213" t="s">
        <v>560</v>
      </c>
      <c r="X256" s="213" t="s">
        <v>541</v>
      </c>
      <c r="Y256" s="213" t="s">
        <v>541</v>
      </c>
      <c r="Z256" s="212">
        <v>0</v>
      </c>
      <c r="AA256" s="212">
        <v>0</v>
      </c>
      <c r="AB256" s="217">
        <v>0.16115499999999999</v>
      </c>
      <c r="AC256" s="217">
        <v>0.25935399999999997</v>
      </c>
      <c r="AD256" s="212">
        <f t="shared" si="3"/>
        <v>0</v>
      </c>
    </row>
    <row r="257" spans="2:30" x14ac:dyDescent="0.15">
      <c r="B257" s="213">
        <v>17031006189</v>
      </c>
      <c r="C257" s="213">
        <v>17031001128</v>
      </c>
      <c r="D257" s="213">
        <v>17031001110</v>
      </c>
      <c r="E257" s="213" t="s">
        <v>533</v>
      </c>
      <c r="F257" s="213" t="s">
        <v>534</v>
      </c>
      <c r="G257" s="213" t="s">
        <v>365</v>
      </c>
      <c r="H257" s="213" t="s">
        <v>577</v>
      </c>
      <c r="I257" s="213"/>
      <c r="J257" s="213"/>
      <c r="K257" s="213"/>
      <c r="L257" s="213"/>
      <c r="M257" s="213"/>
      <c r="N257" s="213"/>
      <c r="O257" s="213"/>
      <c r="P257" s="213"/>
      <c r="Q257" s="213"/>
      <c r="R257" s="213"/>
      <c r="S257" s="213"/>
      <c r="T257" s="213"/>
      <c r="U257" s="213" t="s">
        <v>538</v>
      </c>
      <c r="V257" s="213">
        <v>1</v>
      </c>
      <c r="W257" s="213" t="s">
        <v>560</v>
      </c>
      <c r="X257" s="213" t="s">
        <v>541</v>
      </c>
      <c r="Y257" s="213" t="s">
        <v>541</v>
      </c>
      <c r="Z257" s="212">
        <v>0</v>
      </c>
      <c r="AA257" s="212">
        <v>0</v>
      </c>
      <c r="AB257" s="217">
        <v>0.16883000000000001</v>
      </c>
      <c r="AC257" s="217">
        <v>0.27170699999999998</v>
      </c>
      <c r="AD257" s="212">
        <f t="shared" si="3"/>
        <v>0</v>
      </c>
    </row>
    <row r="258" spans="2:30" x14ac:dyDescent="0.15">
      <c r="B258" s="213">
        <v>17031006264</v>
      </c>
      <c r="C258" s="213">
        <v>17031001353</v>
      </c>
      <c r="D258" s="213">
        <v>17031001376</v>
      </c>
      <c r="E258" s="213" t="s">
        <v>533</v>
      </c>
      <c r="F258" s="213" t="s">
        <v>534</v>
      </c>
      <c r="G258" s="213" t="s">
        <v>365</v>
      </c>
      <c r="H258" s="213" t="s">
        <v>551</v>
      </c>
      <c r="I258" s="213"/>
      <c r="J258" s="213"/>
      <c r="K258" s="213"/>
      <c r="L258" s="213"/>
      <c r="M258" s="213"/>
      <c r="N258" s="213"/>
      <c r="O258" s="213"/>
      <c r="P258" s="213"/>
      <c r="Q258" s="213"/>
      <c r="R258" s="213"/>
      <c r="S258" s="213" t="s">
        <v>603</v>
      </c>
      <c r="T258" s="213"/>
      <c r="U258" s="213" t="s">
        <v>538</v>
      </c>
      <c r="V258" s="213">
        <v>1</v>
      </c>
      <c r="W258" s="213" t="s">
        <v>545</v>
      </c>
      <c r="X258" s="213" t="s">
        <v>541</v>
      </c>
      <c r="Y258" s="213" t="s">
        <v>549</v>
      </c>
      <c r="Z258" s="212">
        <v>344561</v>
      </c>
      <c r="AA258" s="212">
        <v>18126188</v>
      </c>
      <c r="AB258" s="217">
        <v>0.24614800000000001</v>
      </c>
      <c r="AC258" s="217">
        <v>0.39613700000000002</v>
      </c>
      <c r="AD258" s="212">
        <f t="shared" si="3"/>
        <v>4461724.9238240002</v>
      </c>
    </row>
    <row r="259" spans="2:30" x14ac:dyDescent="0.15">
      <c r="B259" s="213">
        <v>17031006266</v>
      </c>
      <c r="C259" s="213">
        <v>17031001089</v>
      </c>
      <c r="D259" s="213">
        <v>17031001090</v>
      </c>
      <c r="E259" s="213" t="s">
        <v>533</v>
      </c>
      <c r="F259" s="213" t="s">
        <v>534</v>
      </c>
      <c r="G259" s="213" t="s">
        <v>365</v>
      </c>
      <c r="H259" s="213" t="s">
        <v>661</v>
      </c>
      <c r="I259" s="213"/>
      <c r="J259" s="213"/>
      <c r="K259" s="213"/>
      <c r="L259" s="213"/>
      <c r="M259" s="213"/>
      <c r="N259" s="213"/>
      <c r="O259" s="213"/>
      <c r="P259" s="213"/>
      <c r="Q259" s="213"/>
      <c r="R259" s="213"/>
      <c r="S259" s="213"/>
      <c r="T259" s="213"/>
      <c r="U259" s="213" t="s">
        <v>538</v>
      </c>
      <c r="V259" s="213">
        <v>1</v>
      </c>
      <c r="W259" s="213" t="s">
        <v>560</v>
      </c>
      <c r="X259" s="213" t="s">
        <v>541</v>
      </c>
      <c r="Y259" s="213" t="s">
        <v>541</v>
      </c>
      <c r="Z259" s="212">
        <v>0</v>
      </c>
      <c r="AA259" s="212">
        <v>0</v>
      </c>
      <c r="AB259" s="217">
        <v>6.9765999999999995E-2</v>
      </c>
      <c r="AC259" s="217">
        <v>0.112278</v>
      </c>
      <c r="AD259" s="212">
        <f t="shared" si="3"/>
        <v>0</v>
      </c>
    </row>
    <row r="260" spans="2:30" x14ac:dyDescent="0.15">
      <c r="B260" s="213">
        <v>17031006268</v>
      </c>
      <c r="C260" s="213">
        <v>17031001109</v>
      </c>
      <c r="D260" s="213">
        <v>17031006704</v>
      </c>
      <c r="E260" s="213" t="s">
        <v>533</v>
      </c>
      <c r="F260" s="213" t="s">
        <v>534</v>
      </c>
      <c r="G260" s="213" t="s">
        <v>365</v>
      </c>
      <c r="H260" s="213" t="s">
        <v>661</v>
      </c>
      <c r="I260" s="213"/>
      <c r="J260" s="213"/>
      <c r="K260" s="213"/>
      <c r="L260" s="213"/>
      <c r="M260" s="213"/>
      <c r="N260" s="213"/>
      <c r="O260" s="213"/>
      <c r="P260" s="213"/>
      <c r="Q260" s="213"/>
      <c r="R260" s="213"/>
      <c r="S260" s="213"/>
      <c r="T260" s="213" t="s">
        <v>662</v>
      </c>
      <c r="U260" s="213" t="s">
        <v>538</v>
      </c>
      <c r="V260" s="213">
        <v>1</v>
      </c>
      <c r="W260" s="213" t="s">
        <v>560</v>
      </c>
      <c r="X260" s="213" t="s">
        <v>541</v>
      </c>
      <c r="Y260" s="213" t="s">
        <v>541</v>
      </c>
      <c r="Z260" s="212">
        <v>0</v>
      </c>
      <c r="AA260" s="212">
        <v>0</v>
      </c>
      <c r="AB260" s="217">
        <v>0.48571300000000001</v>
      </c>
      <c r="AC260" s="217">
        <v>0.78168099999999996</v>
      </c>
      <c r="AD260" s="212">
        <f t="shared" si="3"/>
        <v>0</v>
      </c>
    </row>
    <row r="261" spans="2:30" x14ac:dyDescent="0.15">
      <c r="B261" s="213">
        <v>17031006272</v>
      </c>
      <c r="C261" s="213">
        <v>17031001402</v>
      </c>
      <c r="D261" s="213">
        <v>17031004744</v>
      </c>
      <c r="E261" s="213" t="s">
        <v>533</v>
      </c>
      <c r="F261" s="213" t="s">
        <v>534</v>
      </c>
      <c r="G261" s="213" t="s">
        <v>365</v>
      </c>
      <c r="H261" s="213" t="s">
        <v>557</v>
      </c>
      <c r="I261" s="213"/>
      <c r="J261" s="213" t="s">
        <v>552</v>
      </c>
      <c r="K261" s="213"/>
      <c r="L261" s="213"/>
      <c r="M261" s="213"/>
      <c r="N261" s="213"/>
      <c r="O261" s="213"/>
      <c r="P261" s="213"/>
      <c r="Q261" s="213"/>
      <c r="R261" s="213"/>
      <c r="S261" s="213" t="s">
        <v>634</v>
      </c>
      <c r="T261" s="213"/>
      <c r="U261" s="213" t="s">
        <v>559</v>
      </c>
      <c r="V261" s="213">
        <v>1</v>
      </c>
      <c r="W261" s="213" t="s">
        <v>560</v>
      </c>
      <c r="X261" s="213" t="s">
        <v>541</v>
      </c>
      <c r="Y261" s="213" t="s">
        <v>541</v>
      </c>
      <c r="Z261" s="212">
        <v>0</v>
      </c>
      <c r="AA261" s="212">
        <v>0</v>
      </c>
      <c r="AB261" s="217">
        <v>0.23583499999999999</v>
      </c>
      <c r="AC261" s="217">
        <v>0.37953999999999999</v>
      </c>
      <c r="AD261" s="212">
        <f t="shared" si="3"/>
        <v>0</v>
      </c>
    </row>
    <row r="262" spans="2:30" x14ac:dyDescent="0.15">
      <c r="B262" s="213">
        <v>17031006293</v>
      </c>
      <c r="C262" s="213">
        <v>17031000625</v>
      </c>
      <c r="D262" s="213">
        <v>17031000629</v>
      </c>
      <c r="E262" s="213" t="s">
        <v>533</v>
      </c>
      <c r="F262" s="213" t="s">
        <v>534</v>
      </c>
      <c r="G262" s="213" t="s">
        <v>365</v>
      </c>
      <c r="H262" s="213" t="s">
        <v>382</v>
      </c>
      <c r="I262" s="213"/>
      <c r="J262" s="213" t="s">
        <v>572</v>
      </c>
      <c r="K262" s="213" t="s">
        <v>543</v>
      </c>
      <c r="L262" s="213"/>
      <c r="M262" s="213"/>
      <c r="N262" s="213"/>
      <c r="O262" s="213"/>
      <c r="P262" s="213"/>
      <c r="Q262" s="213"/>
      <c r="R262" s="213"/>
      <c r="S262" s="213" t="s">
        <v>609</v>
      </c>
      <c r="T262" s="213"/>
      <c r="U262" s="213" t="s">
        <v>538</v>
      </c>
      <c r="V262" s="213">
        <v>2</v>
      </c>
      <c r="W262" s="213" t="s">
        <v>539</v>
      </c>
      <c r="X262" s="213" t="s">
        <v>554</v>
      </c>
      <c r="Y262" s="213" t="s">
        <v>580</v>
      </c>
      <c r="Z262" s="212">
        <v>1094381</v>
      </c>
      <c r="AA262" s="212">
        <v>33287005</v>
      </c>
      <c r="AB262" s="217">
        <v>8.7497000000000005E-2</v>
      </c>
      <c r="AC262" s="217">
        <v>0.14081299999999999</v>
      </c>
      <c r="AD262" s="212">
        <f t="shared" ref="AD262:AD325" si="4">AA262*AB262</f>
        <v>2912513.0764850001</v>
      </c>
    </row>
    <row r="263" spans="2:30" x14ac:dyDescent="0.15">
      <c r="B263" s="213">
        <v>17031006298</v>
      </c>
      <c r="C263" s="213">
        <v>17031001403</v>
      </c>
      <c r="D263" s="213">
        <v>17031001390</v>
      </c>
      <c r="E263" s="213" t="s">
        <v>533</v>
      </c>
      <c r="F263" s="213" t="s">
        <v>534</v>
      </c>
      <c r="G263" s="213" t="s">
        <v>365</v>
      </c>
      <c r="H263" s="213" t="s">
        <v>557</v>
      </c>
      <c r="I263" s="213"/>
      <c r="J263" s="213" t="s">
        <v>552</v>
      </c>
      <c r="K263" s="213"/>
      <c r="L263" s="213"/>
      <c r="M263" s="213"/>
      <c r="N263" s="213"/>
      <c r="O263" s="213"/>
      <c r="P263" s="213"/>
      <c r="Q263" s="213"/>
      <c r="R263" s="213"/>
      <c r="S263" s="213" t="s">
        <v>567</v>
      </c>
      <c r="T263" s="213"/>
      <c r="U263" s="213" t="s">
        <v>559</v>
      </c>
      <c r="V263" s="213">
        <v>1</v>
      </c>
      <c r="W263" s="213" t="s">
        <v>560</v>
      </c>
      <c r="X263" s="213" t="s">
        <v>541</v>
      </c>
      <c r="Y263" s="213" t="s">
        <v>541</v>
      </c>
      <c r="Z263" s="212">
        <v>440</v>
      </c>
      <c r="AA263" s="212">
        <v>41160</v>
      </c>
      <c r="AB263" s="217">
        <v>0.39464100000000002</v>
      </c>
      <c r="AC263" s="217">
        <v>0.63511499999999999</v>
      </c>
      <c r="AD263" s="212">
        <f t="shared" si="4"/>
        <v>16243.423560000001</v>
      </c>
    </row>
    <row r="264" spans="2:30" x14ac:dyDescent="0.15">
      <c r="B264" s="213">
        <v>17031006317</v>
      </c>
      <c r="C264" s="213">
        <v>17031001172</v>
      </c>
      <c r="D264" s="213">
        <v>17031000958</v>
      </c>
      <c r="E264" s="213" t="s">
        <v>533</v>
      </c>
      <c r="F264" s="213" t="s">
        <v>534</v>
      </c>
      <c r="G264" s="213" t="s">
        <v>365</v>
      </c>
      <c r="H264" s="213" t="s">
        <v>547</v>
      </c>
      <c r="I264" s="213"/>
      <c r="J264" s="213" t="s">
        <v>627</v>
      </c>
      <c r="K264" s="213"/>
      <c r="L264" s="213"/>
      <c r="M264" s="213"/>
      <c r="N264" s="213"/>
      <c r="O264" s="213"/>
      <c r="P264" s="213"/>
      <c r="Q264" s="213"/>
      <c r="R264" s="213"/>
      <c r="S264" s="213"/>
      <c r="T264" s="213"/>
      <c r="U264" s="213" t="s">
        <v>538</v>
      </c>
      <c r="V264" s="213">
        <v>4</v>
      </c>
      <c r="W264" s="213" t="s">
        <v>545</v>
      </c>
      <c r="X264" s="213" t="s">
        <v>540</v>
      </c>
      <c r="Y264" s="213" t="s">
        <v>541</v>
      </c>
      <c r="Z264" s="212">
        <v>0</v>
      </c>
      <c r="AA264" s="212">
        <v>0</v>
      </c>
      <c r="AB264" s="217">
        <v>6.06473</v>
      </c>
      <c r="AC264" s="217">
        <v>9.760256</v>
      </c>
      <c r="AD264" s="212">
        <f t="shared" si="4"/>
        <v>0</v>
      </c>
    </row>
    <row r="265" spans="2:30" x14ac:dyDescent="0.15">
      <c r="B265" s="213">
        <v>17031006318</v>
      </c>
      <c r="C265" s="213">
        <v>17031000910</v>
      </c>
      <c r="D265" s="213">
        <v>17031000934</v>
      </c>
      <c r="E265" s="213" t="s">
        <v>533</v>
      </c>
      <c r="F265" s="213" t="s">
        <v>534</v>
      </c>
      <c r="G265" s="213" t="s">
        <v>365</v>
      </c>
      <c r="H265" s="213" t="s">
        <v>535</v>
      </c>
      <c r="I265" s="213"/>
      <c r="J265" s="213" t="s">
        <v>542</v>
      </c>
      <c r="K265" s="213" t="s">
        <v>572</v>
      </c>
      <c r="L265" s="213" t="s">
        <v>547</v>
      </c>
      <c r="M265" s="213" t="s">
        <v>382</v>
      </c>
      <c r="N265" s="213" t="s">
        <v>552</v>
      </c>
      <c r="O265" s="213" t="s">
        <v>381</v>
      </c>
      <c r="P265" s="213"/>
      <c r="Q265" s="213"/>
      <c r="R265" s="213"/>
      <c r="S265" s="213" t="s">
        <v>601</v>
      </c>
      <c r="T265" s="213"/>
      <c r="U265" s="213" t="s">
        <v>538</v>
      </c>
      <c r="V265" s="213">
        <v>2</v>
      </c>
      <c r="W265" s="213" t="s">
        <v>545</v>
      </c>
      <c r="X265" s="213" t="s">
        <v>549</v>
      </c>
      <c r="Y265" s="213" t="s">
        <v>540</v>
      </c>
      <c r="Z265" s="212">
        <v>2040</v>
      </c>
      <c r="AA265" s="212">
        <v>173600</v>
      </c>
      <c r="AB265" s="217">
        <v>7.2438000000000002E-2</v>
      </c>
      <c r="AC265" s="217">
        <v>0.116578</v>
      </c>
      <c r="AD265" s="212">
        <f t="shared" si="4"/>
        <v>12575.236800000001</v>
      </c>
    </row>
    <row r="266" spans="2:30" x14ac:dyDescent="0.15">
      <c r="B266" s="213">
        <v>17031006333</v>
      </c>
      <c r="C266" s="213">
        <v>17031004581</v>
      </c>
      <c r="D266" s="213">
        <v>17031000300</v>
      </c>
      <c r="E266" s="213" t="s">
        <v>533</v>
      </c>
      <c r="F266" s="213" t="s">
        <v>534</v>
      </c>
      <c r="G266" s="213" t="s">
        <v>365</v>
      </c>
      <c r="H266" s="213" t="s">
        <v>382</v>
      </c>
      <c r="I266" s="213"/>
      <c r="J266" s="213" t="s">
        <v>547</v>
      </c>
      <c r="K266" s="213"/>
      <c r="L266" s="213"/>
      <c r="M266" s="213"/>
      <c r="N266" s="213"/>
      <c r="O266" s="213"/>
      <c r="P266" s="213"/>
      <c r="Q266" s="213"/>
      <c r="R266" s="213"/>
      <c r="S266" s="213" t="s">
        <v>565</v>
      </c>
      <c r="T266" s="213"/>
      <c r="U266" s="213" t="s">
        <v>538</v>
      </c>
      <c r="V266" s="213">
        <v>2</v>
      </c>
      <c r="W266" s="213" t="s">
        <v>566</v>
      </c>
      <c r="X266" s="213" t="s">
        <v>549</v>
      </c>
      <c r="Y266" s="213" t="s">
        <v>541</v>
      </c>
      <c r="Z266" s="212">
        <v>0</v>
      </c>
      <c r="AA266" s="212">
        <v>0</v>
      </c>
      <c r="AB266" s="217">
        <v>0.15001800000000001</v>
      </c>
      <c r="AC266" s="217">
        <v>0.24143000000000001</v>
      </c>
      <c r="AD266" s="212">
        <f t="shared" si="4"/>
        <v>0</v>
      </c>
    </row>
    <row r="267" spans="2:30" x14ac:dyDescent="0.15">
      <c r="B267" s="213">
        <v>17031006334</v>
      </c>
      <c r="C267" s="213">
        <v>17031004586</v>
      </c>
      <c r="D267" s="213">
        <v>17031004585</v>
      </c>
      <c r="E267" s="213" t="s">
        <v>533</v>
      </c>
      <c r="F267" s="213" t="s">
        <v>534</v>
      </c>
      <c r="G267" s="213" t="s">
        <v>365</v>
      </c>
      <c r="H267" s="213" t="s">
        <v>382</v>
      </c>
      <c r="I267" s="213"/>
      <c r="J267" s="213" t="s">
        <v>547</v>
      </c>
      <c r="K267" s="213"/>
      <c r="L267" s="213"/>
      <c r="M267" s="213"/>
      <c r="N267" s="213"/>
      <c r="O267" s="213"/>
      <c r="P267" s="213"/>
      <c r="Q267" s="213"/>
      <c r="R267" s="213"/>
      <c r="S267" s="213" t="s">
        <v>565</v>
      </c>
      <c r="T267" s="213"/>
      <c r="U267" s="213" t="s">
        <v>538</v>
      </c>
      <c r="V267" s="213">
        <v>2</v>
      </c>
      <c r="W267" s="213" t="s">
        <v>566</v>
      </c>
      <c r="X267" s="213" t="s">
        <v>549</v>
      </c>
      <c r="Y267" s="213" t="s">
        <v>541</v>
      </c>
      <c r="Z267" s="212">
        <v>0</v>
      </c>
      <c r="AA267" s="212">
        <v>0</v>
      </c>
      <c r="AB267" s="217">
        <v>0.20282700000000001</v>
      </c>
      <c r="AC267" s="217">
        <v>0.32641999999999999</v>
      </c>
      <c r="AD267" s="212">
        <f t="shared" si="4"/>
        <v>0</v>
      </c>
    </row>
    <row r="268" spans="2:30" x14ac:dyDescent="0.15">
      <c r="B268" s="213">
        <v>17031006339</v>
      </c>
      <c r="C268" s="213">
        <v>17031000259</v>
      </c>
      <c r="D268" s="213">
        <v>17031004588</v>
      </c>
      <c r="E268" s="213" t="s">
        <v>533</v>
      </c>
      <c r="F268" s="213" t="s">
        <v>534</v>
      </c>
      <c r="G268" s="213" t="s">
        <v>365</v>
      </c>
      <c r="H268" s="213" t="s">
        <v>382</v>
      </c>
      <c r="I268" s="213"/>
      <c r="J268" s="213" t="s">
        <v>535</v>
      </c>
      <c r="K268" s="213"/>
      <c r="L268" s="213"/>
      <c r="M268" s="213"/>
      <c r="N268" s="213"/>
      <c r="O268" s="213"/>
      <c r="P268" s="213"/>
      <c r="Q268" s="213"/>
      <c r="R268" s="213"/>
      <c r="S268" s="213" t="s">
        <v>586</v>
      </c>
      <c r="T268" s="213"/>
      <c r="U268" s="213" t="s">
        <v>538</v>
      </c>
      <c r="V268" s="213">
        <v>2</v>
      </c>
      <c r="W268" s="213" t="s">
        <v>582</v>
      </c>
      <c r="X268" s="213" t="s">
        <v>549</v>
      </c>
      <c r="Y268" s="213" t="s">
        <v>549</v>
      </c>
      <c r="Z268" s="212">
        <v>149468</v>
      </c>
      <c r="AA268" s="212">
        <v>17128638</v>
      </c>
      <c r="AB268" s="217">
        <v>1.3260400000000001</v>
      </c>
      <c r="AC268" s="217">
        <v>2.1340590000000002</v>
      </c>
      <c r="AD268" s="212">
        <f t="shared" si="4"/>
        <v>22713259.133520003</v>
      </c>
    </row>
    <row r="269" spans="2:30" x14ac:dyDescent="0.15">
      <c r="B269" s="213">
        <v>17031006344</v>
      </c>
      <c r="C269" s="213">
        <v>17031000252</v>
      </c>
      <c r="D269" s="213">
        <v>17031004624</v>
      </c>
      <c r="E269" s="213" t="s">
        <v>533</v>
      </c>
      <c r="F269" s="213" t="s">
        <v>534</v>
      </c>
      <c r="G269" s="213" t="s">
        <v>365</v>
      </c>
      <c r="H269" s="213" t="s">
        <v>535</v>
      </c>
      <c r="I269" s="213"/>
      <c r="J269" s="213" t="s">
        <v>547</v>
      </c>
      <c r="K269" s="213"/>
      <c r="L269" s="213"/>
      <c r="M269" s="213"/>
      <c r="N269" s="213"/>
      <c r="O269" s="213"/>
      <c r="P269" s="213"/>
      <c r="Q269" s="213"/>
      <c r="R269" s="213"/>
      <c r="S269" s="213" t="s">
        <v>548</v>
      </c>
      <c r="T269" s="213"/>
      <c r="U269" s="213" t="s">
        <v>538</v>
      </c>
      <c r="V269" s="213">
        <v>2</v>
      </c>
      <c r="W269" s="213" t="s">
        <v>545</v>
      </c>
      <c r="X269" s="213" t="s">
        <v>549</v>
      </c>
      <c r="Y269" s="213" t="s">
        <v>546</v>
      </c>
      <c r="Z269" s="212">
        <v>662157</v>
      </c>
      <c r="AA269" s="212">
        <v>30342002</v>
      </c>
      <c r="AB269" s="217">
        <v>0.38465100000000002</v>
      </c>
      <c r="AC269" s="217">
        <v>0.61903600000000003</v>
      </c>
      <c r="AD269" s="212">
        <f t="shared" si="4"/>
        <v>11671081.411302</v>
      </c>
    </row>
    <row r="270" spans="2:30" x14ac:dyDescent="0.15">
      <c r="B270" s="213">
        <v>17031006347</v>
      </c>
      <c r="C270" s="213">
        <v>17031000512</v>
      </c>
      <c r="D270" s="213">
        <v>17031000478</v>
      </c>
      <c r="E270" s="213" t="s">
        <v>533</v>
      </c>
      <c r="F270" s="213" t="s">
        <v>534</v>
      </c>
      <c r="G270" s="213" t="s">
        <v>365</v>
      </c>
      <c r="H270" s="213" t="s">
        <v>382</v>
      </c>
      <c r="I270" s="213"/>
      <c r="J270" s="213" t="s">
        <v>547</v>
      </c>
      <c r="K270" s="213"/>
      <c r="L270" s="213"/>
      <c r="M270" s="213"/>
      <c r="N270" s="213"/>
      <c r="O270" s="213"/>
      <c r="P270" s="213"/>
      <c r="Q270" s="213"/>
      <c r="R270" s="213"/>
      <c r="S270" s="213" t="s">
        <v>608</v>
      </c>
      <c r="T270" s="213"/>
      <c r="U270" s="213" t="s">
        <v>538</v>
      </c>
      <c r="V270" s="213">
        <v>4</v>
      </c>
      <c r="W270" s="213" t="s">
        <v>566</v>
      </c>
      <c r="X270" s="213" t="s">
        <v>540</v>
      </c>
      <c r="Y270" s="213" t="s">
        <v>541</v>
      </c>
      <c r="Z270" s="212">
        <v>0</v>
      </c>
      <c r="AA270" s="212">
        <v>0</v>
      </c>
      <c r="AB270" s="217">
        <v>0.35342099999999999</v>
      </c>
      <c r="AC270" s="217">
        <v>0.56877800000000001</v>
      </c>
      <c r="AD270" s="212">
        <f t="shared" si="4"/>
        <v>0</v>
      </c>
    </row>
    <row r="271" spans="2:30" x14ac:dyDescent="0.15">
      <c r="B271" s="213">
        <v>17031006349</v>
      </c>
      <c r="C271" s="213">
        <v>17031004593</v>
      </c>
      <c r="D271" s="213">
        <v>17031004592</v>
      </c>
      <c r="E271" s="213" t="s">
        <v>533</v>
      </c>
      <c r="F271" s="213" t="s">
        <v>534</v>
      </c>
      <c r="G271" s="213" t="s">
        <v>365</v>
      </c>
      <c r="H271" s="213" t="s">
        <v>535</v>
      </c>
      <c r="I271" s="213"/>
      <c r="J271" s="213" t="s">
        <v>547</v>
      </c>
      <c r="K271" s="213" t="s">
        <v>551</v>
      </c>
      <c r="L271" s="213"/>
      <c r="M271" s="213"/>
      <c r="N271" s="213"/>
      <c r="O271" s="213"/>
      <c r="P271" s="213"/>
      <c r="Q271" s="213"/>
      <c r="R271" s="213"/>
      <c r="S271" s="213" t="s">
        <v>548</v>
      </c>
      <c r="T271" s="213" t="s">
        <v>671</v>
      </c>
      <c r="U271" s="213" t="s">
        <v>538</v>
      </c>
      <c r="V271" s="213">
        <v>2</v>
      </c>
      <c r="W271" s="213" t="s">
        <v>545</v>
      </c>
      <c r="X271" s="213" t="s">
        <v>549</v>
      </c>
      <c r="Y271" s="213" t="s">
        <v>546</v>
      </c>
      <c r="Z271" s="212">
        <v>662357</v>
      </c>
      <c r="AA271" s="212">
        <v>30359562</v>
      </c>
      <c r="AB271" s="217">
        <v>0.51984699999999995</v>
      </c>
      <c r="AC271" s="217">
        <v>0.83661399999999997</v>
      </c>
      <c r="AD271" s="212">
        <f t="shared" si="4"/>
        <v>15782327.227013998</v>
      </c>
    </row>
    <row r="272" spans="2:30" x14ac:dyDescent="0.15">
      <c r="B272" s="213">
        <v>17031006356</v>
      </c>
      <c r="C272" s="213">
        <v>17031000486</v>
      </c>
      <c r="D272" s="213">
        <v>17031004642</v>
      </c>
      <c r="E272" s="213" t="s">
        <v>533</v>
      </c>
      <c r="F272" s="213" t="s">
        <v>534</v>
      </c>
      <c r="G272" s="213" t="s">
        <v>365</v>
      </c>
      <c r="H272" s="213" t="s">
        <v>552</v>
      </c>
      <c r="I272" s="213"/>
      <c r="J272" s="213" t="s">
        <v>551</v>
      </c>
      <c r="K272" s="213" t="s">
        <v>547</v>
      </c>
      <c r="L272" s="213" t="s">
        <v>382</v>
      </c>
      <c r="M272" s="213" t="s">
        <v>563</v>
      </c>
      <c r="N272" s="213"/>
      <c r="O272" s="213"/>
      <c r="P272" s="213"/>
      <c r="Q272" s="213"/>
      <c r="R272" s="213"/>
      <c r="S272" s="213" t="s">
        <v>589</v>
      </c>
      <c r="T272" s="213"/>
      <c r="U272" s="213" t="s">
        <v>538</v>
      </c>
      <c r="V272" s="213">
        <v>3</v>
      </c>
      <c r="W272" s="213" t="s">
        <v>545</v>
      </c>
      <c r="X272" s="213" t="s">
        <v>549</v>
      </c>
      <c r="Y272" s="213" t="s">
        <v>549</v>
      </c>
      <c r="Z272" s="212">
        <v>244221</v>
      </c>
      <c r="AA272" s="212">
        <v>19989495</v>
      </c>
      <c r="AB272" s="217">
        <v>5.2434000000000001E-2</v>
      </c>
      <c r="AC272" s="217">
        <v>8.4385000000000002E-2</v>
      </c>
      <c r="AD272" s="212">
        <f t="shared" si="4"/>
        <v>1048129.1808300001</v>
      </c>
    </row>
    <row r="273" spans="2:30" x14ac:dyDescent="0.15">
      <c r="B273" s="213">
        <v>17031006357</v>
      </c>
      <c r="C273" s="213">
        <v>17031000465</v>
      </c>
      <c r="D273" s="213">
        <v>17031000462</v>
      </c>
      <c r="E273" s="213" t="s">
        <v>533</v>
      </c>
      <c r="F273" s="213" t="s">
        <v>534</v>
      </c>
      <c r="G273" s="213" t="s">
        <v>365</v>
      </c>
      <c r="H273" s="213" t="s">
        <v>557</v>
      </c>
      <c r="I273" s="213"/>
      <c r="J273" s="213" t="s">
        <v>535</v>
      </c>
      <c r="K273" s="213" t="s">
        <v>552</v>
      </c>
      <c r="L273" s="213" t="s">
        <v>543</v>
      </c>
      <c r="M273" s="213" t="s">
        <v>382</v>
      </c>
      <c r="N273" s="213"/>
      <c r="O273" s="213"/>
      <c r="P273" s="213"/>
      <c r="Q273" s="213"/>
      <c r="R273" s="213"/>
      <c r="S273" s="213" t="s">
        <v>570</v>
      </c>
      <c r="T273" s="213" t="s">
        <v>676</v>
      </c>
      <c r="U273" s="213" t="s">
        <v>538</v>
      </c>
      <c r="V273" s="213">
        <v>2</v>
      </c>
      <c r="W273" s="213" t="s">
        <v>545</v>
      </c>
      <c r="X273" s="213" t="s">
        <v>554</v>
      </c>
      <c r="Y273" s="213" t="s">
        <v>546</v>
      </c>
      <c r="Z273" s="212">
        <v>884309</v>
      </c>
      <c r="AA273" s="212">
        <v>46298682</v>
      </c>
      <c r="AB273" s="217">
        <v>0.28209699999999999</v>
      </c>
      <c r="AC273" s="217">
        <v>0.45399299999999998</v>
      </c>
      <c r="AD273" s="212">
        <f t="shared" si="4"/>
        <v>13060719.296154</v>
      </c>
    </row>
    <row r="274" spans="2:30" x14ac:dyDescent="0.15">
      <c r="B274" s="213">
        <v>17031006358</v>
      </c>
      <c r="C274" s="213">
        <v>17031000526</v>
      </c>
      <c r="D274" s="213">
        <v>17031004644</v>
      </c>
      <c r="E274" s="213" t="s">
        <v>533</v>
      </c>
      <c r="F274" s="213" t="s">
        <v>534</v>
      </c>
      <c r="G274" s="213" t="s">
        <v>365</v>
      </c>
      <c r="H274" s="213" t="s">
        <v>557</v>
      </c>
      <c r="I274" s="213"/>
      <c r="J274" s="213" t="s">
        <v>535</v>
      </c>
      <c r="K274" s="213" t="s">
        <v>552</v>
      </c>
      <c r="L274" s="213" t="s">
        <v>543</v>
      </c>
      <c r="M274" s="213" t="s">
        <v>382</v>
      </c>
      <c r="N274" s="213"/>
      <c r="O274" s="213"/>
      <c r="P274" s="213"/>
      <c r="Q274" s="213"/>
      <c r="R274" s="213"/>
      <c r="S274" s="213" t="s">
        <v>570</v>
      </c>
      <c r="T274" s="213"/>
      <c r="U274" s="213" t="s">
        <v>538</v>
      </c>
      <c r="V274" s="213">
        <v>2</v>
      </c>
      <c r="W274" s="213" t="s">
        <v>545</v>
      </c>
      <c r="X274" s="213" t="s">
        <v>540</v>
      </c>
      <c r="Y274" s="213" t="s">
        <v>546</v>
      </c>
      <c r="Z274" s="212">
        <v>884309</v>
      </c>
      <c r="AA274" s="212">
        <v>46298682</v>
      </c>
      <c r="AB274" s="217">
        <v>0.52703999999999995</v>
      </c>
      <c r="AC274" s="217">
        <v>0.84819100000000003</v>
      </c>
      <c r="AD274" s="212">
        <f t="shared" si="4"/>
        <v>24401257.361279998</v>
      </c>
    </row>
    <row r="275" spans="2:30" x14ac:dyDescent="0.15">
      <c r="B275" s="213">
        <v>17031006363</v>
      </c>
      <c r="C275" s="213">
        <v>17999020762</v>
      </c>
      <c r="D275" s="213">
        <v>17031004654</v>
      </c>
      <c r="E275" s="213" t="s">
        <v>533</v>
      </c>
      <c r="F275" s="213" t="s">
        <v>534</v>
      </c>
      <c r="G275" s="213" t="s">
        <v>365</v>
      </c>
      <c r="H275" s="213" t="s">
        <v>535</v>
      </c>
      <c r="I275" s="213"/>
      <c r="J275" s="213"/>
      <c r="K275" s="213"/>
      <c r="L275" s="213"/>
      <c r="M275" s="213"/>
      <c r="N275" s="213"/>
      <c r="O275" s="213"/>
      <c r="P275" s="213"/>
      <c r="Q275" s="213"/>
      <c r="R275" s="213"/>
      <c r="S275" s="213" t="s">
        <v>624</v>
      </c>
      <c r="T275" s="213"/>
      <c r="U275" s="213" t="s">
        <v>538</v>
      </c>
      <c r="V275" s="213">
        <v>1</v>
      </c>
      <c r="W275" s="213" t="s">
        <v>582</v>
      </c>
      <c r="X275" s="213" t="s">
        <v>540</v>
      </c>
      <c r="Y275" s="213" t="s">
        <v>554</v>
      </c>
      <c r="Z275" s="212">
        <v>1600</v>
      </c>
      <c r="AA275" s="212">
        <v>134280</v>
      </c>
      <c r="AB275" s="217">
        <v>1.267617</v>
      </c>
      <c r="AC275" s="217">
        <v>2.0400360000000002</v>
      </c>
      <c r="AD275" s="212">
        <f t="shared" si="4"/>
        <v>170215.61076000001</v>
      </c>
    </row>
    <row r="276" spans="2:30" x14ac:dyDescent="0.15">
      <c r="B276" s="213">
        <v>17031006370</v>
      </c>
      <c r="C276" s="213">
        <v>17031004664</v>
      </c>
      <c r="D276" s="213">
        <v>17031000719</v>
      </c>
      <c r="E276" s="213" t="s">
        <v>533</v>
      </c>
      <c r="F276" s="213" t="s">
        <v>534</v>
      </c>
      <c r="G276" s="213" t="s">
        <v>365</v>
      </c>
      <c r="H276" s="213" t="s">
        <v>381</v>
      </c>
      <c r="I276" s="213"/>
      <c r="J276" s="213" t="s">
        <v>542</v>
      </c>
      <c r="K276" s="213" t="s">
        <v>547</v>
      </c>
      <c r="L276" s="213" t="s">
        <v>382</v>
      </c>
      <c r="M276" s="213"/>
      <c r="N276" s="213"/>
      <c r="O276" s="213"/>
      <c r="P276" s="213"/>
      <c r="Q276" s="213"/>
      <c r="R276" s="213"/>
      <c r="S276" s="213" t="s">
        <v>579</v>
      </c>
      <c r="T276" s="213"/>
      <c r="U276" s="213" t="s">
        <v>538</v>
      </c>
      <c r="V276" s="213">
        <v>5</v>
      </c>
      <c r="W276" s="213" t="s">
        <v>545</v>
      </c>
      <c r="X276" s="213" t="s">
        <v>549</v>
      </c>
      <c r="Y276" s="213" t="s">
        <v>580</v>
      </c>
      <c r="Z276" s="212">
        <v>2414957</v>
      </c>
      <c r="AA276" s="212">
        <v>66249232</v>
      </c>
      <c r="AB276" s="217">
        <v>0.344275</v>
      </c>
      <c r="AC276" s="217">
        <v>0.55405800000000005</v>
      </c>
      <c r="AD276" s="212">
        <f t="shared" si="4"/>
        <v>22807954.346799999</v>
      </c>
    </row>
    <row r="277" spans="2:30" x14ac:dyDescent="0.15">
      <c r="B277" s="213">
        <v>17031006371</v>
      </c>
      <c r="C277" s="213">
        <v>17031000721</v>
      </c>
      <c r="D277" s="213">
        <v>17031000745</v>
      </c>
      <c r="E277" s="213" t="s">
        <v>533</v>
      </c>
      <c r="F277" s="213" t="s">
        <v>534</v>
      </c>
      <c r="G277" s="213" t="s">
        <v>365</v>
      </c>
      <c r="H277" s="213" t="s">
        <v>571</v>
      </c>
      <c r="I277" s="213"/>
      <c r="J277" s="213" t="s">
        <v>381</v>
      </c>
      <c r="K277" s="213" t="s">
        <v>535</v>
      </c>
      <c r="L277" s="213" t="s">
        <v>552</v>
      </c>
      <c r="M277" s="213" t="s">
        <v>551</v>
      </c>
      <c r="N277" s="213" t="s">
        <v>563</v>
      </c>
      <c r="O277" s="213" t="s">
        <v>543</v>
      </c>
      <c r="P277" s="213"/>
      <c r="Q277" s="213"/>
      <c r="R277" s="213"/>
      <c r="S277" s="213" t="s">
        <v>573</v>
      </c>
      <c r="T277" s="213"/>
      <c r="U277" s="213" t="s">
        <v>538</v>
      </c>
      <c r="V277" s="213">
        <v>2</v>
      </c>
      <c r="W277" s="213" t="s">
        <v>545</v>
      </c>
      <c r="X277" s="213" t="s">
        <v>554</v>
      </c>
      <c r="Y277" s="213" t="s">
        <v>580</v>
      </c>
      <c r="Z277" s="212">
        <v>86092</v>
      </c>
      <c r="AA277" s="212">
        <v>5124132</v>
      </c>
      <c r="AB277" s="217">
        <v>3.0428E-2</v>
      </c>
      <c r="AC277" s="217">
        <v>4.8968999999999999E-2</v>
      </c>
      <c r="AD277" s="212">
        <f t="shared" si="4"/>
        <v>155917.08849600001</v>
      </c>
    </row>
    <row r="278" spans="2:30" x14ac:dyDescent="0.15">
      <c r="B278" s="213">
        <v>17031006384</v>
      </c>
      <c r="C278" s="213">
        <v>17031004673</v>
      </c>
      <c r="D278" s="213">
        <v>17031000720</v>
      </c>
      <c r="E278" s="213" t="s">
        <v>533</v>
      </c>
      <c r="F278" s="213" t="s">
        <v>534</v>
      </c>
      <c r="G278" s="213" t="s">
        <v>365</v>
      </c>
      <c r="H278" s="213" t="s">
        <v>571</v>
      </c>
      <c r="I278" s="213"/>
      <c r="J278" s="213" t="s">
        <v>381</v>
      </c>
      <c r="K278" s="213" t="s">
        <v>535</v>
      </c>
      <c r="L278" s="213" t="s">
        <v>543</v>
      </c>
      <c r="M278" s="213"/>
      <c r="N278" s="213"/>
      <c r="O278" s="213"/>
      <c r="P278" s="213"/>
      <c r="Q278" s="213"/>
      <c r="R278" s="213"/>
      <c r="S278" s="213"/>
      <c r="T278" s="213"/>
      <c r="U278" s="213" t="s">
        <v>538</v>
      </c>
      <c r="V278" s="213">
        <v>1</v>
      </c>
      <c r="W278" s="213" t="s">
        <v>545</v>
      </c>
      <c r="X278" s="213" t="s">
        <v>541</v>
      </c>
      <c r="Y278" s="213" t="s">
        <v>540</v>
      </c>
      <c r="Z278" s="212">
        <v>23196</v>
      </c>
      <c r="AA278" s="212">
        <v>1367968</v>
      </c>
      <c r="AB278" s="217">
        <v>0.248501</v>
      </c>
      <c r="AC278" s="217">
        <v>0.399924</v>
      </c>
      <c r="AD278" s="212">
        <f t="shared" si="4"/>
        <v>339941.41596800002</v>
      </c>
    </row>
    <row r="279" spans="2:30" x14ac:dyDescent="0.15">
      <c r="B279" s="213">
        <v>17031006387</v>
      </c>
      <c r="C279" s="213">
        <v>17031000625</v>
      </c>
      <c r="D279" s="213">
        <v>17031004675</v>
      </c>
      <c r="E279" s="213" t="s">
        <v>533</v>
      </c>
      <c r="F279" s="213" t="s">
        <v>534</v>
      </c>
      <c r="G279" s="213" t="s">
        <v>365</v>
      </c>
      <c r="H279" s="213" t="s">
        <v>382</v>
      </c>
      <c r="I279" s="213"/>
      <c r="J279" s="213" t="s">
        <v>572</v>
      </c>
      <c r="K279" s="213" t="s">
        <v>543</v>
      </c>
      <c r="L279" s="213"/>
      <c r="M279" s="213"/>
      <c r="N279" s="213"/>
      <c r="O279" s="213"/>
      <c r="P279" s="213"/>
      <c r="Q279" s="213"/>
      <c r="R279" s="213"/>
      <c r="S279" s="213" t="s">
        <v>609</v>
      </c>
      <c r="T279" s="213"/>
      <c r="U279" s="213" t="s">
        <v>538</v>
      </c>
      <c r="V279" s="213">
        <v>2</v>
      </c>
      <c r="W279" s="213" t="s">
        <v>539</v>
      </c>
      <c r="X279" s="213" t="s">
        <v>554</v>
      </c>
      <c r="Y279" s="213" t="s">
        <v>580</v>
      </c>
      <c r="Z279" s="212">
        <v>2335278</v>
      </c>
      <c r="AA279" s="212">
        <v>46480054</v>
      </c>
      <c r="AB279" s="217">
        <v>0.17044699999999999</v>
      </c>
      <c r="AC279" s="217">
        <v>0.27430900000000003</v>
      </c>
      <c r="AD279" s="212">
        <f t="shared" si="4"/>
        <v>7922385.7641379992</v>
      </c>
    </row>
    <row r="280" spans="2:30" x14ac:dyDescent="0.15">
      <c r="B280" s="213">
        <v>17031006388</v>
      </c>
      <c r="C280" s="213">
        <v>17031004675</v>
      </c>
      <c r="D280" s="213">
        <v>17031000638</v>
      </c>
      <c r="E280" s="213" t="s">
        <v>533</v>
      </c>
      <c r="F280" s="213" t="s">
        <v>534</v>
      </c>
      <c r="G280" s="213" t="s">
        <v>365</v>
      </c>
      <c r="H280" s="213" t="s">
        <v>382</v>
      </c>
      <c r="I280" s="213"/>
      <c r="J280" s="213" t="s">
        <v>572</v>
      </c>
      <c r="K280" s="213"/>
      <c r="L280" s="213"/>
      <c r="M280" s="213"/>
      <c r="N280" s="213"/>
      <c r="O280" s="213"/>
      <c r="P280" s="213"/>
      <c r="Q280" s="213"/>
      <c r="R280" s="213"/>
      <c r="S280" s="213" t="s">
        <v>609</v>
      </c>
      <c r="T280" s="213"/>
      <c r="U280" s="213" t="s">
        <v>538</v>
      </c>
      <c r="V280" s="213">
        <v>2</v>
      </c>
      <c r="W280" s="213" t="s">
        <v>539</v>
      </c>
      <c r="X280" s="213" t="s">
        <v>541</v>
      </c>
      <c r="Y280" s="213" t="s">
        <v>546</v>
      </c>
      <c r="Z280" s="212">
        <v>258148</v>
      </c>
      <c r="AA280" s="212">
        <v>3984112</v>
      </c>
      <c r="AB280" s="217">
        <v>0.20289699999999999</v>
      </c>
      <c r="AC280" s="217">
        <v>0.32653100000000002</v>
      </c>
      <c r="AD280" s="212">
        <f t="shared" si="4"/>
        <v>808364.37246400001</v>
      </c>
    </row>
    <row r="281" spans="2:30" x14ac:dyDescent="0.15">
      <c r="B281" s="213">
        <v>17031006400</v>
      </c>
      <c r="C281" s="213">
        <v>17031004680</v>
      </c>
      <c r="D281" s="213">
        <v>17031004679</v>
      </c>
      <c r="E281" s="213" t="s">
        <v>533</v>
      </c>
      <c r="F281" s="213" t="s">
        <v>534</v>
      </c>
      <c r="G281" s="213" t="s">
        <v>365</v>
      </c>
      <c r="H281" s="213" t="s">
        <v>381</v>
      </c>
      <c r="I281" s="213"/>
      <c r="J281" s="213" t="s">
        <v>382</v>
      </c>
      <c r="K281" s="213" t="s">
        <v>535</v>
      </c>
      <c r="L281" s="213"/>
      <c r="M281" s="213"/>
      <c r="N281" s="213"/>
      <c r="O281" s="213"/>
      <c r="P281" s="213"/>
      <c r="Q281" s="213"/>
      <c r="R281" s="213"/>
      <c r="S281" s="213"/>
      <c r="T281" s="213" t="s">
        <v>668</v>
      </c>
      <c r="U281" s="213" t="s">
        <v>559</v>
      </c>
      <c r="V281" s="213">
        <v>1</v>
      </c>
      <c r="W281" s="213" t="s">
        <v>539</v>
      </c>
      <c r="X281" s="213" t="s">
        <v>541</v>
      </c>
      <c r="Y281" s="213" t="s">
        <v>541</v>
      </c>
      <c r="Z281" s="212">
        <v>0</v>
      </c>
      <c r="AA281" s="212">
        <v>0</v>
      </c>
      <c r="AB281" s="217">
        <v>0.32686500000000002</v>
      </c>
      <c r="AC281" s="217">
        <v>0.52603900000000003</v>
      </c>
      <c r="AD281" s="212">
        <f t="shared" si="4"/>
        <v>0</v>
      </c>
    </row>
    <row r="282" spans="2:30" x14ac:dyDescent="0.15">
      <c r="B282" s="213">
        <v>17031006401</v>
      </c>
      <c r="C282" s="213">
        <v>17031004679</v>
      </c>
      <c r="D282" s="213">
        <v>17031004678</v>
      </c>
      <c r="E282" s="213" t="s">
        <v>533</v>
      </c>
      <c r="F282" s="213" t="s">
        <v>534</v>
      </c>
      <c r="G282" s="213" t="s">
        <v>365</v>
      </c>
      <c r="H282" s="213" t="s">
        <v>381</v>
      </c>
      <c r="I282" s="213"/>
      <c r="J282" s="213" t="s">
        <v>382</v>
      </c>
      <c r="K282" s="213" t="s">
        <v>535</v>
      </c>
      <c r="L282" s="213"/>
      <c r="M282" s="213"/>
      <c r="N282" s="213"/>
      <c r="O282" s="213"/>
      <c r="P282" s="213"/>
      <c r="Q282" s="213"/>
      <c r="R282" s="213"/>
      <c r="S282" s="213"/>
      <c r="T282" s="213" t="s">
        <v>668</v>
      </c>
      <c r="U282" s="213" t="s">
        <v>559</v>
      </c>
      <c r="V282" s="213">
        <v>1</v>
      </c>
      <c r="W282" s="213" t="s">
        <v>539</v>
      </c>
      <c r="X282" s="213" t="s">
        <v>541</v>
      </c>
      <c r="Y282" s="213" t="s">
        <v>541</v>
      </c>
      <c r="Z282" s="212">
        <v>0</v>
      </c>
      <c r="AA282" s="212">
        <v>0</v>
      </c>
      <c r="AB282" s="217">
        <v>0.132326</v>
      </c>
      <c r="AC282" s="217">
        <v>0.21295800000000001</v>
      </c>
      <c r="AD282" s="212">
        <f t="shared" si="4"/>
        <v>0</v>
      </c>
    </row>
    <row r="283" spans="2:30" x14ac:dyDescent="0.15">
      <c r="B283" s="213">
        <v>17031006407</v>
      </c>
      <c r="C283" s="213">
        <v>17031004705</v>
      </c>
      <c r="D283" s="213">
        <v>17031004704</v>
      </c>
      <c r="E283" s="213" t="s">
        <v>533</v>
      </c>
      <c r="F283" s="213" t="s">
        <v>534</v>
      </c>
      <c r="G283" s="213" t="s">
        <v>365</v>
      </c>
      <c r="H283" s="213" t="s">
        <v>547</v>
      </c>
      <c r="I283" s="213"/>
      <c r="J283" s="213"/>
      <c r="K283" s="213"/>
      <c r="L283" s="213"/>
      <c r="M283" s="213"/>
      <c r="N283" s="213"/>
      <c r="O283" s="213"/>
      <c r="P283" s="213"/>
      <c r="Q283" s="213"/>
      <c r="R283" s="213"/>
      <c r="S283" s="213" t="s">
        <v>611</v>
      </c>
      <c r="T283" s="213"/>
      <c r="U283" s="213" t="s">
        <v>538</v>
      </c>
      <c r="V283" s="213">
        <v>2</v>
      </c>
      <c r="W283" s="213" t="s">
        <v>582</v>
      </c>
      <c r="X283" s="213" t="s">
        <v>540</v>
      </c>
      <c r="Y283" s="213" t="s">
        <v>541</v>
      </c>
      <c r="Z283" s="212">
        <v>0</v>
      </c>
      <c r="AA283" s="212">
        <v>0</v>
      </c>
      <c r="AB283" s="217">
        <v>0.50446299999999999</v>
      </c>
      <c r="AC283" s="217">
        <v>0.81185700000000005</v>
      </c>
      <c r="AD283" s="212">
        <f t="shared" si="4"/>
        <v>0</v>
      </c>
    </row>
    <row r="284" spans="2:30" x14ac:dyDescent="0.15">
      <c r="B284" s="213">
        <v>17031006408</v>
      </c>
      <c r="C284" s="213">
        <v>17031004704</v>
      </c>
      <c r="D284" s="213">
        <v>17031004703</v>
      </c>
      <c r="E284" s="213" t="s">
        <v>533</v>
      </c>
      <c r="F284" s="213" t="s">
        <v>534</v>
      </c>
      <c r="G284" s="213" t="s">
        <v>365</v>
      </c>
      <c r="H284" s="213" t="s">
        <v>547</v>
      </c>
      <c r="I284" s="213"/>
      <c r="J284" s="213"/>
      <c r="K284" s="213"/>
      <c r="L284" s="213"/>
      <c r="M284" s="213"/>
      <c r="N284" s="213"/>
      <c r="O284" s="213"/>
      <c r="P284" s="213"/>
      <c r="Q284" s="213"/>
      <c r="R284" s="213"/>
      <c r="S284" s="213" t="s">
        <v>611</v>
      </c>
      <c r="T284" s="213"/>
      <c r="U284" s="213" t="s">
        <v>538</v>
      </c>
      <c r="V284" s="213">
        <v>2</v>
      </c>
      <c r="W284" s="213" t="s">
        <v>582</v>
      </c>
      <c r="X284" s="213" t="s">
        <v>540</v>
      </c>
      <c r="Y284" s="213" t="s">
        <v>541</v>
      </c>
      <c r="Z284" s="212">
        <v>0</v>
      </c>
      <c r="AA284" s="212">
        <v>0</v>
      </c>
      <c r="AB284" s="217">
        <v>0.507691</v>
      </c>
      <c r="AC284" s="217">
        <v>0.81705099999999997</v>
      </c>
      <c r="AD284" s="212">
        <f t="shared" si="4"/>
        <v>0</v>
      </c>
    </row>
    <row r="285" spans="2:30" x14ac:dyDescent="0.15">
      <c r="B285" s="213">
        <v>17031006410</v>
      </c>
      <c r="C285" s="213">
        <v>17031004702</v>
      </c>
      <c r="D285" s="213">
        <v>17031004701</v>
      </c>
      <c r="E285" s="213" t="s">
        <v>533</v>
      </c>
      <c r="F285" s="213" t="s">
        <v>534</v>
      </c>
      <c r="G285" s="213" t="s">
        <v>365</v>
      </c>
      <c r="H285" s="213" t="s">
        <v>547</v>
      </c>
      <c r="I285" s="213"/>
      <c r="J285" s="213"/>
      <c r="K285" s="213"/>
      <c r="L285" s="213"/>
      <c r="M285" s="213"/>
      <c r="N285" s="213"/>
      <c r="O285" s="213"/>
      <c r="P285" s="213"/>
      <c r="Q285" s="213"/>
      <c r="R285" s="213"/>
      <c r="S285" s="213" t="s">
        <v>611</v>
      </c>
      <c r="T285" s="213"/>
      <c r="U285" s="213" t="s">
        <v>538</v>
      </c>
      <c r="V285" s="213">
        <v>2</v>
      </c>
      <c r="W285" s="213" t="s">
        <v>582</v>
      </c>
      <c r="X285" s="213" t="s">
        <v>540</v>
      </c>
      <c r="Y285" s="213" t="s">
        <v>541</v>
      </c>
      <c r="Z285" s="212">
        <v>0</v>
      </c>
      <c r="AA285" s="212">
        <v>0</v>
      </c>
      <c r="AB285" s="217">
        <v>0.52367699999999995</v>
      </c>
      <c r="AC285" s="217">
        <v>0.84277899999999994</v>
      </c>
      <c r="AD285" s="212">
        <f t="shared" si="4"/>
        <v>0</v>
      </c>
    </row>
    <row r="286" spans="2:30" x14ac:dyDescent="0.15">
      <c r="B286" s="213">
        <v>17031006411</v>
      </c>
      <c r="C286" s="213">
        <v>17031004700</v>
      </c>
      <c r="D286" s="213">
        <v>17031007053</v>
      </c>
      <c r="E286" s="213" t="s">
        <v>533</v>
      </c>
      <c r="F286" s="213" t="s">
        <v>534</v>
      </c>
      <c r="G286" s="213" t="s">
        <v>365</v>
      </c>
      <c r="H286" s="213" t="s">
        <v>547</v>
      </c>
      <c r="I286" s="213"/>
      <c r="J286" s="213"/>
      <c r="K286" s="213"/>
      <c r="L286" s="213"/>
      <c r="M286" s="213"/>
      <c r="N286" s="213"/>
      <c r="O286" s="213"/>
      <c r="P286" s="213"/>
      <c r="Q286" s="213"/>
      <c r="R286" s="213"/>
      <c r="S286" s="213" t="s">
        <v>611</v>
      </c>
      <c r="T286" s="213"/>
      <c r="U286" s="213" t="s">
        <v>538</v>
      </c>
      <c r="V286" s="213">
        <v>2</v>
      </c>
      <c r="W286" s="213" t="s">
        <v>582</v>
      </c>
      <c r="X286" s="213" t="s">
        <v>540</v>
      </c>
      <c r="Y286" s="213" t="s">
        <v>541</v>
      </c>
      <c r="Z286" s="212">
        <v>0</v>
      </c>
      <c r="AA286" s="212">
        <v>0</v>
      </c>
      <c r="AB286" s="217">
        <v>0.48569800000000002</v>
      </c>
      <c r="AC286" s="217">
        <v>0.78165700000000005</v>
      </c>
      <c r="AD286" s="212">
        <f t="shared" si="4"/>
        <v>0</v>
      </c>
    </row>
    <row r="287" spans="2:30" x14ac:dyDescent="0.15">
      <c r="B287" s="213">
        <v>17031006412</v>
      </c>
      <c r="C287" s="213">
        <v>17031004699</v>
      </c>
      <c r="D287" s="213">
        <v>17031001286</v>
      </c>
      <c r="E287" s="213" t="s">
        <v>533</v>
      </c>
      <c r="F287" s="213" t="s">
        <v>534</v>
      </c>
      <c r="G287" s="213" t="s">
        <v>365</v>
      </c>
      <c r="H287" s="213" t="s">
        <v>547</v>
      </c>
      <c r="I287" s="213"/>
      <c r="J287" s="213"/>
      <c r="K287" s="213"/>
      <c r="L287" s="213"/>
      <c r="M287" s="213"/>
      <c r="N287" s="213"/>
      <c r="O287" s="213"/>
      <c r="P287" s="213"/>
      <c r="Q287" s="213"/>
      <c r="R287" s="213"/>
      <c r="S287" s="213"/>
      <c r="T287" s="213"/>
      <c r="U287" s="213" t="s">
        <v>538</v>
      </c>
      <c r="V287" s="213">
        <v>1</v>
      </c>
      <c r="W287" s="213" t="s">
        <v>582</v>
      </c>
      <c r="X287" s="213" t="s">
        <v>541</v>
      </c>
      <c r="Y287" s="213" t="s">
        <v>541</v>
      </c>
      <c r="Z287" s="212">
        <v>0</v>
      </c>
      <c r="AA287" s="212">
        <v>0</v>
      </c>
      <c r="AB287" s="217">
        <v>0.12859000000000001</v>
      </c>
      <c r="AC287" s="217">
        <v>0.20694499999999999</v>
      </c>
      <c r="AD287" s="212">
        <f t="shared" si="4"/>
        <v>0</v>
      </c>
    </row>
    <row r="288" spans="2:30" x14ac:dyDescent="0.15">
      <c r="B288" s="213">
        <v>17031006414</v>
      </c>
      <c r="C288" s="213">
        <v>17031001065</v>
      </c>
      <c r="D288" s="213">
        <v>17031001030</v>
      </c>
      <c r="E288" s="213" t="s">
        <v>533</v>
      </c>
      <c r="F288" s="213" t="s">
        <v>534</v>
      </c>
      <c r="G288" s="213" t="s">
        <v>365</v>
      </c>
      <c r="H288" s="213" t="s">
        <v>547</v>
      </c>
      <c r="I288" s="213"/>
      <c r="J288" s="213" t="s">
        <v>577</v>
      </c>
      <c r="K288" s="213"/>
      <c r="L288" s="213"/>
      <c r="M288" s="213"/>
      <c r="N288" s="213"/>
      <c r="O288" s="213"/>
      <c r="P288" s="213"/>
      <c r="Q288" s="213"/>
      <c r="R288" s="213"/>
      <c r="S288" s="213" t="s">
        <v>581</v>
      </c>
      <c r="T288" s="213"/>
      <c r="U288" s="213" t="s">
        <v>538</v>
      </c>
      <c r="V288" s="213">
        <v>2</v>
      </c>
      <c r="W288" s="213" t="s">
        <v>582</v>
      </c>
      <c r="X288" s="213" t="s">
        <v>540</v>
      </c>
      <c r="Y288" s="213" t="s">
        <v>541</v>
      </c>
      <c r="Z288" s="212">
        <v>0</v>
      </c>
      <c r="AA288" s="212">
        <v>0</v>
      </c>
      <c r="AB288" s="217">
        <v>0.18220700000000001</v>
      </c>
      <c r="AC288" s="217">
        <v>0.29323399999999999</v>
      </c>
      <c r="AD288" s="212">
        <f t="shared" si="4"/>
        <v>0</v>
      </c>
    </row>
    <row r="289" spans="2:30" x14ac:dyDescent="0.15">
      <c r="B289" s="213">
        <v>17031006417</v>
      </c>
      <c r="C289" s="213">
        <v>17031000959</v>
      </c>
      <c r="D289" s="213">
        <v>17031004728</v>
      </c>
      <c r="E289" s="213" t="s">
        <v>533</v>
      </c>
      <c r="F289" s="213" t="s">
        <v>534</v>
      </c>
      <c r="G289" s="213" t="s">
        <v>365</v>
      </c>
      <c r="H289" s="213" t="s">
        <v>571</v>
      </c>
      <c r="I289" s="213"/>
      <c r="J289" s="213" t="s">
        <v>381</v>
      </c>
      <c r="K289" s="213" t="s">
        <v>535</v>
      </c>
      <c r="L289" s="213" t="s">
        <v>552</v>
      </c>
      <c r="M289" s="213" t="s">
        <v>551</v>
      </c>
      <c r="N289" s="213" t="s">
        <v>557</v>
      </c>
      <c r="O289" s="213" t="s">
        <v>543</v>
      </c>
      <c r="P289" s="213" t="s">
        <v>382</v>
      </c>
      <c r="Q289" s="213" t="s">
        <v>563</v>
      </c>
      <c r="R289" s="213"/>
      <c r="S289" s="213" t="s">
        <v>605</v>
      </c>
      <c r="T289" s="213"/>
      <c r="U289" s="213" t="s">
        <v>538</v>
      </c>
      <c r="V289" s="213">
        <v>1</v>
      </c>
      <c r="W289" s="213" t="s">
        <v>545</v>
      </c>
      <c r="X289" s="213" t="s">
        <v>554</v>
      </c>
      <c r="Y289" s="213" t="s">
        <v>546</v>
      </c>
      <c r="Z289" s="212">
        <v>414172</v>
      </c>
      <c r="AA289" s="212">
        <v>21202805</v>
      </c>
      <c r="AB289" s="217">
        <v>0.217775</v>
      </c>
      <c r="AC289" s="217">
        <v>0.35047499999999998</v>
      </c>
      <c r="AD289" s="212">
        <f t="shared" si="4"/>
        <v>4617440.8588749999</v>
      </c>
    </row>
    <row r="290" spans="2:30" x14ac:dyDescent="0.15">
      <c r="B290" s="213">
        <v>17031006421</v>
      </c>
      <c r="C290" s="213">
        <v>17031004728</v>
      </c>
      <c r="D290" s="213">
        <v>17031004729</v>
      </c>
      <c r="E290" s="213" t="s">
        <v>533</v>
      </c>
      <c r="F290" s="213" t="s">
        <v>534</v>
      </c>
      <c r="G290" s="213" t="s">
        <v>365</v>
      </c>
      <c r="H290" s="213" t="s">
        <v>571</v>
      </c>
      <c r="I290" s="213"/>
      <c r="J290" s="213" t="s">
        <v>381</v>
      </c>
      <c r="K290" s="213" t="s">
        <v>535</v>
      </c>
      <c r="L290" s="213" t="s">
        <v>552</v>
      </c>
      <c r="M290" s="213" t="s">
        <v>572</v>
      </c>
      <c r="N290" s="213" t="s">
        <v>551</v>
      </c>
      <c r="O290" s="213" t="s">
        <v>555</v>
      </c>
      <c r="P290" s="213" t="s">
        <v>543</v>
      </c>
      <c r="Q290" s="213" t="s">
        <v>382</v>
      </c>
      <c r="R290" s="213" t="s">
        <v>563</v>
      </c>
      <c r="S290" s="213" t="s">
        <v>605</v>
      </c>
      <c r="T290" s="213" t="s">
        <v>574</v>
      </c>
      <c r="U290" s="213" t="s">
        <v>538</v>
      </c>
      <c r="V290" s="213">
        <v>1</v>
      </c>
      <c r="W290" s="213" t="s">
        <v>545</v>
      </c>
      <c r="X290" s="213" t="s">
        <v>554</v>
      </c>
      <c r="Y290" s="213" t="s">
        <v>575</v>
      </c>
      <c r="Z290" s="212">
        <v>344239</v>
      </c>
      <c r="AA290" s="212">
        <v>17727348</v>
      </c>
      <c r="AB290" s="217">
        <v>8.9332999999999996E-2</v>
      </c>
      <c r="AC290" s="217">
        <v>0.14376800000000001</v>
      </c>
      <c r="AD290" s="212">
        <f t="shared" si="4"/>
        <v>1583637.1788839998</v>
      </c>
    </row>
    <row r="291" spans="2:30" x14ac:dyDescent="0.15">
      <c r="B291" s="213">
        <v>17031006424</v>
      </c>
      <c r="C291" s="213">
        <v>17031004730</v>
      </c>
      <c r="D291" s="213">
        <v>17031000981</v>
      </c>
      <c r="E291" s="213" t="s">
        <v>533</v>
      </c>
      <c r="F291" s="213" t="s">
        <v>534</v>
      </c>
      <c r="G291" s="213" t="s">
        <v>365</v>
      </c>
      <c r="H291" s="213" t="s">
        <v>571</v>
      </c>
      <c r="I291" s="213"/>
      <c r="J291" s="213" t="s">
        <v>381</v>
      </c>
      <c r="K291" s="213" t="s">
        <v>535</v>
      </c>
      <c r="L291" s="213" t="s">
        <v>552</v>
      </c>
      <c r="M291" s="213" t="s">
        <v>572</v>
      </c>
      <c r="N291" s="213" t="s">
        <v>551</v>
      </c>
      <c r="O291" s="213" t="s">
        <v>555</v>
      </c>
      <c r="P291" s="213" t="s">
        <v>543</v>
      </c>
      <c r="Q291" s="213" t="s">
        <v>382</v>
      </c>
      <c r="R291" s="213" t="s">
        <v>563</v>
      </c>
      <c r="S291" s="213" t="s">
        <v>605</v>
      </c>
      <c r="T291" s="213" t="s">
        <v>574</v>
      </c>
      <c r="U291" s="213" t="s">
        <v>538</v>
      </c>
      <c r="V291" s="213">
        <v>2</v>
      </c>
      <c r="W291" s="213" t="s">
        <v>545</v>
      </c>
      <c r="X291" s="213" t="s">
        <v>554</v>
      </c>
      <c r="Y291" s="213" t="s">
        <v>575</v>
      </c>
      <c r="Z291" s="212">
        <v>344239</v>
      </c>
      <c r="AA291" s="212">
        <v>17727348</v>
      </c>
      <c r="AB291" s="217">
        <v>0.76854500000000003</v>
      </c>
      <c r="AC291" s="217">
        <v>1.236855</v>
      </c>
      <c r="AD291" s="212">
        <f t="shared" si="4"/>
        <v>13624264.66866</v>
      </c>
    </row>
    <row r="292" spans="2:30" x14ac:dyDescent="0.15">
      <c r="B292" s="213">
        <v>17031006430</v>
      </c>
      <c r="C292" s="213">
        <v>17031001273</v>
      </c>
      <c r="D292" s="213">
        <v>17031001274</v>
      </c>
      <c r="E292" s="213" t="s">
        <v>533</v>
      </c>
      <c r="F292" s="213" t="s">
        <v>534</v>
      </c>
      <c r="G292" s="213" t="s">
        <v>365</v>
      </c>
      <c r="H292" s="213" t="s">
        <v>613</v>
      </c>
      <c r="I292" s="213"/>
      <c r="J292" s="213" t="s">
        <v>577</v>
      </c>
      <c r="K292" s="213" t="s">
        <v>572</v>
      </c>
      <c r="L292" s="213"/>
      <c r="M292" s="213"/>
      <c r="N292" s="213"/>
      <c r="O292" s="213"/>
      <c r="P292" s="213"/>
      <c r="Q292" s="213"/>
      <c r="R292" s="213"/>
      <c r="S292" s="213"/>
      <c r="T292" s="213"/>
      <c r="U292" s="213" t="s">
        <v>559</v>
      </c>
      <c r="V292" s="213">
        <v>1</v>
      </c>
      <c r="W292" s="213" t="s">
        <v>560</v>
      </c>
      <c r="X292" s="213" t="s">
        <v>541</v>
      </c>
      <c r="Y292" s="213" t="s">
        <v>541</v>
      </c>
      <c r="Z292" s="212">
        <v>0</v>
      </c>
      <c r="AA292" s="212">
        <v>0</v>
      </c>
      <c r="AB292" s="217">
        <v>0.108279</v>
      </c>
      <c r="AC292" s="217">
        <v>0.174259</v>
      </c>
      <c r="AD292" s="212">
        <f t="shared" si="4"/>
        <v>0</v>
      </c>
    </row>
    <row r="293" spans="2:30" x14ac:dyDescent="0.15">
      <c r="B293" s="213">
        <v>17031006434</v>
      </c>
      <c r="C293" s="213">
        <v>17031001351</v>
      </c>
      <c r="D293" s="213">
        <v>17031001347</v>
      </c>
      <c r="E293" s="213" t="s">
        <v>533</v>
      </c>
      <c r="F293" s="213" t="s">
        <v>534</v>
      </c>
      <c r="G293" s="213" t="s">
        <v>365</v>
      </c>
      <c r="H293" s="213" t="s">
        <v>543</v>
      </c>
      <c r="I293" s="213"/>
      <c r="J293" s="213"/>
      <c r="K293" s="213"/>
      <c r="L293" s="213"/>
      <c r="M293" s="213"/>
      <c r="N293" s="213"/>
      <c r="O293" s="213"/>
      <c r="P293" s="213"/>
      <c r="Q293" s="213"/>
      <c r="R293" s="213"/>
      <c r="S293" s="213" t="s">
        <v>604</v>
      </c>
      <c r="T293" s="213"/>
      <c r="U293" s="213" t="s">
        <v>538</v>
      </c>
      <c r="V293" s="213">
        <v>2</v>
      </c>
      <c r="W293" s="213" t="s">
        <v>545</v>
      </c>
      <c r="X293" s="213" t="s">
        <v>554</v>
      </c>
      <c r="Y293" s="213" t="s">
        <v>546</v>
      </c>
      <c r="Z293" s="212">
        <v>6440</v>
      </c>
      <c r="AA293" s="212">
        <v>601439</v>
      </c>
      <c r="AB293" s="217">
        <v>0.36465799999999998</v>
      </c>
      <c r="AC293" s="217">
        <v>0.58686199999999999</v>
      </c>
      <c r="AD293" s="212">
        <f t="shared" si="4"/>
        <v>219319.542862</v>
      </c>
    </row>
    <row r="294" spans="2:30" x14ac:dyDescent="0.15">
      <c r="B294" s="213">
        <v>17031006441</v>
      </c>
      <c r="C294" s="213">
        <v>17031004737</v>
      </c>
      <c r="D294" s="213">
        <v>17031004738</v>
      </c>
      <c r="E294" s="213" t="s">
        <v>533</v>
      </c>
      <c r="F294" s="213" t="s">
        <v>534</v>
      </c>
      <c r="G294" s="213" t="s">
        <v>365</v>
      </c>
      <c r="H294" s="213" t="s">
        <v>543</v>
      </c>
      <c r="I294" s="213"/>
      <c r="J294" s="213"/>
      <c r="K294" s="213"/>
      <c r="L294" s="213"/>
      <c r="M294" s="213"/>
      <c r="N294" s="213"/>
      <c r="O294" s="213"/>
      <c r="P294" s="213"/>
      <c r="Q294" s="213"/>
      <c r="R294" s="213"/>
      <c r="S294" s="213" t="s">
        <v>604</v>
      </c>
      <c r="T294" s="213"/>
      <c r="U294" s="213" t="s">
        <v>538</v>
      </c>
      <c r="V294" s="213">
        <v>1</v>
      </c>
      <c r="W294" s="213" t="s">
        <v>545</v>
      </c>
      <c r="X294" s="213" t="s">
        <v>554</v>
      </c>
      <c r="Y294" s="213" t="s">
        <v>546</v>
      </c>
      <c r="Z294" s="212">
        <v>6400</v>
      </c>
      <c r="AA294" s="212">
        <v>597639</v>
      </c>
      <c r="AB294" s="217">
        <v>0.23055700000000001</v>
      </c>
      <c r="AC294" s="217">
        <v>0.37104700000000002</v>
      </c>
      <c r="AD294" s="212">
        <f t="shared" si="4"/>
        <v>137789.85492300001</v>
      </c>
    </row>
    <row r="295" spans="2:30" x14ac:dyDescent="0.15">
      <c r="B295" s="213">
        <v>17031006445</v>
      </c>
      <c r="C295" s="213">
        <v>17031004740</v>
      </c>
      <c r="D295" s="213">
        <v>17031001261</v>
      </c>
      <c r="E295" s="213" t="s">
        <v>533</v>
      </c>
      <c r="F295" s="213" t="s">
        <v>534</v>
      </c>
      <c r="G295" s="213" t="s">
        <v>365</v>
      </c>
      <c r="H295" s="213" t="s">
        <v>543</v>
      </c>
      <c r="I295" s="213"/>
      <c r="J295" s="213"/>
      <c r="K295" s="213"/>
      <c r="L295" s="213"/>
      <c r="M295" s="213"/>
      <c r="N295" s="213"/>
      <c r="O295" s="213"/>
      <c r="P295" s="213"/>
      <c r="Q295" s="213"/>
      <c r="R295" s="213"/>
      <c r="S295" s="213" t="s">
        <v>617</v>
      </c>
      <c r="T295" s="213"/>
      <c r="U295" s="213" t="s">
        <v>559</v>
      </c>
      <c r="V295" s="213">
        <v>1</v>
      </c>
      <c r="W295" s="213" t="s">
        <v>560</v>
      </c>
      <c r="X295" s="213" t="s">
        <v>541</v>
      </c>
      <c r="Y295" s="213" t="s">
        <v>541</v>
      </c>
      <c r="Z295" s="212">
        <v>0</v>
      </c>
      <c r="AA295" s="212">
        <v>0</v>
      </c>
      <c r="AB295" s="217">
        <v>0.402839</v>
      </c>
      <c r="AC295" s="217">
        <v>0.64830699999999997</v>
      </c>
      <c r="AD295" s="212">
        <f t="shared" si="4"/>
        <v>0</v>
      </c>
    </row>
    <row r="296" spans="2:30" x14ac:dyDescent="0.15">
      <c r="B296" s="213">
        <v>17031006450</v>
      </c>
      <c r="C296" s="213">
        <v>17031001543</v>
      </c>
      <c r="D296" s="213">
        <v>17031001528</v>
      </c>
      <c r="E296" s="213" t="s">
        <v>533</v>
      </c>
      <c r="F296" s="213" t="s">
        <v>534</v>
      </c>
      <c r="G296" s="213" t="s">
        <v>365</v>
      </c>
      <c r="H296" s="213" t="s">
        <v>382</v>
      </c>
      <c r="I296" s="213"/>
      <c r="J296" s="213"/>
      <c r="K296" s="213"/>
      <c r="L296" s="213"/>
      <c r="M296" s="213"/>
      <c r="N296" s="213"/>
      <c r="O296" s="213"/>
      <c r="P296" s="213"/>
      <c r="Q296" s="213"/>
      <c r="R296" s="213"/>
      <c r="S296" s="213" t="s">
        <v>576</v>
      </c>
      <c r="T296" s="213"/>
      <c r="U296" s="213" t="s">
        <v>559</v>
      </c>
      <c r="V296" s="213">
        <v>1</v>
      </c>
      <c r="W296" s="213" t="s">
        <v>560</v>
      </c>
      <c r="X296" s="213" t="s">
        <v>541</v>
      </c>
      <c r="Y296" s="213" t="s">
        <v>541</v>
      </c>
      <c r="Z296" s="212">
        <v>0</v>
      </c>
      <c r="AA296" s="212">
        <v>0</v>
      </c>
      <c r="AB296" s="217">
        <v>7.2559999999999999E-2</v>
      </c>
      <c r="AC296" s="217">
        <v>0.116775</v>
      </c>
      <c r="AD296" s="212">
        <f t="shared" si="4"/>
        <v>0</v>
      </c>
    </row>
    <row r="297" spans="2:30" x14ac:dyDescent="0.15">
      <c r="B297" s="213">
        <v>17031006457</v>
      </c>
      <c r="C297" s="213">
        <v>17031001459</v>
      </c>
      <c r="D297" s="213">
        <v>17031001449</v>
      </c>
      <c r="E297" s="213" t="s">
        <v>533</v>
      </c>
      <c r="F297" s="213" t="s">
        <v>534</v>
      </c>
      <c r="G297" s="213" t="s">
        <v>365</v>
      </c>
      <c r="H297" s="213" t="s">
        <v>551</v>
      </c>
      <c r="I297" s="213"/>
      <c r="J297" s="213"/>
      <c r="K297" s="213"/>
      <c r="L297" s="213"/>
      <c r="M297" s="213"/>
      <c r="N297" s="213"/>
      <c r="O297" s="213"/>
      <c r="P297" s="213"/>
      <c r="Q297" s="213"/>
      <c r="R297" s="213"/>
      <c r="S297" s="213"/>
      <c r="T297" s="213"/>
      <c r="U297" s="213" t="s">
        <v>559</v>
      </c>
      <c r="V297" s="213">
        <v>1</v>
      </c>
      <c r="W297" s="213" t="s">
        <v>560</v>
      </c>
      <c r="X297" s="213" t="s">
        <v>541</v>
      </c>
      <c r="Y297" s="213" t="s">
        <v>541</v>
      </c>
      <c r="Z297" s="212">
        <v>0</v>
      </c>
      <c r="AA297" s="212">
        <v>0</v>
      </c>
      <c r="AB297" s="217">
        <v>0.21791099999999999</v>
      </c>
      <c r="AC297" s="217">
        <v>0.35069499999999998</v>
      </c>
      <c r="AD297" s="212">
        <f t="shared" si="4"/>
        <v>0</v>
      </c>
    </row>
    <row r="298" spans="2:30" x14ac:dyDescent="0.15">
      <c r="B298" s="213">
        <v>17031006472</v>
      </c>
      <c r="C298" s="213">
        <v>17031000999</v>
      </c>
      <c r="D298" s="213">
        <v>17031001009</v>
      </c>
      <c r="E298" s="213" t="s">
        <v>533</v>
      </c>
      <c r="F298" s="213" t="s">
        <v>534</v>
      </c>
      <c r="G298" s="213" t="s">
        <v>365</v>
      </c>
      <c r="H298" s="213" t="s">
        <v>551</v>
      </c>
      <c r="I298" s="213"/>
      <c r="J298" s="213" t="s">
        <v>381</v>
      </c>
      <c r="K298" s="213" t="s">
        <v>535</v>
      </c>
      <c r="L298" s="213" t="s">
        <v>552</v>
      </c>
      <c r="M298" s="213" t="s">
        <v>382</v>
      </c>
      <c r="N298" s="213"/>
      <c r="O298" s="213"/>
      <c r="P298" s="213"/>
      <c r="Q298" s="213"/>
      <c r="R298" s="213"/>
      <c r="S298" s="213" t="s">
        <v>600</v>
      </c>
      <c r="T298" s="213"/>
      <c r="U298" s="213" t="s">
        <v>538</v>
      </c>
      <c r="V298" s="213">
        <v>2</v>
      </c>
      <c r="W298" s="213" t="s">
        <v>582</v>
      </c>
      <c r="X298" s="213" t="s">
        <v>554</v>
      </c>
      <c r="Y298" s="213" t="s">
        <v>575</v>
      </c>
      <c r="Z298" s="212">
        <v>416894</v>
      </c>
      <c r="AA298" s="212">
        <v>9270978</v>
      </c>
      <c r="AB298" s="217">
        <v>0.18213399999999999</v>
      </c>
      <c r="AC298" s="217">
        <v>0.29311700000000002</v>
      </c>
      <c r="AD298" s="212">
        <f t="shared" si="4"/>
        <v>1688560.307052</v>
      </c>
    </row>
    <row r="299" spans="2:30" x14ac:dyDescent="0.15">
      <c r="B299" s="213">
        <v>17031006476</v>
      </c>
      <c r="C299" s="213">
        <v>17031004721</v>
      </c>
      <c r="D299" s="213">
        <v>17031001311</v>
      </c>
      <c r="E299" s="213" t="s">
        <v>533</v>
      </c>
      <c r="F299" s="213" t="s">
        <v>534</v>
      </c>
      <c r="G299" s="213" t="s">
        <v>365</v>
      </c>
      <c r="H299" s="213" t="s">
        <v>551</v>
      </c>
      <c r="I299" s="213"/>
      <c r="J299" s="213"/>
      <c r="K299" s="213"/>
      <c r="L299" s="213"/>
      <c r="M299" s="213"/>
      <c r="N299" s="213"/>
      <c r="O299" s="213"/>
      <c r="P299" s="213"/>
      <c r="Q299" s="213"/>
      <c r="R299" s="213"/>
      <c r="S299" s="213" t="s">
        <v>600</v>
      </c>
      <c r="T299" s="213"/>
      <c r="U299" s="213" t="s">
        <v>538</v>
      </c>
      <c r="V299" s="213">
        <v>2</v>
      </c>
      <c r="W299" s="213" t="s">
        <v>545</v>
      </c>
      <c r="X299" s="213" t="s">
        <v>540</v>
      </c>
      <c r="Y299" s="213" t="s">
        <v>575</v>
      </c>
      <c r="Z299" s="212">
        <v>422030</v>
      </c>
      <c r="AA299" s="212">
        <v>9732094</v>
      </c>
      <c r="AB299" s="217">
        <v>0.46623300000000001</v>
      </c>
      <c r="AC299" s="217">
        <v>0.75033099999999997</v>
      </c>
      <c r="AD299" s="212">
        <f t="shared" si="4"/>
        <v>4537423.3819019999</v>
      </c>
    </row>
    <row r="300" spans="2:30" x14ac:dyDescent="0.15">
      <c r="B300" s="213">
        <v>17031006481</v>
      </c>
      <c r="C300" s="213">
        <v>17031001390</v>
      </c>
      <c r="D300" s="213">
        <v>17031001388</v>
      </c>
      <c r="E300" s="213" t="s">
        <v>533</v>
      </c>
      <c r="F300" s="213" t="s">
        <v>534</v>
      </c>
      <c r="G300" s="213" t="s">
        <v>365</v>
      </c>
      <c r="H300" s="213" t="s">
        <v>557</v>
      </c>
      <c r="I300" s="213"/>
      <c r="J300" s="213" t="s">
        <v>552</v>
      </c>
      <c r="K300" s="213"/>
      <c r="L300" s="213"/>
      <c r="M300" s="213"/>
      <c r="N300" s="213"/>
      <c r="O300" s="213"/>
      <c r="P300" s="213"/>
      <c r="Q300" s="213"/>
      <c r="R300" s="213"/>
      <c r="S300" s="213"/>
      <c r="T300" s="213"/>
      <c r="U300" s="213" t="s">
        <v>559</v>
      </c>
      <c r="V300" s="213">
        <v>1</v>
      </c>
      <c r="W300" s="213" t="s">
        <v>560</v>
      </c>
      <c r="X300" s="213" t="s">
        <v>541</v>
      </c>
      <c r="Y300" s="213" t="s">
        <v>541</v>
      </c>
      <c r="Z300" s="212">
        <v>0</v>
      </c>
      <c r="AA300" s="212">
        <v>0</v>
      </c>
      <c r="AB300" s="217">
        <v>0.11287999999999999</v>
      </c>
      <c r="AC300" s="217">
        <v>0.18166299999999999</v>
      </c>
      <c r="AD300" s="212">
        <f t="shared" si="4"/>
        <v>0</v>
      </c>
    </row>
    <row r="301" spans="2:30" x14ac:dyDescent="0.15">
      <c r="B301" s="213">
        <v>17031006493</v>
      </c>
      <c r="C301" s="213">
        <v>17031001167</v>
      </c>
      <c r="D301" s="213">
        <v>17031001415</v>
      </c>
      <c r="E301" s="213" t="s">
        <v>533</v>
      </c>
      <c r="F301" s="213" t="s">
        <v>534</v>
      </c>
      <c r="G301" s="213" t="s">
        <v>365</v>
      </c>
      <c r="H301" s="213" t="s">
        <v>547</v>
      </c>
      <c r="I301" s="213"/>
      <c r="J301" s="213"/>
      <c r="K301" s="213"/>
      <c r="L301" s="213"/>
      <c r="M301" s="213"/>
      <c r="N301" s="213"/>
      <c r="O301" s="213"/>
      <c r="P301" s="213"/>
      <c r="Q301" s="213"/>
      <c r="R301" s="213"/>
      <c r="S301" s="213"/>
      <c r="T301" s="213"/>
      <c r="U301" s="213" t="s">
        <v>538</v>
      </c>
      <c r="V301" s="213">
        <v>4</v>
      </c>
      <c r="W301" s="213" t="s">
        <v>545</v>
      </c>
      <c r="X301" s="213" t="s">
        <v>540</v>
      </c>
      <c r="Y301" s="213" t="s">
        <v>541</v>
      </c>
      <c r="Z301" s="212">
        <v>0</v>
      </c>
      <c r="AA301" s="212">
        <v>0</v>
      </c>
      <c r="AB301" s="217">
        <v>4.9474049999999998</v>
      </c>
      <c r="AC301" s="217">
        <v>7.9620930000000003</v>
      </c>
      <c r="AD301" s="212">
        <f t="shared" si="4"/>
        <v>0</v>
      </c>
    </row>
    <row r="302" spans="2:30" x14ac:dyDescent="0.15">
      <c r="B302" s="213">
        <v>17031006494</v>
      </c>
      <c r="C302" s="213">
        <v>17031001415</v>
      </c>
      <c r="D302" s="213">
        <v>17031004752</v>
      </c>
      <c r="E302" s="213" t="s">
        <v>533</v>
      </c>
      <c r="F302" s="213" t="s">
        <v>534</v>
      </c>
      <c r="G302" s="213" t="s">
        <v>365</v>
      </c>
      <c r="H302" s="213" t="s">
        <v>547</v>
      </c>
      <c r="I302" s="213"/>
      <c r="J302" s="213"/>
      <c r="K302" s="213"/>
      <c r="L302" s="213"/>
      <c r="M302" s="213"/>
      <c r="N302" s="213"/>
      <c r="O302" s="213"/>
      <c r="P302" s="213"/>
      <c r="Q302" s="213"/>
      <c r="R302" s="213"/>
      <c r="S302" s="213"/>
      <c r="T302" s="213"/>
      <c r="U302" s="213" t="s">
        <v>538</v>
      </c>
      <c r="V302" s="213">
        <v>4</v>
      </c>
      <c r="W302" s="213" t="s">
        <v>545</v>
      </c>
      <c r="X302" s="213" t="s">
        <v>540</v>
      </c>
      <c r="Y302" s="213" t="s">
        <v>541</v>
      </c>
      <c r="Z302" s="212">
        <v>0</v>
      </c>
      <c r="AA302" s="212">
        <v>0</v>
      </c>
      <c r="AB302" s="217">
        <v>8.863073</v>
      </c>
      <c r="AC302" s="217">
        <v>14.263762</v>
      </c>
      <c r="AD302" s="212">
        <f t="shared" si="4"/>
        <v>0</v>
      </c>
    </row>
    <row r="303" spans="2:30" x14ac:dyDescent="0.15">
      <c r="B303" s="213">
        <v>17031006495</v>
      </c>
      <c r="C303" s="213">
        <v>17031004752</v>
      </c>
      <c r="D303" s="213">
        <v>17999099921</v>
      </c>
      <c r="E303" s="213" t="s">
        <v>533</v>
      </c>
      <c r="F303" s="213" t="s">
        <v>534</v>
      </c>
      <c r="G303" s="213" t="s">
        <v>365</v>
      </c>
      <c r="H303" s="213" t="s">
        <v>547</v>
      </c>
      <c r="I303" s="213"/>
      <c r="J303" s="213"/>
      <c r="K303" s="213"/>
      <c r="L303" s="213"/>
      <c r="M303" s="213"/>
      <c r="N303" s="213"/>
      <c r="O303" s="213"/>
      <c r="P303" s="213"/>
      <c r="Q303" s="213"/>
      <c r="R303" s="213"/>
      <c r="S303" s="213"/>
      <c r="T303" s="213"/>
      <c r="U303" s="213" t="s">
        <v>538</v>
      </c>
      <c r="V303" s="213">
        <v>2</v>
      </c>
      <c r="W303" s="213" t="s">
        <v>545</v>
      </c>
      <c r="X303" s="213" t="s">
        <v>540</v>
      </c>
      <c r="Y303" s="213" t="s">
        <v>541</v>
      </c>
      <c r="Z303" s="212">
        <v>0</v>
      </c>
      <c r="AA303" s="212">
        <v>0</v>
      </c>
      <c r="AB303" s="217">
        <v>1.442715</v>
      </c>
      <c r="AC303" s="217">
        <v>2.3218290000000001</v>
      </c>
      <c r="AD303" s="212">
        <f t="shared" si="4"/>
        <v>0</v>
      </c>
    </row>
    <row r="304" spans="2:30" x14ac:dyDescent="0.15">
      <c r="B304" s="213">
        <v>17031006497</v>
      </c>
      <c r="C304" s="213">
        <v>17031000774</v>
      </c>
      <c r="D304" s="213">
        <v>17031000796</v>
      </c>
      <c r="E304" s="213" t="s">
        <v>533</v>
      </c>
      <c r="F304" s="213" t="s">
        <v>534</v>
      </c>
      <c r="G304" s="213" t="s">
        <v>365</v>
      </c>
      <c r="H304" s="213" t="s">
        <v>543</v>
      </c>
      <c r="I304" s="213"/>
      <c r="J304" s="213"/>
      <c r="K304" s="213"/>
      <c r="L304" s="213"/>
      <c r="M304" s="213"/>
      <c r="N304" s="213"/>
      <c r="O304" s="213"/>
      <c r="P304" s="213"/>
      <c r="Q304" s="213"/>
      <c r="R304" s="213"/>
      <c r="S304" s="213" t="s">
        <v>639</v>
      </c>
      <c r="T304" s="213"/>
      <c r="U304" s="213" t="s">
        <v>538</v>
      </c>
      <c r="V304" s="213">
        <v>2</v>
      </c>
      <c r="W304" s="213" t="s">
        <v>560</v>
      </c>
      <c r="X304" s="213" t="s">
        <v>541</v>
      </c>
      <c r="Y304" s="213" t="s">
        <v>541</v>
      </c>
      <c r="Z304" s="212">
        <v>2077130</v>
      </c>
      <c r="AA304" s="212">
        <v>42495942</v>
      </c>
      <c r="AB304" s="217">
        <v>0.36618499999999998</v>
      </c>
      <c r="AC304" s="217">
        <v>0.58931800000000001</v>
      </c>
      <c r="AD304" s="212">
        <f t="shared" si="4"/>
        <v>15561376.521269999</v>
      </c>
    </row>
    <row r="305" spans="2:30" x14ac:dyDescent="0.15">
      <c r="B305" s="213">
        <v>17031006500</v>
      </c>
      <c r="C305" s="213">
        <v>17031004755</v>
      </c>
      <c r="D305" s="213">
        <v>17031000791</v>
      </c>
      <c r="E305" s="213" t="s">
        <v>533</v>
      </c>
      <c r="F305" s="213" t="s">
        <v>534</v>
      </c>
      <c r="G305" s="213" t="s">
        <v>365</v>
      </c>
      <c r="H305" s="213" t="s">
        <v>547</v>
      </c>
      <c r="I305" s="213"/>
      <c r="J305" s="213" t="s">
        <v>577</v>
      </c>
      <c r="K305" s="213"/>
      <c r="L305" s="213"/>
      <c r="M305" s="213"/>
      <c r="N305" s="213"/>
      <c r="O305" s="213"/>
      <c r="P305" s="213"/>
      <c r="Q305" s="213"/>
      <c r="R305" s="213"/>
      <c r="S305" s="213" t="s">
        <v>581</v>
      </c>
      <c r="T305" s="213"/>
      <c r="U305" s="213" t="s">
        <v>538</v>
      </c>
      <c r="V305" s="213">
        <v>2</v>
      </c>
      <c r="W305" s="213" t="s">
        <v>582</v>
      </c>
      <c r="X305" s="213" t="s">
        <v>540</v>
      </c>
      <c r="Y305" s="213" t="s">
        <v>541</v>
      </c>
      <c r="Z305" s="212">
        <v>0</v>
      </c>
      <c r="AA305" s="212">
        <v>0</v>
      </c>
      <c r="AB305" s="217">
        <v>1.3293159999999999</v>
      </c>
      <c r="AC305" s="217">
        <v>2.1393309999999999</v>
      </c>
      <c r="AD305" s="212">
        <f t="shared" si="4"/>
        <v>0</v>
      </c>
    </row>
    <row r="306" spans="2:30" x14ac:dyDescent="0.15">
      <c r="B306" s="213">
        <v>17031006501</v>
      </c>
      <c r="C306" s="213">
        <v>17031000906</v>
      </c>
      <c r="D306" s="213">
        <v>17031000907</v>
      </c>
      <c r="E306" s="213" t="s">
        <v>533</v>
      </c>
      <c r="F306" s="213" t="s">
        <v>534</v>
      </c>
      <c r="G306" s="213" t="s">
        <v>365</v>
      </c>
      <c r="H306" s="213" t="s">
        <v>547</v>
      </c>
      <c r="I306" s="213"/>
      <c r="J306" s="213" t="s">
        <v>577</v>
      </c>
      <c r="K306" s="213"/>
      <c r="L306" s="213"/>
      <c r="M306" s="213"/>
      <c r="N306" s="213"/>
      <c r="O306" s="213"/>
      <c r="P306" s="213"/>
      <c r="Q306" s="213"/>
      <c r="R306" s="213"/>
      <c r="S306" s="213" t="s">
        <v>581</v>
      </c>
      <c r="T306" s="213"/>
      <c r="U306" s="213" t="s">
        <v>538</v>
      </c>
      <c r="V306" s="213">
        <v>2</v>
      </c>
      <c r="W306" s="213" t="s">
        <v>582</v>
      </c>
      <c r="X306" s="213" t="s">
        <v>540</v>
      </c>
      <c r="Y306" s="213" t="s">
        <v>541</v>
      </c>
      <c r="Z306" s="212">
        <v>0</v>
      </c>
      <c r="AA306" s="212">
        <v>0</v>
      </c>
      <c r="AB306" s="217">
        <v>8.9208999999999997E-2</v>
      </c>
      <c r="AC306" s="217">
        <v>0.143568</v>
      </c>
      <c r="AD306" s="212">
        <f t="shared" si="4"/>
        <v>0</v>
      </c>
    </row>
    <row r="307" spans="2:30" x14ac:dyDescent="0.15">
      <c r="B307" s="213">
        <v>17031006512</v>
      </c>
      <c r="C307" s="213">
        <v>17031001103</v>
      </c>
      <c r="D307" s="213">
        <v>17031001073</v>
      </c>
      <c r="E307" s="213" t="s">
        <v>533</v>
      </c>
      <c r="F307" s="213" t="s">
        <v>534</v>
      </c>
      <c r="G307" s="213" t="s">
        <v>365</v>
      </c>
      <c r="H307" s="213" t="s">
        <v>535</v>
      </c>
      <c r="I307" s="213"/>
      <c r="J307" s="213"/>
      <c r="K307" s="213"/>
      <c r="L307" s="213"/>
      <c r="M307" s="213"/>
      <c r="N307" s="213"/>
      <c r="O307" s="213"/>
      <c r="P307" s="213"/>
      <c r="Q307" s="213"/>
      <c r="R307" s="213"/>
      <c r="S307" s="213"/>
      <c r="T307" s="213"/>
      <c r="U307" s="213" t="s">
        <v>538</v>
      </c>
      <c r="V307" s="213">
        <v>1</v>
      </c>
      <c r="W307" s="213" t="s">
        <v>560</v>
      </c>
      <c r="X307" s="213" t="s">
        <v>541</v>
      </c>
      <c r="Y307" s="213" t="s">
        <v>541</v>
      </c>
      <c r="Z307" s="212">
        <v>3760</v>
      </c>
      <c r="AA307" s="212">
        <v>353440</v>
      </c>
      <c r="AB307" s="217">
        <v>6.4049999999999996E-2</v>
      </c>
      <c r="AC307" s="217">
        <v>0.103078</v>
      </c>
      <c r="AD307" s="212">
        <f t="shared" si="4"/>
        <v>22637.831999999999</v>
      </c>
    </row>
    <row r="308" spans="2:30" x14ac:dyDescent="0.15">
      <c r="B308" s="213">
        <v>17031007050</v>
      </c>
      <c r="C308" s="213">
        <v>99999022069</v>
      </c>
      <c r="D308" s="213">
        <v>17031001166</v>
      </c>
      <c r="E308" s="213" t="s">
        <v>533</v>
      </c>
      <c r="F308" s="213" t="s">
        <v>534</v>
      </c>
      <c r="G308" s="213" t="s">
        <v>365</v>
      </c>
      <c r="H308" s="213" t="s">
        <v>535</v>
      </c>
      <c r="I308" s="213"/>
      <c r="J308" s="213"/>
      <c r="K308" s="213"/>
      <c r="L308" s="213"/>
      <c r="M308" s="213"/>
      <c r="N308" s="213"/>
      <c r="O308" s="213"/>
      <c r="P308" s="213"/>
      <c r="Q308" s="213"/>
      <c r="R308" s="213"/>
      <c r="S308" s="213" t="s">
        <v>597</v>
      </c>
      <c r="T308" s="213"/>
      <c r="U308" s="213" t="s">
        <v>538</v>
      </c>
      <c r="V308" s="213">
        <v>1</v>
      </c>
      <c r="W308" s="213" t="s">
        <v>539</v>
      </c>
      <c r="X308" s="213" t="s">
        <v>554</v>
      </c>
      <c r="Y308" s="213" t="s">
        <v>541</v>
      </c>
      <c r="Z308" s="212">
        <v>3760</v>
      </c>
      <c r="AA308" s="212">
        <v>353440</v>
      </c>
      <c r="AB308" s="217">
        <v>9.9743999999999999E-2</v>
      </c>
      <c r="AC308" s="217">
        <v>0.160523</v>
      </c>
      <c r="AD308" s="212">
        <f t="shared" si="4"/>
        <v>35253.519359999998</v>
      </c>
    </row>
    <row r="309" spans="2:30" x14ac:dyDescent="0.15">
      <c r="B309" s="213">
        <v>17031007052</v>
      </c>
      <c r="C309" s="213">
        <v>17031005597</v>
      </c>
      <c r="D309" s="213">
        <v>99999114312</v>
      </c>
      <c r="E309" s="213" t="s">
        <v>533</v>
      </c>
      <c r="F309" s="213" t="s">
        <v>534</v>
      </c>
      <c r="G309" s="213" t="s">
        <v>365</v>
      </c>
      <c r="H309" s="213" t="s">
        <v>535</v>
      </c>
      <c r="I309" s="213"/>
      <c r="J309" s="213"/>
      <c r="K309" s="213"/>
      <c r="L309" s="213"/>
      <c r="M309" s="213"/>
      <c r="N309" s="213"/>
      <c r="O309" s="213"/>
      <c r="P309" s="213"/>
      <c r="Q309" s="213"/>
      <c r="R309" s="213"/>
      <c r="S309" s="213"/>
      <c r="T309" s="213" t="s">
        <v>645</v>
      </c>
      <c r="U309" s="213" t="s">
        <v>559</v>
      </c>
      <c r="V309" s="213">
        <v>1</v>
      </c>
      <c r="W309" s="213" t="s">
        <v>560</v>
      </c>
      <c r="X309" s="213" t="s">
        <v>541</v>
      </c>
      <c r="Y309" s="213" t="s">
        <v>541</v>
      </c>
      <c r="Z309" s="212">
        <v>0</v>
      </c>
      <c r="AA309" s="212">
        <v>0</v>
      </c>
      <c r="AB309" s="217">
        <v>2.427E-2</v>
      </c>
      <c r="AC309" s="217">
        <v>3.9058000000000002E-2</v>
      </c>
      <c r="AD309" s="212">
        <f t="shared" si="4"/>
        <v>0</v>
      </c>
    </row>
    <row r="310" spans="2:30" x14ac:dyDescent="0.15">
      <c r="B310" s="213">
        <v>17031008302</v>
      </c>
      <c r="C310" s="213">
        <v>17031000631</v>
      </c>
      <c r="D310" s="213">
        <v>17031006638</v>
      </c>
      <c r="E310" s="213" t="s">
        <v>533</v>
      </c>
      <c r="F310" s="213" t="s">
        <v>534</v>
      </c>
      <c r="G310" s="213" t="s">
        <v>365</v>
      </c>
      <c r="H310" s="213" t="s">
        <v>571</v>
      </c>
      <c r="I310" s="213"/>
      <c r="J310" s="213" t="s">
        <v>535</v>
      </c>
      <c r="K310" s="213" t="s">
        <v>552</v>
      </c>
      <c r="L310" s="213" t="s">
        <v>551</v>
      </c>
      <c r="M310" s="213" t="s">
        <v>563</v>
      </c>
      <c r="N310" s="213"/>
      <c r="O310" s="213"/>
      <c r="P310" s="213"/>
      <c r="Q310" s="213"/>
      <c r="R310" s="213"/>
      <c r="S310" s="213" t="s">
        <v>573</v>
      </c>
      <c r="T310" s="213" t="s">
        <v>612</v>
      </c>
      <c r="U310" s="213" t="s">
        <v>538</v>
      </c>
      <c r="V310" s="213">
        <v>2</v>
      </c>
      <c r="W310" s="213" t="s">
        <v>545</v>
      </c>
      <c r="X310" s="213" t="s">
        <v>554</v>
      </c>
      <c r="Y310" s="213" t="s">
        <v>580</v>
      </c>
      <c r="Z310" s="212">
        <v>60456</v>
      </c>
      <c r="AA310" s="212">
        <v>3547604</v>
      </c>
      <c r="AB310" s="217">
        <v>0.2054</v>
      </c>
      <c r="AC310" s="217">
        <v>0.33056099999999999</v>
      </c>
      <c r="AD310" s="212">
        <f t="shared" si="4"/>
        <v>728677.86159999995</v>
      </c>
    </row>
    <row r="311" spans="2:30" x14ac:dyDescent="0.15">
      <c r="B311" s="213">
        <v>17031008368</v>
      </c>
      <c r="C311" s="213">
        <v>17031006673</v>
      </c>
      <c r="D311" s="213">
        <v>17031000528</v>
      </c>
      <c r="E311" s="213" t="s">
        <v>533</v>
      </c>
      <c r="F311" s="213" t="s">
        <v>534</v>
      </c>
      <c r="G311" s="213" t="s">
        <v>365</v>
      </c>
      <c r="H311" s="213" t="s">
        <v>382</v>
      </c>
      <c r="I311" s="213"/>
      <c r="J311" s="213" t="s">
        <v>535</v>
      </c>
      <c r="K311" s="213" t="s">
        <v>552</v>
      </c>
      <c r="L311" s="213" t="s">
        <v>572</v>
      </c>
      <c r="M311" s="213" t="s">
        <v>557</v>
      </c>
      <c r="N311" s="213" t="s">
        <v>543</v>
      </c>
      <c r="O311" s="213"/>
      <c r="P311" s="213"/>
      <c r="Q311" s="213"/>
      <c r="R311" s="213"/>
      <c r="S311" s="213" t="s">
        <v>650</v>
      </c>
      <c r="T311" s="213" t="s">
        <v>626</v>
      </c>
      <c r="U311" s="213" t="s">
        <v>559</v>
      </c>
      <c r="V311" s="213">
        <v>1</v>
      </c>
      <c r="W311" s="213" t="s">
        <v>539</v>
      </c>
      <c r="X311" s="213" t="s">
        <v>541</v>
      </c>
      <c r="Y311" s="213" t="s">
        <v>540</v>
      </c>
      <c r="Z311" s="212">
        <v>2686</v>
      </c>
      <c r="AA311" s="212">
        <v>254944</v>
      </c>
      <c r="AB311" s="217">
        <v>0.43081999999999998</v>
      </c>
      <c r="AC311" s="217">
        <v>0.69333900000000004</v>
      </c>
      <c r="AD311" s="212">
        <f t="shared" si="4"/>
        <v>109834.97408</v>
      </c>
    </row>
    <row r="312" spans="2:30" x14ac:dyDescent="0.15">
      <c r="B312" s="213">
        <v>17031008451</v>
      </c>
      <c r="C312" s="213">
        <v>17031000832</v>
      </c>
      <c r="D312" s="213">
        <v>17031006962</v>
      </c>
      <c r="E312" s="213" t="s">
        <v>533</v>
      </c>
      <c r="F312" s="213" t="s">
        <v>534</v>
      </c>
      <c r="G312" s="213" t="s">
        <v>365</v>
      </c>
      <c r="H312" s="213" t="s">
        <v>381</v>
      </c>
      <c r="I312" s="213"/>
      <c r="J312" s="213" t="s">
        <v>382</v>
      </c>
      <c r="K312" s="213" t="s">
        <v>535</v>
      </c>
      <c r="L312" s="213" t="s">
        <v>543</v>
      </c>
      <c r="M312" s="213"/>
      <c r="N312" s="213"/>
      <c r="O312" s="213"/>
      <c r="P312" s="213"/>
      <c r="Q312" s="213"/>
      <c r="R312" s="213"/>
      <c r="S312" s="213" t="s">
        <v>647</v>
      </c>
      <c r="T312" s="213" t="s">
        <v>668</v>
      </c>
      <c r="U312" s="213" t="s">
        <v>538</v>
      </c>
      <c r="V312" s="213">
        <v>2</v>
      </c>
      <c r="W312" s="213" t="s">
        <v>539</v>
      </c>
      <c r="X312" s="213" t="s">
        <v>541</v>
      </c>
      <c r="Y312" s="213" t="s">
        <v>580</v>
      </c>
      <c r="Z312" s="212">
        <v>72673</v>
      </c>
      <c r="AA312" s="212">
        <v>3647669</v>
      </c>
      <c r="AB312" s="217">
        <v>4.1102E-2</v>
      </c>
      <c r="AC312" s="217">
        <v>6.6147999999999998E-2</v>
      </c>
      <c r="AD312" s="212">
        <f t="shared" si="4"/>
        <v>149926.49123799999</v>
      </c>
    </row>
    <row r="313" spans="2:30" x14ac:dyDescent="0.15">
      <c r="B313" s="213">
        <v>17031008580</v>
      </c>
      <c r="C313" s="213">
        <v>17031007052</v>
      </c>
      <c r="D313" s="213">
        <v>17031001270</v>
      </c>
      <c r="E313" s="213" t="s">
        <v>533</v>
      </c>
      <c r="F313" s="213" t="s">
        <v>534</v>
      </c>
      <c r="G313" s="213" t="s">
        <v>365</v>
      </c>
      <c r="H313" s="213" t="s">
        <v>547</v>
      </c>
      <c r="I313" s="213"/>
      <c r="J313" s="213"/>
      <c r="K313" s="213"/>
      <c r="L313" s="213"/>
      <c r="M313" s="213"/>
      <c r="N313" s="213"/>
      <c r="O313" s="213"/>
      <c r="P313" s="213"/>
      <c r="Q313" s="213"/>
      <c r="R313" s="213"/>
      <c r="S313" s="213" t="s">
        <v>611</v>
      </c>
      <c r="T313" s="213"/>
      <c r="U313" s="213" t="s">
        <v>538</v>
      </c>
      <c r="V313" s="213">
        <v>2</v>
      </c>
      <c r="W313" s="213" t="s">
        <v>582</v>
      </c>
      <c r="X313" s="213" t="s">
        <v>540</v>
      </c>
      <c r="Y313" s="213" t="s">
        <v>541</v>
      </c>
      <c r="Z313" s="212">
        <v>0</v>
      </c>
      <c r="AA313" s="212">
        <v>0</v>
      </c>
      <c r="AB313" s="217">
        <v>5.0701000000000003E-2</v>
      </c>
      <c r="AC313" s="217">
        <v>8.1595000000000001E-2</v>
      </c>
      <c r="AD313" s="212">
        <f t="shared" si="4"/>
        <v>0</v>
      </c>
    </row>
    <row r="314" spans="2:30" x14ac:dyDescent="0.15">
      <c r="B314" s="213">
        <v>17031008722</v>
      </c>
      <c r="C314" s="213">
        <v>17031006779</v>
      </c>
      <c r="D314" s="213">
        <v>17031001029</v>
      </c>
      <c r="E314" s="213" t="s">
        <v>533</v>
      </c>
      <c r="F314" s="213" t="s">
        <v>534</v>
      </c>
      <c r="G314" s="213" t="s">
        <v>365</v>
      </c>
      <c r="H314" s="213" t="s">
        <v>571</v>
      </c>
      <c r="I314" s="213"/>
      <c r="J314" s="213" t="s">
        <v>552</v>
      </c>
      <c r="K314" s="213" t="s">
        <v>572</v>
      </c>
      <c r="L314" s="213" t="s">
        <v>551</v>
      </c>
      <c r="M314" s="213" t="s">
        <v>555</v>
      </c>
      <c r="N314" s="213" t="s">
        <v>543</v>
      </c>
      <c r="O314" s="213" t="s">
        <v>382</v>
      </c>
      <c r="P314" s="213" t="s">
        <v>535</v>
      </c>
      <c r="Q314" s="213" t="s">
        <v>381</v>
      </c>
      <c r="R314" s="213"/>
      <c r="S314" s="213" t="s">
        <v>573</v>
      </c>
      <c r="T314" s="213"/>
      <c r="U314" s="213" t="s">
        <v>538</v>
      </c>
      <c r="V314" s="213">
        <v>4</v>
      </c>
      <c r="W314" s="213" t="s">
        <v>545</v>
      </c>
      <c r="X314" s="213" t="s">
        <v>554</v>
      </c>
      <c r="Y314" s="213" t="s">
        <v>575</v>
      </c>
      <c r="Z314" s="212">
        <v>388467</v>
      </c>
      <c r="AA314" s="212">
        <v>19916620</v>
      </c>
      <c r="AB314" s="217">
        <v>4.2187000000000002E-2</v>
      </c>
      <c r="AC314" s="217">
        <v>6.7893999999999996E-2</v>
      </c>
      <c r="AD314" s="212">
        <f t="shared" si="4"/>
        <v>840222.4479400001</v>
      </c>
    </row>
    <row r="315" spans="2:30" x14ac:dyDescent="0.15">
      <c r="B315" s="213">
        <v>17031009183</v>
      </c>
      <c r="C315" s="213">
        <v>17031007086</v>
      </c>
      <c r="D315" s="213">
        <v>17031000749</v>
      </c>
      <c r="E315" s="213" t="s">
        <v>533</v>
      </c>
      <c r="F315" s="213" t="s">
        <v>534</v>
      </c>
      <c r="G315" s="213" t="s">
        <v>365</v>
      </c>
      <c r="H315" s="213" t="s">
        <v>535</v>
      </c>
      <c r="I315" s="213"/>
      <c r="J315" s="213" t="s">
        <v>571</v>
      </c>
      <c r="K315" s="213"/>
      <c r="L315" s="213"/>
      <c r="M315" s="213"/>
      <c r="N315" s="213"/>
      <c r="O315" s="213"/>
      <c r="P315" s="213"/>
      <c r="Q315" s="213"/>
      <c r="R315" s="213"/>
      <c r="S315" s="213"/>
      <c r="T315" s="213"/>
      <c r="U315" s="213" t="s">
        <v>559</v>
      </c>
      <c r="V315" s="213">
        <v>1</v>
      </c>
      <c r="W315" s="213" t="s">
        <v>560</v>
      </c>
      <c r="X315" s="213" t="s">
        <v>541</v>
      </c>
      <c r="Y315" s="213" t="s">
        <v>541</v>
      </c>
      <c r="Z315" s="212">
        <v>0</v>
      </c>
      <c r="AA315" s="212">
        <v>0</v>
      </c>
      <c r="AB315" s="217">
        <v>5.0518E-2</v>
      </c>
      <c r="AC315" s="217">
        <v>8.1299999999999997E-2</v>
      </c>
      <c r="AD315" s="212">
        <f t="shared" si="4"/>
        <v>0</v>
      </c>
    </row>
    <row r="316" spans="2:30" x14ac:dyDescent="0.15">
      <c r="B316" s="213">
        <v>17031009235</v>
      </c>
      <c r="C316" s="213">
        <v>17031000985</v>
      </c>
      <c r="D316" s="213">
        <v>17031007122</v>
      </c>
      <c r="E316" s="213" t="s">
        <v>533</v>
      </c>
      <c r="F316" s="213" t="s">
        <v>534</v>
      </c>
      <c r="G316" s="213" t="s">
        <v>365</v>
      </c>
      <c r="H316" s="213" t="s">
        <v>571</v>
      </c>
      <c r="I316" s="213"/>
      <c r="J316" s="213" t="s">
        <v>381</v>
      </c>
      <c r="K316" s="213" t="s">
        <v>535</v>
      </c>
      <c r="L316" s="213" t="s">
        <v>552</v>
      </c>
      <c r="M316" s="213" t="s">
        <v>551</v>
      </c>
      <c r="N316" s="213" t="s">
        <v>382</v>
      </c>
      <c r="O316" s="213"/>
      <c r="P316" s="213"/>
      <c r="Q316" s="213"/>
      <c r="R316" s="213"/>
      <c r="S316" s="213"/>
      <c r="T316" s="213" t="s">
        <v>574</v>
      </c>
      <c r="U316" s="213" t="s">
        <v>559</v>
      </c>
      <c r="V316" s="213">
        <v>1</v>
      </c>
      <c r="W316" s="213" t="s">
        <v>560</v>
      </c>
      <c r="X316" s="213" t="s">
        <v>541</v>
      </c>
      <c r="Y316" s="213" t="s">
        <v>541</v>
      </c>
      <c r="Z316" s="212">
        <v>0</v>
      </c>
      <c r="AA316" s="212">
        <v>0</v>
      </c>
      <c r="AB316" s="217">
        <v>6.8706000000000003E-2</v>
      </c>
      <c r="AC316" s="217">
        <v>0.110571</v>
      </c>
      <c r="AD316" s="212">
        <f t="shared" si="4"/>
        <v>0</v>
      </c>
    </row>
    <row r="317" spans="2:30" x14ac:dyDescent="0.15">
      <c r="B317" s="213">
        <v>17031009464</v>
      </c>
      <c r="C317" s="213">
        <v>17031007567</v>
      </c>
      <c r="D317" s="213">
        <v>17031000352</v>
      </c>
      <c r="E317" s="213" t="s">
        <v>533</v>
      </c>
      <c r="F317" s="213" t="s">
        <v>534</v>
      </c>
      <c r="G317" s="213" t="s">
        <v>365</v>
      </c>
      <c r="H317" s="213" t="s">
        <v>590</v>
      </c>
      <c r="I317" s="213"/>
      <c r="J317" s="213"/>
      <c r="K317" s="213"/>
      <c r="L317" s="213"/>
      <c r="M317" s="213"/>
      <c r="N317" s="213"/>
      <c r="O317" s="213"/>
      <c r="P317" s="213"/>
      <c r="Q317" s="213"/>
      <c r="R317" s="213"/>
      <c r="S317" s="213"/>
      <c r="T317" s="213"/>
      <c r="U317" s="213" t="s">
        <v>559</v>
      </c>
      <c r="V317" s="213">
        <v>1</v>
      </c>
      <c r="W317" s="213" t="s">
        <v>560</v>
      </c>
      <c r="X317" s="213" t="s">
        <v>541</v>
      </c>
      <c r="Y317" s="213" t="s">
        <v>541</v>
      </c>
      <c r="Z317" s="212">
        <v>0</v>
      </c>
      <c r="AA317" s="212">
        <v>0</v>
      </c>
      <c r="AB317" s="217">
        <v>0.30198199999999997</v>
      </c>
      <c r="AC317" s="217">
        <v>0.48599399999999998</v>
      </c>
      <c r="AD317" s="212">
        <f t="shared" si="4"/>
        <v>0</v>
      </c>
    </row>
    <row r="318" spans="2:30" x14ac:dyDescent="0.15">
      <c r="B318" s="213">
        <v>17031009478</v>
      </c>
      <c r="C318" s="213">
        <v>17031007577</v>
      </c>
      <c r="D318" s="213">
        <v>17031000252</v>
      </c>
      <c r="E318" s="213" t="s">
        <v>533</v>
      </c>
      <c r="F318" s="213" t="s">
        <v>534</v>
      </c>
      <c r="G318" s="213" t="s">
        <v>365</v>
      </c>
      <c r="H318" s="213" t="s">
        <v>535</v>
      </c>
      <c r="I318" s="213"/>
      <c r="J318" s="213" t="s">
        <v>547</v>
      </c>
      <c r="K318" s="213"/>
      <c r="L318" s="213"/>
      <c r="M318" s="213"/>
      <c r="N318" s="213"/>
      <c r="O318" s="213"/>
      <c r="P318" s="213"/>
      <c r="Q318" s="213"/>
      <c r="R318" s="213"/>
      <c r="S318" s="213" t="s">
        <v>548</v>
      </c>
      <c r="T318" s="213"/>
      <c r="U318" s="213" t="s">
        <v>538</v>
      </c>
      <c r="V318" s="213">
        <v>2</v>
      </c>
      <c r="W318" s="213" t="s">
        <v>545</v>
      </c>
      <c r="X318" s="213" t="s">
        <v>549</v>
      </c>
      <c r="Y318" s="213" t="s">
        <v>546</v>
      </c>
      <c r="Z318" s="212">
        <v>662357</v>
      </c>
      <c r="AA318" s="212">
        <v>30359562</v>
      </c>
      <c r="AB318" s="217">
        <v>0.550925</v>
      </c>
      <c r="AC318" s="217">
        <v>0.88663000000000003</v>
      </c>
      <c r="AD318" s="212">
        <f t="shared" si="4"/>
        <v>16725841.69485</v>
      </c>
    </row>
    <row r="319" spans="2:30" x14ac:dyDescent="0.15">
      <c r="B319" s="213">
        <v>17031009480</v>
      </c>
      <c r="C319" s="213">
        <v>17031007581</v>
      </c>
      <c r="D319" s="213">
        <v>17031007577</v>
      </c>
      <c r="E319" s="213" t="s">
        <v>533</v>
      </c>
      <c r="F319" s="213" t="s">
        <v>534</v>
      </c>
      <c r="G319" s="213" t="s">
        <v>365</v>
      </c>
      <c r="H319" s="213" t="s">
        <v>535</v>
      </c>
      <c r="I319" s="213"/>
      <c r="J319" s="213" t="s">
        <v>547</v>
      </c>
      <c r="K319" s="213"/>
      <c r="L319" s="213"/>
      <c r="M319" s="213"/>
      <c r="N319" s="213"/>
      <c r="O319" s="213"/>
      <c r="P319" s="213"/>
      <c r="Q319" s="213"/>
      <c r="R319" s="213"/>
      <c r="S319" s="213" t="s">
        <v>548</v>
      </c>
      <c r="T319" s="213"/>
      <c r="U319" s="213" t="s">
        <v>538</v>
      </c>
      <c r="V319" s="213">
        <v>2</v>
      </c>
      <c r="W319" s="213" t="s">
        <v>545</v>
      </c>
      <c r="X319" s="213" t="s">
        <v>549</v>
      </c>
      <c r="Y319" s="213" t="s">
        <v>546</v>
      </c>
      <c r="Z319" s="212">
        <v>662357</v>
      </c>
      <c r="AA319" s="212">
        <v>30359562</v>
      </c>
      <c r="AB319" s="217">
        <v>0.105615</v>
      </c>
      <c r="AC319" s="217">
        <v>0.16997200000000001</v>
      </c>
      <c r="AD319" s="212">
        <f t="shared" si="4"/>
        <v>3206425.1406299998</v>
      </c>
    </row>
    <row r="320" spans="2:30" x14ac:dyDescent="0.15">
      <c r="B320" s="213">
        <v>17031009482</v>
      </c>
      <c r="C320" s="213">
        <v>17031007579</v>
      </c>
      <c r="D320" s="213">
        <v>17031007581</v>
      </c>
      <c r="E320" s="213" t="s">
        <v>533</v>
      </c>
      <c r="F320" s="213" t="s">
        <v>534</v>
      </c>
      <c r="G320" s="213" t="s">
        <v>365</v>
      </c>
      <c r="H320" s="213" t="s">
        <v>535</v>
      </c>
      <c r="I320" s="213"/>
      <c r="J320" s="213" t="s">
        <v>547</v>
      </c>
      <c r="K320" s="213"/>
      <c r="L320" s="213"/>
      <c r="M320" s="213"/>
      <c r="N320" s="213"/>
      <c r="O320" s="213"/>
      <c r="P320" s="213"/>
      <c r="Q320" s="213"/>
      <c r="R320" s="213"/>
      <c r="S320" s="213" t="s">
        <v>548</v>
      </c>
      <c r="T320" s="213"/>
      <c r="U320" s="213" t="s">
        <v>538</v>
      </c>
      <c r="V320" s="213">
        <v>2</v>
      </c>
      <c r="W320" s="213" t="s">
        <v>545</v>
      </c>
      <c r="X320" s="213" t="s">
        <v>549</v>
      </c>
      <c r="Y320" s="213" t="s">
        <v>546</v>
      </c>
      <c r="Z320" s="212">
        <v>662357</v>
      </c>
      <c r="AA320" s="212">
        <v>30359562</v>
      </c>
      <c r="AB320" s="217">
        <v>5.4663999999999997E-2</v>
      </c>
      <c r="AC320" s="217">
        <v>8.7972999999999996E-2</v>
      </c>
      <c r="AD320" s="212">
        <f t="shared" si="4"/>
        <v>1659575.0971679999</v>
      </c>
    </row>
    <row r="321" spans="2:30" x14ac:dyDescent="0.15">
      <c r="B321" s="213">
        <v>17031009518</v>
      </c>
      <c r="C321" s="213">
        <v>17031007616</v>
      </c>
      <c r="D321" s="213">
        <v>17031001574</v>
      </c>
      <c r="E321" s="213" t="s">
        <v>533</v>
      </c>
      <c r="F321" s="213" t="s">
        <v>534</v>
      </c>
      <c r="G321" s="213" t="s">
        <v>365</v>
      </c>
      <c r="H321" s="213" t="s">
        <v>382</v>
      </c>
      <c r="I321" s="213"/>
      <c r="J321" s="213"/>
      <c r="K321" s="213"/>
      <c r="L321" s="213"/>
      <c r="M321" s="213"/>
      <c r="N321" s="213"/>
      <c r="O321" s="213"/>
      <c r="P321" s="213"/>
      <c r="Q321" s="213"/>
      <c r="R321" s="213"/>
      <c r="S321" s="213" t="s">
        <v>576</v>
      </c>
      <c r="T321" s="213"/>
      <c r="U321" s="213" t="s">
        <v>559</v>
      </c>
      <c r="V321" s="213">
        <v>1</v>
      </c>
      <c r="W321" s="213" t="s">
        <v>560</v>
      </c>
      <c r="X321" s="213" t="s">
        <v>541</v>
      </c>
      <c r="Y321" s="213" t="s">
        <v>541</v>
      </c>
      <c r="Z321" s="212">
        <v>0</v>
      </c>
      <c r="AA321" s="212">
        <v>0</v>
      </c>
      <c r="AB321" s="217">
        <v>0.18687699999999999</v>
      </c>
      <c r="AC321" s="217">
        <v>0.30075000000000002</v>
      </c>
      <c r="AD321" s="212">
        <f t="shared" si="4"/>
        <v>0</v>
      </c>
    </row>
    <row r="322" spans="2:30" x14ac:dyDescent="0.15">
      <c r="B322" s="213">
        <v>17031009553</v>
      </c>
      <c r="C322" s="213">
        <v>17031007649</v>
      </c>
      <c r="D322" s="213">
        <v>17031001522</v>
      </c>
      <c r="E322" s="213" t="s">
        <v>533</v>
      </c>
      <c r="F322" s="213" t="s">
        <v>534</v>
      </c>
      <c r="G322" s="213" t="s">
        <v>365</v>
      </c>
      <c r="H322" s="213" t="s">
        <v>382</v>
      </c>
      <c r="I322" s="213"/>
      <c r="J322" s="213"/>
      <c r="K322" s="213"/>
      <c r="L322" s="213"/>
      <c r="M322" s="213"/>
      <c r="N322" s="213"/>
      <c r="O322" s="213"/>
      <c r="P322" s="213"/>
      <c r="Q322" s="213"/>
      <c r="R322" s="213"/>
      <c r="S322" s="213" t="s">
        <v>576</v>
      </c>
      <c r="T322" s="213"/>
      <c r="U322" s="213" t="s">
        <v>559</v>
      </c>
      <c r="V322" s="213">
        <v>1</v>
      </c>
      <c r="W322" s="213" t="s">
        <v>560</v>
      </c>
      <c r="X322" s="213" t="s">
        <v>541</v>
      </c>
      <c r="Y322" s="213" t="s">
        <v>541</v>
      </c>
      <c r="Z322" s="212">
        <v>0</v>
      </c>
      <c r="AA322" s="212">
        <v>0</v>
      </c>
      <c r="AB322" s="217">
        <v>0.22430900000000001</v>
      </c>
      <c r="AC322" s="217">
        <v>0.36099100000000001</v>
      </c>
      <c r="AD322" s="212">
        <f t="shared" si="4"/>
        <v>0</v>
      </c>
    </row>
    <row r="323" spans="2:30" x14ac:dyDescent="0.15">
      <c r="B323" s="213">
        <v>17031009598</v>
      </c>
      <c r="C323" s="213">
        <v>17031001386</v>
      </c>
      <c r="D323" s="213">
        <v>17031007685</v>
      </c>
      <c r="E323" s="213" t="s">
        <v>533</v>
      </c>
      <c r="F323" s="213" t="s">
        <v>534</v>
      </c>
      <c r="G323" s="213" t="s">
        <v>365</v>
      </c>
      <c r="H323" s="213" t="s">
        <v>557</v>
      </c>
      <c r="I323" s="213"/>
      <c r="J323" s="213"/>
      <c r="K323" s="213"/>
      <c r="L323" s="213"/>
      <c r="M323" s="213"/>
      <c r="N323" s="213"/>
      <c r="O323" s="213"/>
      <c r="P323" s="213"/>
      <c r="Q323" s="213"/>
      <c r="R323" s="213"/>
      <c r="S323" s="213" t="s">
        <v>618</v>
      </c>
      <c r="T323" s="213"/>
      <c r="U323" s="213" t="s">
        <v>559</v>
      </c>
      <c r="V323" s="213">
        <v>1</v>
      </c>
      <c r="W323" s="213" t="s">
        <v>560</v>
      </c>
      <c r="X323" s="213" t="s">
        <v>541</v>
      </c>
      <c r="Y323" s="213" t="s">
        <v>541</v>
      </c>
      <c r="Z323" s="212">
        <v>0</v>
      </c>
      <c r="AA323" s="212">
        <v>0</v>
      </c>
      <c r="AB323" s="217">
        <v>0.49998100000000001</v>
      </c>
      <c r="AC323" s="217">
        <v>0.80464400000000003</v>
      </c>
      <c r="AD323" s="212">
        <f t="shared" si="4"/>
        <v>0</v>
      </c>
    </row>
    <row r="324" spans="2:30" x14ac:dyDescent="0.15">
      <c r="B324" s="213">
        <v>17031009606</v>
      </c>
      <c r="C324" s="213">
        <v>17031007694</v>
      </c>
      <c r="D324" s="213">
        <v>17031001197</v>
      </c>
      <c r="E324" s="213" t="s">
        <v>533</v>
      </c>
      <c r="F324" s="213" t="s">
        <v>534</v>
      </c>
      <c r="G324" s="213" t="s">
        <v>365</v>
      </c>
      <c r="H324" s="213" t="s">
        <v>535</v>
      </c>
      <c r="I324" s="213"/>
      <c r="J324" s="213" t="s">
        <v>542</v>
      </c>
      <c r="K324" s="213" t="s">
        <v>572</v>
      </c>
      <c r="L324" s="213" t="s">
        <v>547</v>
      </c>
      <c r="M324" s="213" t="s">
        <v>382</v>
      </c>
      <c r="N324" s="213"/>
      <c r="O324" s="213"/>
      <c r="P324" s="213"/>
      <c r="Q324" s="213"/>
      <c r="R324" s="213"/>
      <c r="S324" s="213" t="s">
        <v>601</v>
      </c>
      <c r="T324" s="213"/>
      <c r="U324" s="213" t="s">
        <v>538</v>
      </c>
      <c r="V324" s="213">
        <v>2</v>
      </c>
      <c r="W324" s="213" t="s">
        <v>545</v>
      </c>
      <c r="X324" s="213" t="s">
        <v>549</v>
      </c>
      <c r="Y324" s="213" t="s">
        <v>540</v>
      </c>
      <c r="Z324" s="212">
        <v>419634</v>
      </c>
      <c r="AA324" s="212">
        <v>6492363</v>
      </c>
      <c r="AB324" s="217">
        <v>0.18424199999999999</v>
      </c>
      <c r="AC324" s="217">
        <v>0.29651</v>
      </c>
      <c r="AD324" s="212">
        <f t="shared" si="4"/>
        <v>1196165.9438459999</v>
      </c>
    </row>
    <row r="325" spans="2:30" x14ac:dyDescent="0.15">
      <c r="B325" s="213">
        <v>17031009615</v>
      </c>
      <c r="C325" s="213">
        <v>17031007703</v>
      </c>
      <c r="D325" s="213">
        <v>17031007706</v>
      </c>
      <c r="E325" s="213" t="s">
        <v>533</v>
      </c>
      <c r="F325" s="213" t="s">
        <v>534</v>
      </c>
      <c r="G325" s="213" t="s">
        <v>365</v>
      </c>
      <c r="H325" s="213" t="s">
        <v>535</v>
      </c>
      <c r="I325" s="213"/>
      <c r="J325" s="213" t="s">
        <v>542</v>
      </c>
      <c r="K325" s="213" t="s">
        <v>572</v>
      </c>
      <c r="L325" s="213" t="s">
        <v>547</v>
      </c>
      <c r="M325" s="213" t="s">
        <v>382</v>
      </c>
      <c r="N325" s="213"/>
      <c r="O325" s="213"/>
      <c r="P325" s="213"/>
      <c r="Q325" s="213"/>
      <c r="R325" s="213"/>
      <c r="S325" s="213" t="s">
        <v>601</v>
      </c>
      <c r="T325" s="213"/>
      <c r="U325" s="213" t="s">
        <v>538</v>
      </c>
      <c r="V325" s="213">
        <v>2</v>
      </c>
      <c r="W325" s="213" t="s">
        <v>545</v>
      </c>
      <c r="X325" s="213" t="s">
        <v>549</v>
      </c>
      <c r="Y325" s="213" t="s">
        <v>540</v>
      </c>
      <c r="Z325" s="212">
        <v>421038</v>
      </c>
      <c r="AA325" s="212">
        <v>6627039</v>
      </c>
      <c r="AB325" s="217">
        <v>0.56725599999999998</v>
      </c>
      <c r="AC325" s="217">
        <v>0.91291199999999995</v>
      </c>
      <c r="AD325" s="212">
        <f t="shared" si="4"/>
        <v>3759227.6349839997</v>
      </c>
    </row>
    <row r="326" spans="2:30" x14ac:dyDescent="0.15">
      <c r="B326" s="213">
        <v>17031009619</v>
      </c>
      <c r="C326" s="213">
        <v>17031007706</v>
      </c>
      <c r="D326" s="213">
        <v>17031000940</v>
      </c>
      <c r="E326" s="213" t="s">
        <v>533</v>
      </c>
      <c r="F326" s="213" t="s">
        <v>534</v>
      </c>
      <c r="G326" s="213" t="s">
        <v>365</v>
      </c>
      <c r="H326" s="213" t="s">
        <v>535</v>
      </c>
      <c r="I326" s="213"/>
      <c r="J326" s="213" t="s">
        <v>542</v>
      </c>
      <c r="K326" s="213" t="s">
        <v>572</v>
      </c>
      <c r="L326" s="213" t="s">
        <v>547</v>
      </c>
      <c r="M326" s="213" t="s">
        <v>382</v>
      </c>
      <c r="N326" s="213"/>
      <c r="O326" s="213"/>
      <c r="P326" s="213"/>
      <c r="Q326" s="213"/>
      <c r="R326" s="213"/>
      <c r="S326" s="213" t="s">
        <v>601</v>
      </c>
      <c r="T326" s="213"/>
      <c r="U326" s="213" t="s">
        <v>538</v>
      </c>
      <c r="V326" s="213">
        <v>2</v>
      </c>
      <c r="W326" s="213" t="s">
        <v>545</v>
      </c>
      <c r="X326" s="213" t="s">
        <v>549</v>
      </c>
      <c r="Y326" s="213" t="s">
        <v>540</v>
      </c>
      <c r="Z326" s="212">
        <v>421038</v>
      </c>
      <c r="AA326" s="212">
        <v>6627039</v>
      </c>
      <c r="AB326" s="217">
        <v>0.28770299999999999</v>
      </c>
      <c r="AC326" s="217">
        <v>0.46301399999999998</v>
      </c>
      <c r="AD326" s="212">
        <f t="shared" ref="AD326:AD389" si="5">AA326*AB326</f>
        <v>1906619.0014169998</v>
      </c>
    </row>
    <row r="327" spans="2:30" x14ac:dyDescent="0.15">
      <c r="B327" s="213">
        <v>17031009649</v>
      </c>
      <c r="C327" s="213">
        <v>17031007733</v>
      </c>
      <c r="D327" s="213">
        <v>17031000967</v>
      </c>
      <c r="E327" s="213" t="s">
        <v>533</v>
      </c>
      <c r="F327" s="213" t="s">
        <v>534</v>
      </c>
      <c r="G327" s="213" t="s">
        <v>365</v>
      </c>
      <c r="H327" s="213" t="s">
        <v>381</v>
      </c>
      <c r="I327" s="213"/>
      <c r="J327" s="213" t="s">
        <v>551</v>
      </c>
      <c r="K327" s="213" t="s">
        <v>543</v>
      </c>
      <c r="L327" s="213" t="s">
        <v>382</v>
      </c>
      <c r="M327" s="213"/>
      <c r="N327" s="213"/>
      <c r="O327" s="213"/>
      <c r="P327" s="213"/>
      <c r="Q327" s="213"/>
      <c r="R327" s="213"/>
      <c r="S327" s="213" t="s">
        <v>647</v>
      </c>
      <c r="T327" s="213"/>
      <c r="U327" s="213" t="s">
        <v>538</v>
      </c>
      <c r="V327" s="213">
        <v>2</v>
      </c>
      <c r="W327" s="213" t="s">
        <v>545</v>
      </c>
      <c r="X327" s="213" t="s">
        <v>549</v>
      </c>
      <c r="Y327" s="213" t="s">
        <v>580</v>
      </c>
      <c r="Z327" s="212">
        <v>388210</v>
      </c>
      <c r="AA327" s="212">
        <v>18134526</v>
      </c>
      <c r="AB327" s="217">
        <v>4.691E-2</v>
      </c>
      <c r="AC327" s="217">
        <v>7.5494000000000006E-2</v>
      </c>
      <c r="AD327" s="212">
        <f t="shared" si="5"/>
        <v>850690.61465999996</v>
      </c>
    </row>
    <row r="328" spans="2:30" x14ac:dyDescent="0.15">
      <c r="B328" s="213">
        <v>17031009658</v>
      </c>
      <c r="C328" s="213">
        <v>17031007747</v>
      </c>
      <c r="D328" s="213">
        <v>17031000986</v>
      </c>
      <c r="E328" s="213" t="s">
        <v>533</v>
      </c>
      <c r="F328" s="213" t="s">
        <v>534</v>
      </c>
      <c r="G328" s="213" t="s">
        <v>365</v>
      </c>
      <c r="H328" s="213" t="s">
        <v>557</v>
      </c>
      <c r="I328" s="213"/>
      <c r="J328" s="213" t="s">
        <v>381</v>
      </c>
      <c r="K328" s="213" t="s">
        <v>535</v>
      </c>
      <c r="L328" s="213" t="s">
        <v>552</v>
      </c>
      <c r="M328" s="213" t="s">
        <v>551</v>
      </c>
      <c r="N328" s="213" t="s">
        <v>543</v>
      </c>
      <c r="O328" s="213" t="s">
        <v>382</v>
      </c>
      <c r="P328" s="213"/>
      <c r="Q328" s="213"/>
      <c r="R328" s="213"/>
      <c r="S328" s="213" t="s">
        <v>570</v>
      </c>
      <c r="T328" s="213"/>
      <c r="U328" s="213" t="s">
        <v>538</v>
      </c>
      <c r="V328" s="213">
        <v>2</v>
      </c>
      <c r="W328" s="213" t="s">
        <v>545</v>
      </c>
      <c r="X328" s="213" t="s">
        <v>540</v>
      </c>
      <c r="Y328" s="213" t="s">
        <v>575</v>
      </c>
      <c r="Z328" s="212">
        <v>1939143</v>
      </c>
      <c r="AA328" s="212">
        <v>84423379</v>
      </c>
      <c r="AB328" s="217">
        <v>0.45621899999999999</v>
      </c>
      <c r="AC328" s="217">
        <v>0.73421400000000003</v>
      </c>
      <c r="AD328" s="212">
        <f t="shared" si="5"/>
        <v>38515549.544000998</v>
      </c>
    </row>
    <row r="329" spans="2:30" x14ac:dyDescent="0.15">
      <c r="B329" s="213">
        <v>17031009673</v>
      </c>
      <c r="C329" s="213">
        <v>17031000256</v>
      </c>
      <c r="D329" s="213">
        <v>17031007756</v>
      </c>
      <c r="E329" s="213" t="s">
        <v>533</v>
      </c>
      <c r="F329" s="213" t="s">
        <v>534</v>
      </c>
      <c r="G329" s="213" t="s">
        <v>365</v>
      </c>
      <c r="H329" s="213" t="s">
        <v>552</v>
      </c>
      <c r="I329" s="213"/>
      <c r="J329" s="213" t="s">
        <v>382</v>
      </c>
      <c r="K329" s="213"/>
      <c r="L329" s="213"/>
      <c r="M329" s="213"/>
      <c r="N329" s="213"/>
      <c r="O329" s="213"/>
      <c r="P329" s="213"/>
      <c r="Q329" s="213"/>
      <c r="R329" s="213"/>
      <c r="S329" s="213" t="s">
        <v>564</v>
      </c>
      <c r="T329" s="213"/>
      <c r="U329" s="213" t="s">
        <v>538</v>
      </c>
      <c r="V329" s="213">
        <v>2</v>
      </c>
      <c r="W329" s="213" t="s">
        <v>545</v>
      </c>
      <c r="X329" s="213" t="s">
        <v>554</v>
      </c>
      <c r="Y329" s="213" t="s">
        <v>549</v>
      </c>
      <c r="Z329" s="212">
        <v>472708</v>
      </c>
      <c r="AA329" s="212">
        <v>31636317</v>
      </c>
      <c r="AB329" s="217">
        <v>0.43207899999999999</v>
      </c>
      <c r="AC329" s="217">
        <v>0.69536500000000001</v>
      </c>
      <c r="AD329" s="212">
        <f t="shared" si="5"/>
        <v>13669388.213043001</v>
      </c>
    </row>
    <row r="330" spans="2:30" x14ac:dyDescent="0.15">
      <c r="B330" s="213">
        <v>17031009681</v>
      </c>
      <c r="C330" s="213">
        <v>17031007764</v>
      </c>
      <c r="D330" s="213">
        <v>17031000643</v>
      </c>
      <c r="E330" s="213" t="s">
        <v>533</v>
      </c>
      <c r="F330" s="213" t="s">
        <v>534</v>
      </c>
      <c r="G330" s="213" t="s">
        <v>365</v>
      </c>
      <c r="H330" s="213" t="s">
        <v>557</v>
      </c>
      <c r="I330" s="213"/>
      <c r="J330" s="213" t="s">
        <v>535</v>
      </c>
      <c r="K330" s="213" t="s">
        <v>552</v>
      </c>
      <c r="L330" s="213" t="s">
        <v>543</v>
      </c>
      <c r="M330" s="213" t="s">
        <v>382</v>
      </c>
      <c r="N330" s="213"/>
      <c r="O330" s="213"/>
      <c r="P330" s="213"/>
      <c r="Q330" s="213"/>
      <c r="R330" s="213"/>
      <c r="S330" s="213" t="s">
        <v>570</v>
      </c>
      <c r="T330" s="213"/>
      <c r="U330" s="213" t="s">
        <v>538</v>
      </c>
      <c r="V330" s="213">
        <v>2</v>
      </c>
      <c r="W330" s="213" t="s">
        <v>545</v>
      </c>
      <c r="X330" s="213" t="s">
        <v>540</v>
      </c>
      <c r="Y330" s="213" t="s">
        <v>580</v>
      </c>
      <c r="Z330" s="212">
        <v>1551932</v>
      </c>
      <c r="AA330" s="212">
        <v>61687731</v>
      </c>
      <c r="AB330" s="217">
        <v>0.91985099999999997</v>
      </c>
      <c r="AC330" s="217">
        <v>1.4803599999999999</v>
      </c>
      <c r="AD330" s="212">
        <f t="shared" si="5"/>
        <v>56743521.048080996</v>
      </c>
    </row>
    <row r="331" spans="2:30" x14ac:dyDescent="0.15">
      <c r="B331" s="213">
        <v>17031009682</v>
      </c>
      <c r="C331" s="213">
        <v>17031000675</v>
      </c>
      <c r="D331" s="213">
        <v>17031007765</v>
      </c>
      <c r="E331" s="213" t="s">
        <v>533</v>
      </c>
      <c r="F331" s="213" t="s">
        <v>534</v>
      </c>
      <c r="G331" s="213" t="s">
        <v>365</v>
      </c>
      <c r="H331" s="213" t="s">
        <v>557</v>
      </c>
      <c r="I331" s="213"/>
      <c r="J331" s="213" t="s">
        <v>535</v>
      </c>
      <c r="K331" s="213"/>
      <c r="L331" s="213"/>
      <c r="M331" s="213"/>
      <c r="N331" s="213"/>
      <c r="O331" s="213"/>
      <c r="P331" s="213"/>
      <c r="Q331" s="213"/>
      <c r="R331" s="213"/>
      <c r="S331" s="213"/>
      <c r="T331" s="213"/>
      <c r="U331" s="213" t="s">
        <v>538</v>
      </c>
      <c r="V331" s="213">
        <v>1</v>
      </c>
      <c r="W331" s="213" t="s">
        <v>560</v>
      </c>
      <c r="X331" s="213" t="s">
        <v>541</v>
      </c>
      <c r="Y331" s="213" t="s">
        <v>541</v>
      </c>
      <c r="Z331" s="212">
        <v>1880</v>
      </c>
      <c r="AA331" s="212">
        <v>153400</v>
      </c>
      <c r="AB331" s="217">
        <v>5.3323000000000002E-2</v>
      </c>
      <c r="AC331" s="217">
        <v>8.5816000000000003E-2</v>
      </c>
      <c r="AD331" s="212">
        <f t="shared" si="5"/>
        <v>8179.7482</v>
      </c>
    </row>
    <row r="332" spans="2:30" x14ac:dyDescent="0.15">
      <c r="B332" s="213">
        <v>17031009714</v>
      </c>
      <c r="C332" s="213">
        <v>17031004746</v>
      </c>
      <c r="D332" s="213">
        <v>17031007795</v>
      </c>
      <c r="E332" s="213" t="s">
        <v>533</v>
      </c>
      <c r="F332" s="213" t="s">
        <v>534</v>
      </c>
      <c r="G332" s="213" t="s">
        <v>365</v>
      </c>
      <c r="H332" s="213" t="s">
        <v>551</v>
      </c>
      <c r="I332" s="213"/>
      <c r="J332" s="213"/>
      <c r="K332" s="213"/>
      <c r="L332" s="213"/>
      <c r="M332" s="213"/>
      <c r="N332" s="213"/>
      <c r="O332" s="213"/>
      <c r="P332" s="213"/>
      <c r="Q332" s="213"/>
      <c r="R332" s="213"/>
      <c r="S332" s="213" t="s">
        <v>603</v>
      </c>
      <c r="T332" s="213"/>
      <c r="U332" s="213" t="s">
        <v>538</v>
      </c>
      <c r="V332" s="213">
        <v>2</v>
      </c>
      <c r="W332" s="213" t="s">
        <v>545</v>
      </c>
      <c r="X332" s="213" t="s">
        <v>540</v>
      </c>
      <c r="Y332" s="213" t="s">
        <v>575</v>
      </c>
      <c r="Z332" s="212">
        <v>1671878</v>
      </c>
      <c r="AA332" s="212">
        <v>66618044</v>
      </c>
      <c r="AB332" s="217">
        <v>0.128999</v>
      </c>
      <c r="AC332" s="217">
        <v>0.20760500000000001</v>
      </c>
      <c r="AD332" s="212">
        <f t="shared" si="5"/>
        <v>8593661.0579560008</v>
      </c>
    </row>
    <row r="333" spans="2:30" x14ac:dyDescent="0.15">
      <c r="B333" s="213">
        <v>17031009732</v>
      </c>
      <c r="C333" s="213">
        <v>17031007812</v>
      </c>
      <c r="D333" s="213">
        <v>17031007810</v>
      </c>
      <c r="E333" s="213" t="s">
        <v>533</v>
      </c>
      <c r="F333" s="213" t="s">
        <v>534</v>
      </c>
      <c r="G333" s="213" t="s">
        <v>365</v>
      </c>
      <c r="H333" s="213" t="s">
        <v>613</v>
      </c>
      <c r="I333" s="213"/>
      <c r="J333" s="213" t="s">
        <v>577</v>
      </c>
      <c r="K333" s="213" t="s">
        <v>572</v>
      </c>
      <c r="L333" s="213"/>
      <c r="M333" s="213"/>
      <c r="N333" s="213"/>
      <c r="O333" s="213"/>
      <c r="P333" s="213"/>
      <c r="Q333" s="213"/>
      <c r="R333" s="213"/>
      <c r="S333" s="213"/>
      <c r="T333" s="213"/>
      <c r="U333" s="213" t="s">
        <v>559</v>
      </c>
      <c r="V333" s="213">
        <v>1</v>
      </c>
      <c r="W333" s="213" t="s">
        <v>560</v>
      </c>
      <c r="X333" s="213" t="s">
        <v>541</v>
      </c>
      <c r="Y333" s="213" t="s">
        <v>541</v>
      </c>
      <c r="Z333" s="212">
        <v>0</v>
      </c>
      <c r="AA333" s="212">
        <v>0</v>
      </c>
      <c r="AB333" s="217">
        <v>1.8491E-2</v>
      </c>
      <c r="AC333" s="217">
        <v>2.9758E-2</v>
      </c>
      <c r="AD333" s="212">
        <f t="shared" si="5"/>
        <v>0</v>
      </c>
    </row>
    <row r="334" spans="2:30" x14ac:dyDescent="0.15">
      <c r="B334" s="213">
        <v>17031009833</v>
      </c>
      <c r="C334" s="213">
        <v>17031001558</v>
      </c>
      <c r="D334" s="213">
        <v>17031007901</v>
      </c>
      <c r="E334" s="213" t="s">
        <v>533</v>
      </c>
      <c r="F334" s="213" t="s">
        <v>534</v>
      </c>
      <c r="G334" s="213" t="s">
        <v>365</v>
      </c>
      <c r="H334" s="213" t="s">
        <v>535</v>
      </c>
      <c r="I334" s="213"/>
      <c r="J334" s="213" t="s">
        <v>382</v>
      </c>
      <c r="K334" s="213" t="s">
        <v>536</v>
      </c>
      <c r="L334" s="213"/>
      <c r="M334" s="213"/>
      <c r="N334" s="213"/>
      <c r="O334" s="213"/>
      <c r="P334" s="213"/>
      <c r="Q334" s="213"/>
      <c r="R334" s="213"/>
      <c r="S334" s="213"/>
      <c r="T334" s="213"/>
      <c r="U334" s="213" t="s">
        <v>538</v>
      </c>
      <c r="V334" s="213">
        <v>1</v>
      </c>
      <c r="W334" s="213" t="s">
        <v>560</v>
      </c>
      <c r="X334" s="213" t="s">
        <v>554</v>
      </c>
      <c r="Y334" s="213" t="s">
        <v>554</v>
      </c>
      <c r="Z334" s="212">
        <v>0</v>
      </c>
      <c r="AA334" s="212">
        <v>0</v>
      </c>
      <c r="AB334" s="217">
        <v>0.18546899999999999</v>
      </c>
      <c r="AC334" s="217">
        <v>0.298485</v>
      </c>
      <c r="AD334" s="212">
        <f t="shared" si="5"/>
        <v>0</v>
      </c>
    </row>
    <row r="335" spans="2:30" x14ac:dyDescent="0.15">
      <c r="B335" s="213">
        <v>17031009837</v>
      </c>
      <c r="C335" s="213">
        <v>17031001564</v>
      </c>
      <c r="D335" s="213">
        <v>17031007902</v>
      </c>
      <c r="E335" s="213" t="s">
        <v>533</v>
      </c>
      <c r="F335" s="213" t="s">
        <v>534</v>
      </c>
      <c r="G335" s="213" t="s">
        <v>365</v>
      </c>
      <c r="H335" s="213" t="s">
        <v>535</v>
      </c>
      <c r="I335" s="213"/>
      <c r="J335" s="213" t="s">
        <v>382</v>
      </c>
      <c r="K335" s="213" t="s">
        <v>536</v>
      </c>
      <c r="L335" s="213"/>
      <c r="M335" s="213"/>
      <c r="N335" s="213"/>
      <c r="O335" s="213"/>
      <c r="P335" s="213"/>
      <c r="Q335" s="213"/>
      <c r="R335" s="213"/>
      <c r="S335" s="213" t="s">
        <v>537</v>
      </c>
      <c r="T335" s="213"/>
      <c r="U335" s="213" t="s">
        <v>538</v>
      </c>
      <c r="V335" s="213">
        <v>2</v>
      </c>
      <c r="W335" s="213" t="s">
        <v>582</v>
      </c>
      <c r="X335" s="213" t="s">
        <v>549</v>
      </c>
      <c r="Y335" s="213" t="s">
        <v>540</v>
      </c>
      <c r="Z335" s="212">
        <v>12204</v>
      </c>
      <c r="AA335" s="212">
        <v>1054940</v>
      </c>
      <c r="AB335" s="217">
        <v>1.7413000000000001E-2</v>
      </c>
      <c r="AC335" s="217">
        <v>2.8024E-2</v>
      </c>
      <c r="AD335" s="212">
        <f t="shared" si="5"/>
        <v>18369.67022</v>
      </c>
    </row>
    <row r="336" spans="2:30" x14ac:dyDescent="0.15">
      <c r="B336" s="213">
        <v>17031009846</v>
      </c>
      <c r="C336" s="213">
        <v>17031007918</v>
      </c>
      <c r="D336" s="213">
        <v>17031000801</v>
      </c>
      <c r="E336" s="213" t="s">
        <v>533</v>
      </c>
      <c r="F336" s="213" t="s">
        <v>534</v>
      </c>
      <c r="G336" s="213" t="s">
        <v>365</v>
      </c>
      <c r="H336" s="213" t="s">
        <v>543</v>
      </c>
      <c r="I336" s="213"/>
      <c r="J336" s="213" t="s">
        <v>382</v>
      </c>
      <c r="K336" s="213"/>
      <c r="L336" s="213"/>
      <c r="M336" s="213"/>
      <c r="N336" s="213"/>
      <c r="O336" s="213"/>
      <c r="P336" s="213"/>
      <c r="Q336" s="213"/>
      <c r="R336" s="213"/>
      <c r="S336" s="213" t="s">
        <v>639</v>
      </c>
      <c r="T336" s="213"/>
      <c r="U336" s="213" t="s">
        <v>538</v>
      </c>
      <c r="V336" s="213">
        <v>2</v>
      </c>
      <c r="W336" s="213" t="s">
        <v>560</v>
      </c>
      <c r="X336" s="213" t="s">
        <v>541</v>
      </c>
      <c r="Y336" s="213" t="s">
        <v>549</v>
      </c>
      <c r="Z336" s="212">
        <v>2548647</v>
      </c>
      <c r="AA336" s="212">
        <v>66220527</v>
      </c>
      <c r="AB336" s="217">
        <v>3.8894999999999999E-2</v>
      </c>
      <c r="AC336" s="217">
        <v>6.2594999999999998E-2</v>
      </c>
      <c r="AD336" s="212">
        <f t="shared" si="5"/>
        <v>2575647.3976650001</v>
      </c>
    </row>
    <row r="337" spans="2:30" x14ac:dyDescent="0.15">
      <c r="B337" s="213">
        <v>17031010242</v>
      </c>
      <c r="C337" s="213">
        <v>17031000303</v>
      </c>
      <c r="D337" s="213">
        <v>17031007571</v>
      </c>
      <c r="E337" s="213" t="s">
        <v>533</v>
      </c>
      <c r="F337" s="213" t="s">
        <v>534</v>
      </c>
      <c r="G337" s="213" t="s">
        <v>365</v>
      </c>
      <c r="H337" s="213" t="s">
        <v>382</v>
      </c>
      <c r="I337" s="213"/>
      <c r="J337" s="213" t="s">
        <v>552</v>
      </c>
      <c r="K337" s="213"/>
      <c r="L337" s="213"/>
      <c r="M337" s="213"/>
      <c r="N337" s="213"/>
      <c r="O337" s="213"/>
      <c r="P337" s="213"/>
      <c r="Q337" s="213"/>
      <c r="R337" s="213"/>
      <c r="S337" s="213" t="s">
        <v>586</v>
      </c>
      <c r="T337" s="213"/>
      <c r="U337" s="213" t="s">
        <v>538</v>
      </c>
      <c r="V337" s="213">
        <v>2</v>
      </c>
      <c r="W337" s="213" t="s">
        <v>582</v>
      </c>
      <c r="X337" s="213" t="s">
        <v>549</v>
      </c>
      <c r="Y337" s="213" t="s">
        <v>580</v>
      </c>
      <c r="Z337" s="212">
        <v>623896</v>
      </c>
      <c r="AA337" s="212">
        <v>48919515</v>
      </c>
      <c r="AB337" s="217">
        <v>0.57126399999999999</v>
      </c>
      <c r="AC337" s="217">
        <v>0.91936200000000001</v>
      </c>
      <c r="AD337" s="212">
        <f t="shared" si="5"/>
        <v>27945957.81696</v>
      </c>
    </row>
    <row r="338" spans="2:30" x14ac:dyDescent="0.15">
      <c r="B338" s="213">
        <v>17043002048</v>
      </c>
      <c r="C338" s="213">
        <v>17043000980</v>
      </c>
      <c r="D338" s="213">
        <v>17043000913</v>
      </c>
      <c r="E338" s="213" t="s">
        <v>533</v>
      </c>
      <c r="F338" s="213" t="s">
        <v>534</v>
      </c>
      <c r="G338" s="213" t="s">
        <v>367</v>
      </c>
      <c r="H338" s="213" t="s">
        <v>535</v>
      </c>
      <c r="I338" s="213"/>
      <c r="J338" s="213" t="s">
        <v>536</v>
      </c>
      <c r="K338" s="213" t="s">
        <v>382</v>
      </c>
      <c r="L338" s="213"/>
      <c r="M338" s="213"/>
      <c r="N338" s="213"/>
      <c r="O338" s="213"/>
      <c r="P338" s="213"/>
      <c r="Q338" s="213"/>
      <c r="R338" s="213"/>
      <c r="S338" s="213" t="s">
        <v>550</v>
      </c>
      <c r="T338" s="213"/>
      <c r="U338" s="213" t="s">
        <v>538</v>
      </c>
      <c r="V338" s="213">
        <v>1</v>
      </c>
      <c r="W338" s="213" t="s">
        <v>545</v>
      </c>
      <c r="X338" s="213" t="s">
        <v>549</v>
      </c>
      <c r="Y338" s="213" t="s">
        <v>540</v>
      </c>
      <c r="Z338" s="212">
        <v>66683</v>
      </c>
      <c r="AA338" s="212">
        <v>7416364</v>
      </c>
      <c r="AB338" s="217">
        <v>0.91529499999999997</v>
      </c>
      <c r="AC338" s="217">
        <v>1.4730270000000001</v>
      </c>
      <c r="AD338" s="212">
        <f t="shared" si="5"/>
        <v>6788160.8873800002</v>
      </c>
    </row>
    <row r="339" spans="2:30" x14ac:dyDescent="0.15">
      <c r="B339" s="213">
        <v>17043002049</v>
      </c>
      <c r="C339" s="213">
        <v>17043007355</v>
      </c>
      <c r="D339" s="213">
        <v>17043004782</v>
      </c>
      <c r="E339" s="213" t="s">
        <v>533</v>
      </c>
      <c r="F339" s="213" t="s">
        <v>534</v>
      </c>
      <c r="G339" s="213" t="s">
        <v>367</v>
      </c>
      <c r="H339" s="213" t="s">
        <v>382</v>
      </c>
      <c r="I339" s="213"/>
      <c r="J339" s="213"/>
      <c r="K339" s="213"/>
      <c r="L339" s="213"/>
      <c r="M339" s="213"/>
      <c r="N339" s="213"/>
      <c r="O339" s="213"/>
      <c r="P339" s="213"/>
      <c r="Q339" s="213"/>
      <c r="R339" s="213"/>
      <c r="S339" s="213" t="s">
        <v>635</v>
      </c>
      <c r="T339" s="213"/>
      <c r="U339" s="213" t="s">
        <v>559</v>
      </c>
      <c r="V339" s="213">
        <v>1</v>
      </c>
      <c r="W339" s="213" t="s">
        <v>560</v>
      </c>
      <c r="X339" s="213" t="s">
        <v>541</v>
      </c>
      <c r="Y339" s="213" t="s">
        <v>541</v>
      </c>
      <c r="Z339" s="212">
        <v>40</v>
      </c>
      <c r="AA339" s="212">
        <v>3360</v>
      </c>
      <c r="AB339" s="217">
        <v>1.683997</v>
      </c>
      <c r="AC339" s="217">
        <v>2.7101359999999999</v>
      </c>
      <c r="AD339" s="212">
        <f t="shared" si="5"/>
        <v>5658.2299199999998</v>
      </c>
    </row>
    <row r="340" spans="2:30" x14ac:dyDescent="0.15">
      <c r="B340" s="213">
        <v>17043002077</v>
      </c>
      <c r="C340" s="213">
        <v>17043004764</v>
      </c>
      <c r="D340" s="213">
        <v>17043000503</v>
      </c>
      <c r="E340" s="213" t="s">
        <v>533</v>
      </c>
      <c r="F340" s="213" t="s">
        <v>534</v>
      </c>
      <c r="G340" s="213" t="s">
        <v>367</v>
      </c>
      <c r="H340" s="213" t="s">
        <v>535</v>
      </c>
      <c r="I340" s="213"/>
      <c r="J340" s="213" t="s">
        <v>536</v>
      </c>
      <c r="K340" s="213" t="s">
        <v>382</v>
      </c>
      <c r="L340" s="213"/>
      <c r="M340" s="213"/>
      <c r="N340" s="213"/>
      <c r="O340" s="213"/>
      <c r="P340" s="213"/>
      <c r="Q340" s="213"/>
      <c r="R340" s="213"/>
      <c r="S340" s="213" t="s">
        <v>550</v>
      </c>
      <c r="T340" s="213"/>
      <c r="U340" s="213" t="s">
        <v>538</v>
      </c>
      <c r="V340" s="213">
        <v>2</v>
      </c>
      <c r="W340" s="213" t="s">
        <v>545</v>
      </c>
      <c r="X340" s="213" t="s">
        <v>540</v>
      </c>
      <c r="Y340" s="213" t="s">
        <v>540</v>
      </c>
      <c r="Z340" s="212">
        <v>16629</v>
      </c>
      <c r="AA340" s="212">
        <v>1568716</v>
      </c>
      <c r="AB340" s="217">
        <v>0.96634900000000001</v>
      </c>
      <c r="AC340" s="217">
        <v>1.555191</v>
      </c>
      <c r="AD340" s="212">
        <f t="shared" si="5"/>
        <v>1515927.1378840001</v>
      </c>
    </row>
    <row r="341" spans="2:30" x14ac:dyDescent="0.15">
      <c r="B341" s="213">
        <v>17043002124</v>
      </c>
      <c r="C341" s="213">
        <v>17043000635</v>
      </c>
      <c r="D341" s="213">
        <v>17043000612</v>
      </c>
      <c r="E341" s="213" t="s">
        <v>533</v>
      </c>
      <c r="F341" s="213" t="s">
        <v>534</v>
      </c>
      <c r="G341" s="213" t="s">
        <v>367</v>
      </c>
      <c r="H341" s="213" t="s">
        <v>382</v>
      </c>
      <c r="I341" s="213"/>
      <c r="J341" s="213" t="s">
        <v>547</v>
      </c>
      <c r="K341" s="213"/>
      <c r="L341" s="213"/>
      <c r="M341" s="213"/>
      <c r="N341" s="213"/>
      <c r="O341" s="213"/>
      <c r="P341" s="213"/>
      <c r="Q341" s="213"/>
      <c r="R341" s="213"/>
      <c r="S341" s="213" t="s">
        <v>583</v>
      </c>
      <c r="T341" s="213"/>
      <c r="U341" s="213" t="s">
        <v>538</v>
      </c>
      <c r="V341" s="213">
        <v>3</v>
      </c>
      <c r="W341" s="213" t="s">
        <v>588</v>
      </c>
      <c r="X341" s="213" t="s">
        <v>549</v>
      </c>
      <c r="Y341" s="213" t="s">
        <v>575</v>
      </c>
      <c r="Z341" s="212">
        <v>1900169</v>
      </c>
      <c r="AA341" s="212">
        <v>66518260</v>
      </c>
      <c r="AB341" s="217">
        <v>2.4489999999999998</v>
      </c>
      <c r="AC341" s="217">
        <v>3.9412910000000001</v>
      </c>
      <c r="AD341" s="212">
        <f t="shared" si="5"/>
        <v>162903218.73999998</v>
      </c>
    </row>
    <row r="342" spans="2:30" x14ac:dyDescent="0.15">
      <c r="B342" s="213">
        <v>17043002130</v>
      </c>
      <c r="C342" s="213">
        <v>17043004894</v>
      </c>
      <c r="D342" s="213">
        <v>17043000980</v>
      </c>
      <c r="E342" s="213" t="s">
        <v>533</v>
      </c>
      <c r="F342" s="213" t="s">
        <v>534</v>
      </c>
      <c r="G342" s="213" t="s">
        <v>367</v>
      </c>
      <c r="H342" s="213" t="s">
        <v>535</v>
      </c>
      <c r="I342" s="213"/>
      <c r="J342" s="213" t="s">
        <v>382</v>
      </c>
      <c r="K342" s="213" t="s">
        <v>536</v>
      </c>
      <c r="L342" s="213"/>
      <c r="M342" s="213"/>
      <c r="N342" s="213"/>
      <c r="O342" s="213"/>
      <c r="P342" s="213"/>
      <c r="Q342" s="213"/>
      <c r="R342" s="213"/>
      <c r="S342" s="213" t="s">
        <v>550</v>
      </c>
      <c r="T342" s="213"/>
      <c r="U342" s="213" t="s">
        <v>538</v>
      </c>
      <c r="V342" s="213">
        <v>1</v>
      </c>
      <c r="W342" s="213" t="s">
        <v>545</v>
      </c>
      <c r="X342" s="213" t="s">
        <v>549</v>
      </c>
      <c r="Y342" s="213" t="s">
        <v>540</v>
      </c>
      <c r="Z342" s="212">
        <v>66683</v>
      </c>
      <c r="AA342" s="212">
        <v>7416364</v>
      </c>
      <c r="AB342" s="217">
        <v>2.055021</v>
      </c>
      <c r="AC342" s="217">
        <v>3.307242</v>
      </c>
      <c r="AD342" s="212">
        <f t="shared" si="5"/>
        <v>15240783.763644001</v>
      </c>
    </row>
    <row r="343" spans="2:30" x14ac:dyDescent="0.15">
      <c r="B343" s="213">
        <v>17043002230</v>
      </c>
      <c r="C343" s="213">
        <v>17043000385</v>
      </c>
      <c r="D343" s="213">
        <v>17043000367</v>
      </c>
      <c r="E343" s="213" t="s">
        <v>533</v>
      </c>
      <c r="F343" s="213" t="s">
        <v>534</v>
      </c>
      <c r="G343" s="213" t="s">
        <v>367</v>
      </c>
      <c r="H343" s="213" t="s">
        <v>552</v>
      </c>
      <c r="I343" s="213"/>
      <c r="J343" s="213" t="s">
        <v>547</v>
      </c>
      <c r="K343" s="213"/>
      <c r="L343" s="213"/>
      <c r="M343" s="213"/>
      <c r="N343" s="213"/>
      <c r="O343" s="213"/>
      <c r="P343" s="213"/>
      <c r="Q343" s="213"/>
      <c r="R343" s="213"/>
      <c r="S343" s="213" t="s">
        <v>589</v>
      </c>
      <c r="T343" s="213"/>
      <c r="U343" s="213" t="s">
        <v>538</v>
      </c>
      <c r="V343" s="213">
        <v>2</v>
      </c>
      <c r="W343" s="213" t="s">
        <v>545</v>
      </c>
      <c r="X343" s="213" t="s">
        <v>549</v>
      </c>
      <c r="Y343" s="213" t="s">
        <v>540</v>
      </c>
      <c r="Z343" s="212">
        <v>63091</v>
      </c>
      <c r="AA343" s="212">
        <v>6650748</v>
      </c>
      <c r="AB343" s="217">
        <v>0.67397200000000002</v>
      </c>
      <c r="AC343" s="217">
        <v>1.0846549999999999</v>
      </c>
      <c r="AD343" s="212">
        <f t="shared" si="5"/>
        <v>4482417.9310560003</v>
      </c>
    </row>
    <row r="344" spans="2:30" x14ac:dyDescent="0.15">
      <c r="B344" s="213">
        <v>17043002315</v>
      </c>
      <c r="C344" s="213">
        <v>17043000921</v>
      </c>
      <c r="D344" s="213">
        <v>17043004888</v>
      </c>
      <c r="E344" s="213" t="s">
        <v>533</v>
      </c>
      <c r="F344" s="213" t="s">
        <v>534</v>
      </c>
      <c r="G344" s="213" t="s">
        <v>367</v>
      </c>
      <c r="H344" s="213" t="s">
        <v>381</v>
      </c>
      <c r="I344" s="213"/>
      <c r="J344" s="213" t="s">
        <v>542</v>
      </c>
      <c r="K344" s="213" t="s">
        <v>547</v>
      </c>
      <c r="L344" s="213" t="s">
        <v>382</v>
      </c>
      <c r="M344" s="213"/>
      <c r="N344" s="213"/>
      <c r="O344" s="213"/>
      <c r="P344" s="213"/>
      <c r="Q344" s="213"/>
      <c r="R344" s="213"/>
      <c r="S344" s="213" t="s">
        <v>579</v>
      </c>
      <c r="T344" s="213"/>
      <c r="U344" s="213" t="s">
        <v>538</v>
      </c>
      <c r="V344" s="213">
        <v>3</v>
      </c>
      <c r="W344" s="213" t="s">
        <v>545</v>
      </c>
      <c r="X344" s="213" t="s">
        <v>549</v>
      </c>
      <c r="Y344" s="213" t="s">
        <v>580</v>
      </c>
      <c r="Z344" s="212">
        <v>2794678</v>
      </c>
      <c r="AA344" s="212">
        <v>85257384</v>
      </c>
      <c r="AB344" s="217">
        <v>4.0735890000000001</v>
      </c>
      <c r="AC344" s="217">
        <v>6.5558199999999998</v>
      </c>
      <c r="AD344" s="212">
        <f t="shared" si="5"/>
        <v>347303541.63117599</v>
      </c>
    </row>
    <row r="345" spans="2:30" x14ac:dyDescent="0.15">
      <c r="B345" s="213">
        <v>17043002335</v>
      </c>
      <c r="C345" s="213">
        <v>17043000404</v>
      </c>
      <c r="D345" s="213">
        <v>17043004636</v>
      </c>
      <c r="E345" s="213" t="s">
        <v>533</v>
      </c>
      <c r="F345" s="213" t="s">
        <v>534</v>
      </c>
      <c r="G345" s="213" t="s">
        <v>367</v>
      </c>
      <c r="H345" s="213" t="s">
        <v>552</v>
      </c>
      <c r="I345" s="213"/>
      <c r="J345" s="213" t="s">
        <v>547</v>
      </c>
      <c r="K345" s="213"/>
      <c r="L345" s="213"/>
      <c r="M345" s="213"/>
      <c r="N345" s="213"/>
      <c r="O345" s="213"/>
      <c r="P345" s="213"/>
      <c r="Q345" s="213"/>
      <c r="R345" s="213"/>
      <c r="S345" s="213" t="s">
        <v>589</v>
      </c>
      <c r="T345" s="213" t="s">
        <v>632</v>
      </c>
      <c r="U345" s="213" t="s">
        <v>538</v>
      </c>
      <c r="V345" s="213">
        <v>2</v>
      </c>
      <c r="W345" s="213" t="s">
        <v>545</v>
      </c>
      <c r="X345" s="213" t="s">
        <v>549</v>
      </c>
      <c r="Y345" s="213" t="s">
        <v>540</v>
      </c>
      <c r="Z345" s="212">
        <v>63491</v>
      </c>
      <c r="AA345" s="212">
        <v>6682548</v>
      </c>
      <c r="AB345" s="217">
        <v>0.123207</v>
      </c>
      <c r="AC345" s="217">
        <v>0.19828200000000001</v>
      </c>
      <c r="AD345" s="212">
        <f t="shared" si="5"/>
        <v>823336.69143599994</v>
      </c>
    </row>
    <row r="346" spans="2:30" x14ac:dyDescent="0.15">
      <c r="B346" s="213">
        <v>17043002346</v>
      </c>
      <c r="C346" s="213">
        <v>17043000522</v>
      </c>
      <c r="D346" s="213">
        <v>17043004775</v>
      </c>
      <c r="E346" s="213" t="s">
        <v>533</v>
      </c>
      <c r="F346" s="213" t="s">
        <v>534</v>
      </c>
      <c r="G346" s="213" t="s">
        <v>367</v>
      </c>
      <c r="H346" s="213" t="s">
        <v>382</v>
      </c>
      <c r="I346" s="213"/>
      <c r="J346" s="213" t="s">
        <v>547</v>
      </c>
      <c r="K346" s="213"/>
      <c r="L346" s="213"/>
      <c r="M346" s="213"/>
      <c r="N346" s="213"/>
      <c r="O346" s="213"/>
      <c r="P346" s="213"/>
      <c r="Q346" s="213"/>
      <c r="R346" s="213"/>
      <c r="S346" s="213" t="s">
        <v>583</v>
      </c>
      <c r="T346" s="213"/>
      <c r="U346" s="213" t="s">
        <v>538</v>
      </c>
      <c r="V346" s="213">
        <v>3</v>
      </c>
      <c r="W346" s="213" t="s">
        <v>588</v>
      </c>
      <c r="X346" s="213" t="s">
        <v>549</v>
      </c>
      <c r="Y346" s="213" t="s">
        <v>575</v>
      </c>
      <c r="Z346" s="212">
        <v>1900169</v>
      </c>
      <c r="AA346" s="212">
        <v>66518260</v>
      </c>
      <c r="AB346" s="217">
        <v>0.82846399999999998</v>
      </c>
      <c r="AC346" s="217">
        <v>1.333286</v>
      </c>
      <c r="AD346" s="212">
        <f t="shared" si="5"/>
        <v>55107983.752640001</v>
      </c>
    </row>
    <row r="347" spans="2:30" x14ac:dyDescent="0.15">
      <c r="B347" s="213">
        <v>17043002352</v>
      </c>
      <c r="C347" s="213">
        <v>17043004635</v>
      </c>
      <c r="D347" s="213">
        <v>17043004772</v>
      </c>
      <c r="E347" s="213" t="s">
        <v>533</v>
      </c>
      <c r="F347" s="213" t="s">
        <v>534</v>
      </c>
      <c r="G347" s="213" t="s">
        <v>367</v>
      </c>
      <c r="H347" s="213" t="s">
        <v>552</v>
      </c>
      <c r="I347" s="213"/>
      <c r="J347" s="213" t="s">
        <v>547</v>
      </c>
      <c r="K347" s="213"/>
      <c r="L347" s="213"/>
      <c r="M347" s="213"/>
      <c r="N347" s="213"/>
      <c r="O347" s="213"/>
      <c r="P347" s="213"/>
      <c r="Q347" s="213"/>
      <c r="R347" s="213"/>
      <c r="S347" s="213" t="s">
        <v>589</v>
      </c>
      <c r="T347" s="213"/>
      <c r="U347" s="213" t="s">
        <v>538</v>
      </c>
      <c r="V347" s="213">
        <v>2</v>
      </c>
      <c r="W347" s="213" t="s">
        <v>545</v>
      </c>
      <c r="X347" s="213" t="s">
        <v>549</v>
      </c>
      <c r="Y347" s="213" t="s">
        <v>540</v>
      </c>
      <c r="Z347" s="212">
        <v>63371</v>
      </c>
      <c r="AA347" s="212">
        <v>6672548</v>
      </c>
      <c r="AB347" s="217">
        <v>1.7556849999999999</v>
      </c>
      <c r="AC347" s="217">
        <v>2.825507</v>
      </c>
      <c r="AD347" s="212">
        <f t="shared" si="5"/>
        <v>11714892.435379999</v>
      </c>
    </row>
    <row r="348" spans="2:30" x14ac:dyDescent="0.15">
      <c r="B348" s="213">
        <v>17043002394</v>
      </c>
      <c r="C348" s="213">
        <v>17043004763</v>
      </c>
      <c r="D348" s="213">
        <v>17043004764</v>
      </c>
      <c r="E348" s="213" t="s">
        <v>533</v>
      </c>
      <c r="F348" s="213" t="s">
        <v>534</v>
      </c>
      <c r="G348" s="213" t="s">
        <v>367</v>
      </c>
      <c r="H348" s="213" t="s">
        <v>535</v>
      </c>
      <c r="I348" s="213"/>
      <c r="J348" s="213" t="s">
        <v>536</v>
      </c>
      <c r="K348" s="213" t="s">
        <v>382</v>
      </c>
      <c r="L348" s="213"/>
      <c r="M348" s="213"/>
      <c r="N348" s="213"/>
      <c r="O348" s="213"/>
      <c r="P348" s="213"/>
      <c r="Q348" s="213"/>
      <c r="R348" s="213"/>
      <c r="S348" s="213" t="s">
        <v>550</v>
      </c>
      <c r="T348" s="213"/>
      <c r="U348" s="213" t="s">
        <v>538</v>
      </c>
      <c r="V348" s="213">
        <v>2</v>
      </c>
      <c r="W348" s="213" t="s">
        <v>545</v>
      </c>
      <c r="X348" s="213" t="s">
        <v>540</v>
      </c>
      <c r="Y348" s="213" t="s">
        <v>540</v>
      </c>
      <c r="Z348" s="212">
        <v>16629</v>
      </c>
      <c r="AA348" s="212">
        <v>1568716</v>
      </c>
      <c r="AB348" s="217">
        <v>0.90288299999999999</v>
      </c>
      <c r="AC348" s="217">
        <v>1.453052</v>
      </c>
      <c r="AD348" s="212">
        <f t="shared" si="5"/>
        <v>1416367.008228</v>
      </c>
    </row>
    <row r="349" spans="2:30" x14ac:dyDescent="0.15">
      <c r="B349" s="213">
        <v>17043002400</v>
      </c>
      <c r="C349" s="213">
        <v>17043000384</v>
      </c>
      <c r="D349" s="213">
        <v>17043000383</v>
      </c>
      <c r="E349" s="213" t="s">
        <v>533</v>
      </c>
      <c r="F349" s="213" t="s">
        <v>534</v>
      </c>
      <c r="G349" s="213" t="s">
        <v>367</v>
      </c>
      <c r="H349" s="213" t="s">
        <v>638</v>
      </c>
      <c r="I349" s="213"/>
      <c r="J349" s="213"/>
      <c r="K349" s="213"/>
      <c r="L349" s="213"/>
      <c r="M349" s="213"/>
      <c r="N349" s="213"/>
      <c r="O349" s="213"/>
      <c r="P349" s="213"/>
      <c r="Q349" s="213"/>
      <c r="R349" s="213"/>
      <c r="S349" s="213"/>
      <c r="T349" s="213"/>
      <c r="U349" s="213" t="s">
        <v>559</v>
      </c>
      <c r="V349" s="213">
        <v>1</v>
      </c>
      <c r="W349" s="213" t="s">
        <v>560</v>
      </c>
      <c r="X349" s="213" t="s">
        <v>541</v>
      </c>
      <c r="Y349" s="213" t="s">
        <v>541</v>
      </c>
      <c r="Z349" s="212">
        <v>0</v>
      </c>
      <c r="AA349" s="212">
        <v>0</v>
      </c>
      <c r="AB349" s="217">
        <v>0.21859200000000001</v>
      </c>
      <c r="AC349" s="217">
        <v>0.35179100000000002</v>
      </c>
      <c r="AD349" s="212">
        <f t="shared" si="5"/>
        <v>0</v>
      </c>
    </row>
    <row r="350" spans="2:30" x14ac:dyDescent="0.15">
      <c r="B350" s="213">
        <v>17043002402</v>
      </c>
      <c r="C350" s="213">
        <v>17043000382</v>
      </c>
      <c r="D350" s="213">
        <v>17043000387</v>
      </c>
      <c r="E350" s="213" t="s">
        <v>533</v>
      </c>
      <c r="F350" s="213" t="s">
        <v>534</v>
      </c>
      <c r="G350" s="213" t="s">
        <v>367</v>
      </c>
      <c r="H350" s="213" t="s">
        <v>638</v>
      </c>
      <c r="I350" s="213"/>
      <c r="J350" s="213"/>
      <c r="K350" s="213"/>
      <c r="L350" s="213"/>
      <c r="M350" s="213"/>
      <c r="N350" s="213"/>
      <c r="O350" s="213"/>
      <c r="P350" s="213"/>
      <c r="Q350" s="213"/>
      <c r="R350" s="213"/>
      <c r="S350" s="213"/>
      <c r="T350" s="213"/>
      <c r="U350" s="213" t="s">
        <v>559</v>
      </c>
      <c r="V350" s="213">
        <v>1</v>
      </c>
      <c r="W350" s="213" t="s">
        <v>560</v>
      </c>
      <c r="X350" s="213" t="s">
        <v>541</v>
      </c>
      <c r="Y350" s="213" t="s">
        <v>541</v>
      </c>
      <c r="Z350" s="212">
        <v>0</v>
      </c>
      <c r="AA350" s="212">
        <v>0</v>
      </c>
      <c r="AB350" s="217">
        <v>0.128555</v>
      </c>
      <c r="AC350" s="217">
        <v>0.20688999999999999</v>
      </c>
      <c r="AD350" s="212">
        <f t="shared" si="5"/>
        <v>0</v>
      </c>
    </row>
    <row r="351" spans="2:30" x14ac:dyDescent="0.15">
      <c r="B351" s="213">
        <v>17043002405</v>
      </c>
      <c r="C351" s="213">
        <v>17043000605</v>
      </c>
      <c r="D351" s="213">
        <v>17043000552</v>
      </c>
      <c r="E351" s="213" t="s">
        <v>533</v>
      </c>
      <c r="F351" s="213" t="s">
        <v>534</v>
      </c>
      <c r="G351" s="213" t="s">
        <v>367</v>
      </c>
      <c r="H351" s="213" t="s">
        <v>382</v>
      </c>
      <c r="I351" s="213"/>
      <c r="J351" s="213" t="s">
        <v>547</v>
      </c>
      <c r="K351" s="213"/>
      <c r="L351" s="213"/>
      <c r="M351" s="213"/>
      <c r="N351" s="213"/>
      <c r="O351" s="213"/>
      <c r="P351" s="213"/>
      <c r="Q351" s="213"/>
      <c r="R351" s="213"/>
      <c r="S351" s="213" t="s">
        <v>583</v>
      </c>
      <c r="T351" s="213"/>
      <c r="U351" s="213" t="s">
        <v>538</v>
      </c>
      <c r="V351" s="213">
        <v>3</v>
      </c>
      <c r="W351" s="213" t="s">
        <v>588</v>
      </c>
      <c r="X351" s="213" t="s">
        <v>549</v>
      </c>
      <c r="Y351" s="213" t="s">
        <v>575</v>
      </c>
      <c r="Z351" s="212">
        <v>1900169</v>
      </c>
      <c r="AA351" s="212">
        <v>66518260</v>
      </c>
      <c r="AB351" s="217">
        <v>2.461951</v>
      </c>
      <c r="AC351" s="217">
        <v>3.9621339999999998</v>
      </c>
      <c r="AD351" s="212">
        <f t="shared" si="5"/>
        <v>163764696.72525999</v>
      </c>
    </row>
    <row r="352" spans="2:30" x14ac:dyDescent="0.15">
      <c r="B352" s="213">
        <v>17043003113</v>
      </c>
      <c r="C352" s="213">
        <v>17043000595</v>
      </c>
      <c r="D352" s="213">
        <v>17043000591</v>
      </c>
      <c r="E352" s="213" t="s">
        <v>533</v>
      </c>
      <c r="F352" s="213" t="s">
        <v>534</v>
      </c>
      <c r="G352" s="213" t="s">
        <v>367</v>
      </c>
      <c r="H352" s="213" t="s">
        <v>382</v>
      </c>
      <c r="I352" s="213"/>
      <c r="J352" s="213" t="s">
        <v>547</v>
      </c>
      <c r="K352" s="213"/>
      <c r="L352" s="213"/>
      <c r="M352" s="213"/>
      <c r="N352" s="213"/>
      <c r="O352" s="213"/>
      <c r="P352" s="213"/>
      <c r="Q352" s="213"/>
      <c r="R352" s="213"/>
      <c r="S352" s="213" t="s">
        <v>583</v>
      </c>
      <c r="T352" s="213" t="s">
        <v>587</v>
      </c>
      <c r="U352" s="213" t="s">
        <v>538</v>
      </c>
      <c r="V352" s="213">
        <v>3</v>
      </c>
      <c r="W352" s="213" t="s">
        <v>588</v>
      </c>
      <c r="X352" s="213" t="s">
        <v>549</v>
      </c>
      <c r="Y352" s="213" t="s">
        <v>575</v>
      </c>
      <c r="Z352" s="212">
        <v>1961255</v>
      </c>
      <c r="AA352" s="212">
        <v>73811274</v>
      </c>
      <c r="AB352" s="217">
        <v>1.7673559999999999</v>
      </c>
      <c r="AC352" s="217">
        <v>2.84429</v>
      </c>
      <c r="AD352" s="212">
        <f t="shared" si="5"/>
        <v>130450797.971544</v>
      </c>
    </row>
    <row r="353" spans="2:30" x14ac:dyDescent="0.15">
      <c r="B353" s="213">
        <v>17043003488</v>
      </c>
      <c r="C353" s="213">
        <v>17999022248</v>
      </c>
      <c r="D353" s="213">
        <v>17043001186</v>
      </c>
      <c r="E353" s="213" t="s">
        <v>533</v>
      </c>
      <c r="F353" s="213" t="s">
        <v>534</v>
      </c>
      <c r="G353" s="213" t="s">
        <v>367</v>
      </c>
      <c r="H353" s="213" t="s">
        <v>381</v>
      </c>
      <c r="I353" s="213"/>
      <c r="J353" s="213" t="s">
        <v>382</v>
      </c>
      <c r="K353" s="213"/>
      <c r="L353" s="213"/>
      <c r="M353" s="213"/>
      <c r="N353" s="213"/>
      <c r="O353" s="213"/>
      <c r="P353" s="213"/>
      <c r="Q353" s="213"/>
      <c r="R353" s="213"/>
      <c r="S353" s="213" t="s">
        <v>647</v>
      </c>
      <c r="T353" s="213"/>
      <c r="U353" s="213" t="s">
        <v>538</v>
      </c>
      <c r="V353" s="213">
        <v>2</v>
      </c>
      <c r="W353" s="213" t="s">
        <v>545</v>
      </c>
      <c r="X353" s="213" t="s">
        <v>549</v>
      </c>
      <c r="Y353" s="213" t="s">
        <v>580</v>
      </c>
      <c r="Z353" s="212">
        <v>523942</v>
      </c>
      <c r="AA353" s="212">
        <v>20599306</v>
      </c>
      <c r="AB353" s="217">
        <v>1.4564410000000001</v>
      </c>
      <c r="AC353" s="217">
        <v>2.3439190000000001</v>
      </c>
      <c r="AD353" s="212">
        <f t="shared" si="5"/>
        <v>30001673.829946004</v>
      </c>
    </row>
    <row r="354" spans="2:30" x14ac:dyDescent="0.15">
      <c r="B354" s="213">
        <v>17043003512</v>
      </c>
      <c r="C354" s="213">
        <v>17043004774</v>
      </c>
      <c r="D354" s="213">
        <v>17043000404</v>
      </c>
      <c r="E354" s="213" t="s">
        <v>533</v>
      </c>
      <c r="F354" s="213" t="s">
        <v>534</v>
      </c>
      <c r="G354" s="213" t="s">
        <v>367</v>
      </c>
      <c r="H354" s="213" t="s">
        <v>552</v>
      </c>
      <c r="I354" s="213"/>
      <c r="J354" s="213" t="s">
        <v>551</v>
      </c>
      <c r="K354" s="213" t="s">
        <v>547</v>
      </c>
      <c r="L354" s="213" t="s">
        <v>382</v>
      </c>
      <c r="M354" s="213" t="s">
        <v>563</v>
      </c>
      <c r="N354" s="213"/>
      <c r="O354" s="213"/>
      <c r="P354" s="213"/>
      <c r="Q354" s="213"/>
      <c r="R354" s="213"/>
      <c r="S354" s="213" t="s">
        <v>589</v>
      </c>
      <c r="T354" s="213" t="s">
        <v>632</v>
      </c>
      <c r="U354" s="213" t="s">
        <v>538</v>
      </c>
      <c r="V354" s="213">
        <v>2</v>
      </c>
      <c r="W354" s="213" t="s">
        <v>545</v>
      </c>
      <c r="X354" s="213" t="s">
        <v>549</v>
      </c>
      <c r="Y354" s="213" t="s">
        <v>549</v>
      </c>
      <c r="Z354" s="212">
        <v>505257</v>
      </c>
      <c r="AA354" s="212">
        <v>34220158</v>
      </c>
      <c r="AB354" s="217">
        <v>0.42605599999999999</v>
      </c>
      <c r="AC354" s="217">
        <v>0.68567199999999995</v>
      </c>
      <c r="AD354" s="212">
        <f t="shared" si="5"/>
        <v>14579703.636847999</v>
      </c>
    </row>
    <row r="355" spans="2:30" x14ac:dyDescent="0.15">
      <c r="B355" s="213">
        <v>17043003530</v>
      </c>
      <c r="C355" s="213">
        <v>17043004770</v>
      </c>
      <c r="D355" s="213">
        <v>17043007347</v>
      </c>
      <c r="E355" s="213" t="s">
        <v>533</v>
      </c>
      <c r="F355" s="213" t="s">
        <v>534</v>
      </c>
      <c r="G355" s="213" t="s">
        <v>367</v>
      </c>
      <c r="H355" s="213" t="s">
        <v>552</v>
      </c>
      <c r="I355" s="213"/>
      <c r="J355" s="213"/>
      <c r="K355" s="213"/>
      <c r="L355" s="213"/>
      <c r="M355" s="213"/>
      <c r="N355" s="213"/>
      <c r="O355" s="213"/>
      <c r="P355" s="213"/>
      <c r="Q355" s="213"/>
      <c r="R355" s="213"/>
      <c r="S355" s="213"/>
      <c r="T355" s="213"/>
      <c r="U355" s="213" t="s">
        <v>559</v>
      </c>
      <c r="V355" s="213">
        <v>1</v>
      </c>
      <c r="W355" s="213" t="s">
        <v>560</v>
      </c>
      <c r="X355" s="213" t="s">
        <v>541</v>
      </c>
      <c r="Y355" s="213" t="s">
        <v>541</v>
      </c>
      <c r="Z355" s="212">
        <v>0</v>
      </c>
      <c r="AA355" s="212">
        <v>0</v>
      </c>
      <c r="AB355" s="217">
        <v>0.21829000000000001</v>
      </c>
      <c r="AC355" s="217">
        <v>0.35130400000000001</v>
      </c>
      <c r="AD355" s="212">
        <f t="shared" si="5"/>
        <v>0</v>
      </c>
    </row>
    <row r="356" spans="2:30" x14ac:dyDescent="0.15">
      <c r="B356" s="213">
        <v>17043003531</v>
      </c>
      <c r="C356" s="213">
        <v>17999020085</v>
      </c>
      <c r="D356" s="213">
        <v>17043000363</v>
      </c>
      <c r="E356" s="213" t="s">
        <v>533</v>
      </c>
      <c r="F356" s="213" t="s">
        <v>534</v>
      </c>
      <c r="G356" s="213" t="s">
        <v>367</v>
      </c>
      <c r="H356" s="213" t="s">
        <v>382</v>
      </c>
      <c r="I356" s="213"/>
      <c r="J356" s="213"/>
      <c r="K356" s="213"/>
      <c r="L356" s="213"/>
      <c r="M356" s="213"/>
      <c r="N356" s="213"/>
      <c r="O356" s="213"/>
      <c r="P356" s="213"/>
      <c r="Q356" s="213"/>
      <c r="R356" s="213"/>
      <c r="S356" s="213" t="s">
        <v>586</v>
      </c>
      <c r="T356" s="213"/>
      <c r="U356" s="213" t="s">
        <v>538</v>
      </c>
      <c r="V356" s="213">
        <v>2</v>
      </c>
      <c r="W356" s="213" t="s">
        <v>582</v>
      </c>
      <c r="X356" s="213" t="s">
        <v>549</v>
      </c>
      <c r="Y356" s="213" t="s">
        <v>549</v>
      </c>
      <c r="Z356" s="212">
        <v>139565</v>
      </c>
      <c r="AA356" s="212">
        <v>16043772</v>
      </c>
      <c r="AB356" s="217">
        <v>2.5207700000000002</v>
      </c>
      <c r="AC356" s="217">
        <v>4.056794</v>
      </c>
      <c r="AD356" s="212">
        <f t="shared" si="5"/>
        <v>40442659.144440003</v>
      </c>
    </row>
    <row r="357" spans="2:30" x14ac:dyDescent="0.15">
      <c r="B357" s="213">
        <v>17043003893</v>
      </c>
      <c r="C357" s="213">
        <v>17043000363</v>
      </c>
      <c r="D357" s="213">
        <v>17043004773</v>
      </c>
      <c r="E357" s="213" t="s">
        <v>533</v>
      </c>
      <c r="F357" s="213" t="s">
        <v>534</v>
      </c>
      <c r="G357" s="213" t="s">
        <v>367</v>
      </c>
      <c r="H357" s="213" t="s">
        <v>382</v>
      </c>
      <c r="I357" s="213"/>
      <c r="J357" s="213" t="s">
        <v>552</v>
      </c>
      <c r="K357" s="213"/>
      <c r="L357" s="213"/>
      <c r="M357" s="213"/>
      <c r="N357" s="213"/>
      <c r="O357" s="213"/>
      <c r="P357" s="213"/>
      <c r="Q357" s="213"/>
      <c r="R357" s="213"/>
      <c r="S357" s="213" t="s">
        <v>586</v>
      </c>
      <c r="T357" s="213"/>
      <c r="U357" s="213" t="s">
        <v>538</v>
      </c>
      <c r="V357" s="213">
        <v>2</v>
      </c>
      <c r="W357" s="213" t="s">
        <v>582</v>
      </c>
      <c r="X357" s="213" t="s">
        <v>549</v>
      </c>
      <c r="Y357" s="213" t="s">
        <v>580</v>
      </c>
      <c r="Z357" s="212">
        <v>640847</v>
      </c>
      <c r="AA357" s="212">
        <v>50571432</v>
      </c>
      <c r="AB357" s="217">
        <v>0.145005</v>
      </c>
      <c r="AC357" s="217">
        <v>0.23336299999999999</v>
      </c>
      <c r="AD357" s="212">
        <f t="shared" si="5"/>
        <v>7333110.4971599998</v>
      </c>
    </row>
    <row r="358" spans="2:30" x14ac:dyDescent="0.15">
      <c r="B358" s="213">
        <v>17043003968</v>
      </c>
      <c r="C358" s="213">
        <v>17043000928</v>
      </c>
      <c r="D358" s="213">
        <v>17043000924</v>
      </c>
      <c r="E358" s="213" t="s">
        <v>533</v>
      </c>
      <c r="F358" s="213" t="s">
        <v>534</v>
      </c>
      <c r="G358" s="213" t="s">
        <v>367</v>
      </c>
      <c r="H358" s="213" t="s">
        <v>381</v>
      </c>
      <c r="I358" s="213"/>
      <c r="J358" s="213" t="s">
        <v>542</v>
      </c>
      <c r="K358" s="213" t="s">
        <v>547</v>
      </c>
      <c r="L358" s="213" t="s">
        <v>382</v>
      </c>
      <c r="M358" s="213"/>
      <c r="N358" s="213"/>
      <c r="O358" s="213"/>
      <c r="P358" s="213"/>
      <c r="Q358" s="213"/>
      <c r="R358" s="213"/>
      <c r="S358" s="213" t="s">
        <v>579</v>
      </c>
      <c r="T358" s="213"/>
      <c r="U358" s="213" t="s">
        <v>538</v>
      </c>
      <c r="V358" s="213">
        <v>3</v>
      </c>
      <c r="W358" s="213" t="s">
        <v>545</v>
      </c>
      <c r="X358" s="213" t="s">
        <v>549</v>
      </c>
      <c r="Y358" s="213" t="s">
        <v>580</v>
      </c>
      <c r="Z358" s="212">
        <v>2794398</v>
      </c>
      <c r="AA358" s="212">
        <v>85230304</v>
      </c>
      <c r="AB358" s="217">
        <v>0.68145999999999995</v>
      </c>
      <c r="AC358" s="217">
        <v>1.096705</v>
      </c>
      <c r="AD358" s="212">
        <f t="shared" si="5"/>
        <v>58081042.963839993</v>
      </c>
    </row>
    <row r="359" spans="2:30" x14ac:dyDescent="0.15">
      <c r="B359" s="213">
        <v>17043003969</v>
      </c>
      <c r="C359" s="213">
        <v>17999021568</v>
      </c>
      <c r="D359" s="213">
        <v>17043000935</v>
      </c>
      <c r="E359" s="213" t="s">
        <v>533</v>
      </c>
      <c r="F359" s="213" t="s">
        <v>534</v>
      </c>
      <c r="G359" s="213" t="s">
        <v>367</v>
      </c>
      <c r="H359" s="213" t="s">
        <v>381</v>
      </c>
      <c r="I359" s="213"/>
      <c r="J359" s="213" t="s">
        <v>542</v>
      </c>
      <c r="K359" s="213" t="s">
        <v>578</v>
      </c>
      <c r="L359" s="213" t="s">
        <v>547</v>
      </c>
      <c r="M359" s="213" t="s">
        <v>382</v>
      </c>
      <c r="N359" s="213"/>
      <c r="O359" s="213"/>
      <c r="P359" s="213"/>
      <c r="Q359" s="213"/>
      <c r="R359" s="213"/>
      <c r="S359" s="213" t="s">
        <v>579</v>
      </c>
      <c r="T359" s="213" t="s">
        <v>694</v>
      </c>
      <c r="U359" s="213" t="s">
        <v>538</v>
      </c>
      <c r="V359" s="213">
        <v>3</v>
      </c>
      <c r="W359" s="213" t="s">
        <v>545</v>
      </c>
      <c r="X359" s="213" t="s">
        <v>540</v>
      </c>
      <c r="Y359" s="213" t="s">
        <v>575</v>
      </c>
      <c r="Z359" s="212">
        <v>2798738</v>
      </c>
      <c r="AA359" s="212">
        <v>85650772</v>
      </c>
      <c r="AB359" s="217">
        <v>0.93681000000000003</v>
      </c>
      <c r="AC359" s="217">
        <v>1.5076529999999999</v>
      </c>
      <c r="AD359" s="212">
        <f t="shared" si="5"/>
        <v>80238499.71732001</v>
      </c>
    </row>
    <row r="360" spans="2:30" x14ac:dyDescent="0.15">
      <c r="B360" s="213">
        <v>17043004083</v>
      </c>
      <c r="C360" s="213">
        <v>17043004767</v>
      </c>
      <c r="D360" s="213">
        <v>17043000584</v>
      </c>
      <c r="E360" s="213" t="s">
        <v>533</v>
      </c>
      <c r="F360" s="213" t="s">
        <v>534</v>
      </c>
      <c r="G360" s="213" t="s">
        <v>367</v>
      </c>
      <c r="H360" s="213" t="s">
        <v>535</v>
      </c>
      <c r="I360" s="213"/>
      <c r="J360" s="213"/>
      <c r="K360" s="213"/>
      <c r="L360" s="213"/>
      <c r="M360" s="213"/>
      <c r="N360" s="213"/>
      <c r="O360" s="213"/>
      <c r="P360" s="213"/>
      <c r="Q360" s="213"/>
      <c r="R360" s="213"/>
      <c r="S360" s="213" t="s">
        <v>624</v>
      </c>
      <c r="T360" s="213"/>
      <c r="U360" s="213" t="s">
        <v>538</v>
      </c>
      <c r="V360" s="213">
        <v>1</v>
      </c>
      <c r="W360" s="213" t="s">
        <v>582</v>
      </c>
      <c r="X360" s="213" t="s">
        <v>540</v>
      </c>
      <c r="Y360" s="213" t="s">
        <v>554</v>
      </c>
      <c r="Z360" s="212">
        <v>1600</v>
      </c>
      <c r="AA360" s="212">
        <v>134280</v>
      </c>
      <c r="AB360" s="217">
        <v>2.0170249999999998</v>
      </c>
      <c r="AC360" s="217">
        <v>3.2460930000000001</v>
      </c>
      <c r="AD360" s="212">
        <f t="shared" si="5"/>
        <v>270846.11699999997</v>
      </c>
    </row>
    <row r="361" spans="2:30" x14ac:dyDescent="0.15">
      <c r="B361" s="213">
        <v>17043004084</v>
      </c>
      <c r="C361" s="213">
        <v>17043000511</v>
      </c>
      <c r="D361" s="213">
        <v>17043004767</v>
      </c>
      <c r="E361" s="213" t="s">
        <v>533</v>
      </c>
      <c r="F361" s="213" t="s">
        <v>534</v>
      </c>
      <c r="G361" s="213" t="s">
        <v>367</v>
      </c>
      <c r="H361" s="213" t="s">
        <v>535</v>
      </c>
      <c r="I361" s="213"/>
      <c r="J361" s="213"/>
      <c r="K361" s="213"/>
      <c r="L361" s="213"/>
      <c r="M361" s="213"/>
      <c r="N361" s="213"/>
      <c r="O361" s="213"/>
      <c r="P361" s="213"/>
      <c r="Q361" s="213"/>
      <c r="R361" s="213"/>
      <c r="S361" s="213" t="s">
        <v>624</v>
      </c>
      <c r="T361" s="213"/>
      <c r="U361" s="213" t="s">
        <v>538</v>
      </c>
      <c r="V361" s="213">
        <v>1</v>
      </c>
      <c r="W361" s="213" t="s">
        <v>582</v>
      </c>
      <c r="X361" s="213" t="s">
        <v>540</v>
      </c>
      <c r="Y361" s="213" t="s">
        <v>554</v>
      </c>
      <c r="Z361" s="212">
        <v>1160</v>
      </c>
      <c r="AA361" s="212">
        <v>92040</v>
      </c>
      <c r="AB361" s="217">
        <v>1.158128</v>
      </c>
      <c r="AC361" s="217">
        <v>1.8638300000000001</v>
      </c>
      <c r="AD361" s="212">
        <f t="shared" si="5"/>
        <v>106594.10112000001</v>
      </c>
    </row>
    <row r="362" spans="2:30" x14ac:dyDescent="0.15">
      <c r="B362" s="213">
        <v>17043005745</v>
      </c>
      <c r="C362" s="213">
        <v>17043004782</v>
      </c>
      <c r="D362" s="213">
        <v>17043000593</v>
      </c>
      <c r="E362" s="213" t="s">
        <v>533</v>
      </c>
      <c r="F362" s="213" t="s">
        <v>534</v>
      </c>
      <c r="G362" s="213" t="s">
        <v>367</v>
      </c>
      <c r="H362" s="213" t="s">
        <v>382</v>
      </c>
      <c r="I362" s="213"/>
      <c r="J362" s="213"/>
      <c r="K362" s="213"/>
      <c r="L362" s="213"/>
      <c r="M362" s="213"/>
      <c r="N362" s="213"/>
      <c r="O362" s="213"/>
      <c r="P362" s="213"/>
      <c r="Q362" s="213"/>
      <c r="R362" s="213"/>
      <c r="S362" s="213" t="s">
        <v>635</v>
      </c>
      <c r="T362" s="213" t="s">
        <v>587</v>
      </c>
      <c r="U362" s="213" t="s">
        <v>559</v>
      </c>
      <c r="V362" s="213">
        <v>1</v>
      </c>
      <c r="W362" s="213" t="s">
        <v>560</v>
      </c>
      <c r="X362" s="213" t="s">
        <v>541</v>
      </c>
      <c r="Y362" s="213" t="s">
        <v>541</v>
      </c>
      <c r="Z362" s="212">
        <v>0</v>
      </c>
      <c r="AA362" s="212">
        <v>0</v>
      </c>
      <c r="AB362" s="217">
        <v>2.7451E-2</v>
      </c>
      <c r="AC362" s="217">
        <v>4.4178000000000002E-2</v>
      </c>
      <c r="AD362" s="212">
        <f t="shared" si="5"/>
        <v>0</v>
      </c>
    </row>
    <row r="363" spans="2:30" x14ac:dyDescent="0.15">
      <c r="B363" s="213">
        <v>17043005906</v>
      </c>
      <c r="C363" s="213">
        <v>17043004891</v>
      </c>
      <c r="D363" s="213">
        <v>17043000939</v>
      </c>
      <c r="E363" s="213" t="s">
        <v>533</v>
      </c>
      <c r="F363" s="213" t="s">
        <v>534</v>
      </c>
      <c r="G363" s="213" t="s">
        <v>367</v>
      </c>
      <c r="H363" s="213" t="s">
        <v>381</v>
      </c>
      <c r="I363" s="213"/>
      <c r="J363" s="213" t="s">
        <v>535</v>
      </c>
      <c r="K363" s="213" t="s">
        <v>536</v>
      </c>
      <c r="L363" s="213" t="s">
        <v>382</v>
      </c>
      <c r="M363" s="213"/>
      <c r="N363" s="213"/>
      <c r="O363" s="213"/>
      <c r="P363" s="213"/>
      <c r="Q363" s="213"/>
      <c r="R363" s="213"/>
      <c r="S363" s="213"/>
      <c r="T363" s="213" t="s">
        <v>694</v>
      </c>
      <c r="U363" s="213" t="s">
        <v>538</v>
      </c>
      <c r="V363" s="213">
        <v>1</v>
      </c>
      <c r="W363" s="213" t="s">
        <v>560</v>
      </c>
      <c r="X363" s="213" t="s">
        <v>541</v>
      </c>
      <c r="Y363" s="213" t="s">
        <v>541</v>
      </c>
      <c r="Z363" s="212">
        <v>0</v>
      </c>
      <c r="AA363" s="212">
        <v>0</v>
      </c>
      <c r="AB363" s="217">
        <v>0.107955</v>
      </c>
      <c r="AC363" s="217">
        <v>0.173737</v>
      </c>
      <c r="AD363" s="212">
        <f t="shared" si="5"/>
        <v>0</v>
      </c>
    </row>
    <row r="364" spans="2:30" x14ac:dyDescent="0.15">
      <c r="B364" s="213">
        <v>17043005913</v>
      </c>
      <c r="C364" s="213">
        <v>17043000390</v>
      </c>
      <c r="D364" s="213">
        <v>17043000396</v>
      </c>
      <c r="E364" s="213" t="s">
        <v>533</v>
      </c>
      <c r="F364" s="213" t="s">
        <v>534</v>
      </c>
      <c r="G364" s="213" t="s">
        <v>367</v>
      </c>
      <c r="H364" s="213" t="s">
        <v>638</v>
      </c>
      <c r="I364" s="213"/>
      <c r="J364" s="213"/>
      <c r="K364" s="213"/>
      <c r="L364" s="213"/>
      <c r="M364" s="213"/>
      <c r="N364" s="213"/>
      <c r="O364" s="213"/>
      <c r="P364" s="213"/>
      <c r="Q364" s="213"/>
      <c r="R364" s="213"/>
      <c r="S364" s="213"/>
      <c r="T364" s="213"/>
      <c r="U364" s="213" t="s">
        <v>559</v>
      </c>
      <c r="V364" s="213">
        <v>1</v>
      </c>
      <c r="W364" s="213" t="s">
        <v>560</v>
      </c>
      <c r="X364" s="213" t="s">
        <v>541</v>
      </c>
      <c r="Y364" s="213" t="s">
        <v>541</v>
      </c>
      <c r="Z364" s="212">
        <v>0</v>
      </c>
      <c r="AA364" s="212">
        <v>0</v>
      </c>
      <c r="AB364" s="217">
        <v>0.18471899999999999</v>
      </c>
      <c r="AC364" s="217">
        <v>0.29727799999999999</v>
      </c>
      <c r="AD364" s="212">
        <f t="shared" si="5"/>
        <v>0</v>
      </c>
    </row>
    <row r="365" spans="2:30" x14ac:dyDescent="0.15">
      <c r="B365" s="213">
        <v>17043006055</v>
      </c>
      <c r="C365" s="213">
        <v>17999099090</v>
      </c>
      <c r="D365" s="213">
        <v>17043000522</v>
      </c>
      <c r="E365" s="213" t="s">
        <v>533</v>
      </c>
      <c r="F365" s="213" t="s">
        <v>534</v>
      </c>
      <c r="G365" s="213" t="s">
        <v>367</v>
      </c>
      <c r="H365" s="213" t="s">
        <v>382</v>
      </c>
      <c r="I365" s="213"/>
      <c r="J365" s="213"/>
      <c r="K365" s="213"/>
      <c r="L365" s="213"/>
      <c r="M365" s="213"/>
      <c r="N365" s="213"/>
      <c r="O365" s="213"/>
      <c r="P365" s="213"/>
      <c r="Q365" s="213"/>
      <c r="R365" s="213"/>
      <c r="S365" s="213"/>
      <c r="T365" s="213" t="s">
        <v>626</v>
      </c>
      <c r="U365" s="213" t="s">
        <v>559</v>
      </c>
      <c r="V365" s="213">
        <v>1</v>
      </c>
      <c r="W365" s="213" t="s">
        <v>562</v>
      </c>
      <c r="X365" s="213" t="s">
        <v>541</v>
      </c>
      <c r="Y365" s="213" t="s">
        <v>541</v>
      </c>
      <c r="Z365" s="212">
        <v>200200</v>
      </c>
      <c r="AA365" s="212">
        <v>3052640</v>
      </c>
      <c r="AB365" s="217">
        <v>0.233903</v>
      </c>
      <c r="AC365" s="217">
        <v>0.37643100000000002</v>
      </c>
      <c r="AD365" s="212">
        <f t="shared" si="5"/>
        <v>714021.65391999995</v>
      </c>
    </row>
    <row r="366" spans="2:30" x14ac:dyDescent="0.15">
      <c r="B366" s="213">
        <v>17043006231</v>
      </c>
      <c r="C366" s="213">
        <v>17043004881</v>
      </c>
      <c r="D366" s="213">
        <v>17043001186</v>
      </c>
      <c r="E366" s="213" t="s">
        <v>533</v>
      </c>
      <c r="F366" s="213" t="s">
        <v>534</v>
      </c>
      <c r="G366" s="213" t="s">
        <v>367</v>
      </c>
      <c r="H366" s="213" t="s">
        <v>381</v>
      </c>
      <c r="I366" s="213"/>
      <c r="J366" s="213"/>
      <c r="K366" s="213"/>
      <c r="L366" s="213"/>
      <c r="M366" s="213"/>
      <c r="N366" s="213"/>
      <c r="O366" s="213"/>
      <c r="P366" s="213"/>
      <c r="Q366" s="213"/>
      <c r="R366" s="213"/>
      <c r="S366" s="213"/>
      <c r="T366" s="213"/>
      <c r="U366" s="213" t="s">
        <v>559</v>
      </c>
      <c r="V366" s="213">
        <v>1</v>
      </c>
      <c r="W366" s="213" t="s">
        <v>560</v>
      </c>
      <c r="X366" s="213" t="s">
        <v>541</v>
      </c>
      <c r="Y366" s="213" t="s">
        <v>541</v>
      </c>
      <c r="Z366" s="212">
        <v>0</v>
      </c>
      <c r="AA366" s="212">
        <v>0</v>
      </c>
      <c r="AB366" s="217">
        <v>3.3726790000000002</v>
      </c>
      <c r="AC366" s="217">
        <v>5.4278120000000003</v>
      </c>
      <c r="AD366" s="212">
        <f t="shared" si="5"/>
        <v>0</v>
      </c>
    </row>
    <row r="367" spans="2:30" x14ac:dyDescent="0.15">
      <c r="B367" s="213">
        <v>17043006531</v>
      </c>
      <c r="C367" s="213">
        <v>17043004770</v>
      </c>
      <c r="D367" s="213">
        <v>17043000385</v>
      </c>
      <c r="E367" s="213" t="s">
        <v>533</v>
      </c>
      <c r="F367" s="213" t="s">
        <v>534</v>
      </c>
      <c r="G367" s="213" t="s">
        <v>367</v>
      </c>
      <c r="H367" s="213" t="s">
        <v>552</v>
      </c>
      <c r="I367" s="213"/>
      <c r="J367" s="213"/>
      <c r="K367" s="213"/>
      <c r="L367" s="213"/>
      <c r="M367" s="213"/>
      <c r="N367" s="213"/>
      <c r="O367" s="213"/>
      <c r="P367" s="213"/>
      <c r="Q367" s="213"/>
      <c r="R367" s="213"/>
      <c r="S367" s="213"/>
      <c r="T367" s="213"/>
      <c r="U367" s="213" t="s">
        <v>559</v>
      </c>
      <c r="V367" s="213">
        <v>1</v>
      </c>
      <c r="W367" s="213" t="s">
        <v>560</v>
      </c>
      <c r="X367" s="213" t="s">
        <v>541</v>
      </c>
      <c r="Y367" s="213" t="s">
        <v>541</v>
      </c>
      <c r="Z367" s="212">
        <v>0</v>
      </c>
      <c r="AA367" s="212">
        <v>0</v>
      </c>
      <c r="AB367" s="217">
        <v>9.1924000000000006E-2</v>
      </c>
      <c r="AC367" s="217">
        <v>0.14793700000000001</v>
      </c>
      <c r="AD367" s="212">
        <f t="shared" si="5"/>
        <v>0</v>
      </c>
    </row>
    <row r="368" spans="2:30" x14ac:dyDescent="0.15">
      <c r="B368" s="213">
        <v>17043008193</v>
      </c>
      <c r="C368" s="213">
        <v>17043004781</v>
      </c>
      <c r="D368" s="213">
        <v>17043006561</v>
      </c>
      <c r="E368" s="213" t="s">
        <v>533</v>
      </c>
      <c r="F368" s="213" t="s">
        <v>534</v>
      </c>
      <c r="G368" s="213" t="s">
        <v>367</v>
      </c>
      <c r="H368" s="213" t="s">
        <v>382</v>
      </c>
      <c r="I368" s="213"/>
      <c r="J368" s="213"/>
      <c r="K368" s="213"/>
      <c r="L368" s="213"/>
      <c r="M368" s="213"/>
      <c r="N368" s="213"/>
      <c r="O368" s="213"/>
      <c r="P368" s="213"/>
      <c r="Q368" s="213"/>
      <c r="R368" s="213"/>
      <c r="S368" s="213"/>
      <c r="T368" s="213"/>
      <c r="U368" s="213" t="s">
        <v>559</v>
      </c>
      <c r="V368" s="213">
        <v>1</v>
      </c>
      <c r="W368" s="213" t="s">
        <v>560</v>
      </c>
      <c r="X368" s="213" t="s">
        <v>541</v>
      </c>
      <c r="Y368" s="213" t="s">
        <v>541</v>
      </c>
      <c r="Z368" s="212">
        <v>0</v>
      </c>
      <c r="AA368" s="212">
        <v>0</v>
      </c>
      <c r="AB368" s="217">
        <v>8.5347000000000006E-2</v>
      </c>
      <c r="AC368" s="217">
        <v>0.137353</v>
      </c>
      <c r="AD368" s="212">
        <f t="shared" si="5"/>
        <v>0</v>
      </c>
    </row>
    <row r="369" spans="2:30" x14ac:dyDescent="0.15">
      <c r="B369" s="213">
        <v>17043008199</v>
      </c>
      <c r="C369" s="213">
        <v>17043000589</v>
      </c>
      <c r="D369" s="213">
        <v>17043006566</v>
      </c>
      <c r="E369" s="213" t="s">
        <v>533</v>
      </c>
      <c r="F369" s="213" t="s">
        <v>534</v>
      </c>
      <c r="G369" s="213" t="s">
        <v>367</v>
      </c>
      <c r="H369" s="213" t="s">
        <v>382</v>
      </c>
      <c r="I369" s="213"/>
      <c r="J369" s="213"/>
      <c r="K369" s="213"/>
      <c r="L369" s="213"/>
      <c r="M369" s="213"/>
      <c r="N369" s="213"/>
      <c r="O369" s="213"/>
      <c r="P369" s="213"/>
      <c r="Q369" s="213"/>
      <c r="R369" s="213"/>
      <c r="S369" s="213" t="s">
        <v>635</v>
      </c>
      <c r="T369" s="213" t="s">
        <v>587</v>
      </c>
      <c r="U369" s="213" t="s">
        <v>559</v>
      </c>
      <c r="V369" s="213">
        <v>1</v>
      </c>
      <c r="W369" s="213" t="s">
        <v>560</v>
      </c>
      <c r="X369" s="213" t="s">
        <v>541</v>
      </c>
      <c r="Y369" s="213" t="s">
        <v>541</v>
      </c>
      <c r="Z369" s="212">
        <v>0</v>
      </c>
      <c r="AA369" s="212">
        <v>0</v>
      </c>
      <c r="AB369" s="217">
        <v>4.6785E-2</v>
      </c>
      <c r="AC369" s="217">
        <v>7.5294E-2</v>
      </c>
      <c r="AD369" s="212">
        <f t="shared" si="5"/>
        <v>0</v>
      </c>
    </row>
    <row r="370" spans="2:30" x14ac:dyDescent="0.15">
      <c r="B370" s="213">
        <v>17043009085</v>
      </c>
      <c r="C370" s="213">
        <v>17043007293</v>
      </c>
      <c r="D370" s="213">
        <v>17043007296</v>
      </c>
      <c r="E370" s="213" t="s">
        <v>533</v>
      </c>
      <c r="F370" s="213" t="s">
        <v>534</v>
      </c>
      <c r="G370" s="213" t="s">
        <v>367</v>
      </c>
      <c r="H370" s="213" t="s">
        <v>382</v>
      </c>
      <c r="I370" s="213"/>
      <c r="J370" s="213"/>
      <c r="K370" s="213"/>
      <c r="L370" s="213"/>
      <c r="M370" s="213"/>
      <c r="N370" s="213"/>
      <c r="O370" s="213"/>
      <c r="P370" s="213"/>
      <c r="Q370" s="213"/>
      <c r="R370" s="213"/>
      <c r="S370" s="213"/>
      <c r="T370" s="213"/>
      <c r="U370" s="213" t="s">
        <v>559</v>
      </c>
      <c r="V370" s="213">
        <v>1</v>
      </c>
      <c r="W370" s="213" t="s">
        <v>560</v>
      </c>
      <c r="X370" s="213" t="s">
        <v>541</v>
      </c>
      <c r="Y370" s="213" t="s">
        <v>541</v>
      </c>
      <c r="Z370" s="212">
        <v>0</v>
      </c>
      <c r="AA370" s="212">
        <v>0</v>
      </c>
      <c r="AB370" s="217">
        <v>5.4470999999999999E-2</v>
      </c>
      <c r="AC370" s="217">
        <v>8.7662000000000004E-2</v>
      </c>
      <c r="AD370" s="212">
        <f t="shared" si="5"/>
        <v>0</v>
      </c>
    </row>
    <row r="371" spans="2:30" x14ac:dyDescent="0.15">
      <c r="B371" s="213">
        <v>17043009116</v>
      </c>
      <c r="C371" s="213">
        <v>17043000431</v>
      </c>
      <c r="D371" s="213">
        <v>17043007323</v>
      </c>
      <c r="E371" s="213" t="s">
        <v>533</v>
      </c>
      <c r="F371" s="213" t="s">
        <v>534</v>
      </c>
      <c r="G371" s="213" t="s">
        <v>367</v>
      </c>
      <c r="H371" s="213" t="s">
        <v>535</v>
      </c>
      <c r="I371" s="213"/>
      <c r="J371" s="213"/>
      <c r="K371" s="213"/>
      <c r="L371" s="213"/>
      <c r="M371" s="213"/>
      <c r="N371" s="213"/>
      <c r="O371" s="213"/>
      <c r="P371" s="213"/>
      <c r="Q371" s="213"/>
      <c r="R371" s="213"/>
      <c r="S371" s="213"/>
      <c r="T371" s="213"/>
      <c r="U371" s="213" t="s">
        <v>559</v>
      </c>
      <c r="V371" s="213">
        <v>1</v>
      </c>
      <c r="W371" s="213" t="s">
        <v>560</v>
      </c>
      <c r="X371" s="213" t="s">
        <v>541</v>
      </c>
      <c r="Y371" s="213" t="s">
        <v>541</v>
      </c>
      <c r="Z371" s="212">
        <v>0</v>
      </c>
      <c r="AA371" s="212">
        <v>0</v>
      </c>
      <c r="AB371" s="217">
        <v>0.60864300000000005</v>
      </c>
      <c r="AC371" s="217">
        <v>0.979518</v>
      </c>
      <c r="AD371" s="212">
        <f t="shared" si="5"/>
        <v>0</v>
      </c>
    </row>
    <row r="372" spans="2:30" x14ac:dyDescent="0.15">
      <c r="B372" s="213">
        <v>17043009126</v>
      </c>
      <c r="C372" s="213">
        <v>17043000487</v>
      </c>
      <c r="D372" s="213">
        <v>17043007333</v>
      </c>
      <c r="E372" s="213" t="s">
        <v>533</v>
      </c>
      <c r="F372" s="213" t="s">
        <v>534</v>
      </c>
      <c r="G372" s="213" t="s">
        <v>367</v>
      </c>
      <c r="H372" s="213" t="s">
        <v>535</v>
      </c>
      <c r="I372" s="213"/>
      <c r="J372" s="213"/>
      <c r="K372" s="213"/>
      <c r="L372" s="213"/>
      <c r="M372" s="213"/>
      <c r="N372" s="213"/>
      <c r="O372" s="213"/>
      <c r="P372" s="213"/>
      <c r="Q372" s="213"/>
      <c r="R372" s="213"/>
      <c r="S372" s="213"/>
      <c r="T372" s="213"/>
      <c r="U372" s="213" t="s">
        <v>559</v>
      </c>
      <c r="V372" s="213">
        <v>1</v>
      </c>
      <c r="W372" s="213" t="s">
        <v>560</v>
      </c>
      <c r="X372" s="213" t="s">
        <v>541</v>
      </c>
      <c r="Y372" s="213" t="s">
        <v>541</v>
      </c>
      <c r="Z372" s="212">
        <v>0</v>
      </c>
      <c r="AA372" s="212">
        <v>0</v>
      </c>
      <c r="AB372" s="217">
        <v>0.52532299999999998</v>
      </c>
      <c r="AC372" s="217">
        <v>0.84542600000000001</v>
      </c>
      <c r="AD372" s="212">
        <f t="shared" si="5"/>
        <v>0</v>
      </c>
    </row>
    <row r="373" spans="2:30" x14ac:dyDescent="0.15">
      <c r="B373" s="213">
        <v>17043009138</v>
      </c>
      <c r="C373" s="213">
        <v>17043007344</v>
      </c>
      <c r="D373" s="213">
        <v>17043004771</v>
      </c>
      <c r="E373" s="213" t="s">
        <v>533</v>
      </c>
      <c r="F373" s="213" t="s">
        <v>534</v>
      </c>
      <c r="G373" s="213" t="s">
        <v>367</v>
      </c>
      <c r="H373" s="213" t="s">
        <v>552</v>
      </c>
      <c r="I373" s="213"/>
      <c r="J373" s="213"/>
      <c r="K373" s="213"/>
      <c r="L373" s="213"/>
      <c r="M373" s="213"/>
      <c r="N373" s="213"/>
      <c r="O373" s="213"/>
      <c r="P373" s="213"/>
      <c r="Q373" s="213"/>
      <c r="R373" s="213"/>
      <c r="S373" s="213"/>
      <c r="T373" s="213"/>
      <c r="U373" s="213" t="s">
        <v>559</v>
      </c>
      <c r="V373" s="213">
        <v>1</v>
      </c>
      <c r="W373" s="213" t="s">
        <v>560</v>
      </c>
      <c r="X373" s="213" t="s">
        <v>541</v>
      </c>
      <c r="Y373" s="213" t="s">
        <v>541</v>
      </c>
      <c r="Z373" s="212">
        <v>0</v>
      </c>
      <c r="AA373" s="212">
        <v>0</v>
      </c>
      <c r="AB373" s="217">
        <v>6.4363000000000004E-2</v>
      </c>
      <c r="AC373" s="217">
        <v>0.10358199999999999</v>
      </c>
      <c r="AD373" s="212">
        <f t="shared" si="5"/>
        <v>0</v>
      </c>
    </row>
    <row r="374" spans="2:30" x14ac:dyDescent="0.15">
      <c r="B374" s="213">
        <v>17043009145</v>
      </c>
      <c r="C374" s="213">
        <v>17043007349</v>
      </c>
      <c r="D374" s="213">
        <v>17043007351</v>
      </c>
      <c r="E374" s="213" t="s">
        <v>533</v>
      </c>
      <c r="F374" s="213" t="s">
        <v>534</v>
      </c>
      <c r="G374" s="213" t="s">
        <v>367</v>
      </c>
      <c r="H374" s="213" t="s">
        <v>552</v>
      </c>
      <c r="I374" s="213"/>
      <c r="J374" s="213" t="s">
        <v>547</v>
      </c>
      <c r="K374" s="213"/>
      <c r="L374" s="213"/>
      <c r="M374" s="213"/>
      <c r="N374" s="213"/>
      <c r="O374" s="213"/>
      <c r="P374" s="213"/>
      <c r="Q374" s="213"/>
      <c r="R374" s="213"/>
      <c r="S374" s="213" t="s">
        <v>589</v>
      </c>
      <c r="T374" s="213"/>
      <c r="U374" s="213" t="s">
        <v>538</v>
      </c>
      <c r="V374" s="213">
        <v>2</v>
      </c>
      <c r="W374" s="213" t="s">
        <v>545</v>
      </c>
      <c r="X374" s="213" t="s">
        <v>549</v>
      </c>
      <c r="Y374" s="213" t="s">
        <v>540</v>
      </c>
      <c r="Z374" s="212">
        <v>63331</v>
      </c>
      <c r="AA374" s="212">
        <v>6669828</v>
      </c>
      <c r="AB374" s="217">
        <v>0.53495400000000004</v>
      </c>
      <c r="AC374" s="217">
        <v>0.86092599999999997</v>
      </c>
      <c r="AD374" s="212">
        <f t="shared" si="5"/>
        <v>3568051.1679120003</v>
      </c>
    </row>
    <row r="375" spans="2:30" x14ac:dyDescent="0.15">
      <c r="B375" s="213">
        <v>17043009156</v>
      </c>
      <c r="C375" s="213">
        <v>17043007362</v>
      </c>
      <c r="D375" s="213">
        <v>17043007360</v>
      </c>
      <c r="E375" s="213" t="s">
        <v>533</v>
      </c>
      <c r="F375" s="213" t="s">
        <v>534</v>
      </c>
      <c r="G375" s="213" t="s">
        <v>367</v>
      </c>
      <c r="H375" s="213" t="s">
        <v>382</v>
      </c>
      <c r="I375" s="213"/>
      <c r="J375" s="213"/>
      <c r="K375" s="213"/>
      <c r="L375" s="213"/>
      <c r="M375" s="213"/>
      <c r="N375" s="213"/>
      <c r="O375" s="213"/>
      <c r="P375" s="213"/>
      <c r="Q375" s="213"/>
      <c r="R375" s="213"/>
      <c r="S375" s="213" t="s">
        <v>561</v>
      </c>
      <c r="T375" s="213"/>
      <c r="U375" s="213" t="s">
        <v>538</v>
      </c>
      <c r="V375" s="213">
        <v>1</v>
      </c>
      <c r="W375" s="213" t="s">
        <v>562</v>
      </c>
      <c r="X375" s="213" t="s">
        <v>540</v>
      </c>
      <c r="Y375" s="213" t="s">
        <v>541</v>
      </c>
      <c r="Z375" s="212">
        <v>26584</v>
      </c>
      <c r="AA375" s="212">
        <v>636580</v>
      </c>
      <c r="AB375" s="217">
        <v>0.20141300000000001</v>
      </c>
      <c r="AC375" s="217">
        <v>0.32414300000000001</v>
      </c>
      <c r="AD375" s="212">
        <f t="shared" si="5"/>
        <v>128215.48754</v>
      </c>
    </row>
    <row r="376" spans="2:30" x14ac:dyDescent="0.15">
      <c r="B376" s="213">
        <v>17043009166</v>
      </c>
      <c r="C376" s="213">
        <v>17043004887</v>
      </c>
      <c r="D376" s="213">
        <v>17043007372</v>
      </c>
      <c r="E376" s="213" t="s">
        <v>533</v>
      </c>
      <c r="F376" s="213" t="s">
        <v>534</v>
      </c>
      <c r="G376" s="213" t="s">
        <v>367</v>
      </c>
      <c r="H376" s="213" t="s">
        <v>381</v>
      </c>
      <c r="I376" s="213"/>
      <c r="J376" s="213" t="s">
        <v>542</v>
      </c>
      <c r="K376" s="213" t="s">
        <v>547</v>
      </c>
      <c r="L376" s="213" t="s">
        <v>382</v>
      </c>
      <c r="M376" s="213"/>
      <c r="N376" s="213"/>
      <c r="O376" s="213"/>
      <c r="P376" s="213"/>
      <c r="Q376" s="213"/>
      <c r="R376" s="213"/>
      <c r="S376" s="213" t="s">
        <v>579</v>
      </c>
      <c r="T376" s="213"/>
      <c r="U376" s="213" t="s">
        <v>538</v>
      </c>
      <c r="V376" s="213">
        <v>3</v>
      </c>
      <c r="W376" s="213" t="s">
        <v>545</v>
      </c>
      <c r="X376" s="213" t="s">
        <v>549</v>
      </c>
      <c r="Y376" s="213" t="s">
        <v>580</v>
      </c>
      <c r="Z376" s="212">
        <v>2794678</v>
      </c>
      <c r="AA376" s="212">
        <v>85257384</v>
      </c>
      <c r="AB376" s="217">
        <v>0.32319399999999998</v>
      </c>
      <c r="AC376" s="217">
        <v>0.52013200000000004</v>
      </c>
      <c r="AD376" s="212">
        <f t="shared" si="5"/>
        <v>27554674.964495998</v>
      </c>
    </row>
    <row r="377" spans="2:30" x14ac:dyDescent="0.15">
      <c r="B377" s="213">
        <v>17043009168</v>
      </c>
      <c r="C377" s="213">
        <v>17043007373</v>
      </c>
      <c r="D377" s="213">
        <v>17043000872</v>
      </c>
      <c r="E377" s="213" t="s">
        <v>533</v>
      </c>
      <c r="F377" s="213" t="s">
        <v>534</v>
      </c>
      <c r="G377" s="213" t="s">
        <v>367</v>
      </c>
      <c r="H377" s="213" t="s">
        <v>381</v>
      </c>
      <c r="I377" s="213"/>
      <c r="J377" s="213" t="s">
        <v>542</v>
      </c>
      <c r="K377" s="213" t="s">
        <v>547</v>
      </c>
      <c r="L377" s="213" t="s">
        <v>382</v>
      </c>
      <c r="M377" s="213"/>
      <c r="N377" s="213"/>
      <c r="O377" s="213"/>
      <c r="P377" s="213"/>
      <c r="Q377" s="213"/>
      <c r="R377" s="213"/>
      <c r="S377" s="213" t="s">
        <v>579</v>
      </c>
      <c r="T377" s="213"/>
      <c r="U377" s="213" t="s">
        <v>538</v>
      </c>
      <c r="V377" s="213">
        <v>3</v>
      </c>
      <c r="W377" s="213" t="s">
        <v>545</v>
      </c>
      <c r="X377" s="213" t="s">
        <v>549</v>
      </c>
      <c r="Y377" s="213" t="s">
        <v>580</v>
      </c>
      <c r="Z377" s="212">
        <v>2794678</v>
      </c>
      <c r="AA377" s="212">
        <v>85257384</v>
      </c>
      <c r="AB377" s="217">
        <v>0.34250000000000003</v>
      </c>
      <c r="AC377" s="217">
        <v>0.55120100000000005</v>
      </c>
      <c r="AD377" s="212">
        <f t="shared" si="5"/>
        <v>29200654.020000003</v>
      </c>
    </row>
    <row r="378" spans="2:30" x14ac:dyDescent="0.15">
      <c r="B378" s="213">
        <v>17043009169</v>
      </c>
      <c r="C378" s="213">
        <v>17043007313</v>
      </c>
      <c r="D378" s="213">
        <v>17043007379</v>
      </c>
      <c r="E378" s="213" t="s">
        <v>533</v>
      </c>
      <c r="F378" s="213" t="s">
        <v>534</v>
      </c>
      <c r="G378" s="213" t="s">
        <v>367</v>
      </c>
      <c r="H378" s="213" t="s">
        <v>535</v>
      </c>
      <c r="I378" s="213"/>
      <c r="J378" s="213"/>
      <c r="K378" s="213"/>
      <c r="L378" s="213"/>
      <c r="M378" s="213"/>
      <c r="N378" s="213"/>
      <c r="O378" s="213"/>
      <c r="P378" s="213"/>
      <c r="Q378" s="213"/>
      <c r="R378" s="213"/>
      <c r="S378" s="213" t="s">
        <v>624</v>
      </c>
      <c r="T378" s="213"/>
      <c r="U378" s="213" t="s">
        <v>538</v>
      </c>
      <c r="V378" s="213">
        <v>1</v>
      </c>
      <c r="W378" s="213" t="s">
        <v>582</v>
      </c>
      <c r="X378" s="213" t="s">
        <v>540</v>
      </c>
      <c r="Y378" s="213" t="s">
        <v>554</v>
      </c>
      <c r="Z378" s="212">
        <v>320</v>
      </c>
      <c r="AA378" s="212">
        <v>29360</v>
      </c>
      <c r="AB378" s="217">
        <v>0.43659199999999998</v>
      </c>
      <c r="AC378" s="217">
        <v>0.70262899999999995</v>
      </c>
      <c r="AD378" s="212">
        <f t="shared" si="5"/>
        <v>12818.341119999999</v>
      </c>
    </row>
    <row r="379" spans="2:30" x14ac:dyDescent="0.15">
      <c r="B379" s="213">
        <v>17089001808</v>
      </c>
      <c r="C379" s="213">
        <v>17999020464</v>
      </c>
      <c r="D379" s="213">
        <v>17089000477</v>
      </c>
      <c r="E379" s="213" t="s">
        <v>533</v>
      </c>
      <c r="F379" s="213" t="s">
        <v>534</v>
      </c>
      <c r="G379" s="213" t="s">
        <v>369</v>
      </c>
      <c r="H379" s="213" t="s">
        <v>382</v>
      </c>
      <c r="I379" s="213"/>
      <c r="J379" s="213"/>
      <c r="K379" s="213"/>
      <c r="L379" s="213"/>
      <c r="M379" s="213"/>
      <c r="N379" s="213"/>
      <c r="O379" s="213"/>
      <c r="P379" s="213"/>
      <c r="Q379" s="213"/>
      <c r="R379" s="213"/>
      <c r="S379" s="213" t="s">
        <v>635</v>
      </c>
      <c r="T379" s="213"/>
      <c r="U379" s="213" t="s">
        <v>559</v>
      </c>
      <c r="V379" s="213">
        <v>1</v>
      </c>
      <c r="W379" s="213" t="s">
        <v>560</v>
      </c>
      <c r="X379" s="213" t="s">
        <v>541</v>
      </c>
      <c r="Y379" s="213" t="s">
        <v>541</v>
      </c>
      <c r="Z379" s="212">
        <v>40</v>
      </c>
      <c r="AA379" s="212">
        <v>3360</v>
      </c>
      <c r="AB379" s="217">
        <v>2.931073</v>
      </c>
      <c r="AC379" s="217">
        <v>4.7171130000000003</v>
      </c>
      <c r="AD379" s="212">
        <f t="shared" si="5"/>
        <v>9848.4052800000009</v>
      </c>
    </row>
    <row r="380" spans="2:30" x14ac:dyDescent="0.15">
      <c r="B380" s="213">
        <v>17089001831</v>
      </c>
      <c r="C380" s="213">
        <v>17089001000</v>
      </c>
      <c r="D380" s="213">
        <v>17089000989</v>
      </c>
      <c r="E380" s="213" t="s">
        <v>533</v>
      </c>
      <c r="F380" s="213" t="s">
        <v>534</v>
      </c>
      <c r="G380" s="213" t="s">
        <v>369</v>
      </c>
      <c r="H380" s="213" t="s">
        <v>381</v>
      </c>
      <c r="I380" s="213"/>
      <c r="J380" s="213"/>
      <c r="K380" s="213"/>
      <c r="L380" s="213"/>
      <c r="M380" s="213"/>
      <c r="N380" s="213"/>
      <c r="O380" s="213"/>
      <c r="P380" s="213"/>
      <c r="Q380" s="213"/>
      <c r="R380" s="213"/>
      <c r="S380" s="213" t="s">
        <v>595</v>
      </c>
      <c r="T380" s="213"/>
      <c r="U380" s="213" t="s">
        <v>538</v>
      </c>
      <c r="V380" s="213">
        <v>1</v>
      </c>
      <c r="W380" s="213" t="s">
        <v>545</v>
      </c>
      <c r="X380" s="213" t="s">
        <v>549</v>
      </c>
      <c r="Y380" s="213" t="s">
        <v>546</v>
      </c>
      <c r="Z380" s="212">
        <v>969717</v>
      </c>
      <c r="AA380" s="212">
        <v>40873798</v>
      </c>
      <c r="AB380" s="217">
        <v>1.485951</v>
      </c>
      <c r="AC380" s="217">
        <v>2.3914119999999999</v>
      </c>
      <c r="AD380" s="212">
        <f t="shared" si="5"/>
        <v>60736461.011898004</v>
      </c>
    </row>
    <row r="381" spans="2:30" x14ac:dyDescent="0.15">
      <c r="B381" s="213">
        <v>17089001832</v>
      </c>
      <c r="C381" s="213">
        <v>17089001000</v>
      </c>
      <c r="D381" s="213">
        <v>17089001012</v>
      </c>
      <c r="E381" s="213" t="s">
        <v>533</v>
      </c>
      <c r="F381" s="213" t="s">
        <v>534</v>
      </c>
      <c r="G381" s="213" t="s">
        <v>369</v>
      </c>
      <c r="H381" s="213" t="s">
        <v>381</v>
      </c>
      <c r="I381" s="213"/>
      <c r="J381" s="213"/>
      <c r="K381" s="213"/>
      <c r="L381" s="213"/>
      <c r="M381" s="213"/>
      <c r="N381" s="213"/>
      <c r="O381" s="213"/>
      <c r="P381" s="213"/>
      <c r="Q381" s="213"/>
      <c r="R381" s="213"/>
      <c r="S381" s="213" t="s">
        <v>595</v>
      </c>
      <c r="T381" s="213"/>
      <c r="U381" s="213" t="s">
        <v>538</v>
      </c>
      <c r="V381" s="213">
        <v>1</v>
      </c>
      <c r="W381" s="213" t="s">
        <v>545</v>
      </c>
      <c r="X381" s="213" t="s">
        <v>549</v>
      </c>
      <c r="Y381" s="213" t="s">
        <v>546</v>
      </c>
      <c r="Z381" s="212">
        <v>969717</v>
      </c>
      <c r="AA381" s="212">
        <v>40873798</v>
      </c>
      <c r="AB381" s="217">
        <v>4.6961310000000003</v>
      </c>
      <c r="AC381" s="217">
        <v>7.5577050000000003</v>
      </c>
      <c r="AD381" s="212">
        <f t="shared" si="5"/>
        <v>191948709.87553802</v>
      </c>
    </row>
    <row r="382" spans="2:30" x14ac:dyDescent="0.15">
      <c r="B382" s="213">
        <v>17089001999</v>
      </c>
      <c r="C382" s="213">
        <v>17089004858</v>
      </c>
      <c r="D382" s="213">
        <v>17089004857</v>
      </c>
      <c r="E382" s="213" t="s">
        <v>533</v>
      </c>
      <c r="F382" s="213" t="s">
        <v>534</v>
      </c>
      <c r="G382" s="213" t="s">
        <v>369</v>
      </c>
      <c r="H382" s="213" t="s">
        <v>381</v>
      </c>
      <c r="I382" s="213"/>
      <c r="J382" s="213"/>
      <c r="K382" s="213"/>
      <c r="L382" s="213"/>
      <c r="M382" s="213"/>
      <c r="N382" s="213"/>
      <c r="O382" s="213"/>
      <c r="P382" s="213"/>
      <c r="Q382" s="213"/>
      <c r="R382" s="213"/>
      <c r="S382" s="213" t="s">
        <v>585</v>
      </c>
      <c r="T382" s="213"/>
      <c r="U382" s="213" t="s">
        <v>559</v>
      </c>
      <c r="V382" s="213">
        <v>1</v>
      </c>
      <c r="W382" s="213" t="s">
        <v>560</v>
      </c>
      <c r="X382" s="213" t="s">
        <v>541</v>
      </c>
      <c r="Y382" s="213" t="s">
        <v>541</v>
      </c>
      <c r="Z382" s="212">
        <v>200</v>
      </c>
      <c r="AA382" s="212">
        <v>20560</v>
      </c>
      <c r="AB382" s="217">
        <v>0.15489600000000001</v>
      </c>
      <c r="AC382" s="217">
        <v>0.249282</v>
      </c>
      <c r="AD382" s="212">
        <f t="shared" si="5"/>
        <v>3184.66176</v>
      </c>
    </row>
    <row r="383" spans="2:30" x14ac:dyDescent="0.15">
      <c r="B383" s="213">
        <v>17089002026</v>
      </c>
      <c r="C383" s="213">
        <v>17089000262</v>
      </c>
      <c r="D383" s="213">
        <v>17999019031</v>
      </c>
      <c r="E383" s="213" t="s">
        <v>533</v>
      </c>
      <c r="F383" s="213" t="s">
        <v>534</v>
      </c>
      <c r="G383" s="213" t="s">
        <v>369</v>
      </c>
      <c r="H383" s="213" t="s">
        <v>382</v>
      </c>
      <c r="I383" s="213"/>
      <c r="J383" s="213"/>
      <c r="K383" s="213"/>
      <c r="L383" s="213"/>
      <c r="M383" s="213"/>
      <c r="N383" s="213"/>
      <c r="O383" s="213"/>
      <c r="P383" s="213"/>
      <c r="Q383" s="213"/>
      <c r="R383" s="213"/>
      <c r="S383" s="213" t="s">
        <v>561</v>
      </c>
      <c r="T383" s="213"/>
      <c r="U383" s="213" t="s">
        <v>538</v>
      </c>
      <c r="V383" s="213">
        <v>1</v>
      </c>
      <c r="W383" s="213" t="s">
        <v>562</v>
      </c>
      <c r="X383" s="213" t="s">
        <v>540</v>
      </c>
      <c r="Y383" s="213" t="s">
        <v>541</v>
      </c>
      <c r="Z383" s="212">
        <v>26584</v>
      </c>
      <c r="AA383" s="212">
        <v>636580</v>
      </c>
      <c r="AB383" s="217">
        <v>3.4468670000000001</v>
      </c>
      <c r="AC383" s="217">
        <v>5.5472060000000001</v>
      </c>
      <c r="AD383" s="212">
        <f t="shared" si="5"/>
        <v>2194206.5948600001</v>
      </c>
    </row>
    <row r="384" spans="2:30" x14ac:dyDescent="0.15">
      <c r="B384" s="213">
        <v>17089002029</v>
      </c>
      <c r="C384" s="213">
        <v>17089000288</v>
      </c>
      <c r="D384" s="213">
        <v>17089000287</v>
      </c>
      <c r="E384" s="213" t="s">
        <v>533</v>
      </c>
      <c r="F384" s="213" t="s">
        <v>534</v>
      </c>
      <c r="G384" s="213" t="s">
        <v>369</v>
      </c>
      <c r="H384" s="213" t="s">
        <v>552</v>
      </c>
      <c r="I384" s="213"/>
      <c r="J384" s="213" t="s">
        <v>547</v>
      </c>
      <c r="K384" s="213"/>
      <c r="L384" s="213"/>
      <c r="M384" s="213"/>
      <c r="N384" s="213"/>
      <c r="O384" s="213"/>
      <c r="P384" s="213"/>
      <c r="Q384" s="213"/>
      <c r="R384" s="213"/>
      <c r="S384" s="213" t="s">
        <v>589</v>
      </c>
      <c r="T384" s="213"/>
      <c r="U384" s="213" t="s">
        <v>538</v>
      </c>
      <c r="V384" s="213">
        <v>2</v>
      </c>
      <c r="W384" s="213" t="s">
        <v>545</v>
      </c>
      <c r="X384" s="213" t="s">
        <v>540</v>
      </c>
      <c r="Y384" s="213" t="s">
        <v>540</v>
      </c>
      <c r="Z384" s="212">
        <v>62891</v>
      </c>
      <c r="AA384" s="212">
        <v>6630348</v>
      </c>
      <c r="AB384" s="217">
        <v>2.058846</v>
      </c>
      <c r="AC384" s="217">
        <v>3.3133970000000001</v>
      </c>
      <c r="AD384" s="212">
        <f t="shared" si="5"/>
        <v>13650865.458408</v>
      </c>
    </row>
    <row r="385" spans="2:30" x14ac:dyDescent="0.15">
      <c r="B385" s="213">
        <v>17089002031</v>
      </c>
      <c r="C385" s="213">
        <v>17089000304</v>
      </c>
      <c r="D385" s="213">
        <v>17089004854</v>
      </c>
      <c r="E385" s="213" t="s">
        <v>533</v>
      </c>
      <c r="F385" s="213" t="s">
        <v>534</v>
      </c>
      <c r="G385" s="213" t="s">
        <v>369</v>
      </c>
      <c r="H385" s="213" t="s">
        <v>552</v>
      </c>
      <c r="I385" s="213"/>
      <c r="J385" s="213" t="s">
        <v>547</v>
      </c>
      <c r="K385" s="213"/>
      <c r="L385" s="213"/>
      <c r="M385" s="213"/>
      <c r="N385" s="213"/>
      <c r="O385" s="213"/>
      <c r="P385" s="213"/>
      <c r="Q385" s="213"/>
      <c r="R385" s="213"/>
      <c r="S385" s="213" t="s">
        <v>589</v>
      </c>
      <c r="T385" s="213"/>
      <c r="U385" s="213" t="s">
        <v>538</v>
      </c>
      <c r="V385" s="213">
        <v>2</v>
      </c>
      <c r="W385" s="213" t="s">
        <v>545</v>
      </c>
      <c r="X385" s="213" t="s">
        <v>540</v>
      </c>
      <c r="Y385" s="213" t="s">
        <v>540</v>
      </c>
      <c r="Z385" s="212">
        <v>62891</v>
      </c>
      <c r="AA385" s="212">
        <v>6630348</v>
      </c>
      <c r="AB385" s="217">
        <v>3.110439</v>
      </c>
      <c r="AC385" s="217">
        <v>5.0057770000000001</v>
      </c>
      <c r="AD385" s="212">
        <f t="shared" si="5"/>
        <v>20623293.002772</v>
      </c>
    </row>
    <row r="386" spans="2:30" x14ac:dyDescent="0.15">
      <c r="B386" s="213">
        <v>17089002034</v>
      </c>
      <c r="C386" s="213">
        <v>17089004843</v>
      </c>
      <c r="D386" s="213">
        <v>17089000305</v>
      </c>
      <c r="E386" s="213" t="s">
        <v>533</v>
      </c>
      <c r="F386" s="213" t="s">
        <v>534</v>
      </c>
      <c r="G386" s="213" t="s">
        <v>369</v>
      </c>
      <c r="H386" s="213" t="s">
        <v>382</v>
      </c>
      <c r="I386" s="213"/>
      <c r="J386" s="213"/>
      <c r="K386" s="213"/>
      <c r="L386" s="213"/>
      <c r="M386" s="213"/>
      <c r="N386" s="213"/>
      <c r="O386" s="213"/>
      <c r="P386" s="213"/>
      <c r="Q386" s="213"/>
      <c r="R386" s="213"/>
      <c r="S386" s="213" t="s">
        <v>561</v>
      </c>
      <c r="T386" s="213"/>
      <c r="U386" s="213" t="s">
        <v>538</v>
      </c>
      <c r="V386" s="213">
        <v>1</v>
      </c>
      <c r="W386" s="213" t="s">
        <v>562</v>
      </c>
      <c r="X386" s="213" t="s">
        <v>540</v>
      </c>
      <c r="Y386" s="213" t="s">
        <v>541</v>
      </c>
      <c r="Z386" s="212">
        <v>26584</v>
      </c>
      <c r="AA386" s="212">
        <v>636580</v>
      </c>
      <c r="AB386" s="217">
        <v>2.5395880000000002</v>
      </c>
      <c r="AC386" s="217">
        <v>4.0870800000000003</v>
      </c>
      <c r="AD386" s="212">
        <f t="shared" si="5"/>
        <v>1616650.9290400001</v>
      </c>
    </row>
    <row r="387" spans="2:30" x14ac:dyDescent="0.15">
      <c r="B387" s="213">
        <v>17089002041</v>
      </c>
      <c r="C387" s="213">
        <v>17999020037</v>
      </c>
      <c r="D387" s="213">
        <v>17089000379</v>
      </c>
      <c r="E387" s="213" t="s">
        <v>533</v>
      </c>
      <c r="F387" s="213" t="s">
        <v>534</v>
      </c>
      <c r="G387" s="213" t="s">
        <v>369</v>
      </c>
      <c r="H387" s="213" t="s">
        <v>535</v>
      </c>
      <c r="I387" s="213"/>
      <c r="J387" s="213"/>
      <c r="K387" s="213"/>
      <c r="L387" s="213"/>
      <c r="M387" s="213"/>
      <c r="N387" s="213"/>
      <c r="O387" s="213"/>
      <c r="P387" s="213"/>
      <c r="Q387" s="213"/>
      <c r="R387" s="213"/>
      <c r="S387" s="213" t="s">
        <v>624</v>
      </c>
      <c r="T387" s="213"/>
      <c r="U387" s="213" t="s">
        <v>538</v>
      </c>
      <c r="V387" s="213">
        <v>1</v>
      </c>
      <c r="W387" s="213" t="s">
        <v>582</v>
      </c>
      <c r="X387" s="213" t="s">
        <v>549</v>
      </c>
      <c r="Y387" s="213" t="s">
        <v>554</v>
      </c>
      <c r="Z387" s="212">
        <v>40347</v>
      </c>
      <c r="AA387" s="212">
        <v>3848660</v>
      </c>
      <c r="AB387" s="217">
        <v>1.786743</v>
      </c>
      <c r="AC387" s="217">
        <v>2.875489</v>
      </c>
      <c r="AD387" s="212">
        <f t="shared" si="5"/>
        <v>6876566.3143800003</v>
      </c>
    </row>
    <row r="388" spans="2:30" x14ac:dyDescent="0.15">
      <c r="B388" s="213">
        <v>17089002042</v>
      </c>
      <c r="C388" s="213">
        <v>17089000509</v>
      </c>
      <c r="D388" s="213">
        <v>17999020485</v>
      </c>
      <c r="E388" s="213" t="s">
        <v>533</v>
      </c>
      <c r="F388" s="213" t="s">
        <v>534</v>
      </c>
      <c r="G388" s="213" t="s">
        <v>369</v>
      </c>
      <c r="H388" s="213" t="s">
        <v>382</v>
      </c>
      <c r="I388" s="213"/>
      <c r="J388" s="213"/>
      <c r="K388" s="213"/>
      <c r="L388" s="213"/>
      <c r="M388" s="213"/>
      <c r="N388" s="213"/>
      <c r="O388" s="213"/>
      <c r="P388" s="213"/>
      <c r="Q388" s="213"/>
      <c r="R388" s="213"/>
      <c r="S388" s="213" t="s">
        <v>583</v>
      </c>
      <c r="T388" s="213"/>
      <c r="U388" s="213" t="s">
        <v>538</v>
      </c>
      <c r="V388" s="213">
        <v>2</v>
      </c>
      <c r="W388" s="213" t="s">
        <v>588</v>
      </c>
      <c r="X388" s="213" t="s">
        <v>549</v>
      </c>
      <c r="Y388" s="213" t="s">
        <v>575</v>
      </c>
      <c r="Z388" s="212">
        <v>1961175</v>
      </c>
      <c r="AA388" s="212">
        <v>73798714</v>
      </c>
      <c r="AB388" s="217">
        <v>0.39302500000000001</v>
      </c>
      <c r="AC388" s="217">
        <v>0.63251400000000002</v>
      </c>
      <c r="AD388" s="212">
        <f t="shared" si="5"/>
        <v>29004739.569850001</v>
      </c>
    </row>
    <row r="389" spans="2:30" x14ac:dyDescent="0.15">
      <c r="B389" s="213">
        <v>17089002047</v>
      </c>
      <c r="C389" s="213">
        <v>17089004857</v>
      </c>
      <c r="D389" s="213">
        <v>17999020915</v>
      </c>
      <c r="E389" s="213" t="s">
        <v>533</v>
      </c>
      <c r="F389" s="213" t="s">
        <v>534</v>
      </c>
      <c r="G389" s="213" t="s">
        <v>369</v>
      </c>
      <c r="H389" s="213" t="s">
        <v>381</v>
      </c>
      <c r="I389" s="213"/>
      <c r="J389" s="213"/>
      <c r="K389" s="213"/>
      <c r="L389" s="213"/>
      <c r="M389" s="213"/>
      <c r="N389" s="213"/>
      <c r="O389" s="213"/>
      <c r="P389" s="213"/>
      <c r="Q389" s="213"/>
      <c r="R389" s="213"/>
      <c r="S389" s="213" t="s">
        <v>585</v>
      </c>
      <c r="T389" s="213"/>
      <c r="U389" s="213" t="s">
        <v>559</v>
      </c>
      <c r="V389" s="213">
        <v>1</v>
      </c>
      <c r="W389" s="213" t="s">
        <v>560</v>
      </c>
      <c r="X389" s="213" t="s">
        <v>541</v>
      </c>
      <c r="Y389" s="213" t="s">
        <v>541</v>
      </c>
      <c r="Z389" s="212">
        <v>200</v>
      </c>
      <c r="AA389" s="212">
        <v>20560</v>
      </c>
      <c r="AB389" s="217">
        <v>0.44746000000000002</v>
      </c>
      <c r="AC389" s="217">
        <v>0.72011899999999995</v>
      </c>
      <c r="AD389" s="212">
        <f t="shared" si="5"/>
        <v>9199.7776000000013</v>
      </c>
    </row>
    <row r="390" spans="2:30" x14ac:dyDescent="0.15">
      <c r="B390" s="213">
        <v>17089002059</v>
      </c>
      <c r="C390" s="213">
        <v>17089000284</v>
      </c>
      <c r="D390" s="213">
        <v>17089004855</v>
      </c>
      <c r="E390" s="213" t="s">
        <v>533</v>
      </c>
      <c r="F390" s="213" t="s">
        <v>534</v>
      </c>
      <c r="G390" s="213" t="s">
        <v>369</v>
      </c>
      <c r="H390" s="213" t="s">
        <v>552</v>
      </c>
      <c r="I390" s="213"/>
      <c r="J390" s="213"/>
      <c r="K390" s="213"/>
      <c r="L390" s="213"/>
      <c r="M390" s="213"/>
      <c r="N390" s="213"/>
      <c r="O390" s="213"/>
      <c r="P390" s="213"/>
      <c r="Q390" s="213"/>
      <c r="R390" s="213"/>
      <c r="S390" s="213" t="s">
        <v>607</v>
      </c>
      <c r="T390" s="213"/>
      <c r="U390" s="213" t="s">
        <v>538</v>
      </c>
      <c r="V390" s="213">
        <v>1</v>
      </c>
      <c r="W390" s="213" t="s">
        <v>582</v>
      </c>
      <c r="X390" s="213" t="s">
        <v>540</v>
      </c>
      <c r="Y390" s="213" t="s">
        <v>540</v>
      </c>
      <c r="Z390" s="212">
        <v>62731</v>
      </c>
      <c r="AA390" s="212">
        <v>6615708</v>
      </c>
      <c r="AB390" s="217">
        <v>6.3309290000000003</v>
      </c>
      <c r="AC390" s="217">
        <v>10.188663</v>
      </c>
      <c r="AD390" s="212">
        <f t="shared" ref="AD390:AD453" si="6">AA390*AB390</f>
        <v>41883577.632732004</v>
      </c>
    </row>
    <row r="391" spans="2:30" x14ac:dyDescent="0.15">
      <c r="B391" s="213">
        <v>17089002064</v>
      </c>
      <c r="C391" s="213">
        <v>17089000295</v>
      </c>
      <c r="D391" s="213">
        <v>17999019606</v>
      </c>
      <c r="E391" s="213" t="s">
        <v>533</v>
      </c>
      <c r="F391" s="213" t="s">
        <v>534</v>
      </c>
      <c r="G391" s="213" t="s">
        <v>369</v>
      </c>
      <c r="H391" s="213" t="s">
        <v>535</v>
      </c>
      <c r="I391" s="213"/>
      <c r="J391" s="213"/>
      <c r="K391" s="213"/>
      <c r="L391" s="213"/>
      <c r="M391" s="213"/>
      <c r="N391" s="213"/>
      <c r="O391" s="213"/>
      <c r="P391" s="213"/>
      <c r="Q391" s="213"/>
      <c r="R391" s="213"/>
      <c r="S391" s="213" t="s">
        <v>624</v>
      </c>
      <c r="T391" s="213"/>
      <c r="U391" s="213" t="s">
        <v>538</v>
      </c>
      <c r="V391" s="213">
        <v>1</v>
      </c>
      <c r="W391" s="213" t="s">
        <v>582</v>
      </c>
      <c r="X391" s="213" t="s">
        <v>549</v>
      </c>
      <c r="Y391" s="213" t="s">
        <v>554</v>
      </c>
      <c r="Z391" s="212">
        <v>40347</v>
      </c>
      <c r="AA391" s="212">
        <v>3848660</v>
      </c>
      <c r="AB391" s="217">
        <v>2.9901200000000001</v>
      </c>
      <c r="AC391" s="217">
        <v>4.8121409999999996</v>
      </c>
      <c r="AD391" s="212">
        <f t="shared" si="6"/>
        <v>11507955.2392</v>
      </c>
    </row>
    <row r="392" spans="2:30" x14ac:dyDescent="0.15">
      <c r="B392" s="213">
        <v>17089003147</v>
      </c>
      <c r="C392" s="213">
        <v>17089001083</v>
      </c>
      <c r="D392" s="213">
        <v>17089001055</v>
      </c>
      <c r="E392" s="213" t="s">
        <v>533</v>
      </c>
      <c r="F392" s="213" t="s">
        <v>534</v>
      </c>
      <c r="G392" s="213" t="s">
        <v>369</v>
      </c>
      <c r="H392" s="213" t="s">
        <v>381</v>
      </c>
      <c r="I392" s="213"/>
      <c r="J392" s="213" t="s">
        <v>542</v>
      </c>
      <c r="K392" s="213" t="s">
        <v>578</v>
      </c>
      <c r="L392" s="213" t="s">
        <v>382</v>
      </c>
      <c r="M392" s="213"/>
      <c r="N392" s="213"/>
      <c r="O392" s="213"/>
      <c r="P392" s="213"/>
      <c r="Q392" s="213"/>
      <c r="R392" s="213"/>
      <c r="S392" s="213" t="s">
        <v>579</v>
      </c>
      <c r="T392" s="213"/>
      <c r="U392" s="213" t="s">
        <v>538</v>
      </c>
      <c r="V392" s="213">
        <v>2</v>
      </c>
      <c r="W392" s="213" t="s">
        <v>545</v>
      </c>
      <c r="X392" s="213" t="s">
        <v>549</v>
      </c>
      <c r="Y392" s="213" t="s">
        <v>580</v>
      </c>
      <c r="Z392" s="212">
        <v>1838325</v>
      </c>
      <c r="AA392" s="212">
        <v>45615254</v>
      </c>
      <c r="AB392" s="217">
        <v>0.95799500000000004</v>
      </c>
      <c r="AC392" s="217">
        <v>1.5417460000000001</v>
      </c>
      <c r="AD392" s="212">
        <f t="shared" si="6"/>
        <v>43699185.255730003</v>
      </c>
    </row>
    <row r="393" spans="2:30" x14ac:dyDescent="0.15">
      <c r="B393" s="213">
        <v>17089005758</v>
      </c>
      <c r="C393" s="213">
        <v>17089000990</v>
      </c>
      <c r="D393" s="213">
        <v>17089000982</v>
      </c>
      <c r="E393" s="213" t="s">
        <v>533</v>
      </c>
      <c r="F393" s="213" t="s">
        <v>534</v>
      </c>
      <c r="G393" s="213" t="s">
        <v>369</v>
      </c>
      <c r="H393" s="213" t="s">
        <v>381</v>
      </c>
      <c r="I393" s="213"/>
      <c r="J393" s="213" t="s">
        <v>547</v>
      </c>
      <c r="K393" s="213"/>
      <c r="L393" s="213"/>
      <c r="M393" s="213"/>
      <c r="N393" s="213"/>
      <c r="O393" s="213"/>
      <c r="P393" s="213"/>
      <c r="Q393" s="213"/>
      <c r="R393" s="213"/>
      <c r="S393" s="213" t="s">
        <v>585</v>
      </c>
      <c r="T393" s="213"/>
      <c r="U393" s="213" t="s">
        <v>538</v>
      </c>
      <c r="V393" s="213">
        <v>2</v>
      </c>
      <c r="W393" s="213" t="s">
        <v>545</v>
      </c>
      <c r="X393" s="213" t="s">
        <v>554</v>
      </c>
      <c r="Y393" s="213" t="s">
        <v>541</v>
      </c>
      <c r="Z393" s="212">
        <v>1120</v>
      </c>
      <c r="AA393" s="212">
        <v>101480</v>
      </c>
      <c r="AB393" s="217">
        <v>0.93219799999999997</v>
      </c>
      <c r="AC393" s="217">
        <v>1.50023</v>
      </c>
      <c r="AD393" s="212">
        <f t="shared" si="6"/>
        <v>94599.453039999993</v>
      </c>
    </row>
    <row r="394" spans="2:30" x14ac:dyDescent="0.15">
      <c r="B394" s="213">
        <v>17089006567</v>
      </c>
      <c r="C394" s="213">
        <v>17089000709</v>
      </c>
      <c r="D394" s="213">
        <v>17089004859</v>
      </c>
      <c r="E394" s="213" t="s">
        <v>533</v>
      </c>
      <c r="F394" s="213" t="s">
        <v>534</v>
      </c>
      <c r="G394" s="213" t="s">
        <v>369</v>
      </c>
      <c r="H394" s="213" t="s">
        <v>381</v>
      </c>
      <c r="I394" s="213"/>
      <c r="J394" s="213"/>
      <c r="K394" s="213"/>
      <c r="L394" s="213"/>
      <c r="M394" s="213"/>
      <c r="N394" s="213"/>
      <c r="O394" s="213"/>
      <c r="P394" s="213"/>
      <c r="Q394" s="213"/>
      <c r="R394" s="213"/>
      <c r="S394" s="213" t="s">
        <v>585</v>
      </c>
      <c r="T394" s="213"/>
      <c r="U394" s="213" t="s">
        <v>559</v>
      </c>
      <c r="V394" s="213">
        <v>1</v>
      </c>
      <c r="W394" s="213" t="s">
        <v>560</v>
      </c>
      <c r="X394" s="213" t="s">
        <v>541</v>
      </c>
      <c r="Y394" s="213" t="s">
        <v>541</v>
      </c>
      <c r="Z394" s="212">
        <v>200</v>
      </c>
      <c r="AA394" s="212">
        <v>20560</v>
      </c>
      <c r="AB394" s="217">
        <v>0.26410800000000001</v>
      </c>
      <c r="AC394" s="217">
        <v>0.425041</v>
      </c>
      <c r="AD394" s="212">
        <f t="shared" si="6"/>
        <v>5430.0604800000001</v>
      </c>
    </row>
    <row r="395" spans="2:30" x14ac:dyDescent="0.15">
      <c r="B395" s="213">
        <v>17093001810</v>
      </c>
      <c r="C395" s="213">
        <v>17093008039</v>
      </c>
      <c r="D395" s="213">
        <v>17093008041</v>
      </c>
      <c r="E395" s="213" t="s">
        <v>533</v>
      </c>
      <c r="F395" s="213" t="s">
        <v>534</v>
      </c>
      <c r="G395" s="213" t="s">
        <v>371</v>
      </c>
      <c r="H395" s="213" t="s">
        <v>381</v>
      </c>
      <c r="I395" s="213"/>
      <c r="J395" s="213" t="s">
        <v>542</v>
      </c>
      <c r="K395" s="213" t="s">
        <v>382</v>
      </c>
      <c r="L395" s="213"/>
      <c r="M395" s="213"/>
      <c r="N395" s="213"/>
      <c r="O395" s="213"/>
      <c r="P395" s="213"/>
      <c r="Q395" s="213"/>
      <c r="R395" s="213"/>
      <c r="S395" s="213" t="s">
        <v>619</v>
      </c>
      <c r="T395" s="213"/>
      <c r="U395" s="213" t="s">
        <v>538</v>
      </c>
      <c r="V395" s="213">
        <v>2</v>
      </c>
      <c r="W395" s="213" t="s">
        <v>545</v>
      </c>
      <c r="X395" s="213" t="s">
        <v>549</v>
      </c>
      <c r="Y395" s="213" t="s">
        <v>580</v>
      </c>
      <c r="Z395" s="212">
        <v>1856067</v>
      </c>
      <c r="AA395" s="212">
        <v>47514740</v>
      </c>
      <c r="AB395" s="217">
        <v>3.0830500000000001</v>
      </c>
      <c r="AC395" s="217">
        <v>4.9616980000000002</v>
      </c>
      <c r="AD395" s="212">
        <f t="shared" si="6"/>
        <v>146490319.15700001</v>
      </c>
    </row>
    <row r="396" spans="2:30" x14ac:dyDescent="0.15">
      <c r="B396" s="213">
        <v>17093002020</v>
      </c>
      <c r="C396" s="213">
        <v>17093001210</v>
      </c>
      <c r="D396" s="213">
        <v>17093001126</v>
      </c>
      <c r="E396" s="213" t="s">
        <v>533</v>
      </c>
      <c r="F396" s="213" t="s">
        <v>534</v>
      </c>
      <c r="G396" s="213" t="s">
        <v>371</v>
      </c>
      <c r="H396" s="213" t="s">
        <v>381</v>
      </c>
      <c r="I396" s="213"/>
      <c r="J396" s="213" t="s">
        <v>542</v>
      </c>
      <c r="K396" s="213" t="s">
        <v>382</v>
      </c>
      <c r="L396" s="213"/>
      <c r="M396" s="213"/>
      <c r="N396" s="213"/>
      <c r="O396" s="213"/>
      <c r="P396" s="213"/>
      <c r="Q396" s="213"/>
      <c r="R396" s="213"/>
      <c r="S396" s="213" t="s">
        <v>619</v>
      </c>
      <c r="T396" s="213"/>
      <c r="U396" s="213" t="s">
        <v>538</v>
      </c>
      <c r="V396" s="213">
        <v>2</v>
      </c>
      <c r="W396" s="213" t="s">
        <v>545</v>
      </c>
      <c r="X396" s="213" t="s">
        <v>549</v>
      </c>
      <c r="Y396" s="213" t="s">
        <v>580</v>
      </c>
      <c r="Z396" s="212">
        <v>1856067</v>
      </c>
      <c r="AA396" s="212">
        <v>47514740</v>
      </c>
      <c r="AB396" s="217">
        <v>3.7656399999999999</v>
      </c>
      <c r="AC396" s="217">
        <v>6.0602220000000004</v>
      </c>
      <c r="AD396" s="212">
        <f t="shared" si="6"/>
        <v>178923405.5336</v>
      </c>
    </row>
    <row r="397" spans="2:30" x14ac:dyDescent="0.15">
      <c r="B397" s="213">
        <v>17093002076</v>
      </c>
      <c r="C397" s="213">
        <v>17999022662</v>
      </c>
      <c r="D397" s="213">
        <v>17093001283</v>
      </c>
      <c r="E397" s="213" t="s">
        <v>533</v>
      </c>
      <c r="F397" s="213" t="s">
        <v>534</v>
      </c>
      <c r="G397" s="213" t="s">
        <v>371</v>
      </c>
      <c r="H397" s="213" t="s">
        <v>381</v>
      </c>
      <c r="I397" s="213"/>
      <c r="J397" s="213" t="s">
        <v>542</v>
      </c>
      <c r="K397" s="213" t="s">
        <v>382</v>
      </c>
      <c r="L397" s="213"/>
      <c r="M397" s="213"/>
      <c r="N397" s="213"/>
      <c r="O397" s="213"/>
      <c r="P397" s="213"/>
      <c r="Q397" s="213"/>
      <c r="R397" s="213"/>
      <c r="S397" s="213" t="s">
        <v>619</v>
      </c>
      <c r="T397" s="213"/>
      <c r="U397" s="213" t="s">
        <v>538</v>
      </c>
      <c r="V397" s="213">
        <v>2</v>
      </c>
      <c r="W397" s="213" t="s">
        <v>545</v>
      </c>
      <c r="X397" s="213" t="s">
        <v>549</v>
      </c>
      <c r="Y397" s="213" t="s">
        <v>580</v>
      </c>
      <c r="Z397" s="212">
        <v>1855027</v>
      </c>
      <c r="AA397" s="212">
        <v>47418540</v>
      </c>
      <c r="AB397" s="217">
        <v>0.184304</v>
      </c>
      <c r="AC397" s="217">
        <v>0.29660900000000001</v>
      </c>
      <c r="AD397" s="212">
        <f t="shared" si="6"/>
        <v>8739426.5961600002</v>
      </c>
    </row>
    <row r="398" spans="2:30" x14ac:dyDescent="0.15">
      <c r="B398" s="213">
        <v>17093002084</v>
      </c>
      <c r="C398" s="213">
        <v>17093001444</v>
      </c>
      <c r="D398" s="213">
        <v>17093001425</v>
      </c>
      <c r="E398" s="213" t="s">
        <v>533</v>
      </c>
      <c r="F398" s="213" t="s">
        <v>534</v>
      </c>
      <c r="G398" s="213" t="s">
        <v>371</v>
      </c>
      <c r="H398" s="213" t="s">
        <v>578</v>
      </c>
      <c r="I398" s="213"/>
      <c r="J398" s="213"/>
      <c r="K398" s="213"/>
      <c r="L398" s="213"/>
      <c r="M398" s="213"/>
      <c r="N398" s="213"/>
      <c r="O398" s="213"/>
      <c r="P398" s="213"/>
      <c r="Q398" s="213"/>
      <c r="R398" s="213"/>
      <c r="S398" s="213"/>
      <c r="T398" s="213"/>
      <c r="U398" s="213" t="s">
        <v>538</v>
      </c>
      <c r="V398" s="213">
        <v>1</v>
      </c>
      <c r="W398" s="213" t="s">
        <v>560</v>
      </c>
      <c r="X398" s="213" t="s">
        <v>541</v>
      </c>
      <c r="Y398" s="213" t="s">
        <v>541</v>
      </c>
      <c r="Z398" s="212">
        <v>28706</v>
      </c>
      <c r="AA398" s="212">
        <v>2964066</v>
      </c>
      <c r="AB398" s="217">
        <v>3.3162790000000002</v>
      </c>
      <c r="AC398" s="217">
        <v>5.3370449999999998</v>
      </c>
      <c r="AD398" s="212">
        <f t="shared" si="6"/>
        <v>9829669.8304140009</v>
      </c>
    </row>
    <row r="399" spans="2:30" x14ac:dyDescent="0.15">
      <c r="B399" s="213">
        <v>17097001927</v>
      </c>
      <c r="C399" s="213">
        <v>17097004542</v>
      </c>
      <c r="D399" s="213">
        <v>17097004528</v>
      </c>
      <c r="E399" s="213" t="s">
        <v>533</v>
      </c>
      <c r="F399" s="213" t="s">
        <v>534</v>
      </c>
      <c r="G399" s="213" t="s">
        <v>373</v>
      </c>
      <c r="H399" s="213" t="s">
        <v>382</v>
      </c>
      <c r="I399" s="213"/>
      <c r="J399" s="213"/>
      <c r="K399" s="213"/>
      <c r="L399" s="213"/>
      <c r="M399" s="213"/>
      <c r="N399" s="213"/>
      <c r="O399" s="213"/>
      <c r="P399" s="213"/>
      <c r="Q399" s="213"/>
      <c r="R399" s="213"/>
      <c r="S399" s="213" t="s">
        <v>586</v>
      </c>
      <c r="T399" s="213"/>
      <c r="U399" s="213" t="s">
        <v>538</v>
      </c>
      <c r="V399" s="213">
        <v>1</v>
      </c>
      <c r="W399" s="213" t="s">
        <v>582</v>
      </c>
      <c r="X399" s="213" t="s">
        <v>549</v>
      </c>
      <c r="Y399" s="213" t="s">
        <v>549</v>
      </c>
      <c r="Z399" s="212">
        <v>139802</v>
      </c>
      <c r="AA399" s="212">
        <v>15922092</v>
      </c>
      <c r="AB399" s="217">
        <v>0.73044900000000001</v>
      </c>
      <c r="AC399" s="217">
        <v>1.175546</v>
      </c>
      <c r="AD399" s="212">
        <f t="shared" si="6"/>
        <v>11630276.179308001</v>
      </c>
    </row>
    <row r="400" spans="2:30" x14ac:dyDescent="0.15">
      <c r="B400" s="213">
        <v>17097001951</v>
      </c>
      <c r="C400" s="213">
        <v>17097004530</v>
      </c>
      <c r="D400" s="213">
        <v>17097000049</v>
      </c>
      <c r="E400" s="213" t="s">
        <v>533</v>
      </c>
      <c r="F400" s="213" t="s">
        <v>534</v>
      </c>
      <c r="G400" s="213" t="s">
        <v>373</v>
      </c>
      <c r="H400" s="213" t="s">
        <v>552</v>
      </c>
      <c r="I400" s="213"/>
      <c r="J400" s="213" t="s">
        <v>547</v>
      </c>
      <c r="K400" s="213" t="s">
        <v>563</v>
      </c>
      <c r="L400" s="213"/>
      <c r="M400" s="213"/>
      <c r="N400" s="213"/>
      <c r="O400" s="213"/>
      <c r="P400" s="213"/>
      <c r="Q400" s="213"/>
      <c r="R400" s="213"/>
      <c r="S400" s="213" t="s">
        <v>629</v>
      </c>
      <c r="T400" s="213"/>
      <c r="U400" s="213" t="s">
        <v>538</v>
      </c>
      <c r="V400" s="213">
        <v>1</v>
      </c>
      <c r="W400" s="213" t="s">
        <v>582</v>
      </c>
      <c r="X400" s="213" t="s">
        <v>540</v>
      </c>
      <c r="Y400" s="213" t="s">
        <v>554</v>
      </c>
      <c r="Z400" s="212">
        <v>27697</v>
      </c>
      <c r="AA400" s="212">
        <v>2584007</v>
      </c>
      <c r="AB400" s="217">
        <v>1.872641</v>
      </c>
      <c r="AC400" s="217">
        <v>3.0137290000000001</v>
      </c>
      <c r="AD400" s="212">
        <f t="shared" si="6"/>
        <v>4838917.4524870003</v>
      </c>
    </row>
    <row r="401" spans="2:30" x14ac:dyDescent="0.15">
      <c r="B401" s="213">
        <v>17097002098</v>
      </c>
      <c r="C401" s="213">
        <v>17999019040</v>
      </c>
      <c r="D401" s="213">
        <v>17097007520</v>
      </c>
      <c r="E401" s="213" t="s">
        <v>533</v>
      </c>
      <c r="F401" s="213" t="s">
        <v>534</v>
      </c>
      <c r="G401" s="213" t="s">
        <v>373</v>
      </c>
      <c r="H401" s="213" t="s">
        <v>535</v>
      </c>
      <c r="I401" s="213"/>
      <c r="J401" s="213" t="s">
        <v>547</v>
      </c>
      <c r="K401" s="213"/>
      <c r="L401" s="213"/>
      <c r="M401" s="213"/>
      <c r="N401" s="213"/>
      <c r="O401" s="213"/>
      <c r="P401" s="213"/>
      <c r="Q401" s="213"/>
      <c r="R401" s="213"/>
      <c r="S401" s="213" t="s">
        <v>548</v>
      </c>
      <c r="T401" s="213"/>
      <c r="U401" s="213" t="s">
        <v>538</v>
      </c>
      <c r="V401" s="213">
        <v>3</v>
      </c>
      <c r="W401" s="213" t="s">
        <v>545</v>
      </c>
      <c r="X401" s="213" t="s">
        <v>549</v>
      </c>
      <c r="Y401" s="213" t="s">
        <v>546</v>
      </c>
      <c r="Z401" s="212">
        <v>662157</v>
      </c>
      <c r="AA401" s="212">
        <v>30342002</v>
      </c>
      <c r="AB401" s="217">
        <v>0.95903700000000003</v>
      </c>
      <c r="AC401" s="217">
        <v>1.5434239999999999</v>
      </c>
      <c r="AD401" s="212">
        <f t="shared" si="6"/>
        <v>29099102.572074</v>
      </c>
    </row>
    <row r="402" spans="2:30" x14ac:dyDescent="0.15">
      <c r="B402" s="213">
        <v>17097002112</v>
      </c>
      <c r="C402" s="213">
        <v>17097000066</v>
      </c>
      <c r="D402" s="213">
        <v>17097000061</v>
      </c>
      <c r="E402" s="213" t="s">
        <v>533</v>
      </c>
      <c r="F402" s="213" t="s">
        <v>534</v>
      </c>
      <c r="G402" s="213" t="s">
        <v>373</v>
      </c>
      <c r="H402" s="213" t="s">
        <v>535</v>
      </c>
      <c r="I402" s="213"/>
      <c r="J402" s="213" t="s">
        <v>547</v>
      </c>
      <c r="K402" s="213"/>
      <c r="L402" s="213"/>
      <c r="M402" s="213"/>
      <c r="N402" s="213"/>
      <c r="O402" s="213"/>
      <c r="P402" s="213"/>
      <c r="Q402" s="213"/>
      <c r="R402" s="213"/>
      <c r="S402" s="213" t="s">
        <v>548</v>
      </c>
      <c r="T402" s="213"/>
      <c r="U402" s="213" t="s">
        <v>538</v>
      </c>
      <c r="V402" s="213">
        <v>1</v>
      </c>
      <c r="W402" s="213" t="s">
        <v>545</v>
      </c>
      <c r="X402" s="213" t="s">
        <v>549</v>
      </c>
      <c r="Y402" s="213" t="s">
        <v>546</v>
      </c>
      <c r="Z402" s="212">
        <v>642955</v>
      </c>
      <c r="AA402" s="212">
        <v>28505002</v>
      </c>
      <c r="AB402" s="217">
        <v>0.68955100000000003</v>
      </c>
      <c r="AC402" s="217">
        <v>1.109728</v>
      </c>
      <c r="AD402" s="212">
        <f t="shared" si="6"/>
        <v>19655652.634102002</v>
      </c>
    </row>
    <row r="403" spans="2:30" x14ac:dyDescent="0.15">
      <c r="B403" s="213">
        <v>17097002117</v>
      </c>
      <c r="C403" s="213">
        <v>17097000047</v>
      </c>
      <c r="D403" s="213">
        <v>17097000042</v>
      </c>
      <c r="E403" s="213" t="s">
        <v>533</v>
      </c>
      <c r="F403" s="213" t="s">
        <v>534</v>
      </c>
      <c r="G403" s="213" t="s">
        <v>373</v>
      </c>
      <c r="H403" s="213" t="s">
        <v>535</v>
      </c>
      <c r="I403" s="213"/>
      <c r="J403" s="213" t="s">
        <v>547</v>
      </c>
      <c r="K403" s="213"/>
      <c r="L403" s="213"/>
      <c r="M403" s="213"/>
      <c r="N403" s="213"/>
      <c r="O403" s="213"/>
      <c r="P403" s="213"/>
      <c r="Q403" s="213"/>
      <c r="R403" s="213"/>
      <c r="S403" s="213" t="s">
        <v>548</v>
      </c>
      <c r="T403" s="213"/>
      <c r="U403" s="213" t="s">
        <v>538</v>
      </c>
      <c r="V403" s="213">
        <v>2</v>
      </c>
      <c r="W403" s="213" t="s">
        <v>545</v>
      </c>
      <c r="X403" s="213" t="s">
        <v>549</v>
      </c>
      <c r="Y403" s="213" t="s">
        <v>546</v>
      </c>
      <c r="Z403" s="212">
        <v>645147</v>
      </c>
      <c r="AA403" s="212">
        <v>28718662</v>
      </c>
      <c r="AB403" s="217">
        <v>0.29409800000000003</v>
      </c>
      <c r="AC403" s="217">
        <v>0.47330499999999998</v>
      </c>
      <c r="AD403" s="212">
        <f t="shared" si="6"/>
        <v>8446101.056876</v>
      </c>
    </row>
    <row r="404" spans="2:30" x14ac:dyDescent="0.15">
      <c r="B404" s="213">
        <v>17097002137</v>
      </c>
      <c r="C404" s="213">
        <v>17097007543</v>
      </c>
      <c r="D404" s="213">
        <v>17097000059</v>
      </c>
      <c r="E404" s="213" t="s">
        <v>533</v>
      </c>
      <c r="F404" s="213" t="s">
        <v>534</v>
      </c>
      <c r="G404" s="213" t="s">
        <v>373</v>
      </c>
      <c r="H404" s="213" t="s">
        <v>382</v>
      </c>
      <c r="I404" s="213"/>
      <c r="J404" s="213"/>
      <c r="K404" s="213"/>
      <c r="L404" s="213"/>
      <c r="M404" s="213"/>
      <c r="N404" s="213"/>
      <c r="O404" s="213"/>
      <c r="P404" s="213"/>
      <c r="Q404" s="213"/>
      <c r="R404" s="213"/>
      <c r="S404" s="213" t="s">
        <v>586</v>
      </c>
      <c r="T404" s="213"/>
      <c r="U404" s="213" t="s">
        <v>538</v>
      </c>
      <c r="V404" s="213">
        <v>1</v>
      </c>
      <c r="W404" s="213" t="s">
        <v>582</v>
      </c>
      <c r="X404" s="213" t="s">
        <v>549</v>
      </c>
      <c r="Y404" s="213" t="s">
        <v>549</v>
      </c>
      <c r="Z404" s="212">
        <v>135546</v>
      </c>
      <c r="AA404" s="212">
        <v>15509320</v>
      </c>
      <c r="AB404" s="217">
        <v>3.034586</v>
      </c>
      <c r="AC404" s="217">
        <v>4.8837020000000004</v>
      </c>
      <c r="AD404" s="212">
        <f t="shared" si="6"/>
        <v>47064365.341519997</v>
      </c>
    </row>
    <row r="405" spans="2:30" x14ac:dyDescent="0.15">
      <c r="B405" s="213">
        <v>17097002138</v>
      </c>
      <c r="C405" s="213">
        <v>17097000079</v>
      </c>
      <c r="D405" s="213">
        <v>17097000067</v>
      </c>
      <c r="E405" s="213" t="s">
        <v>533</v>
      </c>
      <c r="F405" s="213" t="s">
        <v>534</v>
      </c>
      <c r="G405" s="213" t="s">
        <v>373</v>
      </c>
      <c r="H405" s="213" t="s">
        <v>535</v>
      </c>
      <c r="I405" s="213"/>
      <c r="J405" s="213" t="s">
        <v>382</v>
      </c>
      <c r="K405" s="213"/>
      <c r="L405" s="213"/>
      <c r="M405" s="213"/>
      <c r="N405" s="213"/>
      <c r="O405" s="213"/>
      <c r="P405" s="213"/>
      <c r="Q405" s="213"/>
      <c r="R405" s="213"/>
      <c r="S405" s="213" t="s">
        <v>550</v>
      </c>
      <c r="T405" s="213"/>
      <c r="U405" s="213" t="s">
        <v>538</v>
      </c>
      <c r="V405" s="213">
        <v>1</v>
      </c>
      <c r="W405" s="213" t="s">
        <v>560</v>
      </c>
      <c r="X405" s="213" t="s">
        <v>554</v>
      </c>
      <c r="Y405" s="213" t="s">
        <v>541</v>
      </c>
      <c r="Z405" s="212">
        <v>680</v>
      </c>
      <c r="AA405" s="212">
        <v>46040</v>
      </c>
      <c r="AB405" s="217">
        <v>3.8275769999999998</v>
      </c>
      <c r="AC405" s="217">
        <v>6.1599009999999996</v>
      </c>
      <c r="AD405" s="212">
        <f t="shared" si="6"/>
        <v>176221.64507999999</v>
      </c>
    </row>
    <row r="406" spans="2:30" x14ac:dyDescent="0.15">
      <c r="B406" s="213">
        <v>17097002141</v>
      </c>
      <c r="C406" s="213">
        <v>17097007529</v>
      </c>
      <c r="D406" s="213">
        <v>99999017007</v>
      </c>
      <c r="E406" s="213" t="s">
        <v>533</v>
      </c>
      <c r="F406" s="213" t="s">
        <v>534</v>
      </c>
      <c r="G406" s="213" t="s">
        <v>373</v>
      </c>
      <c r="H406" s="213" t="s">
        <v>382</v>
      </c>
      <c r="I406" s="213"/>
      <c r="J406" s="213"/>
      <c r="K406" s="213"/>
      <c r="L406" s="213"/>
      <c r="M406" s="213"/>
      <c r="N406" s="213"/>
      <c r="O406" s="213"/>
      <c r="P406" s="213"/>
      <c r="Q406" s="213"/>
      <c r="R406" s="213"/>
      <c r="S406" s="213" t="s">
        <v>586</v>
      </c>
      <c r="T406" s="213"/>
      <c r="U406" s="213" t="s">
        <v>538</v>
      </c>
      <c r="V406" s="213">
        <v>1</v>
      </c>
      <c r="W406" s="213" t="s">
        <v>582</v>
      </c>
      <c r="X406" s="213" t="s">
        <v>549</v>
      </c>
      <c r="Y406" s="213" t="s">
        <v>549</v>
      </c>
      <c r="Z406" s="212">
        <v>134346</v>
      </c>
      <c r="AA406" s="212">
        <v>15397000</v>
      </c>
      <c r="AB406" s="217">
        <v>6.8191300000000004</v>
      </c>
      <c r="AC406" s="217">
        <v>10.974348000000001</v>
      </c>
      <c r="AD406" s="212">
        <f t="shared" si="6"/>
        <v>104994144.61</v>
      </c>
    </row>
    <row r="407" spans="2:30" x14ac:dyDescent="0.15">
      <c r="B407" s="213">
        <v>17097002147</v>
      </c>
      <c r="C407" s="213">
        <v>17097004537</v>
      </c>
      <c r="D407" s="213">
        <v>17097000083</v>
      </c>
      <c r="E407" s="213" t="s">
        <v>533</v>
      </c>
      <c r="F407" s="213" t="s">
        <v>534</v>
      </c>
      <c r="G407" s="213" t="s">
        <v>373</v>
      </c>
      <c r="H407" s="213" t="s">
        <v>552</v>
      </c>
      <c r="I407" s="213"/>
      <c r="J407" s="213" t="s">
        <v>542</v>
      </c>
      <c r="K407" s="213" t="s">
        <v>547</v>
      </c>
      <c r="L407" s="213" t="s">
        <v>563</v>
      </c>
      <c r="M407" s="213"/>
      <c r="N407" s="213"/>
      <c r="O407" s="213"/>
      <c r="P407" s="213"/>
      <c r="Q407" s="213"/>
      <c r="R407" s="213"/>
      <c r="S407" s="213" t="s">
        <v>564</v>
      </c>
      <c r="T407" s="213"/>
      <c r="U407" s="213" t="s">
        <v>538</v>
      </c>
      <c r="V407" s="213">
        <v>2</v>
      </c>
      <c r="W407" s="213" t="s">
        <v>545</v>
      </c>
      <c r="X407" s="213" t="s">
        <v>540</v>
      </c>
      <c r="Y407" s="213" t="s">
        <v>549</v>
      </c>
      <c r="Z407" s="212">
        <v>500525</v>
      </c>
      <c r="AA407" s="212">
        <v>34229964</v>
      </c>
      <c r="AB407" s="217">
        <v>3.8560370000000002</v>
      </c>
      <c r="AC407" s="217">
        <v>6.2057029999999997</v>
      </c>
      <c r="AD407" s="212">
        <f t="shared" si="6"/>
        <v>131992007.69266801</v>
      </c>
    </row>
    <row r="408" spans="2:30" x14ac:dyDescent="0.15">
      <c r="B408" s="213">
        <v>17097002149</v>
      </c>
      <c r="C408" s="213">
        <v>17097000110</v>
      </c>
      <c r="D408" s="213">
        <v>17097000109</v>
      </c>
      <c r="E408" s="213" t="s">
        <v>533</v>
      </c>
      <c r="F408" s="213" t="s">
        <v>534</v>
      </c>
      <c r="G408" s="213" t="s">
        <v>373</v>
      </c>
      <c r="H408" s="213" t="s">
        <v>535</v>
      </c>
      <c r="I408" s="213"/>
      <c r="J408" s="213" t="s">
        <v>382</v>
      </c>
      <c r="K408" s="213"/>
      <c r="L408" s="213"/>
      <c r="M408" s="213"/>
      <c r="N408" s="213"/>
      <c r="O408" s="213"/>
      <c r="P408" s="213"/>
      <c r="Q408" s="213"/>
      <c r="R408" s="213"/>
      <c r="S408" s="213" t="s">
        <v>550</v>
      </c>
      <c r="T408" s="213"/>
      <c r="U408" s="213" t="s">
        <v>538</v>
      </c>
      <c r="V408" s="213">
        <v>1</v>
      </c>
      <c r="W408" s="213" t="s">
        <v>545</v>
      </c>
      <c r="X408" s="213" t="s">
        <v>541</v>
      </c>
      <c r="Y408" s="213" t="s">
        <v>540</v>
      </c>
      <c r="Z408" s="212">
        <v>39510</v>
      </c>
      <c r="AA408" s="212">
        <v>3846992</v>
      </c>
      <c r="AB408" s="217">
        <v>0.190831</v>
      </c>
      <c r="AC408" s="217">
        <v>0.307114</v>
      </c>
      <c r="AD408" s="212">
        <f t="shared" si="6"/>
        <v>734125.33035199996</v>
      </c>
    </row>
    <row r="409" spans="2:30" x14ac:dyDescent="0.15">
      <c r="B409" s="213">
        <v>17097002151</v>
      </c>
      <c r="C409" s="213">
        <v>17097007469</v>
      </c>
      <c r="D409" s="213">
        <v>17097000181</v>
      </c>
      <c r="E409" s="213" t="s">
        <v>533</v>
      </c>
      <c r="F409" s="213" t="s">
        <v>534</v>
      </c>
      <c r="G409" s="213" t="s">
        <v>373</v>
      </c>
      <c r="H409" s="213" t="s">
        <v>535</v>
      </c>
      <c r="I409" s="213"/>
      <c r="J409" s="213" t="s">
        <v>382</v>
      </c>
      <c r="K409" s="213" t="s">
        <v>536</v>
      </c>
      <c r="L409" s="213"/>
      <c r="M409" s="213"/>
      <c r="N409" s="213"/>
      <c r="O409" s="213"/>
      <c r="P409" s="213"/>
      <c r="Q409" s="213"/>
      <c r="R409" s="213"/>
      <c r="S409" s="213" t="s">
        <v>550</v>
      </c>
      <c r="T409" s="213"/>
      <c r="U409" s="213" t="s">
        <v>538</v>
      </c>
      <c r="V409" s="213">
        <v>1</v>
      </c>
      <c r="W409" s="213" t="s">
        <v>545</v>
      </c>
      <c r="X409" s="213" t="s">
        <v>549</v>
      </c>
      <c r="Y409" s="213" t="s">
        <v>540</v>
      </c>
      <c r="Z409" s="212">
        <v>34316</v>
      </c>
      <c r="AA409" s="212">
        <v>3291542</v>
      </c>
      <c r="AB409" s="217">
        <v>2.7456049999999999</v>
      </c>
      <c r="AC409" s="217">
        <v>4.4186310000000004</v>
      </c>
      <c r="AD409" s="212">
        <f t="shared" si="6"/>
        <v>9037274.1729099993</v>
      </c>
    </row>
    <row r="410" spans="2:30" x14ac:dyDescent="0.15">
      <c r="B410" s="213">
        <v>17097002152</v>
      </c>
      <c r="C410" s="213">
        <v>17097004541</v>
      </c>
      <c r="D410" s="213">
        <v>99999017006</v>
      </c>
      <c r="E410" s="213" t="s">
        <v>533</v>
      </c>
      <c r="F410" s="213" t="s">
        <v>534</v>
      </c>
      <c r="G410" s="213" t="s">
        <v>373</v>
      </c>
      <c r="H410" s="213" t="s">
        <v>552</v>
      </c>
      <c r="I410" s="213"/>
      <c r="J410" s="213" t="s">
        <v>542</v>
      </c>
      <c r="K410" s="213"/>
      <c r="L410" s="213"/>
      <c r="M410" s="213"/>
      <c r="N410" s="213"/>
      <c r="O410" s="213"/>
      <c r="P410" s="213"/>
      <c r="Q410" s="213"/>
      <c r="R410" s="213"/>
      <c r="S410" s="213" t="s">
        <v>564</v>
      </c>
      <c r="T410" s="213"/>
      <c r="U410" s="213" t="s">
        <v>538</v>
      </c>
      <c r="V410" s="213">
        <v>2</v>
      </c>
      <c r="W410" s="213" t="s">
        <v>545</v>
      </c>
      <c r="X410" s="213" t="s">
        <v>549</v>
      </c>
      <c r="Y410" s="213" t="s">
        <v>549</v>
      </c>
      <c r="Z410" s="212">
        <v>472628</v>
      </c>
      <c r="AA410" s="212">
        <v>31631277</v>
      </c>
      <c r="AB410" s="217">
        <v>0.275619</v>
      </c>
      <c r="AC410" s="217">
        <v>0.44356600000000002</v>
      </c>
      <c r="AD410" s="212">
        <f t="shared" si="6"/>
        <v>8718180.9354630001</v>
      </c>
    </row>
    <row r="411" spans="2:30" x14ac:dyDescent="0.15">
      <c r="B411" s="213">
        <v>17097002155</v>
      </c>
      <c r="C411" s="213">
        <v>17097004570</v>
      </c>
      <c r="D411" s="213">
        <v>17097000196</v>
      </c>
      <c r="E411" s="213" t="s">
        <v>533</v>
      </c>
      <c r="F411" s="213" t="s">
        <v>534</v>
      </c>
      <c r="G411" s="213" t="s">
        <v>373</v>
      </c>
      <c r="H411" s="213" t="s">
        <v>382</v>
      </c>
      <c r="I411" s="213"/>
      <c r="J411" s="213" t="s">
        <v>547</v>
      </c>
      <c r="K411" s="213"/>
      <c r="L411" s="213"/>
      <c r="M411" s="213"/>
      <c r="N411" s="213"/>
      <c r="O411" s="213"/>
      <c r="P411" s="213"/>
      <c r="Q411" s="213"/>
      <c r="R411" s="213"/>
      <c r="S411" s="213" t="s">
        <v>565</v>
      </c>
      <c r="T411" s="213"/>
      <c r="U411" s="213" t="s">
        <v>538</v>
      </c>
      <c r="V411" s="213">
        <v>2</v>
      </c>
      <c r="W411" s="213" t="s">
        <v>566</v>
      </c>
      <c r="X411" s="213" t="s">
        <v>549</v>
      </c>
      <c r="Y411" s="213" t="s">
        <v>541</v>
      </c>
      <c r="Z411" s="212">
        <v>0</v>
      </c>
      <c r="AA411" s="212">
        <v>0</v>
      </c>
      <c r="AB411" s="217">
        <v>1.552341</v>
      </c>
      <c r="AC411" s="217">
        <v>2.498256</v>
      </c>
      <c r="AD411" s="212">
        <f t="shared" si="6"/>
        <v>0</v>
      </c>
    </row>
    <row r="412" spans="2:30" x14ac:dyDescent="0.15">
      <c r="B412" s="213">
        <v>17097002156</v>
      </c>
      <c r="C412" s="213">
        <v>17097004571</v>
      </c>
      <c r="D412" s="213">
        <v>17097004570</v>
      </c>
      <c r="E412" s="213" t="s">
        <v>533</v>
      </c>
      <c r="F412" s="213" t="s">
        <v>534</v>
      </c>
      <c r="G412" s="213" t="s">
        <v>373</v>
      </c>
      <c r="H412" s="213" t="s">
        <v>382</v>
      </c>
      <c r="I412" s="213"/>
      <c r="J412" s="213" t="s">
        <v>547</v>
      </c>
      <c r="K412" s="213"/>
      <c r="L412" s="213"/>
      <c r="M412" s="213"/>
      <c r="N412" s="213"/>
      <c r="O412" s="213"/>
      <c r="P412" s="213"/>
      <c r="Q412" s="213"/>
      <c r="R412" s="213"/>
      <c r="S412" s="213" t="s">
        <v>565</v>
      </c>
      <c r="T412" s="213"/>
      <c r="U412" s="213" t="s">
        <v>538</v>
      </c>
      <c r="V412" s="213">
        <v>2</v>
      </c>
      <c r="W412" s="213" t="s">
        <v>566</v>
      </c>
      <c r="X412" s="213" t="s">
        <v>549</v>
      </c>
      <c r="Y412" s="213" t="s">
        <v>541</v>
      </c>
      <c r="Z412" s="212">
        <v>0</v>
      </c>
      <c r="AA412" s="212">
        <v>0</v>
      </c>
      <c r="AB412" s="217">
        <v>1.4639629999999999</v>
      </c>
      <c r="AC412" s="217">
        <v>2.3560249999999998</v>
      </c>
      <c r="AD412" s="212">
        <f t="shared" si="6"/>
        <v>0</v>
      </c>
    </row>
    <row r="413" spans="2:30" x14ac:dyDescent="0.15">
      <c r="B413" s="213">
        <v>17097002193</v>
      </c>
      <c r="C413" s="213">
        <v>17097000238</v>
      </c>
      <c r="D413" s="213">
        <v>17097004546</v>
      </c>
      <c r="E413" s="213" t="s">
        <v>533</v>
      </c>
      <c r="F413" s="213" t="s">
        <v>534</v>
      </c>
      <c r="G413" s="213" t="s">
        <v>373</v>
      </c>
      <c r="H413" s="213" t="s">
        <v>535</v>
      </c>
      <c r="I413" s="213"/>
      <c r="J413" s="213" t="s">
        <v>382</v>
      </c>
      <c r="K413" s="213" t="s">
        <v>536</v>
      </c>
      <c r="L413" s="213"/>
      <c r="M413" s="213"/>
      <c r="N413" s="213"/>
      <c r="O413" s="213"/>
      <c r="P413" s="213"/>
      <c r="Q413" s="213"/>
      <c r="R413" s="213"/>
      <c r="S413" s="213" t="s">
        <v>550</v>
      </c>
      <c r="T413" s="213"/>
      <c r="U413" s="213" t="s">
        <v>538</v>
      </c>
      <c r="V413" s="213">
        <v>1</v>
      </c>
      <c r="W413" s="213" t="s">
        <v>545</v>
      </c>
      <c r="X413" s="213" t="s">
        <v>549</v>
      </c>
      <c r="Y413" s="213" t="s">
        <v>540</v>
      </c>
      <c r="Z413" s="212">
        <v>34276</v>
      </c>
      <c r="AA413" s="212">
        <v>3287742</v>
      </c>
      <c r="AB413" s="217">
        <v>4.0381270000000002</v>
      </c>
      <c r="AC413" s="217">
        <v>6.4987490000000001</v>
      </c>
      <c r="AD413" s="212">
        <f t="shared" si="6"/>
        <v>13276319.739234</v>
      </c>
    </row>
    <row r="414" spans="2:30" x14ac:dyDescent="0.15">
      <c r="B414" s="213">
        <v>17097002260</v>
      </c>
      <c r="C414" s="213">
        <v>17097004565</v>
      </c>
      <c r="D414" s="213">
        <v>17097004550</v>
      </c>
      <c r="E414" s="213" t="s">
        <v>533</v>
      </c>
      <c r="F414" s="213" t="s">
        <v>534</v>
      </c>
      <c r="G414" s="213" t="s">
        <v>373</v>
      </c>
      <c r="H414" s="213" t="s">
        <v>382</v>
      </c>
      <c r="I414" s="213"/>
      <c r="J414" s="213" t="s">
        <v>535</v>
      </c>
      <c r="K414" s="213" t="s">
        <v>547</v>
      </c>
      <c r="L414" s="213"/>
      <c r="M414" s="213"/>
      <c r="N414" s="213"/>
      <c r="O414" s="213"/>
      <c r="P414" s="213"/>
      <c r="Q414" s="213"/>
      <c r="R414" s="213"/>
      <c r="S414" s="213" t="s">
        <v>565</v>
      </c>
      <c r="T414" s="213"/>
      <c r="U414" s="213" t="s">
        <v>538</v>
      </c>
      <c r="V414" s="213">
        <v>2</v>
      </c>
      <c r="W414" s="213" t="s">
        <v>566</v>
      </c>
      <c r="X414" s="213" t="s">
        <v>549</v>
      </c>
      <c r="Y414" s="213" t="s">
        <v>540</v>
      </c>
      <c r="Z414" s="212">
        <v>18218</v>
      </c>
      <c r="AA414" s="212">
        <v>2035810</v>
      </c>
      <c r="AB414" s="217">
        <v>0.49994300000000003</v>
      </c>
      <c r="AC414" s="217">
        <v>0.80458200000000002</v>
      </c>
      <c r="AD414" s="212">
        <f t="shared" si="6"/>
        <v>1017788.95883</v>
      </c>
    </row>
    <row r="415" spans="2:30" x14ac:dyDescent="0.15">
      <c r="B415" s="213">
        <v>17097002284</v>
      </c>
      <c r="C415" s="213">
        <v>17097007479</v>
      </c>
      <c r="D415" s="213">
        <v>17097007487</v>
      </c>
      <c r="E415" s="213" t="s">
        <v>533</v>
      </c>
      <c r="F415" s="213" t="s">
        <v>534</v>
      </c>
      <c r="G415" s="213" t="s">
        <v>373</v>
      </c>
      <c r="H415" s="213" t="s">
        <v>382</v>
      </c>
      <c r="I415" s="213"/>
      <c r="J415" s="213" t="s">
        <v>535</v>
      </c>
      <c r="K415" s="213" t="s">
        <v>547</v>
      </c>
      <c r="L415" s="213"/>
      <c r="M415" s="213"/>
      <c r="N415" s="213"/>
      <c r="O415" s="213"/>
      <c r="P415" s="213"/>
      <c r="Q415" s="213"/>
      <c r="R415" s="213"/>
      <c r="S415" s="213" t="s">
        <v>565</v>
      </c>
      <c r="T415" s="213"/>
      <c r="U415" s="213" t="s">
        <v>538</v>
      </c>
      <c r="V415" s="213">
        <v>2</v>
      </c>
      <c r="W415" s="213" t="s">
        <v>566</v>
      </c>
      <c r="X415" s="213" t="s">
        <v>549</v>
      </c>
      <c r="Y415" s="213" t="s">
        <v>549</v>
      </c>
      <c r="Z415" s="212">
        <v>18218</v>
      </c>
      <c r="AA415" s="212">
        <v>2035810</v>
      </c>
      <c r="AB415" s="217">
        <v>1.5163660000000001</v>
      </c>
      <c r="AC415" s="217">
        <v>2.4403600000000001</v>
      </c>
      <c r="AD415" s="212">
        <f t="shared" si="6"/>
        <v>3087033.0664600004</v>
      </c>
    </row>
    <row r="416" spans="2:30" x14ac:dyDescent="0.15">
      <c r="B416" s="213">
        <v>17097002314</v>
      </c>
      <c r="C416" s="213">
        <v>17999019043</v>
      </c>
      <c r="D416" s="213">
        <v>17097004544</v>
      </c>
      <c r="E416" s="213" t="s">
        <v>533</v>
      </c>
      <c r="F416" s="213" t="s">
        <v>534</v>
      </c>
      <c r="G416" s="213" t="s">
        <v>373</v>
      </c>
      <c r="H416" s="213" t="s">
        <v>382</v>
      </c>
      <c r="I416" s="213"/>
      <c r="J416" s="213" t="s">
        <v>535</v>
      </c>
      <c r="K416" s="213"/>
      <c r="L416" s="213"/>
      <c r="M416" s="213"/>
      <c r="N416" s="213"/>
      <c r="O416" s="213"/>
      <c r="P416" s="213"/>
      <c r="Q416" s="213"/>
      <c r="R416" s="213"/>
      <c r="S416" s="213" t="s">
        <v>586</v>
      </c>
      <c r="T416" s="213"/>
      <c r="U416" s="213" t="s">
        <v>538</v>
      </c>
      <c r="V416" s="213">
        <v>2</v>
      </c>
      <c r="W416" s="213" t="s">
        <v>582</v>
      </c>
      <c r="X416" s="213" t="s">
        <v>549</v>
      </c>
      <c r="Y416" s="213" t="s">
        <v>549</v>
      </c>
      <c r="Z416" s="212">
        <v>149468</v>
      </c>
      <c r="AA416" s="212">
        <v>17128638</v>
      </c>
      <c r="AB416" s="217">
        <v>1.947257</v>
      </c>
      <c r="AC416" s="217">
        <v>3.133813</v>
      </c>
      <c r="AD416" s="212">
        <f t="shared" si="6"/>
        <v>33353860.245965999</v>
      </c>
    </row>
    <row r="417" spans="2:30" x14ac:dyDescent="0.15">
      <c r="B417" s="213">
        <v>17097002580</v>
      </c>
      <c r="C417" s="213">
        <v>17097004572</v>
      </c>
      <c r="D417" s="213">
        <v>17097004571</v>
      </c>
      <c r="E417" s="213" t="s">
        <v>533</v>
      </c>
      <c r="F417" s="213" t="s">
        <v>534</v>
      </c>
      <c r="G417" s="213" t="s">
        <v>373</v>
      </c>
      <c r="H417" s="213" t="s">
        <v>382</v>
      </c>
      <c r="I417" s="213"/>
      <c r="J417" s="213" t="s">
        <v>547</v>
      </c>
      <c r="K417" s="213"/>
      <c r="L417" s="213"/>
      <c r="M417" s="213"/>
      <c r="N417" s="213"/>
      <c r="O417" s="213"/>
      <c r="P417" s="213"/>
      <c r="Q417" s="213"/>
      <c r="R417" s="213"/>
      <c r="S417" s="213" t="s">
        <v>565</v>
      </c>
      <c r="T417" s="213"/>
      <c r="U417" s="213" t="s">
        <v>538</v>
      </c>
      <c r="V417" s="213">
        <v>2</v>
      </c>
      <c r="W417" s="213" t="s">
        <v>566</v>
      </c>
      <c r="X417" s="213" t="s">
        <v>549</v>
      </c>
      <c r="Y417" s="213" t="s">
        <v>541</v>
      </c>
      <c r="Z417" s="212">
        <v>0</v>
      </c>
      <c r="AA417" s="212">
        <v>0</v>
      </c>
      <c r="AB417" s="217">
        <v>0.56928299999999998</v>
      </c>
      <c r="AC417" s="217">
        <v>0.91617400000000004</v>
      </c>
      <c r="AD417" s="212">
        <f t="shared" si="6"/>
        <v>0</v>
      </c>
    </row>
    <row r="418" spans="2:30" x14ac:dyDescent="0.15">
      <c r="B418" s="213">
        <v>17097003149</v>
      </c>
      <c r="C418" s="213">
        <v>17097004535</v>
      </c>
      <c r="D418" s="213">
        <v>17097004534</v>
      </c>
      <c r="E418" s="213" t="s">
        <v>533</v>
      </c>
      <c r="F418" s="213" t="s">
        <v>534</v>
      </c>
      <c r="G418" s="213" t="s">
        <v>373</v>
      </c>
      <c r="H418" s="213" t="s">
        <v>552</v>
      </c>
      <c r="I418" s="213"/>
      <c r="J418" s="213" t="s">
        <v>547</v>
      </c>
      <c r="K418" s="213" t="s">
        <v>563</v>
      </c>
      <c r="L418" s="213"/>
      <c r="M418" s="213"/>
      <c r="N418" s="213"/>
      <c r="O418" s="213"/>
      <c r="P418" s="213"/>
      <c r="Q418" s="213"/>
      <c r="R418" s="213"/>
      <c r="S418" s="213" t="s">
        <v>629</v>
      </c>
      <c r="T418" s="213"/>
      <c r="U418" s="213" t="s">
        <v>538</v>
      </c>
      <c r="V418" s="213">
        <v>1</v>
      </c>
      <c r="W418" s="213" t="s">
        <v>582</v>
      </c>
      <c r="X418" s="213" t="s">
        <v>540</v>
      </c>
      <c r="Y418" s="213" t="s">
        <v>554</v>
      </c>
      <c r="Z418" s="212">
        <v>27697</v>
      </c>
      <c r="AA418" s="212">
        <v>2584007</v>
      </c>
      <c r="AB418" s="217">
        <v>0.53178499999999995</v>
      </c>
      <c r="AC418" s="217">
        <v>0.855827</v>
      </c>
      <c r="AD418" s="212">
        <f t="shared" si="6"/>
        <v>1374136.1624949998</v>
      </c>
    </row>
    <row r="419" spans="2:30" x14ac:dyDescent="0.15">
      <c r="B419" s="213">
        <v>17097006322</v>
      </c>
      <c r="C419" s="213">
        <v>17097004550</v>
      </c>
      <c r="D419" s="213">
        <v>17097004548</v>
      </c>
      <c r="E419" s="213" t="s">
        <v>533</v>
      </c>
      <c r="F419" s="213" t="s">
        <v>534</v>
      </c>
      <c r="G419" s="213" t="s">
        <v>373</v>
      </c>
      <c r="H419" s="213" t="s">
        <v>382</v>
      </c>
      <c r="I419" s="213"/>
      <c r="J419" s="213" t="s">
        <v>535</v>
      </c>
      <c r="K419" s="213"/>
      <c r="L419" s="213"/>
      <c r="M419" s="213"/>
      <c r="N419" s="213"/>
      <c r="O419" s="213"/>
      <c r="P419" s="213"/>
      <c r="Q419" s="213"/>
      <c r="R419" s="213"/>
      <c r="S419" s="213"/>
      <c r="T419" s="213"/>
      <c r="U419" s="213" t="s">
        <v>559</v>
      </c>
      <c r="V419" s="213">
        <v>1</v>
      </c>
      <c r="W419" s="213" t="s">
        <v>560</v>
      </c>
      <c r="X419" s="213" t="s">
        <v>541</v>
      </c>
      <c r="Y419" s="213" t="s">
        <v>541</v>
      </c>
      <c r="Z419" s="212">
        <v>12246</v>
      </c>
      <c r="AA419" s="212">
        <v>1472198</v>
      </c>
      <c r="AB419" s="217">
        <v>0.35782000000000003</v>
      </c>
      <c r="AC419" s="217">
        <v>0.57585699999999995</v>
      </c>
      <c r="AD419" s="212">
        <f t="shared" si="6"/>
        <v>526781.88835999998</v>
      </c>
    </row>
    <row r="420" spans="2:30" x14ac:dyDescent="0.15">
      <c r="B420" s="213">
        <v>17097006327</v>
      </c>
      <c r="C420" s="213">
        <v>17097000030</v>
      </c>
      <c r="D420" s="213">
        <v>17097004564</v>
      </c>
      <c r="E420" s="213" t="s">
        <v>533</v>
      </c>
      <c r="F420" s="213" t="s">
        <v>534</v>
      </c>
      <c r="G420" s="213" t="s">
        <v>373</v>
      </c>
      <c r="H420" s="213" t="s">
        <v>382</v>
      </c>
      <c r="I420" s="213"/>
      <c r="J420" s="213" t="s">
        <v>535</v>
      </c>
      <c r="K420" s="213" t="s">
        <v>547</v>
      </c>
      <c r="L420" s="213"/>
      <c r="M420" s="213"/>
      <c r="N420" s="213"/>
      <c r="O420" s="213"/>
      <c r="P420" s="213"/>
      <c r="Q420" s="213"/>
      <c r="R420" s="213"/>
      <c r="S420" s="213" t="s">
        <v>565</v>
      </c>
      <c r="T420" s="213"/>
      <c r="U420" s="213" t="s">
        <v>538</v>
      </c>
      <c r="V420" s="213">
        <v>2</v>
      </c>
      <c r="W420" s="213" t="s">
        <v>566</v>
      </c>
      <c r="X420" s="213" t="s">
        <v>549</v>
      </c>
      <c r="Y420" s="213" t="s">
        <v>540</v>
      </c>
      <c r="Z420" s="212">
        <v>5932</v>
      </c>
      <c r="AA420" s="212">
        <v>562972</v>
      </c>
      <c r="AB420" s="217">
        <v>0.105075</v>
      </c>
      <c r="AC420" s="217">
        <v>0.169103</v>
      </c>
      <c r="AD420" s="212">
        <f t="shared" si="6"/>
        <v>59154.282899999998</v>
      </c>
    </row>
    <row r="421" spans="2:30" x14ac:dyDescent="0.15">
      <c r="B421" s="213">
        <v>17097006330</v>
      </c>
      <c r="C421" s="213">
        <v>17097004573</v>
      </c>
      <c r="D421" s="213">
        <v>17097004572</v>
      </c>
      <c r="E421" s="213" t="s">
        <v>533</v>
      </c>
      <c r="F421" s="213" t="s">
        <v>534</v>
      </c>
      <c r="G421" s="213" t="s">
        <v>373</v>
      </c>
      <c r="H421" s="213" t="s">
        <v>382</v>
      </c>
      <c r="I421" s="213"/>
      <c r="J421" s="213" t="s">
        <v>547</v>
      </c>
      <c r="K421" s="213"/>
      <c r="L421" s="213"/>
      <c r="M421" s="213"/>
      <c r="N421" s="213"/>
      <c r="O421" s="213"/>
      <c r="P421" s="213"/>
      <c r="Q421" s="213"/>
      <c r="R421" s="213"/>
      <c r="S421" s="213" t="s">
        <v>565</v>
      </c>
      <c r="T421" s="213"/>
      <c r="U421" s="213" t="s">
        <v>538</v>
      </c>
      <c r="V421" s="213">
        <v>2</v>
      </c>
      <c r="W421" s="213" t="s">
        <v>566</v>
      </c>
      <c r="X421" s="213" t="s">
        <v>549</v>
      </c>
      <c r="Y421" s="213" t="s">
        <v>541</v>
      </c>
      <c r="Z421" s="212">
        <v>0</v>
      </c>
      <c r="AA421" s="212">
        <v>0</v>
      </c>
      <c r="AB421" s="217">
        <v>0.41313299999999997</v>
      </c>
      <c r="AC421" s="217">
        <v>0.66487499999999999</v>
      </c>
      <c r="AD421" s="212">
        <f t="shared" si="6"/>
        <v>0</v>
      </c>
    </row>
    <row r="422" spans="2:30" x14ac:dyDescent="0.15">
      <c r="B422" s="213">
        <v>17097006331</v>
      </c>
      <c r="C422" s="213">
        <v>17999019044</v>
      </c>
      <c r="D422" s="213">
        <v>17097004573</v>
      </c>
      <c r="E422" s="213" t="s">
        <v>533</v>
      </c>
      <c r="F422" s="213" t="s">
        <v>534</v>
      </c>
      <c r="G422" s="213" t="s">
        <v>373</v>
      </c>
      <c r="H422" s="213" t="s">
        <v>382</v>
      </c>
      <c r="I422" s="213"/>
      <c r="J422" s="213" t="s">
        <v>547</v>
      </c>
      <c r="K422" s="213"/>
      <c r="L422" s="213"/>
      <c r="M422" s="213"/>
      <c r="N422" s="213"/>
      <c r="O422" s="213"/>
      <c r="P422" s="213"/>
      <c r="Q422" s="213"/>
      <c r="R422" s="213"/>
      <c r="S422" s="213" t="s">
        <v>565</v>
      </c>
      <c r="T422" s="213"/>
      <c r="U422" s="213" t="s">
        <v>538</v>
      </c>
      <c r="V422" s="213">
        <v>2</v>
      </c>
      <c r="W422" s="213" t="s">
        <v>566</v>
      </c>
      <c r="X422" s="213" t="s">
        <v>549</v>
      </c>
      <c r="Y422" s="213" t="s">
        <v>541</v>
      </c>
      <c r="Z422" s="212">
        <v>0</v>
      </c>
      <c r="AA422" s="212">
        <v>0</v>
      </c>
      <c r="AB422" s="217">
        <v>3.9132E-2</v>
      </c>
      <c r="AC422" s="217">
        <v>6.2977000000000005E-2</v>
      </c>
      <c r="AD422" s="212">
        <f t="shared" si="6"/>
        <v>0</v>
      </c>
    </row>
    <row r="423" spans="2:30" x14ac:dyDescent="0.15">
      <c r="B423" s="213">
        <v>17097009344</v>
      </c>
      <c r="C423" s="213">
        <v>17097007468</v>
      </c>
      <c r="D423" s="213">
        <v>17097007465</v>
      </c>
      <c r="E423" s="213" t="s">
        <v>533</v>
      </c>
      <c r="F423" s="213" t="s">
        <v>534</v>
      </c>
      <c r="G423" s="213" t="s">
        <v>373</v>
      </c>
      <c r="H423" s="213" t="s">
        <v>382</v>
      </c>
      <c r="I423" s="213"/>
      <c r="J423" s="213" t="s">
        <v>547</v>
      </c>
      <c r="K423" s="213"/>
      <c r="L423" s="213"/>
      <c r="M423" s="213"/>
      <c r="N423" s="213"/>
      <c r="O423" s="213"/>
      <c r="P423" s="213"/>
      <c r="Q423" s="213"/>
      <c r="R423" s="213"/>
      <c r="S423" s="213" t="s">
        <v>608</v>
      </c>
      <c r="T423" s="213"/>
      <c r="U423" s="213" t="s">
        <v>538</v>
      </c>
      <c r="V423" s="213">
        <v>2</v>
      </c>
      <c r="W423" s="213" t="s">
        <v>566</v>
      </c>
      <c r="X423" s="213" t="s">
        <v>549</v>
      </c>
      <c r="Y423" s="213" t="s">
        <v>549</v>
      </c>
      <c r="Z423" s="212">
        <v>12093</v>
      </c>
      <c r="AA423" s="212">
        <v>1128047</v>
      </c>
      <c r="AB423" s="217">
        <v>0.39132800000000001</v>
      </c>
      <c r="AC423" s="217">
        <v>0.62978299999999998</v>
      </c>
      <c r="AD423" s="212">
        <f t="shared" si="6"/>
        <v>441436.37641600001</v>
      </c>
    </row>
    <row r="424" spans="2:30" x14ac:dyDescent="0.15">
      <c r="B424" s="213">
        <v>17097009349</v>
      </c>
      <c r="C424" s="213">
        <v>17097004520</v>
      </c>
      <c r="D424" s="213">
        <v>17097007468</v>
      </c>
      <c r="E424" s="213" t="s">
        <v>533</v>
      </c>
      <c r="F424" s="213" t="s">
        <v>534</v>
      </c>
      <c r="G424" s="213" t="s">
        <v>373</v>
      </c>
      <c r="H424" s="213" t="s">
        <v>382</v>
      </c>
      <c r="I424" s="213"/>
      <c r="J424" s="213" t="s">
        <v>547</v>
      </c>
      <c r="K424" s="213"/>
      <c r="L424" s="213"/>
      <c r="M424" s="213"/>
      <c r="N424" s="213"/>
      <c r="O424" s="213"/>
      <c r="P424" s="213"/>
      <c r="Q424" s="213"/>
      <c r="R424" s="213"/>
      <c r="S424" s="213" t="s">
        <v>608</v>
      </c>
      <c r="T424" s="213"/>
      <c r="U424" s="213" t="s">
        <v>538</v>
      </c>
      <c r="V424" s="213">
        <v>2</v>
      </c>
      <c r="W424" s="213" t="s">
        <v>566</v>
      </c>
      <c r="X424" s="213" t="s">
        <v>549</v>
      </c>
      <c r="Y424" s="213" t="s">
        <v>549</v>
      </c>
      <c r="Z424" s="212">
        <v>12093</v>
      </c>
      <c r="AA424" s="212">
        <v>1128047</v>
      </c>
      <c r="AB424" s="217">
        <v>0.170735</v>
      </c>
      <c r="AC424" s="217">
        <v>0.27477099999999999</v>
      </c>
      <c r="AD424" s="212">
        <f t="shared" si="6"/>
        <v>192597.10454500001</v>
      </c>
    </row>
    <row r="425" spans="2:30" x14ac:dyDescent="0.15">
      <c r="B425" s="213">
        <v>17097009356</v>
      </c>
      <c r="C425" s="213">
        <v>17097004549</v>
      </c>
      <c r="D425" s="213">
        <v>17097007475</v>
      </c>
      <c r="E425" s="213" t="s">
        <v>533</v>
      </c>
      <c r="F425" s="213" t="s">
        <v>534</v>
      </c>
      <c r="G425" s="213" t="s">
        <v>373</v>
      </c>
      <c r="H425" s="213" t="s">
        <v>382</v>
      </c>
      <c r="I425" s="213"/>
      <c r="J425" s="213" t="s">
        <v>535</v>
      </c>
      <c r="K425" s="213"/>
      <c r="L425" s="213"/>
      <c r="M425" s="213"/>
      <c r="N425" s="213"/>
      <c r="O425" s="213"/>
      <c r="P425" s="213"/>
      <c r="Q425" s="213"/>
      <c r="R425" s="213"/>
      <c r="S425" s="213"/>
      <c r="T425" s="213"/>
      <c r="U425" s="213" t="s">
        <v>559</v>
      </c>
      <c r="V425" s="213">
        <v>1</v>
      </c>
      <c r="W425" s="213" t="s">
        <v>560</v>
      </c>
      <c r="X425" s="213" t="s">
        <v>541</v>
      </c>
      <c r="Y425" s="213" t="s">
        <v>541</v>
      </c>
      <c r="Z425" s="212">
        <v>0</v>
      </c>
      <c r="AA425" s="212">
        <v>0</v>
      </c>
      <c r="AB425" s="217">
        <v>0.122694</v>
      </c>
      <c r="AC425" s="217">
        <v>0.19745699999999999</v>
      </c>
      <c r="AD425" s="212">
        <f t="shared" si="6"/>
        <v>0</v>
      </c>
    </row>
    <row r="426" spans="2:30" x14ac:dyDescent="0.15">
      <c r="B426" s="213">
        <v>17097009393</v>
      </c>
      <c r="C426" s="213">
        <v>17097004534</v>
      </c>
      <c r="D426" s="213">
        <v>17097007506</v>
      </c>
      <c r="E426" s="213" t="s">
        <v>533</v>
      </c>
      <c r="F426" s="213" t="s">
        <v>534</v>
      </c>
      <c r="G426" s="213" t="s">
        <v>373</v>
      </c>
      <c r="H426" s="213" t="s">
        <v>552</v>
      </c>
      <c r="I426" s="213"/>
      <c r="J426" s="213" t="s">
        <v>547</v>
      </c>
      <c r="K426" s="213" t="s">
        <v>563</v>
      </c>
      <c r="L426" s="213"/>
      <c r="M426" s="213"/>
      <c r="N426" s="213"/>
      <c r="O426" s="213"/>
      <c r="P426" s="213"/>
      <c r="Q426" s="213"/>
      <c r="R426" s="213"/>
      <c r="S426" s="213" t="s">
        <v>629</v>
      </c>
      <c r="T426" s="213"/>
      <c r="U426" s="213" t="s">
        <v>538</v>
      </c>
      <c r="V426" s="213">
        <v>1</v>
      </c>
      <c r="W426" s="213" t="s">
        <v>582</v>
      </c>
      <c r="X426" s="213" t="s">
        <v>540</v>
      </c>
      <c r="Y426" s="213" t="s">
        <v>554</v>
      </c>
      <c r="Z426" s="212">
        <v>27697</v>
      </c>
      <c r="AA426" s="212">
        <v>2584007</v>
      </c>
      <c r="AB426" s="217">
        <v>0.30332999999999999</v>
      </c>
      <c r="AC426" s="217">
        <v>0.48816300000000001</v>
      </c>
      <c r="AD426" s="212">
        <f t="shared" si="6"/>
        <v>783806.84331000003</v>
      </c>
    </row>
    <row r="427" spans="2:30" x14ac:dyDescent="0.15">
      <c r="B427" s="213">
        <v>17097009400</v>
      </c>
      <c r="C427" s="213">
        <v>17097004557</v>
      </c>
      <c r="D427" s="213">
        <v>17097007511</v>
      </c>
      <c r="E427" s="213" t="s">
        <v>533</v>
      </c>
      <c r="F427" s="213" t="s">
        <v>534</v>
      </c>
      <c r="G427" s="213" t="s">
        <v>373</v>
      </c>
      <c r="H427" s="213" t="s">
        <v>535</v>
      </c>
      <c r="I427" s="213"/>
      <c r="J427" s="213" t="s">
        <v>547</v>
      </c>
      <c r="K427" s="213"/>
      <c r="L427" s="213"/>
      <c r="M427" s="213"/>
      <c r="N427" s="213"/>
      <c r="O427" s="213"/>
      <c r="P427" s="213"/>
      <c r="Q427" s="213"/>
      <c r="R427" s="213"/>
      <c r="S427" s="213" t="s">
        <v>548</v>
      </c>
      <c r="T427" s="213"/>
      <c r="U427" s="213" t="s">
        <v>538</v>
      </c>
      <c r="V427" s="213">
        <v>1</v>
      </c>
      <c r="W427" s="213" t="s">
        <v>545</v>
      </c>
      <c r="X427" s="213" t="s">
        <v>549</v>
      </c>
      <c r="Y427" s="213" t="s">
        <v>546</v>
      </c>
      <c r="Z427" s="212">
        <v>642955</v>
      </c>
      <c r="AA427" s="212">
        <v>28505002</v>
      </c>
      <c r="AB427" s="217">
        <v>1.3640239999999999</v>
      </c>
      <c r="AC427" s="217">
        <v>2.1951890000000001</v>
      </c>
      <c r="AD427" s="212">
        <f t="shared" si="6"/>
        <v>38881506.848047994</v>
      </c>
    </row>
    <row r="428" spans="2:30" x14ac:dyDescent="0.15">
      <c r="B428" s="213">
        <v>17097009409</v>
      </c>
      <c r="C428" s="213">
        <v>17097007520</v>
      </c>
      <c r="D428" s="213">
        <v>17097004562</v>
      </c>
      <c r="E428" s="213" t="s">
        <v>533</v>
      </c>
      <c r="F428" s="213" t="s">
        <v>534</v>
      </c>
      <c r="G428" s="213" t="s">
        <v>373</v>
      </c>
      <c r="H428" s="213" t="s">
        <v>535</v>
      </c>
      <c r="I428" s="213"/>
      <c r="J428" s="213" t="s">
        <v>547</v>
      </c>
      <c r="K428" s="213"/>
      <c r="L428" s="213"/>
      <c r="M428" s="213"/>
      <c r="N428" s="213"/>
      <c r="O428" s="213"/>
      <c r="P428" s="213"/>
      <c r="Q428" s="213"/>
      <c r="R428" s="213"/>
      <c r="S428" s="213" t="s">
        <v>548</v>
      </c>
      <c r="T428" s="213"/>
      <c r="U428" s="213" t="s">
        <v>538</v>
      </c>
      <c r="V428" s="213">
        <v>3</v>
      </c>
      <c r="W428" s="213" t="s">
        <v>545</v>
      </c>
      <c r="X428" s="213" t="s">
        <v>549</v>
      </c>
      <c r="Y428" s="213" t="s">
        <v>546</v>
      </c>
      <c r="Z428" s="212">
        <v>662157</v>
      </c>
      <c r="AA428" s="212">
        <v>30342002</v>
      </c>
      <c r="AB428" s="217">
        <v>0.18542400000000001</v>
      </c>
      <c r="AC428" s="217">
        <v>0.29841200000000001</v>
      </c>
      <c r="AD428" s="212">
        <f t="shared" si="6"/>
        <v>5626135.3788480004</v>
      </c>
    </row>
    <row r="429" spans="2:30" x14ac:dyDescent="0.15">
      <c r="B429" s="213">
        <v>17097009411</v>
      </c>
      <c r="C429" s="213">
        <v>17097004540</v>
      </c>
      <c r="D429" s="213">
        <v>17097007522</v>
      </c>
      <c r="E429" s="213" t="s">
        <v>533</v>
      </c>
      <c r="F429" s="213" t="s">
        <v>534</v>
      </c>
      <c r="G429" s="213" t="s">
        <v>373</v>
      </c>
      <c r="H429" s="213" t="s">
        <v>552</v>
      </c>
      <c r="I429" s="213"/>
      <c r="J429" s="213" t="s">
        <v>542</v>
      </c>
      <c r="K429" s="213"/>
      <c r="L429" s="213"/>
      <c r="M429" s="213"/>
      <c r="N429" s="213"/>
      <c r="O429" s="213"/>
      <c r="P429" s="213"/>
      <c r="Q429" s="213"/>
      <c r="R429" s="213"/>
      <c r="S429" s="213" t="s">
        <v>564</v>
      </c>
      <c r="T429" s="213"/>
      <c r="U429" s="213" t="s">
        <v>538</v>
      </c>
      <c r="V429" s="213">
        <v>2</v>
      </c>
      <c r="W429" s="213" t="s">
        <v>545</v>
      </c>
      <c r="X429" s="213" t="s">
        <v>549</v>
      </c>
      <c r="Y429" s="213" t="s">
        <v>549</v>
      </c>
      <c r="Z429" s="212">
        <v>472628</v>
      </c>
      <c r="AA429" s="212">
        <v>31631277</v>
      </c>
      <c r="AB429" s="217">
        <v>1.454879</v>
      </c>
      <c r="AC429" s="217">
        <v>2.341405</v>
      </c>
      <c r="AD429" s="212">
        <f t="shared" si="6"/>
        <v>46019680.650483005</v>
      </c>
    </row>
    <row r="430" spans="2:30" x14ac:dyDescent="0.15">
      <c r="B430" s="213">
        <v>17097009434</v>
      </c>
      <c r="C430" s="213">
        <v>17097007541</v>
      </c>
      <c r="D430" s="213">
        <v>17097004545</v>
      </c>
      <c r="E430" s="213" t="s">
        <v>533</v>
      </c>
      <c r="F430" s="213" t="s">
        <v>534</v>
      </c>
      <c r="G430" s="213" t="s">
        <v>373</v>
      </c>
      <c r="H430" s="213" t="s">
        <v>382</v>
      </c>
      <c r="I430" s="213"/>
      <c r="J430" s="213"/>
      <c r="K430" s="213"/>
      <c r="L430" s="213"/>
      <c r="M430" s="213"/>
      <c r="N430" s="213"/>
      <c r="O430" s="213"/>
      <c r="P430" s="213"/>
      <c r="Q430" s="213"/>
      <c r="R430" s="213"/>
      <c r="S430" s="213" t="s">
        <v>586</v>
      </c>
      <c r="T430" s="213"/>
      <c r="U430" s="213" t="s">
        <v>538</v>
      </c>
      <c r="V430" s="213">
        <v>2</v>
      </c>
      <c r="W430" s="213" t="s">
        <v>582</v>
      </c>
      <c r="X430" s="213" t="s">
        <v>549</v>
      </c>
      <c r="Y430" s="213" t="s">
        <v>549</v>
      </c>
      <c r="Z430" s="212">
        <v>135546</v>
      </c>
      <c r="AA430" s="212">
        <v>15509320</v>
      </c>
      <c r="AB430" s="217">
        <v>0.42982399999999998</v>
      </c>
      <c r="AC430" s="217">
        <v>0.69173600000000002</v>
      </c>
      <c r="AD430" s="212">
        <f t="shared" si="6"/>
        <v>6666277.9596799994</v>
      </c>
    </row>
    <row r="431" spans="2:30" x14ac:dyDescent="0.15">
      <c r="B431" s="213">
        <v>17111001978</v>
      </c>
      <c r="C431" s="213">
        <v>17111000112</v>
      </c>
      <c r="D431" s="213">
        <v>17111000081</v>
      </c>
      <c r="E431" s="213" t="s">
        <v>533</v>
      </c>
      <c r="F431" s="213" t="s">
        <v>534</v>
      </c>
      <c r="G431" s="213" t="s">
        <v>375</v>
      </c>
      <c r="H431" s="213" t="s">
        <v>382</v>
      </c>
      <c r="I431" s="213"/>
      <c r="J431" s="213" t="s">
        <v>547</v>
      </c>
      <c r="K431" s="213"/>
      <c r="L431" s="213"/>
      <c r="M431" s="213"/>
      <c r="N431" s="213"/>
      <c r="O431" s="213"/>
      <c r="P431" s="213"/>
      <c r="Q431" s="213"/>
      <c r="R431" s="213"/>
      <c r="S431" s="213" t="s">
        <v>376</v>
      </c>
      <c r="T431" s="213"/>
      <c r="U431" s="213" t="s">
        <v>538</v>
      </c>
      <c r="V431" s="213">
        <v>1</v>
      </c>
      <c r="W431" s="213" t="s">
        <v>562</v>
      </c>
      <c r="X431" s="213" t="s">
        <v>540</v>
      </c>
      <c r="Y431" s="213" t="s">
        <v>541</v>
      </c>
      <c r="Z431" s="212">
        <v>0</v>
      </c>
      <c r="AA431" s="212">
        <v>0</v>
      </c>
      <c r="AB431" s="217">
        <v>2.5746950000000002</v>
      </c>
      <c r="AC431" s="217">
        <v>4.1435779999999998</v>
      </c>
      <c r="AD431" s="212">
        <f t="shared" si="6"/>
        <v>0</v>
      </c>
    </row>
    <row r="432" spans="2:30" x14ac:dyDescent="0.15">
      <c r="B432" s="213">
        <v>17111001980</v>
      </c>
      <c r="C432" s="213">
        <v>17111000058</v>
      </c>
      <c r="D432" s="213">
        <v>17111000050</v>
      </c>
      <c r="E432" s="213" t="s">
        <v>533</v>
      </c>
      <c r="F432" s="213" t="s">
        <v>534</v>
      </c>
      <c r="G432" s="213" t="s">
        <v>375</v>
      </c>
      <c r="H432" s="213" t="s">
        <v>382</v>
      </c>
      <c r="I432" s="213"/>
      <c r="J432" s="213"/>
      <c r="K432" s="213"/>
      <c r="L432" s="213"/>
      <c r="M432" s="213"/>
      <c r="N432" s="213"/>
      <c r="O432" s="213"/>
      <c r="P432" s="213"/>
      <c r="Q432" s="213"/>
      <c r="R432" s="213"/>
      <c r="S432" s="213" t="s">
        <v>376</v>
      </c>
      <c r="T432" s="213"/>
      <c r="U432" s="213" t="s">
        <v>538</v>
      </c>
      <c r="V432" s="213">
        <v>1</v>
      </c>
      <c r="W432" s="213" t="s">
        <v>539</v>
      </c>
      <c r="X432" s="213" t="s">
        <v>541</v>
      </c>
      <c r="Y432" s="213" t="s">
        <v>541</v>
      </c>
      <c r="Z432" s="212">
        <v>0</v>
      </c>
      <c r="AA432" s="212">
        <v>0</v>
      </c>
      <c r="AB432" s="217">
        <v>3.4319920000000002</v>
      </c>
      <c r="AC432" s="217">
        <v>5.5232669999999997</v>
      </c>
      <c r="AD432" s="212">
        <f t="shared" si="6"/>
        <v>0</v>
      </c>
    </row>
    <row r="433" spans="2:30" x14ac:dyDescent="0.15">
      <c r="B433" s="213">
        <v>17111002163</v>
      </c>
      <c r="C433" s="213">
        <v>17111000120</v>
      </c>
      <c r="D433" s="213">
        <v>17111000114</v>
      </c>
      <c r="E433" s="213" t="s">
        <v>533</v>
      </c>
      <c r="F433" s="213" t="s">
        <v>534</v>
      </c>
      <c r="G433" s="213" t="s">
        <v>375</v>
      </c>
      <c r="H433" s="213" t="s">
        <v>382</v>
      </c>
      <c r="I433" s="213"/>
      <c r="J433" s="213" t="s">
        <v>547</v>
      </c>
      <c r="K433" s="213"/>
      <c r="L433" s="213"/>
      <c r="M433" s="213"/>
      <c r="N433" s="213"/>
      <c r="O433" s="213"/>
      <c r="P433" s="213"/>
      <c r="Q433" s="213"/>
      <c r="R433" s="213"/>
      <c r="S433" s="213" t="s">
        <v>608</v>
      </c>
      <c r="T433" s="213"/>
      <c r="U433" s="213" t="s">
        <v>538</v>
      </c>
      <c r="V433" s="213">
        <v>2</v>
      </c>
      <c r="W433" s="213" t="s">
        <v>566</v>
      </c>
      <c r="X433" s="213" t="s">
        <v>549</v>
      </c>
      <c r="Y433" s="213" t="s">
        <v>549</v>
      </c>
      <c r="Z433" s="212">
        <v>12093</v>
      </c>
      <c r="AA433" s="212">
        <v>1128047</v>
      </c>
      <c r="AB433" s="217">
        <v>0.38755600000000001</v>
      </c>
      <c r="AC433" s="217">
        <v>0.62371200000000004</v>
      </c>
      <c r="AD433" s="212">
        <f t="shared" si="6"/>
        <v>437181.38313199999</v>
      </c>
    </row>
    <row r="434" spans="2:30" x14ac:dyDescent="0.15">
      <c r="B434" s="213">
        <v>17111002545</v>
      </c>
      <c r="C434" s="213">
        <v>17111004829</v>
      </c>
      <c r="D434" s="213">
        <v>17111000032</v>
      </c>
      <c r="E434" s="213" t="s">
        <v>533</v>
      </c>
      <c r="F434" s="213" t="s">
        <v>534</v>
      </c>
      <c r="G434" s="213" t="s">
        <v>375</v>
      </c>
      <c r="H434" s="213" t="s">
        <v>563</v>
      </c>
      <c r="I434" s="213"/>
      <c r="J434" s="213"/>
      <c r="K434" s="213"/>
      <c r="L434" s="213"/>
      <c r="M434" s="213"/>
      <c r="N434" s="213"/>
      <c r="O434" s="213"/>
      <c r="P434" s="213"/>
      <c r="Q434" s="213"/>
      <c r="R434" s="213"/>
      <c r="S434" s="213" t="s">
        <v>629</v>
      </c>
      <c r="T434" s="213"/>
      <c r="U434" s="213" t="s">
        <v>538</v>
      </c>
      <c r="V434" s="213">
        <v>1</v>
      </c>
      <c r="W434" s="213" t="s">
        <v>562</v>
      </c>
      <c r="X434" s="213" t="s">
        <v>554</v>
      </c>
      <c r="Y434" s="213" t="s">
        <v>554</v>
      </c>
      <c r="Z434" s="212">
        <v>27537</v>
      </c>
      <c r="AA434" s="212">
        <v>2569247</v>
      </c>
      <c r="AB434" s="217">
        <v>1.6306719999999999</v>
      </c>
      <c r="AC434" s="217">
        <v>2.624317</v>
      </c>
      <c r="AD434" s="212">
        <f t="shared" si="6"/>
        <v>4189599.1439839997</v>
      </c>
    </row>
    <row r="435" spans="2:30" x14ac:dyDescent="0.15">
      <c r="B435" s="213">
        <v>17111002547</v>
      </c>
      <c r="C435" s="213">
        <v>17111000081</v>
      </c>
      <c r="D435" s="213">
        <v>17111000058</v>
      </c>
      <c r="E435" s="213" t="s">
        <v>533</v>
      </c>
      <c r="F435" s="213" t="s">
        <v>534</v>
      </c>
      <c r="G435" s="213" t="s">
        <v>375</v>
      </c>
      <c r="H435" s="213" t="s">
        <v>382</v>
      </c>
      <c r="I435" s="213"/>
      <c r="J435" s="213" t="s">
        <v>547</v>
      </c>
      <c r="K435" s="213"/>
      <c r="L435" s="213"/>
      <c r="M435" s="213"/>
      <c r="N435" s="213"/>
      <c r="O435" s="213"/>
      <c r="P435" s="213"/>
      <c r="Q435" s="213"/>
      <c r="R435" s="213"/>
      <c r="S435" s="213" t="s">
        <v>376</v>
      </c>
      <c r="T435" s="213"/>
      <c r="U435" s="213" t="s">
        <v>538</v>
      </c>
      <c r="V435" s="213">
        <v>1</v>
      </c>
      <c r="W435" s="213" t="s">
        <v>562</v>
      </c>
      <c r="X435" s="213" t="s">
        <v>540</v>
      </c>
      <c r="Y435" s="213" t="s">
        <v>541</v>
      </c>
      <c r="Z435" s="212">
        <v>0</v>
      </c>
      <c r="AA435" s="212">
        <v>0</v>
      </c>
      <c r="AB435" s="217">
        <v>4.6153230000000001</v>
      </c>
      <c r="AC435" s="217">
        <v>7.4276580000000001</v>
      </c>
      <c r="AD435" s="212">
        <f t="shared" si="6"/>
        <v>0</v>
      </c>
    </row>
    <row r="436" spans="2:30" x14ac:dyDescent="0.15">
      <c r="B436" s="213">
        <v>17111002554</v>
      </c>
      <c r="C436" s="213">
        <v>17111000114</v>
      </c>
      <c r="D436" s="213">
        <v>17111000115</v>
      </c>
      <c r="E436" s="213" t="s">
        <v>533</v>
      </c>
      <c r="F436" s="213" t="s">
        <v>534</v>
      </c>
      <c r="G436" s="213" t="s">
        <v>375</v>
      </c>
      <c r="H436" s="213" t="s">
        <v>382</v>
      </c>
      <c r="I436" s="213"/>
      <c r="J436" s="213" t="s">
        <v>547</v>
      </c>
      <c r="K436" s="213"/>
      <c r="L436" s="213"/>
      <c r="M436" s="213"/>
      <c r="N436" s="213"/>
      <c r="O436" s="213"/>
      <c r="P436" s="213"/>
      <c r="Q436" s="213"/>
      <c r="R436" s="213"/>
      <c r="S436" s="213" t="s">
        <v>608</v>
      </c>
      <c r="T436" s="213"/>
      <c r="U436" s="213" t="s">
        <v>538</v>
      </c>
      <c r="V436" s="213">
        <v>2</v>
      </c>
      <c r="W436" s="213" t="s">
        <v>566</v>
      </c>
      <c r="X436" s="213" t="s">
        <v>549</v>
      </c>
      <c r="Y436" s="213" t="s">
        <v>549</v>
      </c>
      <c r="Z436" s="212">
        <v>11933</v>
      </c>
      <c r="AA436" s="212">
        <v>1113447</v>
      </c>
      <c r="AB436" s="217">
        <v>7.0084999999999995E-2</v>
      </c>
      <c r="AC436" s="217">
        <v>0.112791</v>
      </c>
      <c r="AD436" s="212">
        <f t="shared" si="6"/>
        <v>78035.932994999996</v>
      </c>
    </row>
    <row r="437" spans="2:30" x14ac:dyDescent="0.15">
      <c r="B437" s="213">
        <v>17111002567</v>
      </c>
      <c r="C437" s="213">
        <v>17111004833</v>
      </c>
      <c r="D437" s="213">
        <v>17111000187</v>
      </c>
      <c r="E437" s="213" t="s">
        <v>533</v>
      </c>
      <c r="F437" s="213" t="s">
        <v>534</v>
      </c>
      <c r="G437" s="213" t="s">
        <v>375</v>
      </c>
      <c r="H437" s="213" t="s">
        <v>382</v>
      </c>
      <c r="I437" s="213"/>
      <c r="J437" s="213" t="s">
        <v>547</v>
      </c>
      <c r="K437" s="213"/>
      <c r="L437" s="213"/>
      <c r="M437" s="213"/>
      <c r="N437" s="213"/>
      <c r="O437" s="213"/>
      <c r="P437" s="213"/>
      <c r="Q437" s="213"/>
      <c r="R437" s="213"/>
      <c r="S437" s="213" t="s">
        <v>608</v>
      </c>
      <c r="T437" s="213"/>
      <c r="U437" s="213" t="s">
        <v>538</v>
      </c>
      <c r="V437" s="213">
        <v>2</v>
      </c>
      <c r="W437" s="213" t="s">
        <v>566</v>
      </c>
      <c r="X437" s="213" t="s">
        <v>549</v>
      </c>
      <c r="Y437" s="213" t="s">
        <v>549</v>
      </c>
      <c r="Z437" s="212">
        <v>12093</v>
      </c>
      <c r="AA437" s="212">
        <v>1128047</v>
      </c>
      <c r="AB437" s="217">
        <v>1.357677</v>
      </c>
      <c r="AC437" s="217">
        <v>2.1849729999999998</v>
      </c>
      <c r="AD437" s="212">
        <f t="shared" si="6"/>
        <v>1531523.466819</v>
      </c>
    </row>
    <row r="438" spans="2:30" x14ac:dyDescent="0.15">
      <c r="B438" s="213">
        <v>17111002568</v>
      </c>
      <c r="C438" s="213">
        <v>17111004840</v>
      </c>
      <c r="D438" s="213">
        <v>17111000236</v>
      </c>
      <c r="E438" s="213" t="s">
        <v>533</v>
      </c>
      <c r="F438" s="213" t="s">
        <v>534</v>
      </c>
      <c r="G438" s="213" t="s">
        <v>375</v>
      </c>
      <c r="H438" s="213" t="s">
        <v>382</v>
      </c>
      <c r="I438" s="213"/>
      <c r="J438" s="213"/>
      <c r="K438" s="213"/>
      <c r="L438" s="213"/>
      <c r="M438" s="213"/>
      <c r="N438" s="213"/>
      <c r="O438" s="213"/>
      <c r="P438" s="213"/>
      <c r="Q438" s="213"/>
      <c r="R438" s="213"/>
      <c r="S438" s="213" t="s">
        <v>561</v>
      </c>
      <c r="T438" s="213"/>
      <c r="U438" s="213" t="s">
        <v>538</v>
      </c>
      <c r="V438" s="213">
        <v>1</v>
      </c>
      <c r="W438" s="213" t="s">
        <v>562</v>
      </c>
      <c r="X438" s="213" t="s">
        <v>540</v>
      </c>
      <c r="Y438" s="213" t="s">
        <v>541</v>
      </c>
      <c r="Z438" s="212">
        <v>26584</v>
      </c>
      <c r="AA438" s="212">
        <v>636580</v>
      </c>
      <c r="AB438" s="217">
        <v>0.96944600000000003</v>
      </c>
      <c r="AC438" s="217">
        <v>1.560176</v>
      </c>
      <c r="AD438" s="212">
        <f t="shared" si="6"/>
        <v>617129.93468000006</v>
      </c>
    </row>
    <row r="439" spans="2:30" x14ac:dyDescent="0.15">
      <c r="B439" s="213">
        <v>17111002576</v>
      </c>
      <c r="C439" s="213">
        <v>17111000187</v>
      </c>
      <c r="D439" s="213">
        <v>17111004835</v>
      </c>
      <c r="E439" s="213" t="s">
        <v>533</v>
      </c>
      <c r="F439" s="213" t="s">
        <v>534</v>
      </c>
      <c r="G439" s="213" t="s">
        <v>375</v>
      </c>
      <c r="H439" s="213" t="s">
        <v>382</v>
      </c>
      <c r="I439" s="213"/>
      <c r="J439" s="213" t="s">
        <v>547</v>
      </c>
      <c r="K439" s="213"/>
      <c r="L439" s="213"/>
      <c r="M439" s="213"/>
      <c r="N439" s="213"/>
      <c r="O439" s="213"/>
      <c r="P439" s="213"/>
      <c r="Q439" s="213"/>
      <c r="R439" s="213"/>
      <c r="S439" s="213" t="s">
        <v>608</v>
      </c>
      <c r="T439" s="213"/>
      <c r="U439" s="213" t="s">
        <v>538</v>
      </c>
      <c r="V439" s="213">
        <v>2</v>
      </c>
      <c r="W439" s="213" t="s">
        <v>566</v>
      </c>
      <c r="X439" s="213" t="s">
        <v>549</v>
      </c>
      <c r="Y439" s="213" t="s">
        <v>549</v>
      </c>
      <c r="Z439" s="212">
        <v>12093</v>
      </c>
      <c r="AA439" s="212">
        <v>1128047</v>
      </c>
      <c r="AB439" s="217">
        <v>3.3840409999999999</v>
      </c>
      <c r="AC439" s="217">
        <v>5.446097</v>
      </c>
      <c r="AD439" s="212">
        <f t="shared" si="6"/>
        <v>3817357.2979269996</v>
      </c>
    </row>
    <row r="440" spans="2:30" x14ac:dyDescent="0.15">
      <c r="B440" s="213">
        <v>17111002619</v>
      </c>
      <c r="C440" s="213">
        <v>17111000138</v>
      </c>
      <c r="D440" s="213">
        <v>17111000120</v>
      </c>
      <c r="E440" s="213" t="s">
        <v>533</v>
      </c>
      <c r="F440" s="213" t="s">
        <v>534</v>
      </c>
      <c r="G440" s="213" t="s">
        <v>375</v>
      </c>
      <c r="H440" s="213" t="s">
        <v>382</v>
      </c>
      <c r="I440" s="213"/>
      <c r="J440" s="213" t="s">
        <v>547</v>
      </c>
      <c r="K440" s="213"/>
      <c r="L440" s="213"/>
      <c r="M440" s="213"/>
      <c r="N440" s="213"/>
      <c r="O440" s="213"/>
      <c r="P440" s="213"/>
      <c r="Q440" s="213"/>
      <c r="R440" s="213"/>
      <c r="S440" s="213" t="s">
        <v>608</v>
      </c>
      <c r="T440" s="213"/>
      <c r="U440" s="213" t="s">
        <v>538</v>
      </c>
      <c r="V440" s="213">
        <v>2</v>
      </c>
      <c r="W440" s="213" t="s">
        <v>566</v>
      </c>
      <c r="X440" s="213" t="s">
        <v>549</v>
      </c>
      <c r="Y440" s="213" t="s">
        <v>549</v>
      </c>
      <c r="Z440" s="212">
        <v>12093</v>
      </c>
      <c r="AA440" s="212">
        <v>1128047</v>
      </c>
      <c r="AB440" s="217">
        <v>0.58086099999999996</v>
      </c>
      <c r="AC440" s="217">
        <v>0.93480700000000005</v>
      </c>
      <c r="AD440" s="212">
        <f t="shared" si="6"/>
        <v>655238.50846699998</v>
      </c>
    </row>
    <row r="441" spans="2:30" x14ac:dyDescent="0.15">
      <c r="B441" s="213">
        <v>17111005952</v>
      </c>
      <c r="C441" s="213">
        <v>17111004831</v>
      </c>
      <c r="D441" s="213">
        <v>17111000138</v>
      </c>
      <c r="E441" s="213" t="s">
        <v>533</v>
      </c>
      <c r="F441" s="213" t="s">
        <v>534</v>
      </c>
      <c r="G441" s="213" t="s">
        <v>375</v>
      </c>
      <c r="H441" s="213" t="s">
        <v>382</v>
      </c>
      <c r="I441" s="213"/>
      <c r="J441" s="213"/>
      <c r="K441" s="213"/>
      <c r="L441" s="213"/>
      <c r="M441" s="213"/>
      <c r="N441" s="213"/>
      <c r="O441" s="213"/>
      <c r="P441" s="213"/>
      <c r="Q441" s="213"/>
      <c r="R441" s="213"/>
      <c r="S441" s="213" t="s">
        <v>620</v>
      </c>
      <c r="T441" s="213"/>
      <c r="U441" s="213" t="s">
        <v>559</v>
      </c>
      <c r="V441" s="213">
        <v>1</v>
      </c>
      <c r="W441" s="213" t="s">
        <v>560</v>
      </c>
      <c r="X441" s="213" t="s">
        <v>541</v>
      </c>
      <c r="Y441" s="213" t="s">
        <v>541</v>
      </c>
      <c r="Z441" s="212">
        <v>0</v>
      </c>
      <c r="AA441" s="212">
        <v>0</v>
      </c>
      <c r="AB441" s="217">
        <v>0.68539700000000003</v>
      </c>
      <c r="AC441" s="217">
        <v>1.1030420000000001</v>
      </c>
      <c r="AD441" s="212">
        <f t="shared" si="6"/>
        <v>0</v>
      </c>
    </row>
    <row r="442" spans="2:30" x14ac:dyDescent="0.15">
      <c r="B442" s="213">
        <v>17197002052</v>
      </c>
      <c r="C442" s="213">
        <v>17197001700</v>
      </c>
      <c r="D442" s="213">
        <v>17197001626</v>
      </c>
      <c r="E442" s="213" t="s">
        <v>533</v>
      </c>
      <c r="F442" s="213" t="s">
        <v>534</v>
      </c>
      <c r="G442" s="213" t="s">
        <v>377</v>
      </c>
      <c r="H442" s="213" t="s">
        <v>535</v>
      </c>
      <c r="I442" s="213"/>
      <c r="J442" s="213" t="s">
        <v>542</v>
      </c>
      <c r="K442" s="213" t="s">
        <v>543</v>
      </c>
      <c r="L442" s="213"/>
      <c r="M442" s="213"/>
      <c r="N442" s="213"/>
      <c r="O442" s="213"/>
      <c r="P442" s="213"/>
      <c r="Q442" s="213"/>
      <c r="R442" s="213"/>
      <c r="S442" s="213" t="s">
        <v>544</v>
      </c>
      <c r="T442" s="213"/>
      <c r="U442" s="213" t="s">
        <v>538</v>
      </c>
      <c r="V442" s="213">
        <v>1</v>
      </c>
      <c r="W442" s="213" t="s">
        <v>545</v>
      </c>
      <c r="X442" s="213" t="s">
        <v>549</v>
      </c>
      <c r="Y442" s="213" t="s">
        <v>546</v>
      </c>
      <c r="Z442" s="212">
        <v>402638</v>
      </c>
      <c r="AA442" s="212">
        <v>21806039</v>
      </c>
      <c r="AB442" s="217">
        <v>6.7242449999999998</v>
      </c>
      <c r="AC442" s="217">
        <v>10.821645</v>
      </c>
      <c r="AD442" s="212">
        <f t="shared" si="6"/>
        <v>146629148.71555498</v>
      </c>
    </row>
    <row r="443" spans="2:30" x14ac:dyDescent="0.15">
      <c r="B443" s="213">
        <v>17197002053</v>
      </c>
      <c r="C443" s="213">
        <v>17999025841</v>
      </c>
      <c r="D443" s="213">
        <v>17197001700</v>
      </c>
      <c r="E443" s="213" t="s">
        <v>533</v>
      </c>
      <c r="F443" s="213" t="s">
        <v>534</v>
      </c>
      <c r="G443" s="213" t="s">
        <v>377</v>
      </c>
      <c r="H443" s="213" t="s">
        <v>535</v>
      </c>
      <c r="I443" s="213"/>
      <c r="J443" s="213" t="s">
        <v>542</v>
      </c>
      <c r="K443" s="213" t="s">
        <v>543</v>
      </c>
      <c r="L443" s="213"/>
      <c r="M443" s="213"/>
      <c r="N443" s="213"/>
      <c r="O443" s="213"/>
      <c r="P443" s="213"/>
      <c r="Q443" s="213"/>
      <c r="R443" s="213"/>
      <c r="S443" s="213" t="s">
        <v>544</v>
      </c>
      <c r="T443" s="213"/>
      <c r="U443" s="213" t="s">
        <v>538</v>
      </c>
      <c r="V443" s="213">
        <v>1</v>
      </c>
      <c r="W443" s="213" t="s">
        <v>545</v>
      </c>
      <c r="X443" s="213" t="s">
        <v>549</v>
      </c>
      <c r="Y443" s="213" t="s">
        <v>546</v>
      </c>
      <c r="Z443" s="212">
        <v>402638</v>
      </c>
      <c r="AA443" s="212">
        <v>21806039</v>
      </c>
      <c r="AB443" s="217">
        <v>3.4634149999999999</v>
      </c>
      <c r="AC443" s="217">
        <v>5.5738370000000002</v>
      </c>
      <c r="AD443" s="212">
        <f t="shared" si="6"/>
        <v>75523362.563184991</v>
      </c>
    </row>
    <row r="444" spans="2:30" x14ac:dyDescent="0.15">
      <c r="B444" s="213">
        <v>17197002054</v>
      </c>
      <c r="C444" s="213">
        <v>17999025721</v>
      </c>
      <c r="D444" s="213">
        <v>17197001702</v>
      </c>
      <c r="E444" s="213" t="s">
        <v>533</v>
      </c>
      <c r="F444" s="213" t="s">
        <v>534</v>
      </c>
      <c r="G444" s="213" t="s">
        <v>377</v>
      </c>
      <c r="H444" s="213" t="s">
        <v>381</v>
      </c>
      <c r="I444" s="213"/>
      <c r="J444" s="213" t="s">
        <v>382</v>
      </c>
      <c r="K444" s="213"/>
      <c r="L444" s="213"/>
      <c r="M444" s="213"/>
      <c r="N444" s="213"/>
      <c r="O444" s="213"/>
      <c r="P444" s="213"/>
      <c r="Q444" s="213"/>
      <c r="R444" s="213"/>
      <c r="S444" s="213" t="s">
        <v>647</v>
      </c>
      <c r="T444" s="213"/>
      <c r="U444" s="213" t="s">
        <v>538</v>
      </c>
      <c r="V444" s="213">
        <v>1</v>
      </c>
      <c r="W444" s="213" t="s">
        <v>582</v>
      </c>
      <c r="X444" s="213" t="s">
        <v>549</v>
      </c>
      <c r="Y444" s="213" t="s">
        <v>580</v>
      </c>
      <c r="Z444" s="212">
        <v>982386</v>
      </c>
      <c r="AA444" s="212">
        <v>28962620</v>
      </c>
      <c r="AB444" s="217">
        <v>2.1939679999999999</v>
      </c>
      <c r="AC444" s="217">
        <v>3.530856</v>
      </c>
      <c r="AD444" s="212">
        <f t="shared" si="6"/>
        <v>63543061.476159997</v>
      </c>
    </row>
    <row r="445" spans="2:30" x14ac:dyDescent="0.15">
      <c r="B445" s="213">
        <v>17197002068</v>
      </c>
      <c r="C445" s="213">
        <v>17197001638</v>
      </c>
      <c r="D445" s="213">
        <v>17197001606</v>
      </c>
      <c r="E445" s="213" t="s">
        <v>533</v>
      </c>
      <c r="F445" s="213" t="s">
        <v>534</v>
      </c>
      <c r="G445" s="213" t="s">
        <v>377</v>
      </c>
      <c r="H445" s="213" t="s">
        <v>382</v>
      </c>
      <c r="I445" s="213"/>
      <c r="J445" s="213" t="s">
        <v>551</v>
      </c>
      <c r="K445" s="213" t="s">
        <v>555</v>
      </c>
      <c r="L445" s="213"/>
      <c r="M445" s="213"/>
      <c r="N445" s="213"/>
      <c r="O445" s="213"/>
      <c r="P445" s="213"/>
      <c r="Q445" s="213"/>
      <c r="R445" s="213"/>
      <c r="S445" s="213" t="s">
        <v>556</v>
      </c>
      <c r="T445" s="213"/>
      <c r="U445" s="213" t="s">
        <v>538</v>
      </c>
      <c r="V445" s="213">
        <v>2</v>
      </c>
      <c r="W445" s="213" t="s">
        <v>545</v>
      </c>
      <c r="X445" s="213" t="s">
        <v>540</v>
      </c>
      <c r="Y445" s="213" t="s">
        <v>580</v>
      </c>
      <c r="Z445" s="212">
        <v>846321</v>
      </c>
      <c r="AA445" s="212">
        <v>33452495</v>
      </c>
      <c r="AB445" s="217">
        <v>3.7811849999999998</v>
      </c>
      <c r="AC445" s="217">
        <v>6.0852399999999998</v>
      </c>
      <c r="AD445" s="212">
        <f t="shared" si="6"/>
        <v>126490072.306575</v>
      </c>
    </row>
    <row r="446" spans="2:30" x14ac:dyDescent="0.15">
      <c r="B446" s="213">
        <v>17197002264</v>
      </c>
      <c r="C446" s="213">
        <v>17197001399</v>
      </c>
      <c r="D446" s="213">
        <v>17197007173</v>
      </c>
      <c r="E446" s="213" t="s">
        <v>533</v>
      </c>
      <c r="F446" s="213" t="s">
        <v>534</v>
      </c>
      <c r="G446" s="213" t="s">
        <v>377</v>
      </c>
      <c r="H446" s="213" t="s">
        <v>381</v>
      </c>
      <c r="I446" s="213"/>
      <c r="J446" s="213" t="s">
        <v>382</v>
      </c>
      <c r="K446" s="213"/>
      <c r="L446" s="213"/>
      <c r="M446" s="213"/>
      <c r="N446" s="213"/>
      <c r="O446" s="213"/>
      <c r="P446" s="213"/>
      <c r="Q446" s="213"/>
      <c r="R446" s="213"/>
      <c r="S446" s="213" t="s">
        <v>647</v>
      </c>
      <c r="T446" s="213"/>
      <c r="U446" s="213" t="s">
        <v>538</v>
      </c>
      <c r="V446" s="213">
        <v>2</v>
      </c>
      <c r="W446" s="213" t="s">
        <v>545</v>
      </c>
      <c r="X446" s="213" t="s">
        <v>549</v>
      </c>
      <c r="Y446" s="213" t="s">
        <v>580</v>
      </c>
      <c r="Z446" s="212">
        <v>522946</v>
      </c>
      <c r="AA446" s="212">
        <v>20497490</v>
      </c>
      <c r="AB446" s="217">
        <v>1.5285899999999999</v>
      </c>
      <c r="AC446" s="217">
        <v>2.4600309999999999</v>
      </c>
      <c r="AD446" s="212">
        <f t="shared" si="6"/>
        <v>31332258.239099998</v>
      </c>
    </row>
    <row r="447" spans="2:30" x14ac:dyDescent="0.15">
      <c r="B447" s="213">
        <v>17197002266</v>
      </c>
      <c r="C447" s="213">
        <v>17197001463</v>
      </c>
      <c r="D447" s="213">
        <v>17197001440</v>
      </c>
      <c r="E447" s="213" t="s">
        <v>533</v>
      </c>
      <c r="F447" s="213" t="s">
        <v>534</v>
      </c>
      <c r="G447" s="213" t="s">
        <v>377</v>
      </c>
      <c r="H447" s="213" t="s">
        <v>381</v>
      </c>
      <c r="I447" s="213"/>
      <c r="J447" s="213" t="s">
        <v>382</v>
      </c>
      <c r="K447" s="213"/>
      <c r="L447" s="213"/>
      <c r="M447" s="213"/>
      <c r="N447" s="213"/>
      <c r="O447" s="213"/>
      <c r="P447" s="213"/>
      <c r="Q447" s="213"/>
      <c r="R447" s="213"/>
      <c r="S447" s="213" t="s">
        <v>647</v>
      </c>
      <c r="T447" s="213"/>
      <c r="U447" s="213" t="s">
        <v>538</v>
      </c>
      <c r="V447" s="213">
        <v>2</v>
      </c>
      <c r="W447" s="213" t="s">
        <v>545</v>
      </c>
      <c r="X447" s="213" t="s">
        <v>549</v>
      </c>
      <c r="Y447" s="213" t="s">
        <v>580</v>
      </c>
      <c r="Z447" s="212">
        <v>522866</v>
      </c>
      <c r="AA447" s="212">
        <v>20489290</v>
      </c>
      <c r="AB447" s="217">
        <v>2.8776079999999999</v>
      </c>
      <c r="AC447" s="217">
        <v>4.6310700000000002</v>
      </c>
      <c r="AD447" s="212">
        <f t="shared" si="6"/>
        <v>58960144.818319999</v>
      </c>
    </row>
    <row r="448" spans="2:30" x14ac:dyDescent="0.15">
      <c r="B448" s="213">
        <v>17197002269</v>
      </c>
      <c r="C448" s="213">
        <v>17197006595</v>
      </c>
      <c r="D448" s="213">
        <v>17197004806</v>
      </c>
      <c r="E448" s="213" t="s">
        <v>533</v>
      </c>
      <c r="F448" s="213" t="s">
        <v>534</v>
      </c>
      <c r="G448" s="213" t="s">
        <v>377</v>
      </c>
      <c r="H448" s="213" t="s">
        <v>381</v>
      </c>
      <c r="I448" s="213"/>
      <c r="J448" s="213" t="s">
        <v>382</v>
      </c>
      <c r="K448" s="213"/>
      <c r="L448" s="213"/>
      <c r="M448" s="213"/>
      <c r="N448" s="213"/>
      <c r="O448" s="213"/>
      <c r="P448" s="213"/>
      <c r="Q448" s="213"/>
      <c r="R448" s="213"/>
      <c r="S448" s="213" t="s">
        <v>647</v>
      </c>
      <c r="T448" s="213" t="s">
        <v>705</v>
      </c>
      <c r="U448" s="213" t="s">
        <v>538</v>
      </c>
      <c r="V448" s="213">
        <v>2</v>
      </c>
      <c r="W448" s="213" t="s">
        <v>545</v>
      </c>
      <c r="X448" s="213" t="s">
        <v>540</v>
      </c>
      <c r="Y448" s="213" t="s">
        <v>580</v>
      </c>
      <c r="Z448" s="212">
        <v>522946</v>
      </c>
      <c r="AA448" s="212">
        <v>20496410</v>
      </c>
      <c r="AB448" s="217">
        <v>0.28116000000000002</v>
      </c>
      <c r="AC448" s="217">
        <v>0.452484</v>
      </c>
      <c r="AD448" s="212">
        <f t="shared" si="6"/>
        <v>5762770.6356000006</v>
      </c>
    </row>
    <row r="449" spans="2:30" x14ac:dyDescent="0.15">
      <c r="B449" s="213">
        <v>17197002270</v>
      </c>
      <c r="C449" s="213">
        <v>17197001492</v>
      </c>
      <c r="D449" s="213">
        <v>17197001481</v>
      </c>
      <c r="E449" s="213" t="s">
        <v>533</v>
      </c>
      <c r="F449" s="213" t="s">
        <v>534</v>
      </c>
      <c r="G449" s="213" t="s">
        <v>377</v>
      </c>
      <c r="H449" s="213" t="s">
        <v>535</v>
      </c>
      <c r="I449" s="213"/>
      <c r="J449" s="213" t="s">
        <v>382</v>
      </c>
      <c r="K449" s="213" t="s">
        <v>536</v>
      </c>
      <c r="L449" s="213"/>
      <c r="M449" s="213"/>
      <c r="N449" s="213"/>
      <c r="O449" s="213"/>
      <c r="P449" s="213"/>
      <c r="Q449" s="213"/>
      <c r="R449" s="213"/>
      <c r="S449" s="213" t="s">
        <v>537</v>
      </c>
      <c r="T449" s="213"/>
      <c r="U449" s="213" t="s">
        <v>538</v>
      </c>
      <c r="V449" s="213">
        <v>2</v>
      </c>
      <c r="W449" s="213" t="s">
        <v>545</v>
      </c>
      <c r="X449" s="213" t="s">
        <v>541</v>
      </c>
      <c r="Y449" s="213" t="s">
        <v>540</v>
      </c>
      <c r="Z449" s="212">
        <v>25709</v>
      </c>
      <c r="AA449" s="212">
        <v>2350988</v>
      </c>
      <c r="AB449" s="217">
        <v>0.33838099999999999</v>
      </c>
      <c r="AC449" s="217">
        <v>0.54457299999999997</v>
      </c>
      <c r="AD449" s="212">
        <f t="shared" si="6"/>
        <v>795529.67042799992</v>
      </c>
    </row>
    <row r="450" spans="2:30" x14ac:dyDescent="0.15">
      <c r="B450" s="213">
        <v>17197002272</v>
      </c>
      <c r="C450" s="213">
        <v>17197001473</v>
      </c>
      <c r="D450" s="213">
        <v>17197001471</v>
      </c>
      <c r="E450" s="213" t="s">
        <v>533</v>
      </c>
      <c r="F450" s="213" t="s">
        <v>534</v>
      </c>
      <c r="G450" s="213" t="s">
        <v>377</v>
      </c>
      <c r="H450" s="213" t="s">
        <v>535</v>
      </c>
      <c r="I450" s="213"/>
      <c r="J450" s="213"/>
      <c r="K450" s="213"/>
      <c r="L450" s="213"/>
      <c r="M450" s="213"/>
      <c r="N450" s="213"/>
      <c r="O450" s="213"/>
      <c r="P450" s="213"/>
      <c r="Q450" s="213"/>
      <c r="R450" s="213"/>
      <c r="S450" s="213"/>
      <c r="T450" s="213"/>
      <c r="U450" s="213" t="s">
        <v>559</v>
      </c>
      <c r="V450" s="213">
        <v>1</v>
      </c>
      <c r="W450" s="213" t="s">
        <v>560</v>
      </c>
      <c r="X450" s="213" t="s">
        <v>541</v>
      </c>
      <c r="Y450" s="213" t="s">
        <v>541</v>
      </c>
      <c r="Z450" s="212">
        <v>33720</v>
      </c>
      <c r="AA450" s="212">
        <v>656320</v>
      </c>
      <c r="AB450" s="217">
        <v>0.56336200000000003</v>
      </c>
      <c r="AC450" s="217">
        <v>0.90664400000000001</v>
      </c>
      <c r="AD450" s="212">
        <f t="shared" si="6"/>
        <v>369745.74784000003</v>
      </c>
    </row>
    <row r="451" spans="2:30" x14ac:dyDescent="0.15">
      <c r="B451" s="213">
        <v>17197002273</v>
      </c>
      <c r="C451" s="213">
        <v>17197004804</v>
      </c>
      <c r="D451" s="213">
        <v>17197001473</v>
      </c>
      <c r="E451" s="213" t="s">
        <v>533</v>
      </c>
      <c r="F451" s="213" t="s">
        <v>534</v>
      </c>
      <c r="G451" s="213" t="s">
        <v>377</v>
      </c>
      <c r="H451" s="213" t="s">
        <v>535</v>
      </c>
      <c r="I451" s="213"/>
      <c r="J451" s="213" t="s">
        <v>542</v>
      </c>
      <c r="K451" s="213" t="s">
        <v>547</v>
      </c>
      <c r="L451" s="213" t="s">
        <v>382</v>
      </c>
      <c r="M451" s="213"/>
      <c r="N451" s="213"/>
      <c r="O451" s="213"/>
      <c r="P451" s="213"/>
      <c r="Q451" s="213"/>
      <c r="R451" s="213"/>
      <c r="S451" s="213" t="s">
        <v>601</v>
      </c>
      <c r="T451" s="213"/>
      <c r="U451" s="213" t="s">
        <v>538</v>
      </c>
      <c r="V451" s="213">
        <v>2</v>
      </c>
      <c r="W451" s="213" t="s">
        <v>539</v>
      </c>
      <c r="X451" s="213" t="s">
        <v>554</v>
      </c>
      <c r="Y451" s="213" t="s">
        <v>540</v>
      </c>
      <c r="Z451" s="212">
        <v>385706</v>
      </c>
      <c r="AA451" s="212">
        <v>5808775</v>
      </c>
      <c r="AB451" s="217">
        <v>0.25960499999999997</v>
      </c>
      <c r="AC451" s="217">
        <v>0.41779500000000003</v>
      </c>
      <c r="AD451" s="212">
        <f t="shared" si="6"/>
        <v>1507987.033875</v>
      </c>
    </row>
    <row r="452" spans="2:30" x14ac:dyDescent="0.15">
      <c r="B452" s="213">
        <v>17197002274</v>
      </c>
      <c r="C452" s="213">
        <v>17197004807</v>
      </c>
      <c r="D452" s="213">
        <v>17197001488</v>
      </c>
      <c r="E452" s="213" t="s">
        <v>533</v>
      </c>
      <c r="F452" s="213" t="s">
        <v>534</v>
      </c>
      <c r="G452" s="213" t="s">
        <v>377</v>
      </c>
      <c r="H452" s="213" t="s">
        <v>381</v>
      </c>
      <c r="I452" s="213"/>
      <c r="J452" s="213" t="s">
        <v>382</v>
      </c>
      <c r="K452" s="213"/>
      <c r="L452" s="213"/>
      <c r="M452" s="213"/>
      <c r="N452" s="213"/>
      <c r="O452" s="213"/>
      <c r="P452" s="213"/>
      <c r="Q452" s="213"/>
      <c r="R452" s="213"/>
      <c r="S452" s="213" t="s">
        <v>647</v>
      </c>
      <c r="T452" s="213"/>
      <c r="U452" s="213" t="s">
        <v>538</v>
      </c>
      <c r="V452" s="213">
        <v>2</v>
      </c>
      <c r="W452" s="213" t="s">
        <v>545</v>
      </c>
      <c r="X452" s="213" t="s">
        <v>549</v>
      </c>
      <c r="Y452" s="213" t="s">
        <v>580</v>
      </c>
      <c r="Z452" s="212">
        <v>527472</v>
      </c>
      <c r="AA452" s="212">
        <v>20884417</v>
      </c>
      <c r="AB452" s="217">
        <v>3.387667</v>
      </c>
      <c r="AC452" s="217">
        <v>5.4519330000000004</v>
      </c>
      <c r="AD452" s="212">
        <f t="shared" si="6"/>
        <v>70749450.285138994</v>
      </c>
    </row>
    <row r="453" spans="2:30" x14ac:dyDescent="0.15">
      <c r="B453" s="213">
        <v>17197002280</v>
      </c>
      <c r="C453" s="213">
        <v>17197004510</v>
      </c>
      <c r="D453" s="213">
        <v>17197004511</v>
      </c>
      <c r="E453" s="213" t="s">
        <v>533</v>
      </c>
      <c r="F453" s="213" t="s">
        <v>534</v>
      </c>
      <c r="G453" s="213" t="s">
        <v>377</v>
      </c>
      <c r="H453" s="213" t="s">
        <v>381</v>
      </c>
      <c r="I453" s="213"/>
      <c r="J453" s="213" t="s">
        <v>382</v>
      </c>
      <c r="K453" s="213"/>
      <c r="L453" s="213"/>
      <c r="M453" s="213"/>
      <c r="N453" s="213"/>
      <c r="O453" s="213"/>
      <c r="P453" s="213"/>
      <c r="Q453" s="213"/>
      <c r="R453" s="213"/>
      <c r="S453" s="213" t="s">
        <v>647</v>
      </c>
      <c r="T453" s="213"/>
      <c r="U453" s="213" t="s">
        <v>538</v>
      </c>
      <c r="V453" s="213">
        <v>1</v>
      </c>
      <c r="W453" s="213" t="s">
        <v>582</v>
      </c>
      <c r="X453" s="213" t="s">
        <v>549</v>
      </c>
      <c r="Y453" s="213" t="s">
        <v>580</v>
      </c>
      <c r="Z453" s="212">
        <v>1560</v>
      </c>
      <c r="AA453" s="212">
        <v>133992</v>
      </c>
      <c r="AB453" s="217">
        <v>0.61973299999999998</v>
      </c>
      <c r="AC453" s="217">
        <v>0.99736599999999997</v>
      </c>
      <c r="AD453" s="212">
        <f t="shared" si="6"/>
        <v>83039.264135999998</v>
      </c>
    </row>
    <row r="454" spans="2:30" x14ac:dyDescent="0.15">
      <c r="B454" s="213">
        <v>17197002309</v>
      </c>
      <c r="C454" s="213">
        <v>17197004795</v>
      </c>
      <c r="D454" s="213">
        <v>17197001412</v>
      </c>
      <c r="E454" s="213" t="s">
        <v>533</v>
      </c>
      <c r="F454" s="213" t="s">
        <v>534</v>
      </c>
      <c r="G454" s="213" t="s">
        <v>377</v>
      </c>
      <c r="H454" s="213" t="s">
        <v>535</v>
      </c>
      <c r="I454" s="213"/>
      <c r="J454" s="213"/>
      <c r="K454" s="213"/>
      <c r="L454" s="213"/>
      <c r="M454" s="213"/>
      <c r="N454" s="213"/>
      <c r="O454" s="213"/>
      <c r="P454" s="213"/>
      <c r="Q454" s="213"/>
      <c r="R454" s="213"/>
      <c r="S454" s="213" t="s">
        <v>673</v>
      </c>
      <c r="T454" s="213"/>
      <c r="U454" s="213" t="s">
        <v>538</v>
      </c>
      <c r="V454" s="213">
        <v>1</v>
      </c>
      <c r="W454" s="213" t="s">
        <v>560</v>
      </c>
      <c r="X454" s="213" t="s">
        <v>554</v>
      </c>
      <c r="Y454" s="213" t="s">
        <v>541</v>
      </c>
      <c r="Z454" s="212">
        <v>14288</v>
      </c>
      <c r="AA454" s="212">
        <v>1236096</v>
      </c>
      <c r="AB454" s="217">
        <v>4.2999460000000003</v>
      </c>
      <c r="AC454" s="217">
        <v>6.9201059999999996</v>
      </c>
      <c r="AD454" s="212">
        <f t="shared" ref="AD454:AD517" si="7">AA454*AB454</f>
        <v>5315146.0508160004</v>
      </c>
    </row>
    <row r="455" spans="2:30" x14ac:dyDescent="0.15">
      <c r="B455" s="213">
        <v>17197002416</v>
      </c>
      <c r="C455" s="213">
        <v>17197006613</v>
      </c>
      <c r="D455" s="213">
        <v>17197006615</v>
      </c>
      <c r="E455" s="213" t="s">
        <v>533</v>
      </c>
      <c r="F455" s="213" t="s">
        <v>534</v>
      </c>
      <c r="G455" s="213" t="s">
        <v>377</v>
      </c>
      <c r="H455" s="213" t="s">
        <v>535</v>
      </c>
      <c r="I455" s="213"/>
      <c r="J455" s="213" t="s">
        <v>382</v>
      </c>
      <c r="K455" s="213" t="s">
        <v>536</v>
      </c>
      <c r="L455" s="213"/>
      <c r="M455" s="213"/>
      <c r="N455" s="213"/>
      <c r="O455" s="213"/>
      <c r="P455" s="213"/>
      <c r="Q455" s="213"/>
      <c r="R455" s="213"/>
      <c r="S455" s="213" t="s">
        <v>537</v>
      </c>
      <c r="T455" s="213" t="s">
        <v>596</v>
      </c>
      <c r="U455" s="213" t="s">
        <v>538</v>
      </c>
      <c r="V455" s="213">
        <v>2</v>
      </c>
      <c r="W455" s="213" t="s">
        <v>539</v>
      </c>
      <c r="X455" s="213" t="s">
        <v>541</v>
      </c>
      <c r="Y455" s="213" t="s">
        <v>540</v>
      </c>
      <c r="Z455" s="212">
        <v>24669</v>
      </c>
      <c r="AA455" s="212">
        <v>2261348</v>
      </c>
      <c r="AB455" s="217">
        <v>0.84625600000000001</v>
      </c>
      <c r="AC455" s="217">
        <v>1.3619190000000001</v>
      </c>
      <c r="AD455" s="212">
        <f t="shared" si="7"/>
        <v>1913679.3130880001</v>
      </c>
    </row>
    <row r="456" spans="2:30" x14ac:dyDescent="0.15">
      <c r="B456" s="213">
        <v>17197002592</v>
      </c>
      <c r="C456" s="213">
        <v>17197008298</v>
      </c>
      <c r="D456" s="213">
        <v>17197001447</v>
      </c>
      <c r="E456" s="213" t="s">
        <v>533</v>
      </c>
      <c r="F456" s="213" t="s">
        <v>534</v>
      </c>
      <c r="G456" s="213" t="s">
        <v>377</v>
      </c>
      <c r="H456" s="213" t="s">
        <v>535</v>
      </c>
      <c r="I456" s="213"/>
      <c r="J456" s="213" t="s">
        <v>382</v>
      </c>
      <c r="K456" s="213" t="s">
        <v>536</v>
      </c>
      <c r="L456" s="213"/>
      <c r="M456" s="213"/>
      <c r="N456" s="213"/>
      <c r="O456" s="213"/>
      <c r="P456" s="213"/>
      <c r="Q456" s="213"/>
      <c r="R456" s="213"/>
      <c r="S456" s="213" t="s">
        <v>550</v>
      </c>
      <c r="T456" s="213"/>
      <c r="U456" s="213" t="s">
        <v>538</v>
      </c>
      <c r="V456" s="213">
        <v>2</v>
      </c>
      <c r="W456" s="213" t="s">
        <v>545</v>
      </c>
      <c r="X456" s="213" t="s">
        <v>541</v>
      </c>
      <c r="Y456" s="213" t="s">
        <v>540</v>
      </c>
      <c r="Z456" s="212">
        <v>71203</v>
      </c>
      <c r="AA456" s="212">
        <v>7843908</v>
      </c>
      <c r="AB456" s="217">
        <v>1.01607</v>
      </c>
      <c r="AC456" s="217">
        <v>1.6352089999999999</v>
      </c>
      <c r="AD456" s="212">
        <f t="shared" si="7"/>
        <v>7969959.6015600003</v>
      </c>
    </row>
    <row r="457" spans="2:30" x14ac:dyDescent="0.15">
      <c r="B457" s="213">
        <v>17197002593</v>
      </c>
      <c r="C457" s="213">
        <v>17197001462</v>
      </c>
      <c r="D457" s="213">
        <v>17197004797</v>
      </c>
      <c r="E457" s="213" t="s">
        <v>533</v>
      </c>
      <c r="F457" s="213" t="s">
        <v>534</v>
      </c>
      <c r="G457" s="213" t="s">
        <v>377</v>
      </c>
      <c r="H457" s="213" t="s">
        <v>535</v>
      </c>
      <c r="I457" s="213"/>
      <c r="J457" s="213" t="s">
        <v>382</v>
      </c>
      <c r="K457" s="213" t="s">
        <v>536</v>
      </c>
      <c r="L457" s="213"/>
      <c r="M457" s="213"/>
      <c r="N457" s="213"/>
      <c r="O457" s="213"/>
      <c r="P457" s="213"/>
      <c r="Q457" s="213"/>
      <c r="R457" s="213"/>
      <c r="S457" s="213" t="s">
        <v>550</v>
      </c>
      <c r="T457" s="213"/>
      <c r="U457" s="213" t="s">
        <v>538</v>
      </c>
      <c r="V457" s="213">
        <v>1</v>
      </c>
      <c r="W457" s="213" t="s">
        <v>545</v>
      </c>
      <c r="X457" s="213" t="s">
        <v>541</v>
      </c>
      <c r="Y457" s="213" t="s">
        <v>540</v>
      </c>
      <c r="Z457" s="212">
        <v>56987</v>
      </c>
      <c r="AA457" s="212">
        <v>6129860</v>
      </c>
      <c r="AB457" s="217">
        <v>0.25097999999999998</v>
      </c>
      <c r="AC457" s="217">
        <v>0.40391300000000002</v>
      </c>
      <c r="AD457" s="212">
        <f t="shared" si="7"/>
        <v>1538472.2627999999</v>
      </c>
    </row>
    <row r="458" spans="2:30" x14ac:dyDescent="0.15">
      <c r="B458" s="213">
        <v>17197002594</v>
      </c>
      <c r="C458" s="213">
        <v>17197001479</v>
      </c>
      <c r="D458" s="213">
        <v>17197004800</v>
      </c>
      <c r="E458" s="213" t="s">
        <v>533</v>
      </c>
      <c r="F458" s="213" t="s">
        <v>534</v>
      </c>
      <c r="G458" s="213" t="s">
        <v>377</v>
      </c>
      <c r="H458" s="213" t="s">
        <v>535</v>
      </c>
      <c r="I458" s="213"/>
      <c r="J458" s="213"/>
      <c r="K458" s="213"/>
      <c r="L458" s="213"/>
      <c r="M458" s="213"/>
      <c r="N458" s="213"/>
      <c r="O458" s="213"/>
      <c r="P458" s="213"/>
      <c r="Q458" s="213"/>
      <c r="R458" s="213"/>
      <c r="S458" s="213"/>
      <c r="T458" s="213" t="s">
        <v>596</v>
      </c>
      <c r="U458" s="213" t="s">
        <v>559</v>
      </c>
      <c r="V458" s="213">
        <v>1</v>
      </c>
      <c r="W458" s="213" t="s">
        <v>560</v>
      </c>
      <c r="X458" s="213" t="s">
        <v>541</v>
      </c>
      <c r="Y458" s="213" t="s">
        <v>541</v>
      </c>
      <c r="Z458" s="212">
        <v>1440</v>
      </c>
      <c r="AA458" s="212">
        <v>127680</v>
      </c>
      <c r="AB458" s="217">
        <v>0.70780600000000005</v>
      </c>
      <c r="AC458" s="217">
        <v>1.139106</v>
      </c>
      <c r="AD458" s="212">
        <f t="shared" si="7"/>
        <v>90372.670080000011</v>
      </c>
    </row>
    <row r="459" spans="2:30" x14ac:dyDescent="0.15">
      <c r="B459" s="213">
        <v>17197002648</v>
      </c>
      <c r="C459" s="213">
        <v>17197001447</v>
      </c>
      <c r="D459" s="213">
        <v>17197004796</v>
      </c>
      <c r="E459" s="213" t="s">
        <v>533</v>
      </c>
      <c r="F459" s="213" t="s">
        <v>534</v>
      </c>
      <c r="G459" s="213" t="s">
        <v>377</v>
      </c>
      <c r="H459" s="213" t="s">
        <v>535</v>
      </c>
      <c r="I459" s="213"/>
      <c r="J459" s="213" t="s">
        <v>382</v>
      </c>
      <c r="K459" s="213" t="s">
        <v>536</v>
      </c>
      <c r="L459" s="213"/>
      <c r="M459" s="213"/>
      <c r="N459" s="213"/>
      <c r="O459" s="213"/>
      <c r="P459" s="213"/>
      <c r="Q459" s="213"/>
      <c r="R459" s="213"/>
      <c r="S459" s="213" t="s">
        <v>550</v>
      </c>
      <c r="T459" s="213"/>
      <c r="U459" s="213" t="s">
        <v>538</v>
      </c>
      <c r="V459" s="213">
        <v>2</v>
      </c>
      <c r="W459" s="213" t="s">
        <v>545</v>
      </c>
      <c r="X459" s="213" t="s">
        <v>541</v>
      </c>
      <c r="Y459" s="213" t="s">
        <v>540</v>
      </c>
      <c r="Z459" s="212">
        <v>71203</v>
      </c>
      <c r="AA459" s="212">
        <v>7843908</v>
      </c>
      <c r="AB459" s="217">
        <v>2.084444</v>
      </c>
      <c r="AC459" s="217">
        <v>3.3545940000000001</v>
      </c>
      <c r="AD459" s="212">
        <f t="shared" si="7"/>
        <v>16350186.967151999</v>
      </c>
    </row>
    <row r="460" spans="2:30" x14ac:dyDescent="0.15">
      <c r="B460" s="213">
        <v>17197002649</v>
      </c>
      <c r="C460" s="213">
        <v>17197004797</v>
      </c>
      <c r="D460" s="213">
        <v>17197001452</v>
      </c>
      <c r="E460" s="213" t="s">
        <v>533</v>
      </c>
      <c r="F460" s="213" t="s">
        <v>534</v>
      </c>
      <c r="G460" s="213" t="s">
        <v>377</v>
      </c>
      <c r="H460" s="213" t="s">
        <v>535</v>
      </c>
      <c r="I460" s="213"/>
      <c r="J460" s="213" t="s">
        <v>382</v>
      </c>
      <c r="K460" s="213" t="s">
        <v>536</v>
      </c>
      <c r="L460" s="213"/>
      <c r="M460" s="213"/>
      <c r="N460" s="213"/>
      <c r="O460" s="213"/>
      <c r="P460" s="213"/>
      <c r="Q460" s="213"/>
      <c r="R460" s="213"/>
      <c r="S460" s="213" t="s">
        <v>550</v>
      </c>
      <c r="T460" s="213"/>
      <c r="U460" s="213" t="s">
        <v>538</v>
      </c>
      <c r="V460" s="213">
        <v>2</v>
      </c>
      <c r="W460" s="213" t="s">
        <v>545</v>
      </c>
      <c r="X460" s="213" t="s">
        <v>541</v>
      </c>
      <c r="Y460" s="213" t="s">
        <v>540</v>
      </c>
      <c r="Z460" s="212">
        <v>56987</v>
      </c>
      <c r="AA460" s="212">
        <v>6129860</v>
      </c>
      <c r="AB460" s="217">
        <v>0.18140500000000001</v>
      </c>
      <c r="AC460" s="217">
        <v>0.29194399999999998</v>
      </c>
      <c r="AD460" s="212">
        <f t="shared" si="7"/>
        <v>1111987.2533</v>
      </c>
    </row>
    <row r="461" spans="2:30" x14ac:dyDescent="0.15">
      <c r="B461" s="213">
        <v>17197003218</v>
      </c>
      <c r="C461" s="213">
        <v>17197001484</v>
      </c>
      <c r="D461" s="213">
        <v>17197001485</v>
      </c>
      <c r="E461" s="213" t="s">
        <v>533</v>
      </c>
      <c r="F461" s="213" t="s">
        <v>534</v>
      </c>
      <c r="G461" s="213" t="s">
        <v>377</v>
      </c>
      <c r="H461" s="213" t="s">
        <v>547</v>
      </c>
      <c r="I461" s="213"/>
      <c r="J461" s="213" t="s">
        <v>551</v>
      </c>
      <c r="K461" s="213" t="s">
        <v>615</v>
      </c>
      <c r="L461" s="213"/>
      <c r="M461" s="213"/>
      <c r="N461" s="213"/>
      <c r="O461" s="213"/>
      <c r="P461" s="213"/>
      <c r="Q461" s="213"/>
      <c r="R461" s="213"/>
      <c r="S461" s="213" t="s">
        <v>581</v>
      </c>
      <c r="T461" s="213"/>
      <c r="U461" s="213" t="s">
        <v>538</v>
      </c>
      <c r="V461" s="213">
        <v>1</v>
      </c>
      <c r="W461" s="213" t="s">
        <v>582</v>
      </c>
      <c r="X461" s="213" t="s">
        <v>554</v>
      </c>
      <c r="Y461" s="213" t="s">
        <v>540</v>
      </c>
      <c r="Z461" s="212">
        <v>106953</v>
      </c>
      <c r="AA461" s="212">
        <v>10367418</v>
      </c>
      <c r="AB461" s="217">
        <v>0.17091899999999999</v>
      </c>
      <c r="AC461" s="217">
        <v>0.27506900000000001</v>
      </c>
      <c r="AD461" s="212">
        <f t="shared" si="7"/>
        <v>1771988.7171419999</v>
      </c>
    </row>
    <row r="462" spans="2:30" x14ac:dyDescent="0.15">
      <c r="B462" s="213">
        <v>17197003245</v>
      </c>
      <c r="C462" s="213">
        <v>17999024513</v>
      </c>
      <c r="D462" s="213">
        <v>17197001591</v>
      </c>
      <c r="E462" s="213" t="s">
        <v>533</v>
      </c>
      <c r="F462" s="213" t="s">
        <v>534</v>
      </c>
      <c r="G462" s="213" t="s">
        <v>377</v>
      </c>
      <c r="H462" s="213" t="s">
        <v>551</v>
      </c>
      <c r="I462" s="213"/>
      <c r="J462" s="213" t="s">
        <v>535</v>
      </c>
      <c r="K462" s="213" t="s">
        <v>615</v>
      </c>
      <c r="L462" s="213"/>
      <c r="M462" s="213"/>
      <c r="N462" s="213"/>
      <c r="O462" s="213"/>
      <c r="P462" s="213"/>
      <c r="Q462" s="213"/>
      <c r="R462" s="213"/>
      <c r="S462" s="213" t="s">
        <v>663</v>
      </c>
      <c r="T462" s="213"/>
      <c r="U462" s="213" t="s">
        <v>538</v>
      </c>
      <c r="V462" s="213">
        <v>1</v>
      </c>
      <c r="W462" s="213" t="s">
        <v>562</v>
      </c>
      <c r="X462" s="213" t="s">
        <v>540</v>
      </c>
      <c r="Y462" s="213" t="s">
        <v>540</v>
      </c>
      <c r="Z462" s="212">
        <v>102461</v>
      </c>
      <c r="AA462" s="212">
        <v>9930274</v>
      </c>
      <c r="AB462" s="217">
        <v>4.4336890000000002</v>
      </c>
      <c r="AC462" s="217">
        <v>7.135345</v>
      </c>
      <c r="AD462" s="212">
        <f t="shared" si="7"/>
        <v>44027746.600786</v>
      </c>
    </row>
    <row r="463" spans="2:30" x14ac:dyDescent="0.15">
      <c r="B463" s="213">
        <v>17197003273</v>
      </c>
      <c r="C463" s="213">
        <v>17197001698</v>
      </c>
      <c r="D463" s="213">
        <v>17197001670</v>
      </c>
      <c r="E463" s="213" t="s">
        <v>533</v>
      </c>
      <c r="F463" s="213" t="s">
        <v>534</v>
      </c>
      <c r="G463" s="213" t="s">
        <v>377</v>
      </c>
      <c r="H463" s="213" t="s">
        <v>381</v>
      </c>
      <c r="I463" s="213"/>
      <c r="J463" s="213" t="s">
        <v>382</v>
      </c>
      <c r="K463" s="213"/>
      <c r="L463" s="213"/>
      <c r="M463" s="213"/>
      <c r="N463" s="213"/>
      <c r="O463" s="213"/>
      <c r="P463" s="213"/>
      <c r="Q463" s="213"/>
      <c r="R463" s="213"/>
      <c r="S463" s="213" t="s">
        <v>647</v>
      </c>
      <c r="T463" s="213"/>
      <c r="U463" s="213" t="s">
        <v>538</v>
      </c>
      <c r="V463" s="213">
        <v>1</v>
      </c>
      <c r="W463" s="213" t="s">
        <v>582</v>
      </c>
      <c r="X463" s="213" t="s">
        <v>549</v>
      </c>
      <c r="Y463" s="213" t="s">
        <v>580</v>
      </c>
      <c r="Z463" s="212">
        <v>986618</v>
      </c>
      <c r="AA463" s="212">
        <v>29330692</v>
      </c>
      <c r="AB463" s="217">
        <v>1.3323970000000001</v>
      </c>
      <c r="AC463" s="217">
        <v>2.1442899999999998</v>
      </c>
      <c r="AD463" s="212">
        <f t="shared" si="7"/>
        <v>39080126.028724</v>
      </c>
    </row>
    <row r="464" spans="2:30" x14ac:dyDescent="0.15">
      <c r="B464" s="213">
        <v>17197003491</v>
      </c>
      <c r="C464" s="213">
        <v>17197007254</v>
      </c>
      <c r="D464" s="213">
        <v>17197004807</v>
      </c>
      <c r="E464" s="213" t="s">
        <v>533</v>
      </c>
      <c r="F464" s="213" t="s">
        <v>534</v>
      </c>
      <c r="G464" s="213" t="s">
        <v>377</v>
      </c>
      <c r="H464" s="213" t="s">
        <v>381</v>
      </c>
      <c r="I464" s="213"/>
      <c r="J464" s="213" t="s">
        <v>382</v>
      </c>
      <c r="K464" s="213"/>
      <c r="L464" s="213"/>
      <c r="M464" s="213"/>
      <c r="N464" s="213"/>
      <c r="O464" s="213"/>
      <c r="P464" s="213"/>
      <c r="Q464" s="213"/>
      <c r="R464" s="213"/>
      <c r="S464" s="213" t="s">
        <v>647</v>
      </c>
      <c r="T464" s="213"/>
      <c r="U464" s="213" t="s">
        <v>538</v>
      </c>
      <c r="V464" s="213">
        <v>1</v>
      </c>
      <c r="W464" s="213" t="s">
        <v>545</v>
      </c>
      <c r="X464" s="213" t="s">
        <v>549</v>
      </c>
      <c r="Y464" s="213" t="s">
        <v>580</v>
      </c>
      <c r="Z464" s="212">
        <v>302032</v>
      </c>
      <c r="AA464" s="212">
        <v>17970705</v>
      </c>
      <c r="AB464" s="217">
        <v>6.5898560000000002</v>
      </c>
      <c r="AC464" s="217">
        <v>10.605366</v>
      </c>
      <c r="AD464" s="212">
        <f t="shared" si="7"/>
        <v>118424358.16848001</v>
      </c>
    </row>
    <row r="465" spans="2:30" x14ac:dyDescent="0.15">
      <c r="B465" s="213">
        <v>17197004121</v>
      </c>
      <c r="C465" s="213">
        <v>17197001440</v>
      </c>
      <c r="D465" s="213">
        <v>17197001399</v>
      </c>
      <c r="E465" s="213" t="s">
        <v>533</v>
      </c>
      <c r="F465" s="213" t="s">
        <v>534</v>
      </c>
      <c r="G465" s="213" t="s">
        <v>377</v>
      </c>
      <c r="H465" s="213" t="s">
        <v>381</v>
      </c>
      <c r="I465" s="213"/>
      <c r="J465" s="213" t="s">
        <v>382</v>
      </c>
      <c r="K465" s="213"/>
      <c r="L465" s="213"/>
      <c r="M465" s="213"/>
      <c r="N465" s="213"/>
      <c r="O465" s="213"/>
      <c r="P465" s="213"/>
      <c r="Q465" s="213"/>
      <c r="R465" s="213"/>
      <c r="S465" s="213" t="s">
        <v>647</v>
      </c>
      <c r="T465" s="213"/>
      <c r="U465" s="213" t="s">
        <v>538</v>
      </c>
      <c r="V465" s="213">
        <v>2</v>
      </c>
      <c r="W465" s="213" t="s">
        <v>545</v>
      </c>
      <c r="X465" s="213" t="s">
        <v>549</v>
      </c>
      <c r="Y465" s="213" t="s">
        <v>580</v>
      </c>
      <c r="Z465" s="212">
        <v>522946</v>
      </c>
      <c r="AA465" s="212">
        <v>20497490</v>
      </c>
      <c r="AB465" s="217">
        <v>3.0524550000000001</v>
      </c>
      <c r="AC465" s="217">
        <v>4.9124600000000003</v>
      </c>
      <c r="AD465" s="212">
        <f t="shared" si="7"/>
        <v>62567665.837950006</v>
      </c>
    </row>
    <row r="466" spans="2:30" x14ac:dyDescent="0.15">
      <c r="B466" s="213">
        <v>17197004122</v>
      </c>
      <c r="C466" s="213">
        <v>17197004809</v>
      </c>
      <c r="D466" s="213">
        <v>17197001588</v>
      </c>
      <c r="E466" s="213" t="s">
        <v>533</v>
      </c>
      <c r="F466" s="213" t="s">
        <v>534</v>
      </c>
      <c r="G466" s="213" t="s">
        <v>377</v>
      </c>
      <c r="H466" s="213" t="s">
        <v>381</v>
      </c>
      <c r="I466" s="213"/>
      <c r="J466" s="213" t="s">
        <v>535</v>
      </c>
      <c r="K466" s="213" t="s">
        <v>382</v>
      </c>
      <c r="L466" s="213"/>
      <c r="M466" s="213"/>
      <c r="N466" s="213"/>
      <c r="O466" s="213"/>
      <c r="P466" s="213"/>
      <c r="Q466" s="213"/>
      <c r="R466" s="213"/>
      <c r="S466" s="213" t="s">
        <v>647</v>
      </c>
      <c r="T466" s="213"/>
      <c r="U466" s="213" t="s">
        <v>538</v>
      </c>
      <c r="V466" s="213">
        <v>1</v>
      </c>
      <c r="W466" s="213" t="s">
        <v>545</v>
      </c>
      <c r="X466" s="213" t="s">
        <v>549</v>
      </c>
      <c r="Y466" s="213" t="s">
        <v>580</v>
      </c>
      <c r="Z466" s="212">
        <v>228480</v>
      </c>
      <c r="AA466" s="212">
        <v>3188752</v>
      </c>
      <c r="AB466" s="217">
        <v>3.5950519999999999</v>
      </c>
      <c r="AC466" s="217">
        <v>5.7856880000000004</v>
      </c>
      <c r="AD466" s="212">
        <f t="shared" si="7"/>
        <v>11463729.255104</v>
      </c>
    </row>
    <row r="467" spans="2:30" x14ac:dyDescent="0.15">
      <c r="B467" s="213">
        <v>17197004193</v>
      </c>
      <c r="C467" s="213">
        <v>17197001469</v>
      </c>
      <c r="D467" s="213">
        <v>17197004800</v>
      </c>
      <c r="E467" s="213" t="s">
        <v>533</v>
      </c>
      <c r="F467" s="213" t="s">
        <v>534</v>
      </c>
      <c r="G467" s="213" t="s">
        <v>377</v>
      </c>
      <c r="H467" s="213" t="s">
        <v>535</v>
      </c>
      <c r="I467" s="213"/>
      <c r="J467" s="213"/>
      <c r="K467" s="213"/>
      <c r="L467" s="213"/>
      <c r="M467" s="213"/>
      <c r="N467" s="213"/>
      <c r="O467" s="213"/>
      <c r="P467" s="213"/>
      <c r="Q467" s="213"/>
      <c r="R467" s="213"/>
      <c r="S467" s="213"/>
      <c r="T467" s="213"/>
      <c r="U467" s="213" t="s">
        <v>559</v>
      </c>
      <c r="V467" s="213">
        <v>1</v>
      </c>
      <c r="W467" s="213" t="s">
        <v>560</v>
      </c>
      <c r="X467" s="213" t="s">
        <v>541</v>
      </c>
      <c r="Y467" s="213" t="s">
        <v>541</v>
      </c>
      <c r="Z467" s="212">
        <v>1440</v>
      </c>
      <c r="AA467" s="212">
        <v>127680</v>
      </c>
      <c r="AB467" s="217">
        <v>0.13714699999999999</v>
      </c>
      <c r="AC467" s="217">
        <v>0.220717</v>
      </c>
      <c r="AD467" s="212">
        <f t="shared" si="7"/>
        <v>17510.928959999997</v>
      </c>
    </row>
    <row r="468" spans="2:30" x14ac:dyDescent="0.15">
      <c r="B468" s="213">
        <v>17197004699</v>
      </c>
      <c r="C468" s="213">
        <v>17197004798</v>
      </c>
      <c r="D468" s="213">
        <v>17197007163</v>
      </c>
      <c r="E468" s="213" t="s">
        <v>533</v>
      </c>
      <c r="F468" s="213" t="s">
        <v>534</v>
      </c>
      <c r="G468" s="213" t="s">
        <v>377</v>
      </c>
      <c r="H468" s="213" t="s">
        <v>535</v>
      </c>
      <c r="I468" s="213"/>
      <c r="J468" s="213"/>
      <c r="K468" s="213"/>
      <c r="L468" s="213"/>
      <c r="M468" s="213"/>
      <c r="N468" s="213"/>
      <c r="O468" s="213"/>
      <c r="P468" s="213"/>
      <c r="Q468" s="213"/>
      <c r="R468" s="213"/>
      <c r="S468" s="213" t="s">
        <v>681</v>
      </c>
      <c r="T468" s="213"/>
      <c r="U468" s="213" t="s">
        <v>559</v>
      </c>
      <c r="V468" s="213">
        <v>1</v>
      </c>
      <c r="W468" s="213" t="s">
        <v>560</v>
      </c>
      <c r="X468" s="213" t="s">
        <v>541</v>
      </c>
      <c r="Y468" s="213" t="s">
        <v>541</v>
      </c>
      <c r="Z468" s="212">
        <v>0</v>
      </c>
      <c r="AA468" s="212">
        <v>0</v>
      </c>
      <c r="AB468" s="217">
        <v>2.9039380000000001</v>
      </c>
      <c r="AC468" s="217">
        <v>4.6734439999999999</v>
      </c>
      <c r="AD468" s="212">
        <f t="shared" si="7"/>
        <v>0</v>
      </c>
    </row>
    <row r="469" spans="2:30" x14ac:dyDescent="0.15">
      <c r="B469" s="213">
        <v>17197005327</v>
      </c>
      <c r="C469" s="213">
        <v>17197007388</v>
      </c>
      <c r="D469" s="213">
        <v>17197001617</v>
      </c>
      <c r="E469" s="213" t="s">
        <v>533</v>
      </c>
      <c r="F469" s="213" t="s">
        <v>534</v>
      </c>
      <c r="G469" s="213" t="s">
        <v>377</v>
      </c>
      <c r="H469" s="213" t="s">
        <v>535</v>
      </c>
      <c r="I469" s="213"/>
      <c r="J469" s="213" t="s">
        <v>382</v>
      </c>
      <c r="K469" s="213"/>
      <c r="L469" s="213"/>
      <c r="M469" s="213"/>
      <c r="N469" s="213"/>
      <c r="O469" s="213"/>
      <c r="P469" s="213"/>
      <c r="Q469" s="213"/>
      <c r="R469" s="213"/>
      <c r="S469" s="213"/>
      <c r="T469" s="213"/>
      <c r="U469" s="213" t="s">
        <v>559</v>
      </c>
      <c r="V469" s="213">
        <v>1</v>
      </c>
      <c r="W469" s="213" t="s">
        <v>560</v>
      </c>
      <c r="X469" s="213" t="s">
        <v>541</v>
      </c>
      <c r="Y469" s="213" t="s">
        <v>541</v>
      </c>
      <c r="Z469" s="212">
        <v>0</v>
      </c>
      <c r="AA469" s="212">
        <v>0</v>
      </c>
      <c r="AB469" s="217">
        <v>0.38840400000000003</v>
      </c>
      <c r="AC469" s="217">
        <v>0.62507699999999999</v>
      </c>
      <c r="AD469" s="212">
        <f t="shared" si="7"/>
        <v>0</v>
      </c>
    </row>
    <row r="470" spans="2:30" x14ac:dyDescent="0.15">
      <c r="B470" s="213">
        <v>17197005460</v>
      </c>
      <c r="C470" s="213">
        <v>17197001480</v>
      </c>
      <c r="D470" s="213">
        <v>17197007394</v>
      </c>
      <c r="E470" s="213" t="s">
        <v>533</v>
      </c>
      <c r="F470" s="213" t="s">
        <v>534</v>
      </c>
      <c r="G470" s="213" t="s">
        <v>377</v>
      </c>
      <c r="H470" s="213" t="s">
        <v>547</v>
      </c>
      <c r="I470" s="213"/>
      <c r="J470" s="213" t="s">
        <v>577</v>
      </c>
      <c r="K470" s="213" t="s">
        <v>551</v>
      </c>
      <c r="L470" s="213" t="s">
        <v>615</v>
      </c>
      <c r="M470" s="213"/>
      <c r="N470" s="213"/>
      <c r="O470" s="213"/>
      <c r="P470" s="213"/>
      <c r="Q470" s="213"/>
      <c r="R470" s="213"/>
      <c r="S470" s="213" t="s">
        <v>581</v>
      </c>
      <c r="T470" s="213"/>
      <c r="U470" s="213" t="s">
        <v>538</v>
      </c>
      <c r="V470" s="213">
        <v>2</v>
      </c>
      <c r="W470" s="213" t="s">
        <v>582</v>
      </c>
      <c r="X470" s="213" t="s">
        <v>540</v>
      </c>
      <c r="Y470" s="213" t="s">
        <v>540</v>
      </c>
      <c r="Z470" s="212">
        <v>103629</v>
      </c>
      <c r="AA470" s="212">
        <v>10039458</v>
      </c>
      <c r="AB470" s="217">
        <v>1.5551950000000001</v>
      </c>
      <c r="AC470" s="217">
        <v>2.5028489999999999</v>
      </c>
      <c r="AD470" s="212">
        <f t="shared" si="7"/>
        <v>15613314.884310002</v>
      </c>
    </row>
    <row r="471" spans="2:30" x14ac:dyDescent="0.15">
      <c r="B471" s="213">
        <v>17197005461</v>
      </c>
      <c r="C471" s="213">
        <v>17197004790</v>
      </c>
      <c r="D471" s="213">
        <v>17999023625</v>
      </c>
      <c r="E471" s="213" t="s">
        <v>533</v>
      </c>
      <c r="F471" s="213" t="s">
        <v>534</v>
      </c>
      <c r="G471" s="213" t="s">
        <v>377</v>
      </c>
      <c r="H471" s="213" t="s">
        <v>547</v>
      </c>
      <c r="I471" s="213"/>
      <c r="J471" s="213" t="s">
        <v>577</v>
      </c>
      <c r="K471" s="213" t="s">
        <v>551</v>
      </c>
      <c r="L471" s="213" t="s">
        <v>615</v>
      </c>
      <c r="M471" s="213"/>
      <c r="N471" s="213"/>
      <c r="O471" s="213"/>
      <c r="P471" s="213"/>
      <c r="Q471" s="213"/>
      <c r="R471" s="213"/>
      <c r="S471" s="213" t="s">
        <v>581</v>
      </c>
      <c r="T471" s="213"/>
      <c r="U471" s="213" t="s">
        <v>538</v>
      </c>
      <c r="V471" s="213">
        <v>2</v>
      </c>
      <c r="W471" s="213" t="s">
        <v>582</v>
      </c>
      <c r="X471" s="213" t="s">
        <v>540</v>
      </c>
      <c r="Y471" s="213" t="s">
        <v>540</v>
      </c>
      <c r="Z471" s="212">
        <v>103629</v>
      </c>
      <c r="AA471" s="212">
        <v>10039458</v>
      </c>
      <c r="AB471" s="217">
        <v>1.111345</v>
      </c>
      <c r="AC471" s="217">
        <v>1.78854</v>
      </c>
      <c r="AD471" s="212">
        <f t="shared" si="7"/>
        <v>11157301.45101</v>
      </c>
    </row>
    <row r="472" spans="2:30" x14ac:dyDescent="0.15">
      <c r="B472" s="213">
        <v>17197005681</v>
      </c>
      <c r="C472" s="213">
        <v>17197001483</v>
      </c>
      <c r="D472" s="213">
        <v>17197001481</v>
      </c>
      <c r="E472" s="213" t="s">
        <v>533</v>
      </c>
      <c r="F472" s="213" t="s">
        <v>534</v>
      </c>
      <c r="G472" s="213" t="s">
        <v>377</v>
      </c>
      <c r="H472" s="213" t="s">
        <v>615</v>
      </c>
      <c r="I472" s="213"/>
      <c r="J472" s="213"/>
      <c r="K472" s="213"/>
      <c r="L472" s="213"/>
      <c r="M472" s="213"/>
      <c r="N472" s="213"/>
      <c r="O472" s="213"/>
      <c r="P472" s="213"/>
      <c r="Q472" s="213"/>
      <c r="R472" s="213"/>
      <c r="S472" s="213"/>
      <c r="T472" s="213"/>
      <c r="U472" s="213" t="s">
        <v>538</v>
      </c>
      <c r="V472" s="213">
        <v>1</v>
      </c>
      <c r="W472" s="213" t="s">
        <v>560</v>
      </c>
      <c r="X472" s="213" t="s">
        <v>541</v>
      </c>
      <c r="Y472" s="213" t="s">
        <v>541</v>
      </c>
      <c r="Z472" s="212">
        <v>1200</v>
      </c>
      <c r="AA472" s="212">
        <v>109640</v>
      </c>
      <c r="AB472" s="217">
        <v>0.24277299999999999</v>
      </c>
      <c r="AC472" s="217">
        <v>0.390706</v>
      </c>
      <c r="AD472" s="212">
        <f t="shared" si="7"/>
        <v>26617.631719999998</v>
      </c>
    </row>
    <row r="473" spans="2:30" x14ac:dyDescent="0.15">
      <c r="B473" s="213">
        <v>17197005682</v>
      </c>
      <c r="C473" s="213">
        <v>17197001493</v>
      </c>
      <c r="D473" s="213">
        <v>17197001485</v>
      </c>
      <c r="E473" s="213" t="s">
        <v>533</v>
      </c>
      <c r="F473" s="213" t="s">
        <v>534</v>
      </c>
      <c r="G473" s="213" t="s">
        <v>377</v>
      </c>
      <c r="H473" s="213" t="s">
        <v>535</v>
      </c>
      <c r="I473" s="213"/>
      <c r="J473" s="213" t="s">
        <v>547</v>
      </c>
      <c r="K473" s="213"/>
      <c r="L473" s="213"/>
      <c r="M473" s="213"/>
      <c r="N473" s="213"/>
      <c r="O473" s="213"/>
      <c r="P473" s="213"/>
      <c r="Q473" s="213"/>
      <c r="R473" s="213"/>
      <c r="S473" s="213" t="s">
        <v>601</v>
      </c>
      <c r="T473" s="213"/>
      <c r="U473" s="213" t="s">
        <v>538</v>
      </c>
      <c r="V473" s="213">
        <v>1</v>
      </c>
      <c r="W473" s="213" t="s">
        <v>560</v>
      </c>
      <c r="X473" s="213" t="s">
        <v>541</v>
      </c>
      <c r="Y473" s="213" t="s">
        <v>541</v>
      </c>
      <c r="Z473" s="212">
        <v>0</v>
      </c>
      <c r="AA473" s="212">
        <v>0</v>
      </c>
      <c r="AB473" s="217">
        <v>0.14303199999999999</v>
      </c>
      <c r="AC473" s="217">
        <v>0.230188</v>
      </c>
      <c r="AD473" s="212">
        <f t="shared" si="7"/>
        <v>0</v>
      </c>
    </row>
    <row r="474" spans="2:30" x14ac:dyDescent="0.15">
      <c r="B474" s="213">
        <v>17197006062</v>
      </c>
      <c r="C474" s="213">
        <v>17197001657</v>
      </c>
      <c r="D474" s="213">
        <v>17197004810</v>
      </c>
      <c r="E474" s="213" t="s">
        <v>533</v>
      </c>
      <c r="F474" s="213" t="s">
        <v>534</v>
      </c>
      <c r="G474" s="213" t="s">
        <v>377</v>
      </c>
      <c r="H474" s="213" t="s">
        <v>381</v>
      </c>
      <c r="I474" s="213"/>
      <c r="J474" s="213" t="s">
        <v>382</v>
      </c>
      <c r="K474" s="213"/>
      <c r="L474" s="213"/>
      <c r="M474" s="213"/>
      <c r="N474" s="213"/>
      <c r="O474" s="213"/>
      <c r="P474" s="213"/>
      <c r="Q474" s="213"/>
      <c r="R474" s="213"/>
      <c r="S474" s="213" t="s">
        <v>647</v>
      </c>
      <c r="T474" s="213"/>
      <c r="U474" s="213" t="s">
        <v>538</v>
      </c>
      <c r="V474" s="213">
        <v>1</v>
      </c>
      <c r="W474" s="213" t="s">
        <v>582</v>
      </c>
      <c r="X474" s="213" t="s">
        <v>549</v>
      </c>
      <c r="Y474" s="213" t="s">
        <v>580</v>
      </c>
      <c r="Z474" s="212">
        <v>2014</v>
      </c>
      <c r="AA474" s="212">
        <v>198693</v>
      </c>
      <c r="AB474" s="217">
        <v>0.32499899999999998</v>
      </c>
      <c r="AC474" s="217">
        <v>0.52303599999999995</v>
      </c>
      <c r="AD474" s="212">
        <f t="shared" si="7"/>
        <v>64575.026307</v>
      </c>
    </row>
    <row r="475" spans="2:30" x14ac:dyDescent="0.15">
      <c r="B475" s="213">
        <v>17197006206</v>
      </c>
      <c r="C475" s="213">
        <v>17197001630</v>
      </c>
      <c r="D475" s="213">
        <v>17197001622</v>
      </c>
      <c r="E475" s="213" t="s">
        <v>533</v>
      </c>
      <c r="F475" s="213" t="s">
        <v>534</v>
      </c>
      <c r="G475" s="213" t="s">
        <v>377</v>
      </c>
      <c r="H475" s="213" t="s">
        <v>547</v>
      </c>
      <c r="I475" s="213"/>
      <c r="J475" s="213"/>
      <c r="K475" s="213"/>
      <c r="L475" s="213"/>
      <c r="M475" s="213"/>
      <c r="N475" s="213"/>
      <c r="O475" s="213"/>
      <c r="P475" s="213"/>
      <c r="Q475" s="213"/>
      <c r="R475" s="213"/>
      <c r="S475" s="213"/>
      <c r="T475" s="213"/>
      <c r="U475" s="213" t="s">
        <v>559</v>
      </c>
      <c r="V475" s="213">
        <v>1</v>
      </c>
      <c r="W475" s="213" t="s">
        <v>560</v>
      </c>
      <c r="X475" s="213" t="s">
        <v>541</v>
      </c>
      <c r="Y475" s="213" t="s">
        <v>541</v>
      </c>
      <c r="Z475" s="212">
        <v>0</v>
      </c>
      <c r="AA475" s="212">
        <v>0</v>
      </c>
      <c r="AB475" s="217">
        <v>0.46252500000000002</v>
      </c>
      <c r="AC475" s="217">
        <v>0.74436400000000003</v>
      </c>
      <c r="AD475" s="212">
        <f t="shared" si="7"/>
        <v>0</v>
      </c>
    </row>
    <row r="476" spans="2:30" x14ac:dyDescent="0.15">
      <c r="B476" s="213">
        <v>17197006247</v>
      </c>
      <c r="C476" s="213">
        <v>17197004806</v>
      </c>
      <c r="D476" s="213">
        <v>17197001462</v>
      </c>
      <c r="E476" s="213" t="s">
        <v>533</v>
      </c>
      <c r="F476" s="213" t="s">
        <v>534</v>
      </c>
      <c r="G476" s="213" t="s">
        <v>377</v>
      </c>
      <c r="H476" s="213" t="s">
        <v>535</v>
      </c>
      <c r="I476" s="213"/>
      <c r="J476" s="213" t="s">
        <v>382</v>
      </c>
      <c r="K476" s="213"/>
      <c r="L476" s="213"/>
      <c r="M476" s="213"/>
      <c r="N476" s="213"/>
      <c r="O476" s="213"/>
      <c r="P476" s="213"/>
      <c r="Q476" s="213"/>
      <c r="R476" s="213"/>
      <c r="S476" s="213"/>
      <c r="T476" s="213"/>
      <c r="U476" s="213" t="s">
        <v>538</v>
      </c>
      <c r="V476" s="213">
        <v>1</v>
      </c>
      <c r="W476" s="213" t="s">
        <v>560</v>
      </c>
      <c r="X476" s="213" t="s">
        <v>541</v>
      </c>
      <c r="Y476" s="213" t="s">
        <v>541</v>
      </c>
      <c r="Z476" s="212">
        <v>31598</v>
      </c>
      <c r="AA476" s="212">
        <v>3802512</v>
      </c>
      <c r="AB476" s="217">
        <v>0.65845799999999999</v>
      </c>
      <c r="AC476" s="217">
        <v>1.059687</v>
      </c>
      <c r="AD476" s="212">
        <f t="shared" si="7"/>
        <v>2503794.446496</v>
      </c>
    </row>
    <row r="477" spans="2:30" x14ac:dyDescent="0.15">
      <c r="B477" s="213">
        <v>17197006302</v>
      </c>
      <c r="C477" s="213">
        <v>17197005594</v>
      </c>
      <c r="D477" s="213">
        <v>17197007193</v>
      </c>
      <c r="E477" s="213" t="s">
        <v>533</v>
      </c>
      <c r="F477" s="213" t="s">
        <v>534</v>
      </c>
      <c r="G477" s="213" t="s">
        <v>377</v>
      </c>
      <c r="H477" s="213" t="s">
        <v>382</v>
      </c>
      <c r="I477" s="213"/>
      <c r="J477" s="213" t="s">
        <v>542</v>
      </c>
      <c r="K477" s="213"/>
      <c r="L477" s="213"/>
      <c r="M477" s="213"/>
      <c r="N477" s="213"/>
      <c r="O477" s="213"/>
      <c r="P477" s="213"/>
      <c r="Q477" s="213"/>
      <c r="R477" s="213"/>
      <c r="S477" s="213" t="s">
        <v>606</v>
      </c>
      <c r="T477" s="213"/>
      <c r="U477" s="213" t="s">
        <v>538</v>
      </c>
      <c r="V477" s="213">
        <v>1</v>
      </c>
      <c r="W477" s="213" t="s">
        <v>545</v>
      </c>
      <c r="X477" s="213" t="s">
        <v>549</v>
      </c>
      <c r="Y477" s="213" t="s">
        <v>541</v>
      </c>
      <c r="Z477" s="212">
        <v>160</v>
      </c>
      <c r="AA477" s="212">
        <v>13680</v>
      </c>
      <c r="AB477" s="217">
        <v>3.782724</v>
      </c>
      <c r="AC477" s="217">
        <v>6.0877160000000003</v>
      </c>
      <c r="AD477" s="212">
        <f t="shared" si="7"/>
        <v>51747.664319999996</v>
      </c>
    </row>
    <row r="478" spans="2:30" x14ac:dyDescent="0.15">
      <c r="B478" s="213">
        <v>17197006306</v>
      </c>
      <c r="C478" s="213">
        <v>17197001632</v>
      </c>
      <c r="D478" s="213">
        <v>17197004811</v>
      </c>
      <c r="E478" s="213" t="s">
        <v>533</v>
      </c>
      <c r="F478" s="213" t="s">
        <v>534</v>
      </c>
      <c r="G478" s="213" t="s">
        <v>377</v>
      </c>
      <c r="H478" s="213" t="s">
        <v>381</v>
      </c>
      <c r="I478" s="213"/>
      <c r="J478" s="213" t="s">
        <v>382</v>
      </c>
      <c r="K478" s="213"/>
      <c r="L478" s="213"/>
      <c r="M478" s="213"/>
      <c r="N478" s="213"/>
      <c r="O478" s="213"/>
      <c r="P478" s="213"/>
      <c r="Q478" s="213"/>
      <c r="R478" s="213"/>
      <c r="S478" s="213" t="s">
        <v>647</v>
      </c>
      <c r="T478" s="213"/>
      <c r="U478" s="213" t="s">
        <v>538</v>
      </c>
      <c r="V478" s="213">
        <v>1</v>
      </c>
      <c r="W478" s="213" t="s">
        <v>582</v>
      </c>
      <c r="X478" s="213" t="s">
        <v>549</v>
      </c>
      <c r="Y478" s="213" t="s">
        <v>580</v>
      </c>
      <c r="Z478" s="212">
        <v>686600</v>
      </c>
      <c r="AA478" s="212">
        <v>11558680</v>
      </c>
      <c r="AB478" s="217">
        <v>0.228853</v>
      </c>
      <c r="AC478" s="217">
        <v>0.36830499999999999</v>
      </c>
      <c r="AD478" s="212">
        <f t="shared" si="7"/>
        <v>2645238.5940399999</v>
      </c>
    </row>
    <row r="479" spans="2:30" x14ac:dyDescent="0.15">
      <c r="B479" s="213">
        <v>17197006539</v>
      </c>
      <c r="C479" s="213">
        <v>17197001485</v>
      </c>
      <c r="D479" s="213">
        <v>17197001486</v>
      </c>
      <c r="E479" s="213" t="s">
        <v>533</v>
      </c>
      <c r="F479" s="213" t="s">
        <v>534</v>
      </c>
      <c r="G479" s="213" t="s">
        <v>377</v>
      </c>
      <c r="H479" s="213" t="s">
        <v>547</v>
      </c>
      <c r="I479" s="213"/>
      <c r="J479" s="213" t="s">
        <v>551</v>
      </c>
      <c r="K479" s="213" t="s">
        <v>615</v>
      </c>
      <c r="L479" s="213" t="s">
        <v>535</v>
      </c>
      <c r="M479" s="213"/>
      <c r="N479" s="213"/>
      <c r="O479" s="213"/>
      <c r="P479" s="213"/>
      <c r="Q479" s="213"/>
      <c r="R479" s="213"/>
      <c r="S479" s="213" t="s">
        <v>581</v>
      </c>
      <c r="T479" s="213"/>
      <c r="U479" s="213" t="s">
        <v>538</v>
      </c>
      <c r="V479" s="213">
        <v>1</v>
      </c>
      <c r="W479" s="213" t="s">
        <v>582</v>
      </c>
      <c r="X479" s="213" t="s">
        <v>554</v>
      </c>
      <c r="Y479" s="213" t="s">
        <v>540</v>
      </c>
      <c r="Z479" s="212">
        <v>106953</v>
      </c>
      <c r="AA479" s="212">
        <v>10367418</v>
      </c>
      <c r="AB479" s="217">
        <v>0.16173000000000001</v>
      </c>
      <c r="AC479" s="217">
        <v>0.26028000000000001</v>
      </c>
      <c r="AD479" s="212">
        <f t="shared" si="7"/>
        <v>1676722.5131400002</v>
      </c>
    </row>
    <row r="480" spans="2:30" x14ac:dyDescent="0.15">
      <c r="B480" s="213">
        <v>17197006543</v>
      </c>
      <c r="C480" s="213">
        <v>17197004793</v>
      </c>
      <c r="D480" s="213">
        <v>17197004792</v>
      </c>
      <c r="E480" s="213" t="s">
        <v>533</v>
      </c>
      <c r="F480" s="213" t="s">
        <v>534</v>
      </c>
      <c r="G480" s="213" t="s">
        <v>377</v>
      </c>
      <c r="H480" s="213" t="s">
        <v>535</v>
      </c>
      <c r="I480" s="213"/>
      <c r="J480" s="213" t="s">
        <v>382</v>
      </c>
      <c r="K480" s="213" t="s">
        <v>536</v>
      </c>
      <c r="L480" s="213"/>
      <c r="M480" s="213"/>
      <c r="N480" s="213"/>
      <c r="O480" s="213"/>
      <c r="P480" s="213"/>
      <c r="Q480" s="213"/>
      <c r="R480" s="213"/>
      <c r="S480" s="213" t="s">
        <v>537</v>
      </c>
      <c r="T480" s="213"/>
      <c r="U480" s="213" t="s">
        <v>538</v>
      </c>
      <c r="V480" s="213">
        <v>2</v>
      </c>
      <c r="W480" s="213" t="s">
        <v>545</v>
      </c>
      <c r="X480" s="213" t="s">
        <v>549</v>
      </c>
      <c r="Y480" s="213" t="s">
        <v>540</v>
      </c>
      <c r="Z480" s="212">
        <v>26869</v>
      </c>
      <c r="AA480" s="212">
        <v>2438308</v>
      </c>
      <c r="AB480" s="217">
        <v>0.15270500000000001</v>
      </c>
      <c r="AC480" s="217">
        <v>0.245756</v>
      </c>
      <c r="AD480" s="212">
        <f t="shared" si="7"/>
        <v>372341.82313999999</v>
      </c>
    </row>
    <row r="481" spans="2:30" x14ac:dyDescent="0.15">
      <c r="B481" s="213">
        <v>17197006546</v>
      </c>
      <c r="C481" s="213">
        <v>17197004800</v>
      </c>
      <c r="D481" s="213">
        <v>17197001468</v>
      </c>
      <c r="E481" s="213" t="s">
        <v>533</v>
      </c>
      <c r="F481" s="213" t="s">
        <v>534</v>
      </c>
      <c r="G481" s="213" t="s">
        <v>377</v>
      </c>
      <c r="H481" s="213" t="s">
        <v>535</v>
      </c>
      <c r="I481" s="213"/>
      <c r="J481" s="213"/>
      <c r="K481" s="213"/>
      <c r="L481" s="213"/>
      <c r="M481" s="213"/>
      <c r="N481" s="213"/>
      <c r="O481" s="213"/>
      <c r="P481" s="213"/>
      <c r="Q481" s="213"/>
      <c r="R481" s="213"/>
      <c r="S481" s="213"/>
      <c r="T481" s="213" t="s">
        <v>596</v>
      </c>
      <c r="U481" s="213" t="s">
        <v>559</v>
      </c>
      <c r="V481" s="213">
        <v>1</v>
      </c>
      <c r="W481" s="213" t="s">
        <v>560</v>
      </c>
      <c r="X481" s="213" t="s">
        <v>541</v>
      </c>
      <c r="Y481" s="213" t="s">
        <v>541</v>
      </c>
      <c r="Z481" s="212">
        <v>0</v>
      </c>
      <c r="AA481" s="212">
        <v>0</v>
      </c>
      <c r="AB481" s="217">
        <v>0.18116399999999999</v>
      </c>
      <c r="AC481" s="217">
        <v>0.29155599999999998</v>
      </c>
      <c r="AD481" s="212">
        <f t="shared" si="7"/>
        <v>0</v>
      </c>
    </row>
    <row r="482" spans="2:30" x14ac:dyDescent="0.15">
      <c r="B482" s="213">
        <v>17197006549</v>
      </c>
      <c r="C482" s="213">
        <v>17197004811</v>
      </c>
      <c r="D482" s="213">
        <v>17197004510</v>
      </c>
      <c r="E482" s="213" t="s">
        <v>533</v>
      </c>
      <c r="F482" s="213" t="s">
        <v>534</v>
      </c>
      <c r="G482" s="213" t="s">
        <v>377</v>
      </c>
      <c r="H482" s="213" t="s">
        <v>381</v>
      </c>
      <c r="I482" s="213"/>
      <c r="J482" s="213" t="s">
        <v>382</v>
      </c>
      <c r="K482" s="213"/>
      <c r="L482" s="213"/>
      <c r="M482" s="213"/>
      <c r="N482" s="213"/>
      <c r="O482" s="213"/>
      <c r="P482" s="213"/>
      <c r="Q482" s="213"/>
      <c r="R482" s="213"/>
      <c r="S482" s="213" t="s">
        <v>647</v>
      </c>
      <c r="T482" s="213"/>
      <c r="U482" s="213" t="s">
        <v>538</v>
      </c>
      <c r="V482" s="213">
        <v>1</v>
      </c>
      <c r="W482" s="213" t="s">
        <v>582</v>
      </c>
      <c r="X482" s="213" t="s">
        <v>549</v>
      </c>
      <c r="Y482" s="213" t="s">
        <v>580</v>
      </c>
      <c r="Z482" s="212">
        <v>688120</v>
      </c>
      <c r="AA482" s="212">
        <v>11689952</v>
      </c>
      <c r="AB482" s="217">
        <v>5.7116E-2</v>
      </c>
      <c r="AC482" s="217">
        <v>9.1919000000000001E-2</v>
      </c>
      <c r="AD482" s="212">
        <f t="shared" si="7"/>
        <v>667683.29843199998</v>
      </c>
    </row>
    <row r="483" spans="2:30" x14ac:dyDescent="0.15">
      <c r="B483" s="213">
        <v>17197006551</v>
      </c>
      <c r="C483" s="213">
        <v>17197004512</v>
      </c>
      <c r="D483" s="213">
        <v>17197004513</v>
      </c>
      <c r="E483" s="213" t="s">
        <v>533</v>
      </c>
      <c r="F483" s="213" t="s">
        <v>534</v>
      </c>
      <c r="G483" s="213" t="s">
        <v>377</v>
      </c>
      <c r="H483" s="213" t="s">
        <v>381</v>
      </c>
      <c r="I483" s="213"/>
      <c r="J483" s="213" t="s">
        <v>382</v>
      </c>
      <c r="K483" s="213"/>
      <c r="L483" s="213"/>
      <c r="M483" s="213"/>
      <c r="N483" s="213"/>
      <c r="O483" s="213"/>
      <c r="P483" s="213"/>
      <c r="Q483" s="213"/>
      <c r="R483" s="213"/>
      <c r="S483" s="213" t="s">
        <v>651</v>
      </c>
      <c r="T483" s="213"/>
      <c r="U483" s="213" t="s">
        <v>559</v>
      </c>
      <c r="V483" s="213">
        <v>1</v>
      </c>
      <c r="W483" s="213" t="s">
        <v>539</v>
      </c>
      <c r="X483" s="213" t="s">
        <v>541</v>
      </c>
      <c r="Y483" s="213" t="s">
        <v>541</v>
      </c>
      <c r="Z483" s="212">
        <v>910440</v>
      </c>
      <c r="AA483" s="212">
        <v>14335680</v>
      </c>
      <c r="AB483" s="217">
        <v>0.22836999999999999</v>
      </c>
      <c r="AC483" s="217">
        <v>0.36752600000000002</v>
      </c>
      <c r="AD483" s="212">
        <f t="shared" si="7"/>
        <v>3273839.2415999998</v>
      </c>
    </row>
    <row r="484" spans="2:30" x14ac:dyDescent="0.15">
      <c r="B484" s="213">
        <v>17197006552</v>
      </c>
      <c r="C484" s="213">
        <v>17197004513</v>
      </c>
      <c r="D484" s="213">
        <v>17197004812</v>
      </c>
      <c r="E484" s="213" t="s">
        <v>533</v>
      </c>
      <c r="F484" s="213" t="s">
        <v>534</v>
      </c>
      <c r="G484" s="213" t="s">
        <v>377</v>
      </c>
      <c r="H484" s="213" t="s">
        <v>381</v>
      </c>
      <c r="I484" s="213"/>
      <c r="J484" s="213" t="s">
        <v>382</v>
      </c>
      <c r="K484" s="213"/>
      <c r="L484" s="213"/>
      <c r="M484" s="213"/>
      <c r="N484" s="213"/>
      <c r="O484" s="213"/>
      <c r="P484" s="213"/>
      <c r="Q484" s="213"/>
      <c r="R484" s="213"/>
      <c r="S484" s="213" t="s">
        <v>651</v>
      </c>
      <c r="T484" s="213"/>
      <c r="U484" s="213" t="s">
        <v>559</v>
      </c>
      <c r="V484" s="213">
        <v>1</v>
      </c>
      <c r="W484" s="213" t="s">
        <v>539</v>
      </c>
      <c r="X484" s="213" t="s">
        <v>541</v>
      </c>
      <c r="Y484" s="213" t="s">
        <v>541</v>
      </c>
      <c r="Z484" s="212">
        <v>0</v>
      </c>
      <c r="AA484" s="212">
        <v>0</v>
      </c>
      <c r="AB484" s="217">
        <v>1.3027629999999999</v>
      </c>
      <c r="AC484" s="217">
        <v>2.0965989999999999</v>
      </c>
      <c r="AD484" s="212">
        <f t="shared" si="7"/>
        <v>0</v>
      </c>
    </row>
    <row r="485" spans="2:30" x14ac:dyDescent="0.15">
      <c r="B485" s="213">
        <v>17197006555</v>
      </c>
      <c r="C485" s="213">
        <v>17197006581</v>
      </c>
      <c r="D485" s="213">
        <v>17197004514</v>
      </c>
      <c r="E485" s="213" t="s">
        <v>533</v>
      </c>
      <c r="F485" s="213" t="s">
        <v>534</v>
      </c>
      <c r="G485" s="213" t="s">
        <v>377</v>
      </c>
      <c r="H485" s="213" t="s">
        <v>381</v>
      </c>
      <c r="I485" s="213"/>
      <c r="J485" s="213" t="s">
        <v>382</v>
      </c>
      <c r="K485" s="213"/>
      <c r="L485" s="213"/>
      <c r="M485" s="213"/>
      <c r="N485" s="213"/>
      <c r="O485" s="213"/>
      <c r="P485" s="213"/>
      <c r="Q485" s="213"/>
      <c r="R485" s="213"/>
      <c r="S485" s="213" t="s">
        <v>651</v>
      </c>
      <c r="T485" s="213" t="s">
        <v>651</v>
      </c>
      <c r="U485" s="213" t="s">
        <v>559</v>
      </c>
      <c r="V485" s="213">
        <v>1</v>
      </c>
      <c r="W485" s="213" t="s">
        <v>539</v>
      </c>
      <c r="X485" s="213" t="s">
        <v>541</v>
      </c>
      <c r="Y485" s="213" t="s">
        <v>541</v>
      </c>
      <c r="Z485" s="212">
        <v>0</v>
      </c>
      <c r="AA485" s="212">
        <v>0</v>
      </c>
      <c r="AB485" s="217">
        <v>1.069526</v>
      </c>
      <c r="AC485" s="217">
        <v>1.721239</v>
      </c>
      <c r="AD485" s="212">
        <f t="shared" si="7"/>
        <v>0</v>
      </c>
    </row>
    <row r="486" spans="2:30" x14ac:dyDescent="0.15">
      <c r="B486" s="213">
        <v>17197007035</v>
      </c>
      <c r="C486" s="213">
        <v>17197005588</v>
      </c>
      <c r="D486" s="213">
        <v>17197005589</v>
      </c>
      <c r="E486" s="213" t="s">
        <v>533</v>
      </c>
      <c r="F486" s="213" t="s">
        <v>534</v>
      </c>
      <c r="G486" s="213" t="s">
        <v>377</v>
      </c>
      <c r="H486" s="213" t="s">
        <v>382</v>
      </c>
      <c r="I486" s="213"/>
      <c r="J486" s="213"/>
      <c r="K486" s="213"/>
      <c r="L486" s="213"/>
      <c r="M486" s="213"/>
      <c r="N486" s="213"/>
      <c r="O486" s="213"/>
      <c r="P486" s="213"/>
      <c r="Q486" s="213"/>
      <c r="R486" s="213"/>
      <c r="S486" s="213" t="s">
        <v>592</v>
      </c>
      <c r="T486" s="213" t="s">
        <v>593</v>
      </c>
      <c r="U486" s="213" t="s">
        <v>559</v>
      </c>
      <c r="V486" s="213">
        <v>1</v>
      </c>
      <c r="W486" s="213" t="s">
        <v>539</v>
      </c>
      <c r="X486" s="213" t="s">
        <v>541</v>
      </c>
      <c r="Y486" s="213" t="s">
        <v>541</v>
      </c>
      <c r="Z486" s="212">
        <v>0</v>
      </c>
      <c r="AA486" s="212">
        <v>0</v>
      </c>
      <c r="AB486" s="217">
        <v>0.13303100000000001</v>
      </c>
      <c r="AC486" s="217">
        <v>0.21409400000000001</v>
      </c>
      <c r="AD486" s="212">
        <f t="shared" si="7"/>
        <v>0</v>
      </c>
    </row>
    <row r="487" spans="2:30" x14ac:dyDescent="0.15">
      <c r="B487" s="213">
        <v>17197007036</v>
      </c>
      <c r="C487" s="213">
        <v>17197005589</v>
      </c>
      <c r="D487" s="213">
        <v>17197005590</v>
      </c>
      <c r="E487" s="213" t="s">
        <v>533</v>
      </c>
      <c r="F487" s="213" t="s">
        <v>534</v>
      </c>
      <c r="G487" s="213" t="s">
        <v>377</v>
      </c>
      <c r="H487" s="213" t="s">
        <v>382</v>
      </c>
      <c r="I487" s="213"/>
      <c r="J487" s="213"/>
      <c r="K487" s="213"/>
      <c r="L487" s="213"/>
      <c r="M487" s="213"/>
      <c r="N487" s="213"/>
      <c r="O487" s="213"/>
      <c r="P487" s="213"/>
      <c r="Q487" s="213"/>
      <c r="R487" s="213"/>
      <c r="S487" s="213" t="s">
        <v>592</v>
      </c>
      <c r="T487" s="213" t="s">
        <v>593</v>
      </c>
      <c r="U487" s="213" t="s">
        <v>559</v>
      </c>
      <c r="V487" s="213">
        <v>1</v>
      </c>
      <c r="W487" s="213" t="s">
        <v>539</v>
      </c>
      <c r="X487" s="213" t="s">
        <v>541</v>
      </c>
      <c r="Y487" s="213" t="s">
        <v>541</v>
      </c>
      <c r="Z487" s="212">
        <v>0</v>
      </c>
      <c r="AA487" s="212">
        <v>0</v>
      </c>
      <c r="AB487" s="217">
        <v>0.265177</v>
      </c>
      <c r="AC487" s="217">
        <v>0.42676199999999997</v>
      </c>
      <c r="AD487" s="212">
        <f t="shared" si="7"/>
        <v>0</v>
      </c>
    </row>
    <row r="488" spans="2:30" x14ac:dyDescent="0.15">
      <c r="B488" s="213">
        <v>17197007044</v>
      </c>
      <c r="C488" s="213">
        <v>17197001537</v>
      </c>
      <c r="D488" s="213">
        <v>17197005596</v>
      </c>
      <c r="E488" s="213" t="s">
        <v>533</v>
      </c>
      <c r="F488" s="213" t="s">
        <v>534</v>
      </c>
      <c r="G488" s="213" t="s">
        <v>377</v>
      </c>
      <c r="H488" s="213" t="s">
        <v>382</v>
      </c>
      <c r="I488" s="213"/>
      <c r="J488" s="213" t="s">
        <v>542</v>
      </c>
      <c r="K488" s="213"/>
      <c r="L488" s="213"/>
      <c r="M488" s="213"/>
      <c r="N488" s="213"/>
      <c r="O488" s="213"/>
      <c r="P488" s="213"/>
      <c r="Q488" s="213"/>
      <c r="R488" s="213"/>
      <c r="S488" s="213" t="s">
        <v>606</v>
      </c>
      <c r="T488" s="213"/>
      <c r="U488" s="213" t="s">
        <v>538</v>
      </c>
      <c r="V488" s="213">
        <v>1</v>
      </c>
      <c r="W488" s="213" t="s">
        <v>545</v>
      </c>
      <c r="X488" s="213" t="s">
        <v>549</v>
      </c>
      <c r="Y488" s="213" t="s">
        <v>541</v>
      </c>
      <c r="Z488" s="212">
        <v>378360</v>
      </c>
      <c r="AA488" s="212">
        <v>5168280</v>
      </c>
      <c r="AB488" s="217">
        <v>1.7902750000000001</v>
      </c>
      <c r="AC488" s="217">
        <v>2.881173</v>
      </c>
      <c r="AD488" s="212">
        <f t="shared" si="7"/>
        <v>9252642.477</v>
      </c>
    </row>
    <row r="489" spans="2:30" x14ac:dyDescent="0.15">
      <c r="B489" s="213">
        <v>17197007048</v>
      </c>
      <c r="C489" s="213">
        <v>17197005596</v>
      </c>
      <c r="D489" s="213">
        <v>17197005594</v>
      </c>
      <c r="E489" s="213" t="s">
        <v>533</v>
      </c>
      <c r="F489" s="213" t="s">
        <v>534</v>
      </c>
      <c r="G489" s="213" t="s">
        <v>377</v>
      </c>
      <c r="H489" s="213" t="s">
        <v>382</v>
      </c>
      <c r="I489" s="213"/>
      <c r="J489" s="213" t="s">
        <v>542</v>
      </c>
      <c r="K489" s="213"/>
      <c r="L489" s="213"/>
      <c r="M489" s="213"/>
      <c r="N489" s="213"/>
      <c r="O489" s="213"/>
      <c r="P489" s="213"/>
      <c r="Q489" s="213"/>
      <c r="R489" s="213"/>
      <c r="S489" s="213" t="s">
        <v>606</v>
      </c>
      <c r="T489" s="213"/>
      <c r="U489" s="213" t="s">
        <v>538</v>
      </c>
      <c r="V489" s="213">
        <v>1</v>
      </c>
      <c r="W489" s="213" t="s">
        <v>545</v>
      </c>
      <c r="X489" s="213" t="s">
        <v>549</v>
      </c>
      <c r="Y489" s="213" t="s">
        <v>541</v>
      </c>
      <c r="Z489" s="212">
        <v>160</v>
      </c>
      <c r="AA489" s="212">
        <v>13680</v>
      </c>
      <c r="AB489" s="217">
        <v>1.1318889999999999</v>
      </c>
      <c r="AC489" s="217">
        <v>1.8216019999999999</v>
      </c>
      <c r="AD489" s="212">
        <f t="shared" si="7"/>
        <v>15484.24152</v>
      </c>
    </row>
    <row r="490" spans="2:30" x14ac:dyDescent="0.15">
      <c r="B490" s="213">
        <v>17197008210</v>
      </c>
      <c r="C490" s="213">
        <v>17197004813</v>
      </c>
      <c r="D490" s="213">
        <v>17197006574</v>
      </c>
      <c r="E490" s="213" t="s">
        <v>533</v>
      </c>
      <c r="F490" s="213" t="s">
        <v>534</v>
      </c>
      <c r="G490" s="213" t="s">
        <v>377</v>
      </c>
      <c r="H490" s="213" t="s">
        <v>381</v>
      </c>
      <c r="I490" s="213"/>
      <c r="J490" s="213" t="s">
        <v>382</v>
      </c>
      <c r="K490" s="213"/>
      <c r="L490" s="213"/>
      <c r="M490" s="213"/>
      <c r="N490" s="213"/>
      <c r="O490" s="213"/>
      <c r="P490" s="213"/>
      <c r="Q490" s="213"/>
      <c r="R490" s="213"/>
      <c r="S490" s="213" t="s">
        <v>651</v>
      </c>
      <c r="T490" s="213" t="s">
        <v>651</v>
      </c>
      <c r="U490" s="213" t="s">
        <v>559</v>
      </c>
      <c r="V490" s="213">
        <v>1</v>
      </c>
      <c r="W490" s="213" t="s">
        <v>539</v>
      </c>
      <c r="X490" s="213" t="s">
        <v>554</v>
      </c>
      <c r="Y490" s="213" t="s">
        <v>540</v>
      </c>
      <c r="Z490" s="212">
        <v>0</v>
      </c>
      <c r="AA490" s="212">
        <v>0</v>
      </c>
      <c r="AB490" s="217">
        <v>9.4731999999999997E-2</v>
      </c>
      <c r="AC490" s="217">
        <v>0.15245700000000001</v>
      </c>
      <c r="AD490" s="212">
        <f t="shared" si="7"/>
        <v>0</v>
      </c>
    </row>
    <row r="491" spans="2:30" x14ac:dyDescent="0.15">
      <c r="B491" s="213">
        <v>17197008238</v>
      </c>
      <c r="C491" s="213">
        <v>17197001467</v>
      </c>
      <c r="D491" s="213">
        <v>17197006595</v>
      </c>
      <c r="E491" s="213" t="s">
        <v>533</v>
      </c>
      <c r="F491" s="213" t="s">
        <v>534</v>
      </c>
      <c r="G491" s="213" t="s">
        <v>377</v>
      </c>
      <c r="H491" s="213" t="s">
        <v>381</v>
      </c>
      <c r="I491" s="213"/>
      <c r="J491" s="213" t="s">
        <v>382</v>
      </c>
      <c r="K491" s="213"/>
      <c r="L491" s="213"/>
      <c r="M491" s="213"/>
      <c r="N491" s="213"/>
      <c r="O491" s="213"/>
      <c r="P491" s="213"/>
      <c r="Q491" s="213"/>
      <c r="R491" s="213"/>
      <c r="S491" s="213" t="s">
        <v>647</v>
      </c>
      <c r="T491" s="213" t="s">
        <v>705</v>
      </c>
      <c r="U491" s="213" t="s">
        <v>538</v>
      </c>
      <c r="V491" s="213">
        <v>2</v>
      </c>
      <c r="W491" s="213" t="s">
        <v>545</v>
      </c>
      <c r="X491" s="213" t="s">
        <v>540</v>
      </c>
      <c r="Y491" s="213" t="s">
        <v>580</v>
      </c>
      <c r="Z491" s="212">
        <v>522946</v>
      </c>
      <c r="AA491" s="212">
        <v>20496410</v>
      </c>
      <c r="AB491" s="217">
        <v>9.8602999999999996E-2</v>
      </c>
      <c r="AC491" s="217">
        <v>0.15868599999999999</v>
      </c>
      <c r="AD491" s="212">
        <f t="shared" si="7"/>
        <v>2021007.51523</v>
      </c>
    </row>
    <row r="492" spans="2:30" x14ac:dyDescent="0.15">
      <c r="B492" s="213">
        <v>17197008287</v>
      </c>
      <c r="C492" s="213">
        <v>17197001468</v>
      </c>
      <c r="D492" s="213">
        <v>17197006628</v>
      </c>
      <c r="E492" s="213" t="s">
        <v>533</v>
      </c>
      <c r="F492" s="213" t="s">
        <v>534</v>
      </c>
      <c r="G492" s="213" t="s">
        <v>377</v>
      </c>
      <c r="H492" s="213" t="s">
        <v>535</v>
      </c>
      <c r="I492" s="213"/>
      <c r="J492" s="213"/>
      <c r="K492" s="213"/>
      <c r="L492" s="213"/>
      <c r="M492" s="213"/>
      <c r="N492" s="213"/>
      <c r="O492" s="213"/>
      <c r="P492" s="213"/>
      <c r="Q492" s="213"/>
      <c r="R492" s="213"/>
      <c r="S492" s="213"/>
      <c r="T492" s="213" t="s">
        <v>596</v>
      </c>
      <c r="U492" s="213" t="s">
        <v>559</v>
      </c>
      <c r="V492" s="213">
        <v>1</v>
      </c>
      <c r="W492" s="213" t="s">
        <v>560</v>
      </c>
      <c r="X492" s="213" t="s">
        <v>541</v>
      </c>
      <c r="Y492" s="213" t="s">
        <v>541</v>
      </c>
      <c r="Z492" s="212">
        <v>32280</v>
      </c>
      <c r="AA492" s="212">
        <v>528640</v>
      </c>
      <c r="AB492" s="217">
        <v>0.21437100000000001</v>
      </c>
      <c r="AC492" s="217">
        <v>0.344997</v>
      </c>
      <c r="AD492" s="212">
        <f t="shared" si="7"/>
        <v>113325.08544000001</v>
      </c>
    </row>
    <row r="493" spans="2:30" x14ac:dyDescent="0.15">
      <c r="B493" s="213">
        <v>17197008952</v>
      </c>
      <c r="C493" s="213">
        <v>17197007173</v>
      </c>
      <c r="D493" s="213">
        <v>17197007172</v>
      </c>
      <c r="E493" s="213" t="s">
        <v>533</v>
      </c>
      <c r="F493" s="213" t="s">
        <v>534</v>
      </c>
      <c r="G493" s="213" t="s">
        <v>377</v>
      </c>
      <c r="H493" s="213" t="s">
        <v>381</v>
      </c>
      <c r="I493" s="213"/>
      <c r="J493" s="213" t="s">
        <v>382</v>
      </c>
      <c r="K493" s="213"/>
      <c r="L493" s="213"/>
      <c r="M493" s="213"/>
      <c r="N493" s="213"/>
      <c r="O493" s="213"/>
      <c r="P493" s="213"/>
      <c r="Q493" s="213"/>
      <c r="R493" s="213"/>
      <c r="S493" s="213" t="s">
        <v>647</v>
      </c>
      <c r="T493" s="213"/>
      <c r="U493" s="213" t="s">
        <v>538</v>
      </c>
      <c r="V493" s="213">
        <v>2</v>
      </c>
      <c r="W493" s="213" t="s">
        <v>545</v>
      </c>
      <c r="X493" s="213" t="s">
        <v>549</v>
      </c>
      <c r="Y493" s="213" t="s">
        <v>580</v>
      </c>
      <c r="Z493" s="212">
        <v>522946</v>
      </c>
      <c r="AA493" s="212">
        <v>20497490</v>
      </c>
      <c r="AB493" s="217">
        <v>0.13239400000000001</v>
      </c>
      <c r="AC493" s="217">
        <v>0.21306900000000001</v>
      </c>
      <c r="AD493" s="212">
        <f t="shared" si="7"/>
        <v>2713744.6910600001</v>
      </c>
    </row>
    <row r="494" spans="2:30" x14ac:dyDescent="0.15">
      <c r="B494" s="213">
        <v>17197008968</v>
      </c>
      <c r="C494" s="213">
        <v>17197007190</v>
      </c>
      <c r="D494" s="213">
        <v>17999022163</v>
      </c>
      <c r="E494" s="213" t="s">
        <v>533</v>
      </c>
      <c r="F494" s="213" t="s">
        <v>534</v>
      </c>
      <c r="G494" s="213" t="s">
        <v>377</v>
      </c>
      <c r="H494" s="213" t="s">
        <v>381</v>
      </c>
      <c r="I494" s="213"/>
      <c r="J494" s="213"/>
      <c r="K494" s="213"/>
      <c r="L494" s="213"/>
      <c r="M494" s="213"/>
      <c r="N494" s="213"/>
      <c r="O494" s="213"/>
      <c r="P494" s="213"/>
      <c r="Q494" s="213"/>
      <c r="R494" s="213"/>
      <c r="S494" s="213"/>
      <c r="T494" s="213"/>
      <c r="U494" s="213" t="s">
        <v>559</v>
      </c>
      <c r="V494" s="213">
        <v>1</v>
      </c>
      <c r="W494" s="213" t="s">
        <v>560</v>
      </c>
      <c r="X494" s="213" t="s">
        <v>541</v>
      </c>
      <c r="Y494" s="213" t="s">
        <v>541</v>
      </c>
      <c r="Z494" s="212">
        <v>0</v>
      </c>
      <c r="AA494" s="212">
        <v>0</v>
      </c>
      <c r="AB494" s="217">
        <v>0.76834100000000005</v>
      </c>
      <c r="AC494" s="217">
        <v>1.2365280000000001</v>
      </c>
      <c r="AD494" s="212">
        <f t="shared" si="7"/>
        <v>0</v>
      </c>
    </row>
    <row r="495" spans="2:30" x14ac:dyDescent="0.15">
      <c r="B495" s="213">
        <v>17197008971</v>
      </c>
      <c r="C495" s="213">
        <v>17197007187</v>
      </c>
      <c r="D495" s="213">
        <v>17197007190</v>
      </c>
      <c r="E495" s="213" t="s">
        <v>533</v>
      </c>
      <c r="F495" s="213" t="s">
        <v>534</v>
      </c>
      <c r="G495" s="213" t="s">
        <v>377</v>
      </c>
      <c r="H495" s="213" t="s">
        <v>381</v>
      </c>
      <c r="I495" s="213"/>
      <c r="J495" s="213"/>
      <c r="K495" s="213"/>
      <c r="L495" s="213"/>
      <c r="M495" s="213"/>
      <c r="N495" s="213"/>
      <c r="O495" s="213"/>
      <c r="P495" s="213"/>
      <c r="Q495" s="213"/>
      <c r="R495" s="213"/>
      <c r="S495" s="213"/>
      <c r="T495" s="213"/>
      <c r="U495" s="213" t="s">
        <v>559</v>
      </c>
      <c r="V495" s="213">
        <v>1</v>
      </c>
      <c r="W495" s="213" t="s">
        <v>560</v>
      </c>
      <c r="X495" s="213" t="s">
        <v>541</v>
      </c>
      <c r="Y495" s="213" t="s">
        <v>541</v>
      </c>
      <c r="Z495" s="212">
        <v>0</v>
      </c>
      <c r="AA495" s="212">
        <v>0</v>
      </c>
      <c r="AB495" s="217">
        <v>6.4431000000000002E-2</v>
      </c>
      <c r="AC495" s="217">
        <v>0.10369200000000001</v>
      </c>
      <c r="AD495" s="212">
        <f t="shared" si="7"/>
        <v>0</v>
      </c>
    </row>
    <row r="496" spans="2:30" x14ac:dyDescent="0.15">
      <c r="B496" s="213">
        <v>17197008972</v>
      </c>
      <c r="C496" s="213">
        <v>17197007191</v>
      </c>
      <c r="D496" s="213">
        <v>17197001821</v>
      </c>
      <c r="E496" s="213" t="s">
        <v>533</v>
      </c>
      <c r="F496" s="213" t="s">
        <v>534</v>
      </c>
      <c r="G496" s="213" t="s">
        <v>377</v>
      </c>
      <c r="H496" s="213" t="s">
        <v>687</v>
      </c>
      <c r="I496" s="213"/>
      <c r="J496" s="213" t="s">
        <v>382</v>
      </c>
      <c r="K496" s="213"/>
      <c r="L496" s="213"/>
      <c r="M496" s="213"/>
      <c r="N496" s="213"/>
      <c r="O496" s="213"/>
      <c r="P496" s="213"/>
      <c r="Q496" s="213"/>
      <c r="R496" s="213"/>
      <c r="S496" s="213"/>
      <c r="T496" s="213"/>
      <c r="U496" s="213" t="s">
        <v>559</v>
      </c>
      <c r="V496" s="213">
        <v>1</v>
      </c>
      <c r="W496" s="213" t="s">
        <v>560</v>
      </c>
      <c r="X496" s="213" t="s">
        <v>541</v>
      </c>
      <c r="Y496" s="213" t="s">
        <v>541</v>
      </c>
      <c r="Z496" s="212">
        <v>0</v>
      </c>
      <c r="AA496" s="212">
        <v>0</v>
      </c>
      <c r="AB496" s="217">
        <v>0.18357200000000001</v>
      </c>
      <c r="AC496" s="217">
        <v>0.295431</v>
      </c>
      <c r="AD496" s="212">
        <f t="shared" si="7"/>
        <v>0</v>
      </c>
    </row>
    <row r="497" spans="2:30" x14ac:dyDescent="0.15">
      <c r="B497" s="213">
        <v>17197008997</v>
      </c>
      <c r="C497" s="213">
        <v>17197007213</v>
      </c>
      <c r="D497" s="213">
        <v>17197001670</v>
      </c>
      <c r="E497" s="213" t="s">
        <v>533</v>
      </c>
      <c r="F497" s="213" t="s">
        <v>534</v>
      </c>
      <c r="G497" s="213" t="s">
        <v>377</v>
      </c>
      <c r="H497" s="213" t="s">
        <v>381</v>
      </c>
      <c r="I497" s="213"/>
      <c r="J497" s="213"/>
      <c r="K497" s="213"/>
      <c r="L497" s="213"/>
      <c r="M497" s="213"/>
      <c r="N497" s="213"/>
      <c r="O497" s="213"/>
      <c r="P497" s="213"/>
      <c r="Q497" s="213"/>
      <c r="R497" s="213"/>
      <c r="S497" s="213" t="s">
        <v>591</v>
      </c>
      <c r="T497" s="213"/>
      <c r="U497" s="213" t="s">
        <v>559</v>
      </c>
      <c r="V497" s="213">
        <v>1</v>
      </c>
      <c r="W497" s="213" t="s">
        <v>560</v>
      </c>
      <c r="X497" s="213" t="s">
        <v>541</v>
      </c>
      <c r="Y497" s="213" t="s">
        <v>541</v>
      </c>
      <c r="Z497" s="212">
        <v>0</v>
      </c>
      <c r="AA497" s="212">
        <v>0</v>
      </c>
      <c r="AB497" s="217">
        <v>1.5016179999999999</v>
      </c>
      <c r="AC497" s="217">
        <v>2.4166249999999998</v>
      </c>
      <c r="AD497" s="212">
        <f t="shared" si="7"/>
        <v>0</v>
      </c>
    </row>
    <row r="498" spans="2:30" x14ac:dyDescent="0.15">
      <c r="B498" s="213">
        <v>17197009002</v>
      </c>
      <c r="C498" s="213">
        <v>17197007217</v>
      </c>
      <c r="D498" s="213">
        <v>17197007213</v>
      </c>
      <c r="E498" s="213" t="s">
        <v>533</v>
      </c>
      <c r="F498" s="213" t="s">
        <v>534</v>
      </c>
      <c r="G498" s="213" t="s">
        <v>377</v>
      </c>
      <c r="H498" s="213" t="s">
        <v>381</v>
      </c>
      <c r="I498" s="213"/>
      <c r="J498" s="213"/>
      <c r="K498" s="213"/>
      <c r="L498" s="213"/>
      <c r="M498" s="213"/>
      <c r="N498" s="213"/>
      <c r="O498" s="213"/>
      <c r="P498" s="213"/>
      <c r="Q498" s="213"/>
      <c r="R498" s="213"/>
      <c r="S498" s="213" t="s">
        <v>591</v>
      </c>
      <c r="T498" s="213"/>
      <c r="U498" s="213" t="s">
        <v>559</v>
      </c>
      <c r="V498" s="213">
        <v>1</v>
      </c>
      <c r="W498" s="213" t="s">
        <v>560</v>
      </c>
      <c r="X498" s="213" t="s">
        <v>541</v>
      </c>
      <c r="Y498" s="213" t="s">
        <v>541</v>
      </c>
      <c r="Z498" s="212">
        <v>0</v>
      </c>
      <c r="AA498" s="212">
        <v>0</v>
      </c>
      <c r="AB498" s="217">
        <v>0.619232</v>
      </c>
      <c r="AC498" s="217">
        <v>0.99655899999999997</v>
      </c>
      <c r="AD498" s="212">
        <f t="shared" si="7"/>
        <v>0</v>
      </c>
    </row>
    <row r="499" spans="2:30" x14ac:dyDescent="0.15">
      <c r="B499" s="213">
        <v>17197009011</v>
      </c>
      <c r="C499" s="213">
        <v>17197001625</v>
      </c>
      <c r="D499" s="213">
        <v>17197007229</v>
      </c>
      <c r="E499" s="213" t="s">
        <v>533</v>
      </c>
      <c r="F499" s="213" t="s">
        <v>534</v>
      </c>
      <c r="G499" s="213" t="s">
        <v>377</v>
      </c>
      <c r="H499" s="213" t="s">
        <v>381</v>
      </c>
      <c r="I499" s="213"/>
      <c r="J499" s="213"/>
      <c r="K499" s="213"/>
      <c r="L499" s="213"/>
      <c r="M499" s="213"/>
      <c r="N499" s="213"/>
      <c r="O499" s="213"/>
      <c r="P499" s="213"/>
      <c r="Q499" s="213"/>
      <c r="R499" s="213"/>
      <c r="S499" s="213" t="s">
        <v>591</v>
      </c>
      <c r="T499" s="213"/>
      <c r="U499" s="213" t="s">
        <v>559</v>
      </c>
      <c r="V499" s="213">
        <v>1</v>
      </c>
      <c r="W499" s="213" t="s">
        <v>560</v>
      </c>
      <c r="X499" s="213" t="s">
        <v>541</v>
      </c>
      <c r="Y499" s="213" t="s">
        <v>541</v>
      </c>
      <c r="Z499" s="212">
        <v>0</v>
      </c>
      <c r="AA499" s="212">
        <v>0</v>
      </c>
      <c r="AB499" s="217">
        <v>0.125112</v>
      </c>
      <c r="AC499" s="217">
        <v>0.201348</v>
      </c>
      <c r="AD499" s="212">
        <f t="shared" si="7"/>
        <v>0</v>
      </c>
    </row>
    <row r="500" spans="2:30" x14ac:dyDescent="0.15">
      <c r="B500" s="213">
        <v>17197009271</v>
      </c>
      <c r="C500" s="213">
        <v>17197007398</v>
      </c>
      <c r="D500" s="213">
        <v>17197007397</v>
      </c>
      <c r="E500" s="213" t="s">
        <v>533</v>
      </c>
      <c r="F500" s="213" t="s">
        <v>534</v>
      </c>
      <c r="G500" s="213" t="s">
        <v>377</v>
      </c>
      <c r="H500" s="213" t="s">
        <v>547</v>
      </c>
      <c r="I500" s="213"/>
      <c r="J500" s="213" t="s">
        <v>551</v>
      </c>
      <c r="K500" s="213" t="s">
        <v>615</v>
      </c>
      <c r="L500" s="213" t="s">
        <v>535</v>
      </c>
      <c r="M500" s="213"/>
      <c r="N500" s="213"/>
      <c r="O500" s="213"/>
      <c r="P500" s="213"/>
      <c r="Q500" s="213"/>
      <c r="R500" s="213"/>
      <c r="S500" s="213" t="s">
        <v>581</v>
      </c>
      <c r="T500" s="213"/>
      <c r="U500" s="213" t="s">
        <v>538</v>
      </c>
      <c r="V500" s="213">
        <v>2</v>
      </c>
      <c r="W500" s="213" t="s">
        <v>582</v>
      </c>
      <c r="X500" s="213" t="s">
        <v>540</v>
      </c>
      <c r="Y500" s="213" t="s">
        <v>540</v>
      </c>
      <c r="Z500" s="212">
        <v>106953</v>
      </c>
      <c r="AA500" s="212">
        <v>10367418</v>
      </c>
      <c r="AB500" s="217">
        <v>0.14177600000000001</v>
      </c>
      <c r="AC500" s="217">
        <v>0.22816600000000001</v>
      </c>
      <c r="AD500" s="212">
        <f t="shared" si="7"/>
        <v>1469851.0543680002</v>
      </c>
    </row>
    <row r="501" spans="2:30" x14ac:dyDescent="0.15">
      <c r="B501" s="213">
        <v>17197009294</v>
      </c>
      <c r="C501" s="213">
        <v>17197007420</v>
      </c>
      <c r="D501" s="213">
        <v>17197007418</v>
      </c>
      <c r="E501" s="213" t="s">
        <v>533</v>
      </c>
      <c r="F501" s="213" t="s">
        <v>534</v>
      </c>
      <c r="G501" s="213" t="s">
        <v>377</v>
      </c>
      <c r="H501" s="213" t="s">
        <v>551</v>
      </c>
      <c r="I501" s="213"/>
      <c r="J501" s="213" t="s">
        <v>535</v>
      </c>
      <c r="K501" s="213"/>
      <c r="L501" s="213"/>
      <c r="M501" s="213"/>
      <c r="N501" s="213"/>
      <c r="O501" s="213"/>
      <c r="P501" s="213"/>
      <c r="Q501" s="213"/>
      <c r="R501" s="213"/>
      <c r="S501" s="213" t="s">
        <v>594</v>
      </c>
      <c r="T501" s="213"/>
      <c r="U501" s="213" t="s">
        <v>559</v>
      </c>
      <c r="V501" s="213">
        <v>1</v>
      </c>
      <c r="W501" s="213" t="s">
        <v>560</v>
      </c>
      <c r="X501" s="213" t="s">
        <v>541</v>
      </c>
      <c r="Y501" s="213" t="s">
        <v>541</v>
      </c>
      <c r="Z501" s="212">
        <v>0</v>
      </c>
      <c r="AA501" s="212">
        <v>0</v>
      </c>
      <c r="AB501" s="217">
        <v>0.22359000000000001</v>
      </c>
      <c r="AC501" s="217">
        <v>0.35983399999999999</v>
      </c>
      <c r="AD501" s="212">
        <f t="shared" si="7"/>
        <v>0</v>
      </c>
    </row>
    <row r="502" spans="2:30" x14ac:dyDescent="0.15">
      <c r="B502" s="213">
        <v>17197009296</v>
      </c>
      <c r="C502" s="213">
        <v>17197007406</v>
      </c>
      <c r="D502" s="213">
        <v>17197007420</v>
      </c>
      <c r="E502" s="213" t="s">
        <v>533</v>
      </c>
      <c r="F502" s="213" t="s">
        <v>534</v>
      </c>
      <c r="G502" s="213" t="s">
        <v>377</v>
      </c>
      <c r="H502" s="213" t="s">
        <v>551</v>
      </c>
      <c r="I502" s="213"/>
      <c r="J502" s="213" t="s">
        <v>535</v>
      </c>
      <c r="K502" s="213"/>
      <c r="L502" s="213"/>
      <c r="M502" s="213"/>
      <c r="N502" s="213"/>
      <c r="O502" s="213"/>
      <c r="P502" s="213"/>
      <c r="Q502" s="213"/>
      <c r="R502" s="213"/>
      <c r="S502" s="213" t="s">
        <v>594</v>
      </c>
      <c r="T502" s="213"/>
      <c r="U502" s="213" t="s">
        <v>559</v>
      </c>
      <c r="V502" s="213">
        <v>1</v>
      </c>
      <c r="W502" s="213" t="s">
        <v>560</v>
      </c>
      <c r="X502" s="213" t="s">
        <v>541</v>
      </c>
      <c r="Y502" s="213" t="s">
        <v>541</v>
      </c>
      <c r="Z502" s="212">
        <v>0</v>
      </c>
      <c r="AA502" s="212">
        <v>0</v>
      </c>
      <c r="AB502" s="217">
        <v>2.2428E-2</v>
      </c>
      <c r="AC502" s="217">
        <v>3.6094000000000001E-2</v>
      </c>
      <c r="AD502" s="212">
        <f t="shared" si="7"/>
        <v>0</v>
      </c>
    </row>
    <row r="503" spans="2:30" x14ac:dyDescent="0.15">
      <c r="B503" s="213">
        <v>17197009298</v>
      </c>
      <c r="C503" s="213">
        <v>17197007418</v>
      </c>
      <c r="D503" s="213">
        <v>17197007421</v>
      </c>
      <c r="E503" s="213" t="s">
        <v>533</v>
      </c>
      <c r="F503" s="213" t="s">
        <v>534</v>
      </c>
      <c r="G503" s="213" t="s">
        <v>377</v>
      </c>
      <c r="H503" s="213" t="s">
        <v>551</v>
      </c>
      <c r="I503" s="213"/>
      <c r="J503" s="213" t="s">
        <v>535</v>
      </c>
      <c r="K503" s="213"/>
      <c r="L503" s="213"/>
      <c r="M503" s="213"/>
      <c r="N503" s="213"/>
      <c r="O503" s="213"/>
      <c r="P503" s="213"/>
      <c r="Q503" s="213"/>
      <c r="R503" s="213"/>
      <c r="S503" s="213" t="s">
        <v>594</v>
      </c>
      <c r="T503" s="213"/>
      <c r="U503" s="213" t="s">
        <v>559</v>
      </c>
      <c r="V503" s="213">
        <v>1</v>
      </c>
      <c r="W503" s="213" t="s">
        <v>560</v>
      </c>
      <c r="X503" s="213" t="s">
        <v>541</v>
      </c>
      <c r="Y503" s="213" t="s">
        <v>541</v>
      </c>
      <c r="Z503" s="212">
        <v>0</v>
      </c>
      <c r="AA503" s="212">
        <v>0</v>
      </c>
      <c r="AB503" s="217">
        <v>0.276337</v>
      </c>
      <c r="AC503" s="217">
        <v>0.44472200000000001</v>
      </c>
      <c r="AD503" s="212">
        <f t="shared" si="7"/>
        <v>0</v>
      </c>
    </row>
    <row r="504" spans="2:30" x14ac:dyDescent="0.15">
      <c r="B504" s="213">
        <v>17197009317</v>
      </c>
      <c r="C504" s="213">
        <v>17197007439</v>
      </c>
      <c r="D504" s="213">
        <v>17197001545</v>
      </c>
      <c r="E504" s="213" t="s">
        <v>533</v>
      </c>
      <c r="F504" s="213" t="s">
        <v>534</v>
      </c>
      <c r="G504" s="213" t="s">
        <v>377</v>
      </c>
      <c r="H504" s="213" t="s">
        <v>535</v>
      </c>
      <c r="I504" s="213"/>
      <c r="J504" s="213" t="s">
        <v>382</v>
      </c>
      <c r="K504" s="213" t="s">
        <v>536</v>
      </c>
      <c r="L504" s="213"/>
      <c r="M504" s="213"/>
      <c r="N504" s="213"/>
      <c r="O504" s="213"/>
      <c r="P504" s="213"/>
      <c r="Q504" s="213"/>
      <c r="R504" s="213"/>
      <c r="S504" s="213" t="s">
        <v>537</v>
      </c>
      <c r="T504" s="213"/>
      <c r="U504" s="213" t="s">
        <v>538</v>
      </c>
      <c r="V504" s="213">
        <v>2</v>
      </c>
      <c r="W504" s="213" t="s">
        <v>545</v>
      </c>
      <c r="X504" s="213" t="s">
        <v>549</v>
      </c>
      <c r="Y504" s="213" t="s">
        <v>540</v>
      </c>
      <c r="Z504" s="212">
        <v>25709</v>
      </c>
      <c r="AA504" s="212">
        <v>2350988</v>
      </c>
      <c r="AB504" s="217">
        <v>3.1976390000000001</v>
      </c>
      <c r="AC504" s="217">
        <v>5.1461110000000003</v>
      </c>
      <c r="AD504" s="212">
        <f t="shared" si="7"/>
        <v>7517610.9173320001</v>
      </c>
    </row>
    <row r="505" spans="2:30" x14ac:dyDescent="0.15">
      <c r="B505" s="213">
        <v>17197010207</v>
      </c>
      <c r="C505" s="213">
        <v>17197001452</v>
      </c>
      <c r="D505" s="213">
        <v>17197008298</v>
      </c>
      <c r="E505" s="213" t="s">
        <v>533</v>
      </c>
      <c r="F505" s="213" t="s">
        <v>534</v>
      </c>
      <c r="G505" s="213" t="s">
        <v>377</v>
      </c>
      <c r="H505" s="213" t="s">
        <v>535</v>
      </c>
      <c r="I505" s="213"/>
      <c r="J505" s="213" t="s">
        <v>382</v>
      </c>
      <c r="K505" s="213" t="s">
        <v>536</v>
      </c>
      <c r="L505" s="213"/>
      <c r="M505" s="213"/>
      <c r="N505" s="213"/>
      <c r="O505" s="213"/>
      <c r="P505" s="213"/>
      <c r="Q505" s="213"/>
      <c r="R505" s="213"/>
      <c r="S505" s="213" t="s">
        <v>550</v>
      </c>
      <c r="T505" s="213"/>
      <c r="U505" s="213" t="s">
        <v>538</v>
      </c>
      <c r="V505" s="213">
        <v>2</v>
      </c>
      <c r="W505" s="213" t="s">
        <v>545</v>
      </c>
      <c r="X505" s="213" t="s">
        <v>541</v>
      </c>
      <c r="Y505" s="213" t="s">
        <v>540</v>
      </c>
      <c r="Z505" s="212">
        <v>71203</v>
      </c>
      <c r="AA505" s="212">
        <v>7843908</v>
      </c>
      <c r="AB505" s="217">
        <v>0.35574299999999998</v>
      </c>
      <c r="AC505" s="217">
        <v>0.57251300000000005</v>
      </c>
      <c r="AD505" s="212">
        <f t="shared" si="7"/>
        <v>2790415.3636439997</v>
      </c>
    </row>
    <row r="506" spans="2:30" x14ac:dyDescent="0.15">
      <c r="B506" s="213">
        <v>17031000052</v>
      </c>
      <c r="C506" s="213">
        <v>17031001391</v>
      </c>
      <c r="D506" s="213">
        <v>17031004747</v>
      </c>
      <c r="E506" s="213" t="s">
        <v>533</v>
      </c>
      <c r="F506" s="213" t="s">
        <v>534</v>
      </c>
      <c r="G506" s="213" t="s">
        <v>365</v>
      </c>
      <c r="H506" s="213" t="s">
        <v>557</v>
      </c>
      <c r="I506" s="213"/>
      <c r="J506" s="213" t="s">
        <v>552</v>
      </c>
      <c r="K506" s="213"/>
      <c r="L506" s="213"/>
      <c r="M506" s="213"/>
      <c r="N506" s="213"/>
      <c r="O506" s="213"/>
      <c r="P506" s="213"/>
      <c r="Q506" s="213"/>
      <c r="R506" s="213"/>
      <c r="S506" s="213" t="s">
        <v>634</v>
      </c>
      <c r="T506" s="213"/>
      <c r="U506" s="213" t="s">
        <v>559</v>
      </c>
      <c r="V506" s="213">
        <v>1</v>
      </c>
      <c r="W506" s="213" t="s">
        <v>560</v>
      </c>
      <c r="X506" s="213" t="s">
        <v>541</v>
      </c>
      <c r="Y506" s="213" t="s">
        <v>541</v>
      </c>
      <c r="Z506" s="212">
        <v>440</v>
      </c>
      <c r="AA506" s="212">
        <v>41160</v>
      </c>
      <c r="AB506" s="217">
        <v>0.177458</v>
      </c>
      <c r="AC506" s="217">
        <v>0.28559099999999998</v>
      </c>
      <c r="AD506" s="212">
        <f t="shared" si="7"/>
        <v>7304.1712800000005</v>
      </c>
    </row>
    <row r="507" spans="2:30" x14ac:dyDescent="0.15">
      <c r="B507" s="213">
        <v>17031000106</v>
      </c>
      <c r="C507" s="213">
        <v>17031000811</v>
      </c>
      <c r="D507" s="213">
        <v>17031000815</v>
      </c>
      <c r="E507" s="213" t="s">
        <v>533</v>
      </c>
      <c r="F507" s="213" t="s">
        <v>534</v>
      </c>
      <c r="G507" s="213" t="s">
        <v>365</v>
      </c>
      <c r="H507" s="213" t="s">
        <v>381</v>
      </c>
      <c r="I507" s="213"/>
      <c r="J507" s="213"/>
      <c r="K507" s="213"/>
      <c r="L507" s="213"/>
      <c r="M507" s="213"/>
      <c r="N507" s="213"/>
      <c r="O507" s="213"/>
      <c r="P507" s="213"/>
      <c r="Q507" s="213"/>
      <c r="R507" s="213"/>
      <c r="S507" s="213"/>
      <c r="T507" s="213"/>
      <c r="U507" s="213" t="s">
        <v>538</v>
      </c>
      <c r="V507" s="213">
        <v>1</v>
      </c>
      <c r="W507" s="213" t="s">
        <v>560</v>
      </c>
      <c r="X507" s="213" t="s">
        <v>541</v>
      </c>
      <c r="Y507" s="213" t="s">
        <v>541</v>
      </c>
      <c r="Z507" s="212">
        <v>400</v>
      </c>
      <c r="AA507" s="212">
        <v>36160</v>
      </c>
      <c r="AB507" s="217">
        <v>0.69487200000000005</v>
      </c>
      <c r="AC507" s="217">
        <v>1.1182909999999999</v>
      </c>
      <c r="AD507" s="212">
        <f t="shared" si="7"/>
        <v>25126.571520000001</v>
      </c>
    </row>
    <row r="508" spans="2:30" x14ac:dyDescent="0.15">
      <c r="B508" s="213">
        <v>17031000932</v>
      </c>
      <c r="C508" s="213">
        <v>17031001072</v>
      </c>
      <c r="D508" s="213">
        <v>17031001099</v>
      </c>
      <c r="E508" s="213" t="s">
        <v>533</v>
      </c>
      <c r="F508" s="213" t="s">
        <v>534</v>
      </c>
      <c r="G508" s="213" t="s">
        <v>365</v>
      </c>
      <c r="H508" s="213" t="s">
        <v>571</v>
      </c>
      <c r="I508" s="213"/>
      <c r="J508" s="213" t="s">
        <v>552</v>
      </c>
      <c r="K508" s="213" t="s">
        <v>572</v>
      </c>
      <c r="L508" s="213" t="s">
        <v>543</v>
      </c>
      <c r="M508" s="213"/>
      <c r="N508" s="213"/>
      <c r="O508" s="213"/>
      <c r="P508" s="213"/>
      <c r="Q508" s="213"/>
      <c r="R508" s="213"/>
      <c r="S508" s="213" t="s">
        <v>573</v>
      </c>
      <c r="T508" s="213"/>
      <c r="U508" s="213" t="s">
        <v>538</v>
      </c>
      <c r="V508" s="213">
        <v>2</v>
      </c>
      <c r="W508" s="213" t="s">
        <v>545</v>
      </c>
      <c r="X508" s="213" t="s">
        <v>554</v>
      </c>
      <c r="Y508" s="213" t="s">
        <v>546</v>
      </c>
      <c r="Z508" s="212">
        <v>186031</v>
      </c>
      <c r="AA508" s="212">
        <v>9567086</v>
      </c>
      <c r="AB508" s="217">
        <v>1.703451</v>
      </c>
      <c r="AC508" s="217">
        <v>2.741444</v>
      </c>
      <c r="AD508" s="212">
        <f t="shared" si="7"/>
        <v>16297062.213786</v>
      </c>
    </row>
    <row r="509" spans="2:30" x14ac:dyDescent="0.15">
      <c r="B509" s="213">
        <v>17031001727</v>
      </c>
      <c r="C509" s="213">
        <v>17031004690</v>
      </c>
      <c r="D509" s="213">
        <v>17031001028</v>
      </c>
      <c r="E509" s="213" t="s">
        <v>533</v>
      </c>
      <c r="F509" s="213" t="s">
        <v>534</v>
      </c>
      <c r="G509" s="213" t="s">
        <v>365</v>
      </c>
      <c r="H509" s="213" t="s">
        <v>547</v>
      </c>
      <c r="I509" s="213"/>
      <c r="J509" s="213" t="s">
        <v>543</v>
      </c>
      <c r="K509" s="213"/>
      <c r="L509" s="213"/>
      <c r="M509" s="213"/>
      <c r="N509" s="213"/>
      <c r="O509" s="213"/>
      <c r="P509" s="213"/>
      <c r="Q509" s="213"/>
      <c r="R509" s="213"/>
      <c r="S509" s="213" t="s">
        <v>602</v>
      </c>
      <c r="T509" s="213"/>
      <c r="U509" s="213" t="s">
        <v>538</v>
      </c>
      <c r="V509" s="213">
        <v>1</v>
      </c>
      <c r="W509" s="213" t="s">
        <v>582</v>
      </c>
      <c r="X509" s="213" t="s">
        <v>540</v>
      </c>
      <c r="Y509" s="213" t="s">
        <v>540</v>
      </c>
      <c r="Z509" s="212">
        <v>40</v>
      </c>
      <c r="AA509" s="212">
        <v>160</v>
      </c>
      <c r="AB509" s="217">
        <v>1.1469720000000001</v>
      </c>
      <c r="AC509" s="217">
        <v>1.8458760000000001</v>
      </c>
      <c r="AD509" s="212">
        <f t="shared" si="7"/>
        <v>183.51552000000001</v>
      </c>
    </row>
    <row r="510" spans="2:30" x14ac:dyDescent="0.15">
      <c r="B510" s="213">
        <v>17031001786</v>
      </c>
      <c r="C510" s="213">
        <v>17031004509</v>
      </c>
      <c r="D510" s="213">
        <v>17031004508</v>
      </c>
      <c r="E510" s="213" t="s">
        <v>533</v>
      </c>
      <c r="F510" s="213" t="s">
        <v>534</v>
      </c>
      <c r="G510" s="213" t="s">
        <v>365</v>
      </c>
      <c r="H510" s="213" t="s">
        <v>535</v>
      </c>
      <c r="I510" s="213"/>
      <c r="J510" s="213" t="s">
        <v>552</v>
      </c>
      <c r="K510" s="213"/>
      <c r="L510" s="213"/>
      <c r="M510" s="213"/>
      <c r="N510" s="213"/>
      <c r="O510" s="213"/>
      <c r="P510" s="213"/>
      <c r="Q510" s="213"/>
      <c r="R510" s="213"/>
      <c r="S510" s="213" t="s">
        <v>553</v>
      </c>
      <c r="T510" s="213"/>
      <c r="U510" s="213" t="s">
        <v>538</v>
      </c>
      <c r="V510" s="213">
        <v>1</v>
      </c>
      <c r="W510" s="213" t="s">
        <v>545</v>
      </c>
      <c r="X510" s="213" t="s">
        <v>554</v>
      </c>
      <c r="Y510" s="213" t="s">
        <v>546</v>
      </c>
      <c r="Z510" s="212">
        <v>639020</v>
      </c>
      <c r="AA510" s="212">
        <v>27760365</v>
      </c>
      <c r="AB510" s="217">
        <v>0.65259500000000004</v>
      </c>
      <c r="AC510" s="217">
        <v>1.050252</v>
      </c>
      <c r="AD510" s="212">
        <f t="shared" si="7"/>
        <v>18116275.397175003</v>
      </c>
    </row>
    <row r="511" spans="2:30" x14ac:dyDescent="0.15">
      <c r="B511" s="213">
        <v>17031001818</v>
      </c>
      <c r="C511" s="213">
        <v>17031000520</v>
      </c>
      <c r="D511" s="213">
        <v>17031000521</v>
      </c>
      <c r="E511" s="213" t="s">
        <v>533</v>
      </c>
      <c r="F511" s="213" t="s">
        <v>534</v>
      </c>
      <c r="G511" s="213" t="s">
        <v>365</v>
      </c>
      <c r="H511" s="213" t="s">
        <v>382</v>
      </c>
      <c r="I511" s="213"/>
      <c r="J511" s="213"/>
      <c r="K511" s="213"/>
      <c r="L511" s="213"/>
      <c r="M511" s="213"/>
      <c r="N511" s="213"/>
      <c r="O511" s="213"/>
      <c r="P511" s="213"/>
      <c r="Q511" s="213"/>
      <c r="R511" s="213"/>
      <c r="S511" s="213"/>
      <c r="T511" s="213"/>
      <c r="U511" s="213" t="s">
        <v>559</v>
      </c>
      <c r="V511" s="213">
        <v>1</v>
      </c>
      <c r="W511" s="213" t="s">
        <v>560</v>
      </c>
      <c r="X511" s="213" t="s">
        <v>541</v>
      </c>
      <c r="Y511" s="213" t="s">
        <v>541</v>
      </c>
      <c r="Z511" s="212">
        <v>0</v>
      </c>
      <c r="AA511" s="212">
        <v>0</v>
      </c>
      <c r="AB511" s="217">
        <v>0.35178599999999999</v>
      </c>
      <c r="AC511" s="217">
        <v>0.56614500000000001</v>
      </c>
      <c r="AD511" s="212">
        <f t="shared" si="7"/>
        <v>0</v>
      </c>
    </row>
    <row r="512" spans="2:30" x14ac:dyDescent="0.15">
      <c r="B512" s="213">
        <v>17031001937</v>
      </c>
      <c r="C512" s="213">
        <v>17031004658</v>
      </c>
      <c r="D512" s="213">
        <v>17031000815</v>
      </c>
      <c r="E512" s="213" t="s">
        <v>533</v>
      </c>
      <c r="F512" s="213" t="s">
        <v>534</v>
      </c>
      <c r="G512" s="213" t="s">
        <v>365</v>
      </c>
      <c r="H512" s="213" t="s">
        <v>381</v>
      </c>
      <c r="I512" s="213"/>
      <c r="J512" s="213" t="s">
        <v>542</v>
      </c>
      <c r="K512" s="213" t="s">
        <v>547</v>
      </c>
      <c r="L512" s="213" t="s">
        <v>382</v>
      </c>
      <c r="M512" s="213"/>
      <c r="N512" s="213"/>
      <c r="O512" s="213"/>
      <c r="P512" s="213"/>
      <c r="Q512" s="213"/>
      <c r="R512" s="213"/>
      <c r="S512" s="213" t="s">
        <v>579</v>
      </c>
      <c r="T512" s="213"/>
      <c r="U512" s="213" t="s">
        <v>538</v>
      </c>
      <c r="V512" s="213">
        <v>3</v>
      </c>
      <c r="W512" s="213" t="s">
        <v>545</v>
      </c>
      <c r="X512" s="213" t="s">
        <v>549</v>
      </c>
      <c r="Y512" s="213" t="s">
        <v>580</v>
      </c>
      <c r="Z512" s="212">
        <v>2794758</v>
      </c>
      <c r="AA512" s="212">
        <v>85265824</v>
      </c>
      <c r="AB512" s="217">
        <v>0.27646900000000002</v>
      </c>
      <c r="AC512" s="217">
        <v>0.444934</v>
      </c>
      <c r="AD512" s="212">
        <f t="shared" si="7"/>
        <v>23573357.095456</v>
      </c>
    </row>
    <row r="513" spans="2:30" x14ac:dyDescent="0.15">
      <c r="B513" s="213">
        <v>17031001947</v>
      </c>
      <c r="C513" s="213">
        <v>17031000929</v>
      </c>
      <c r="D513" s="213">
        <v>17031000917</v>
      </c>
      <c r="E513" s="213" t="s">
        <v>533</v>
      </c>
      <c r="F513" s="213" t="s">
        <v>534</v>
      </c>
      <c r="G513" s="213" t="s">
        <v>365</v>
      </c>
      <c r="H513" s="213" t="s">
        <v>557</v>
      </c>
      <c r="I513" s="213"/>
      <c r="J513" s="213" t="s">
        <v>381</v>
      </c>
      <c r="K513" s="213" t="s">
        <v>535</v>
      </c>
      <c r="L513" s="213" t="s">
        <v>552</v>
      </c>
      <c r="M513" s="213" t="s">
        <v>551</v>
      </c>
      <c r="N513" s="213" t="s">
        <v>543</v>
      </c>
      <c r="O513" s="213" t="s">
        <v>382</v>
      </c>
      <c r="P513" s="213"/>
      <c r="Q513" s="213"/>
      <c r="R513" s="213"/>
      <c r="S513" s="213" t="s">
        <v>570</v>
      </c>
      <c r="T513" s="213" t="s">
        <v>690</v>
      </c>
      <c r="U513" s="213" t="s">
        <v>538</v>
      </c>
      <c r="V513" s="213">
        <v>2</v>
      </c>
      <c r="W513" s="213" t="s">
        <v>545</v>
      </c>
      <c r="X513" s="213" t="s">
        <v>554</v>
      </c>
      <c r="Y513" s="213" t="s">
        <v>575</v>
      </c>
      <c r="Z513" s="212">
        <v>1592913</v>
      </c>
      <c r="AA513" s="212">
        <v>89110420</v>
      </c>
      <c r="AB513" s="217">
        <v>0.41084999999999999</v>
      </c>
      <c r="AC513" s="217">
        <v>0.66120100000000004</v>
      </c>
      <c r="AD513" s="212">
        <f t="shared" si="7"/>
        <v>36611016.056999996</v>
      </c>
    </row>
    <row r="514" spans="2:30" x14ac:dyDescent="0.15">
      <c r="B514" s="213">
        <v>17031001953</v>
      </c>
      <c r="C514" s="213">
        <v>17031000783</v>
      </c>
      <c r="D514" s="213">
        <v>17031000779</v>
      </c>
      <c r="E514" s="213" t="s">
        <v>533</v>
      </c>
      <c r="F514" s="213" t="s">
        <v>534</v>
      </c>
      <c r="G514" s="213" t="s">
        <v>365</v>
      </c>
      <c r="H514" s="213" t="s">
        <v>381</v>
      </c>
      <c r="I514" s="213"/>
      <c r="J514" s="213" t="s">
        <v>382</v>
      </c>
      <c r="K514" s="213"/>
      <c r="L514" s="213"/>
      <c r="M514" s="213"/>
      <c r="N514" s="213"/>
      <c r="O514" s="213"/>
      <c r="P514" s="213"/>
      <c r="Q514" s="213"/>
      <c r="R514" s="213"/>
      <c r="S514" s="213" t="s">
        <v>647</v>
      </c>
      <c r="T514" s="213"/>
      <c r="U514" s="213" t="s">
        <v>538</v>
      </c>
      <c r="V514" s="213">
        <v>2</v>
      </c>
      <c r="W514" s="213" t="s">
        <v>545</v>
      </c>
      <c r="X514" s="213" t="s">
        <v>541</v>
      </c>
      <c r="Y514" s="213" t="s">
        <v>580</v>
      </c>
      <c r="Z514" s="212">
        <v>1640</v>
      </c>
      <c r="AA514" s="212">
        <v>150440</v>
      </c>
      <c r="AB514" s="217">
        <v>0.300016</v>
      </c>
      <c r="AC514" s="217">
        <v>0.48282999999999998</v>
      </c>
      <c r="AD514" s="212">
        <f t="shared" si="7"/>
        <v>45134.407039999998</v>
      </c>
    </row>
    <row r="515" spans="2:30" x14ac:dyDescent="0.15">
      <c r="B515" s="213">
        <v>17031001955</v>
      </c>
      <c r="C515" s="213">
        <v>17031001373</v>
      </c>
      <c r="D515" s="213">
        <v>17031001356</v>
      </c>
      <c r="E515" s="213" t="s">
        <v>533</v>
      </c>
      <c r="F515" s="213" t="s">
        <v>534</v>
      </c>
      <c r="G515" s="213" t="s">
        <v>365</v>
      </c>
      <c r="H515" s="213" t="s">
        <v>557</v>
      </c>
      <c r="I515" s="213"/>
      <c r="J515" s="213" t="s">
        <v>381</v>
      </c>
      <c r="K515" s="213" t="s">
        <v>535</v>
      </c>
      <c r="L515" s="213" t="s">
        <v>552</v>
      </c>
      <c r="M515" s="213" t="s">
        <v>551</v>
      </c>
      <c r="N515" s="213" t="s">
        <v>615</v>
      </c>
      <c r="O515" s="213" t="s">
        <v>543</v>
      </c>
      <c r="P515" s="213" t="s">
        <v>382</v>
      </c>
      <c r="Q515" s="213"/>
      <c r="R515" s="213"/>
      <c r="S515" s="213" t="s">
        <v>570</v>
      </c>
      <c r="T515" s="213" t="s">
        <v>600</v>
      </c>
      <c r="U515" s="213" t="s">
        <v>538</v>
      </c>
      <c r="V515" s="213">
        <v>2</v>
      </c>
      <c r="W515" s="213" t="s">
        <v>545</v>
      </c>
      <c r="X515" s="213" t="s">
        <v>554</v>
      </c>
      <c r="Y515" s="213" t="s">
        <v>546</v>
      </c>
      <c r="Z515" s="212">
        <v>1231391</v>
      </c>
      <c r="AA515" s="212">
        <v>46096560</v>
      </c>
      <c r="AB515" s="217">
        <v>0.435666</v>
      </c>
      <c r="AC515" s="217">
        <v>0.70113800000000004</v>
      </c>
      <c r="AD515" s="212">
        <f t="shared" si="7"/>
        <v>20082703.90896</v>
      </c>
    </row>
    <row r="516" spans="2:30" x14ac:dyDescent="0.15">
      <c r="B516" s="213">
        <v>17031001958</v>
      </c>
      <c r="C516" s="213">
        <v>17031004725</v>
      </c>
      <c r="D516" s="213">
        <v>17031004726</v>
      </c>
      <c r="E516" s="213" t="s">
        <v>533</v>
      </c>
      <c r="F516" s="213" t="s">
        <v>534</v>
      </c>
      <c r="G516" s="213" t="s">
        <v>365</v>
      </c>
      <c r="H516" s="213" t="s">
        <v>547</v>
      </c>
      <c r="I516" s="213"/>
      <c r="J516" s="213"/>
      <c r="K516" s="213"/>
      <c r="L516" s="213"/>
      <c r="M516" s="213"/>
      <c r="N516" s="213"/>
      <c r="O516" s="213"/>
      <c r="P516" s="213"/>
      <c r="Q516" s="213"/>
      <c r="R516" s="213"/>
      <c r="S516" s="213"/>
      <c r="T516" s="213"/>
      <c r="U516" s="213" t="s">
        <v>538</v>
      </c>
      <c r="V516" s="213">
        <v>1</v>
      </c>
      <c r="W516" s="213" t="s">
        <v>582</v>
      </c>
      <c r="X516" s="213" t="s">
        <v>541</v>
      </c>
      <c r="Y516" s="213" t="s">
        <v>541</v>
      </c>
      <c r="Z516" s="212">
        <v>0</v>
      </c>
      <c r="AA516" s="212">
        <v>0</v>
      </c>
      <c r="AB516" s="217">
        <v>0.50941999999999998</v>
      </c>
      <c r="AC516" s="217">
        <v>0.81983399999999995</v>
      </c>
      <c r="AD516" s="212">
        <f t="shared" si="7"/>
        <v>0</v>
      </c>
    </row>
    <row r="517" spans="2:30" x14ac:dyDescent="0.15">
      <c r="B517" s="213">
        <v>17031001960</v>
      </c>
      <c r="C517" s="213">
        <v>17031004723</v>
      </c>
      <c r="D517" s="213">
        <v>17031001250</v>
      </c>
      <c r="E517" s="213" t="s">
        <v>533</v>
      </c>
      <c r="F517" s="213" t="s">
        <v>534</v>
      </c>
      <c r="G517" s="213" t="s">
        <v>365</v>
      </c>
      <c r="H517" s="213" t="s">
        <v>547</v>
      </c>
      <c r="I517" s="213"/>
      <c r="J517" s="213"/>
      <c r="K517" s="213"/>
      <c r="L517" s="213"/>
      <c r="M517" s="213"/>
      <c r="N517" s="213"/>
      <c r="O517" s="213"/>
      <c r="P517" s="213"/>
      <c r="Q517" s="213"/>
      <c r="R517" s="213"/>
      <c r="S517" s="213"/>
      <c r="T517" s="213"/>
      <c r="U517" s="213" t="s">
        <v>538</v>
      </c>
      <c r="V517" s="213">
        <v>1</v>
      </c>
      <c r="W517" s="213" t="s">
        <v>582</v>
      </c>
      <c r="X517" s="213" t="s">
        <v>541</v>
      </c>
      <c r="Y517" s="213" t="s">
        <v>541</v>
      </c>
      <c r="Z517" s="212">
        <v>0</v>
      </c>
      <c r="AA517" s="212">
        <v>0</v>
      </c>
      <c r="AB517" s="217">
        <v>8.9464000000000002E-2</v>
      </c>
      <c r="AC517" s="217">
        <v>0.14397799999999999</v>
      </c>
      <c r="AD517" s="212">
        <f t="shared" si="7"/>
        <v>0</v>
      </c>
    </row>
    <row r="518" spans="2:30" x14ac:dyDescent="0.15">
      <c r="B518" s="213">
        <v>17031001966</v>
      </c>
      <c r="C518" s="213">
        <v>17031001057</v>
      </c>
      <c r="D518" s="213">
        <v>17031001045</v>
      </c>
      <c r="E518" s="213" t="s">
        <v>533</v>
      </c>
      <c r="F518" s="213" t="s">
        <v>534</v>
      </c>
      <c r="G518" s="213" t="s">
        <v>365</v>
      </c>
      <c r="H518" s="213" t="s">
        <v>547</v>
      </c>
      <c r="I518" s="213"/>
      <c r="J518" s="213" t="s">
        <v>543</v>
      </c>
      <c r="K518" s="213"/>
      <c r="L518" s="213"/>
      <c r="M518" s="213"/>
      <c r="N518" s="213"/>
      <c r="O518" s="213"/>
      <c r="P518" s="213"/>
      <c r="Q518" s="213"/>
      <c r="R518" s="213"/>
      <c r="S518" s="213" t="s">
        <v>602</v>
      </c>
      <c r="T518" s="213"/>
      <c r="U518" s="213" t="s">
        <v>538</v>
      </c>
      <c r="V518" s="213">
        <v>2</v>
      </c>
      <c r="W518" s="213" t="s">
        <v>582</v>
      </c>
      <c r="X518" s="213" t="s">
        <v>540</v>
      </c>
      <c r="Y518" s="213" t="s">
        <v>541</v>
      </c>
      <c r="Z518" s="212">
        <v>0</v>
      </c>
      <c r="AA518" s="212">
        <v>0</v>
      </c>
      <c r="AB518" s="217">
        <v>0.67236099999999999</v>
      </c>
      <c r="AC518" s="217">
        <v>1.082063</v>
      </c>
      <c r="AD518" s="212">
        <f t="shared" ref="AD518:AD581" si="8">AA518*AB518</f>
        <v>0</v>
      </c>
    </row>
    <row r="519" spans="2:30" x14ac:dyDescent="0.15">
      <c r="B519" s="213">
        <v>17031001967</v>
      </c>
      <c r="C519" s="213">
        <v>17031000944</v>
      </c>
      <c r="D519" s="213">
        <v>17031000963</v>
      </c>
      <c r="E519" s="213" t="s">
        <v>533</v>
      </c>
      <c r="F519" s="213" t="s">
        <v>534</v>
      </c>
      <c r="G519" s="213" t="s">
        <v>365</v>
      </c>
      <c r="H519" s="213" t="s">
        <v>571</v>
      </c>
      <c r="I519" s="213"/>
      <c r="J519" s="213" t="s">
        <v>381</v>
      </c>
      <c r="K519" s="213" t="s">
        <v>535</v>
      </c>
      <c r="L519" s="213" t="s">
        <v>552</v>
      </c>
      <c r="M519" s="213" t="s">
        <v>551</v>
      </c>
      <c r="N519" s="213" t="s">
        <v>557</v>
      </c>
      <c r="O519" s="213" t="s">
        <v>543</v>
      </c>
      <c r="P519" s="213" t="s">
        <v>382</v>
      </c>
      <c r="Q519" s="213" t="s">
        <v>563</v>
      </c>
      <c r="R519" s="213"/>
      <c r="S519" s="213" t="s">
        <v>605</v>
      </c>
      <c r="T519" s="213"/>
      <c r="U519" s="213" t="s">
        <v>538</v>
      </c>
      <c r="V519" s="213">
        <v>1</v>
      </c>
      <c r="W519" s="213" t="s">
        <v>545</v>
      </c>
      <c r="X519" s="213" t="s">
        <v>554</v>
      </c>
      <c r="Y519" s="213" t="s">
        <v>549</v>
      </c>
      <c r="Z519" s="212">
        <v>347880</v>
      </c>
      <c r="AA519" s="212">
        <v>17904565</v>
      </c>
      <c r="AB519" s="217">
        <v>0.48548599999999997</v>
      </c>
      <c r="AC519" s="217">
        <v>0.78131499999999998</v>
      </c>
      <c r="AD519" s="212">
        <f t="shared" si="8"/>
        <v>8692415.6435899995</v>
      </c>
    </row>
    <row r="520" spans="2:30" x14ac:dyDescent="0.15">
      <c r="B520" s="213">
        <v>17031001968</v>
      </c>
      <c r="C520" s="213">
        <v>17031000963</v>
      </c>
      <c r="D520" s="213">
        <v>17031000959</v>
      </c>
      <c r="E520" s="213" t="s">
        <v>533</v>
      </c>
      <c r="F520" s="213" t="s">
        <v>534</v>
      </c>
      <c r="G520" s="213" t="s">
        <v>365</v>
      </c>
      <c r="H520" s="213" t="s">
        <v>571</v>
      </c>
      <c r="I520" s="213"/>
      <c r="J520" s="213" t="s">
        <v>381</v>
      </c>
      <c r="K520" s="213" t="s">
        <v>535</v>
      </c>
      <c r="L520" s="213" t="s">
        <v>552</v>
      </c>
      <c r="M520" s="213" t="s">
        <v>551</v>
      </c>
      <c r="N520" s="213" t="s">
        <v>557</v>
      </c>
      <c r="O520" s="213" t="s">
        <v>543</v>
      </c>
      <c r="P520" s="213" t="s">
        <v>382</v>
      </c>
      <c r="Q520" s="213" t="s">
        <v>563</v>
      </c>
      <c r="R520" s="213"/>
      <c r="S520" s="213" t="s">
        <v>605</v>
      </c>
      <c r="T520" s="213"/>
      <c r="U520" s="213" t="s">
        <v>538</v>
      </c>
      <c r="V520" s="213">
        <v>1</v>
      </c>
      <c r="W520" s="213" t="s">
        <v>545</v>
      </c>
      <c r="X520" s="213" t="s">
        <v>554</v>
      </c>
      <c r="Y520" s="213" t="s">
        <v>546</v>
      </c>
      <c r="Z520" s="212">
        <v>414172</v>
      </c>
      <c r="AA520" s="212">
        <v>21202805</v>
      </c>
      <c r="AB520" s="217">
        <v>5.7967999999999999E-2</v>
      </c>
      <c r="AC520" s="217">
        <v>9.3290999999999999E-2</v>
      </c>
      <c r="AD520" s="212">
        <f t="shared" si="8"/>
        <v>1229084.2002399999</v>
      </c>
    </row>
    <row r="521" spans="2:30" x14ac:dyDescent="0.15">
      <c r="B521" s="213">
        <v>17031001972</v>
      </c>
      <c r="C521" s="213">
        <v>17031001058</v>
      </c>
      <c r="D521" s="213">
        <v>17031000991</v>
      </c>
      <c r="E521" s="213" t="s">
        <v>533</v>
      </c>
      <c r="F521" s="213" t="s">
        <v>534</v>
      </c>
      <c r="G521" s="213" t="s">
        <v>365</v>
      </c>
      <c r="H521" s="213" t="s">
        <v>547</v>
      </c>
      <c r="I521" s="213"/>
      <c r="J521" s="213"/>
      <c r="K521" s="213"/>
      <c r="L521" s="213"/>
      <c r="M521" s="213"/>
      <c r="N521" s="213"/>
      <c r="O521" s="213"/>
      <c r="P521" s="213"/>
      <c r="Q521" s="213"/>
      <c r="R521" s="213"/>
      <c r="S521" s="213"/>
      <c r="T521" s="213"/>
      <c r="U521" s="213" t="s">
        <v>538</v>
      </c>
      <c r="V521" s="213">
        <v>2</v>
      </c>
      <c r="W521" s="213" t="s">
        <v>545</v>
      </c>
      <c r="X521" s="213" t="s">
        <v>540</v>
      </c>
      <c r="Y521" s="213" t="s">
        <v>541</v>
      </c>
      <c r="Z521" s="212">
        <v>0</v>
      </c>
      <c r="AA521" s="212">
        <v>0</v>
      </c>
      <c r="AB521" s="217">
        <v>2.185654</v>
      </c>
      <c r="AC521" s="217">
        <v>3.5174759999999998</v>
      </c>
      <c r="AD521" s="212">
        <f t="shared" si="8"/>
        <v>0</v>
      </c>
    </row>
    <row r="522" spans="2:30" x14ac:dyDescent="0.15">
      <c r="B522" s="213">
        <v>17031002050</v>
      </c>
      <c r="C522" s="213">
        <v>17031004643</v>
      </c>
      <c r="D522" s="213">
        <v>17031000486</v>
      </c>
      <c r="E522" s="213" t="s">
        <v>533</v>
      </c>
      <c r="F522" s="213" t="s">
        <v>534</v>
      </c>
      <c r="G522" s="213" t="s">
        <v>365</v>
      </c>
      <c r="H522" s="213" t="s">
        <v>552</v>
      </c>
      <c r="I522" s="213"/>
      <c r="J522" s="213" t="s">
        <v>551</v>
      </c>
      <c r="K522" s="213" t="s">
        <v>547</v>
      </c>
      <c r="L522" s="213" t="s">
        <v>382</v>
      </c>
      <c r="M522" s="213" t="s">
        <v>563</v>
      </c>
      <c r="N522" s="213"/>
      <c r="O522" s="213"/>
      <c r="P522" s="213"/>
      <c r="Q522" s="213"/>
      <c r="R522" s="213"/>
      <c r="S522" s="213" t="s">
        <v>589</v>
      </c>
      <c r="T522" s="213"/>
      <c r="U522" s="213" t="s">
        <v>538</v>
      </c>
      <c r="V522" s="213">
        <v>3</v>
      </c>
      <c r="W522" s="213" t="s">
        <v>545</v>
      </c>
      <c r="X522" s="213" t="s">
        <v>549</v>
      </c>
      <c r="Y522" s="213" t="s">
        <v>541</v>
      </c>
      <c r="Z522" s="212">
        <v>303357</v>
      </c>
      <c r="AA522" s="212">
        <v>23429915</v>
      </c>
      <c r="AB522" s="217">
        <v>0.66915400000000003</v>
      </c>
      <c r="AC522" s="217">
        <v>1.0769</v>
      </c>
      <c r="AD522" s="212">
        <f t="shared" si="8"/>
        <v>15678221.341910001</v>
      </c>
    </row>
    <row r="523" spans="2:30" x14ac:dyDescent="0.15">
      <c r="B523" s="213">
        <v>17031002070</v>
      </c>
      <c r="C523" s="213">
        <v>17031000661</v>
      </c>
      <c r="D523" s="213">
        <v>17031000666</v>
      </c>
      <c r="E523" s="213" t="s">
        <v>533</v>
      </c>
      <c r="F523" s="213" t="s">
        <v>534</v>
      </c>
      <c r="G523" s="213" t="s">
        <v>365</v>
      </c>
      <c r="H523" s="213" t="s">
        <v>535</v>
      </c>
      <c r="I523" s="213"/>
      <c r="J523" s="213" t="s">
        <v>542</v>
      </c>
      <c r="K523" s="213" t="s">
        <v>572</v>
      </c>
      <c r="L523" s="213"/>
      <c r="M523" s="213"/>
      <c r="N523" s="213"/>
      <c r="O523" s="213"/>
      <c r="P523" s="213"/>
      <c r="Q523" s="213"/>
      <c r="R523" s="213"/>
      <c r="S523" s="213" t="s">
        <v>544</v>
      </c>
      <c r="T523" s="213"/>
      <c r="U523" s="213" t="s">
        <v>538</v>
      </c>
      <c r="V523" s="213">
        <v>2</v>
      </c>
      <c r="W523" s="213" t="s">
        <v>545</v>
      </c>
      <c r="X523" s="213" t="s">
        <v>541</v>
      </c>
      <c r="Y523" s="213" t="s">
        <v>549</v>
      </c>
      <c r="Z523" s="212">
        <v>8958</v>
      </c>
      <c r="AA523" s="212">
        <v>744576</v>
      </c>
      <c r="AB523" s="217">
        <v>0.50986500000000001</v>
      </c>
      <c r="AC523" s="217">
        <v>0.82054899999999997</v>
      </c>
      <c r="AD523" s="212">
        <f t="shared" si="8"/>
        <v>379633.24223999999</v>
      </c>
    </row>
    <row r="524" spans="2:30" x14ac:dyDescent="0.15">
      <c r="B524" s="213">
        <v>17031002090</v>
      </c>
      <c r="C524" s="213">
        <v>17031004626</v>
      </c>
      <c r="D524" s="213">
        <v>17031004625</v>
      </c>
      <c r="E524" s="213" t="s">
        <v>533</v>
      </c>
      <c r="F524" s="213" t="s">
        <v>534</v>
      </c>
      <c r="G524" s="213" t="s">
        <v>365</v>
      </c>
      <c r="H524" s="213" t="s">
        <v>535</v>
      </c>
      <c r="I524" s="213"/>
      <c r="J524" s="213" t="s">
        <v>547</v>
      </c>
      <c r="K524" s="213"/>
      <c r="L524" s="213"/>
      <c r="M524" s="213"/>
      <c r="N524" s="213"/>
      <c r="O524" s="213"/>
      <c r="P524" s="213"/>
      <c r="Q524" s="213"/>
      <c r="R524" s="213"/>
      <c r="S524" s="213" t="s">
        <v>548</v>
      </c>
      <c r="T524" s="213"/>
      <c r="U524" s="213" t="s">
        <v>538</v>
      </c>
      <c r="V524" s="213">
        <v>2</v>
      </c>
      <c r="W524" s="213" t="s">
        <v>545</v>
      </c>
      <c r="X524" s="213" t="s">
        <v>549</v>
      </c>
      <c r="Y524" s="213" t="s">
        <v>546</v>
      </c>
      <c r="Z524" s="212">
        <v>662357</v>
      </c>
      <c r="AA524" s="212">
        <v>30359562</v>
      </c>
      <c r="AB524" s="217">
        <v>1.954083</v>
      </c>
      <c r="AC524" s="217">
        <v>3.1447970000000001</v>
      </c>
      <c r="AD524" s="212">
        <f t="shared" si="8"/>
        <v>59325103.991645999</v>
      </c>
    </row>
    <row r="525" spans="2:30" x14ac:dyDescent="0.15">
      <c r="B525" s="213">
        <v>17031002094</v>
      </c>
      <c r="C525" s="213">
        <v>17031000565</v>
      </c>
      <c r="D525" s="213">
        <v>17031000556</v>
      </c>
      <c r="E525" s="213" t="s">
        <v>533</v>
      </c>
      <c r="F525" s="213" t="s">
        <v>534</v>
      </c>
      <c r="G525" s="213" t="s">
        <v>365</v>
      </c>
      <c r="H525" s="213" t="s">
        <v>382</v>
      </c>
      <c r="I525" s="213"/>
      <c r="J525" s="213" t="s">
        <v>547</v>
      </c>
      <c r="K525" s="213"/>
      <c r="L525" s="213"/>
      <c r="M525" s="213"/>
      <c r="N525" s="213"/>
      <c r="O525" s="213"/>
      <c r="P525" s="213"/>
      <c r="Q525" s="213"/>
      <c r="R525" s="213"/>
      <c r="S525" s="213" t="s">
        <v>583</v>
      </c>
      <c r="T525" s="213"/>
      <c r="U525" s="213" t="s">
        <v>538</v>
      </c>
      <c r="V525" s="213">
        <v>4</v>
      </c>
      <c r="W525" s="213" t="s">
        <v>545</v>
      </c>
      <c r="X525" s="213" t="s">
        <v>554</v>
      </c>
      <c r="Y525" s="213" t="s">
        <v>541</v>
      </c>
      <c r="Z525" s="212">
        <v>0</v>
      </c>
      <c r="AA525" s="212">
        <v>0</v>
      </c>
      <c r="AB525" s="217">
        <v>0.80212099999999997</v>
      </c>
      <c r="AC525" s="217">
        <v>1.290891</v>
      </c>
      <c r="AD525" s="212">
        <f t="shared" si="8"/>
        <v>0</v>
      </c>
    </row>
    <row r="526" spans="2:30" x14ac:dyDescent="0.15">
      <c r="B526" s="213">
        <v>17031002102</v>
      </c>
      <c r="C526" s="213">
        <v>17031004630</v>
      </c>
      <c r="D526" s="213">
        <v>17031000407</v>
      </c>
      <c r="E526" s="213" t="s">
        <v>533</v>
      </c>
      <c r="F526" s="213" t="s">
        <v>534</v>
      </c>
      <c r="G526" s="213" t="s">
        <v>365</v>
      </c>
      <c r="H526" s="213" t="s">
        <v>535</v>
      </c>
      <c r="I526" s="213"/>
      <c r="J526" s="213" t="s">
        <v>552</v>
      </c>
      <c r="K526" s="213" t="s">
        <v>547</v>
      </c>
      <c r="L526" s="213" t="s">
        <v>551</v>
      </c>
      <c r="M526" s="213"/>
      <c r="N526" s="213"/>
      <c r="O526" s="213"/>
      <c r="P526" s="213"/>
      <c r="Q526" s="213"/>
      <c r="R526" s="213"/>
      <c r="S526" s="213" t="s">
        <v>548</v>
      </c>
      <c r="T526" s="213"/>
      <c r="U526" s="213" t="s">
        <v>538</v>
      </c>
      <c r="V526" s="213">
        <v>3</v>
      </c>
      <c r="W526" s="213" t="s">
        <v>545</v>
      </c>
      <c r="X526" s="213" t="s">
        <v>554</v>
      </c>
      <c r="Y526" s="213" t="s">
        <v>546</v>
      </c>
      <c r="Z526" s="212">
        <v>662317</v>
      </c>
      <c r="AA526" s="212">
        <v>30356922</v>
      </c>
      <c r="AB526" s="217">
        <v>1.1101319999999999</v>
      </c>
      <c r="AC526" s="217">
        <v>1.7865880000000001</v>
      </c>
      <c r="AD526" s="212">
        <f t="shared" si="8"/>
        <v>33700190.533703998</v>
      </c>
    </row>
    <row r="527" spans="2:30" x14ac:dyDescent="0.15">
      <c r="B527" s="213">
        <v>17031002127</v>
      </c>
      <c r="C527" s="213">
        <v>17031004575</v>
      </c>
      <c r="D527" s="213">
        <v>17031004574</v>
      </c>
      <c r="E527" s="213" t="s">
        <v>533</v>
      </c>
      <c r="F527" s="213" t="s">
        <v>534</v>
      </c>
      <c r="G527" s="213" t="s">
        <v>365</v>
      </c>
      <c r="H527" s="213" t="s">
        <v>382</v>
      </c>
      <c r="I527" s="213"/>
      <c r="J527" s="213" t="s">
        <v>547</v>
      </c>
      <c r="K527" s="213"/>
      <c r="L527" s="213"/>
      <c r="M527" s="213"/>
      <c r="N527" s="213"/>
      <c r="O527" s="213"/>
      <c r="P527" s="213"/>
      <c r="Q527" s="213"/>
      <c r="R527" s="213"/>
      <c r="S527" s="213" t="s">
        <v>565</v>
      </c>
      <c r="T527" s="213"/>
      <c r="U527" s="213" t="s">
        <v>538</v>
      </c>
      <c r="V527" s="213">
        <v>2</v>
      </c>
      <c r="W527" s="213" t="s">
        <v>566</v>
      </c>
      <c r="X527" s="213" t="s">
        <v>549</v>
      </c>
      <c r="Y527" s="213" t="s">
        <v>541</v>
      </c>
      <c r="Z527" s="212">
        <v>0</v>
      </c>
      <c r="AA527" s="212">
        <v>0</v>
      </c>
      <c r="AB527" s="217">
        <v>1.3316380000000001</v>
      </c>
      <c r="AC527" s="217">
        <v>2.1430669999999998</v>
      </c>
      <c r="AD527" s="212">
        <f t="shared" si="8"/>
        <v>0</v>
      </c>
    </row>
    <row r="528" spans="2:30" x14ac:dyDescent="0.15">
      <c r="B528" s="213">
        <v>17031002157</v>
      </c>
      <c r="C528" s="213">
        <v>17031000249</v>
      </c>
      <c r="D528" s="213">
        <v>17999019043</v>
      </c>
      <c r="E528" s="213" t="s">
        <v>533</v>
      </c>
      <c r="F528" s="213" t="s">
        <v>534</v>
      </c>
      <c r="G528" s="213" t="s">
        <v>365</v>
      </c>
      <c r="H528" s="213" t="s">
        <v>382</v>
      </c>
      <c r="I528" s="213"/>
      <c r="J528" s="213" t="s">
        <v>535</v>
      </c>
      <c r="K528" s="213"/>
      <c r="L528" s="213"/>
      <c r="M528" s="213"/>
      <c r="N528" s="213"/>
      <c r="O528" s="213"/>
      <c r="P528" s="213"/>
      <c r="Q528" s="213"/>
      <c r="R528" s="213"/>
      <c r="S528" s="213" t="s">
        <v>586</v>
      </c>
      <c r="T528" s="213"/>
      <c r="U528" s="213" t="s">
        <v>538</v>
      </c>
      <c r="V528" s="213">
        <v>2</v>
      </c>
      <c r="W528" s="213" t="s">
        <v>582</v>
      </c>
      <c r="X528" s="213" t="s">
        <v>549</v>
      </c>
      <c r="Y528" s="213" t="s">
        <v>549</v>
      </c>
      <c r="Z528" s="212">
        <v>149468</v>
      </c>
      <c r="AA528" s="212">
        <v>17128638</v>
      </c>
      <c r="AB528" s="217">
        <v>0.51006799999999997</v>
      </c>
      <c r="AC528" s="217">
        <v>0.82087600000000005</v>
      </c>
      <c r="AD528" s="212">
        <f t="shared" si="8"/>
        <v>8736770.1273839995</v>
      </c>
    </row>
    <row r="529" spans="2:30" x14ac:dyDescent="0.15">
      <c r="B529" s="213">
        <v>17031002159</v>
      </c>
      <c r="C529" s="213">
        <v>17031004588</v>
      </c>
      <c r="D529" s="213">
        <v>17031000249</v>
      </c>
      <c r="E529" s="213" t="s">
        <v>533</v>
      </c>
      <c r="F529" s="213" t="s">
        <v>534</v>
      </c>
      <c r="G529" s="213" t="s">
        <v>365</v>
      </c>
      <c r="H529" s="213" t="s">
        <v>382</v>
      </c>
      <c r="I529" s="213"/>
      <c r="J529" s="213" t="s">
        <v>535</v>
      </c>
      <c r="K529" s="213"/>
      <c r="L529" s="213"/>
      <c r="M529" s="213"/>
      <c r="N529" s="213"/>
      <c r="O529" s="213"/>
      <c r="P529" s="213"/>
      <c r="Q529" s="213"/>
      <c r="R529" s="213"/>
      <c r="S529" s="213" t="s">
        <v>586</v>
      </c>
      <c r="T529" s="213"/>
      <c r="U529" s="213" t="s">
        <v>538</v>
      </c>
      <c r="V529" s="213">
        <v>2</v>
      </c>
      <c r="W529" s="213" t="s">
        <v>582</v>
      </c>
      <c r="X529" s="213" t="s">
        <v>549</v>
      </c>
      <c r="Y529" s="213" t="s">
        <v>549</v>
      </c>
      <c r="Z529" s="212">
        <v>149468</v>
      </c>
      <c r="AA529" s="212">
        <v>17128638</v>
      </c>
      <c r="AB529" s="217">
        <v>2.0334889999999999</v>
      </c>
      <c r="AC529" s="217">
        <v>3.2725900000000001</v>
      </c>
      <c r="AD529" s="212">
        <f t="shared" si="8"/>
        <v>34830896.957981996</v>
      </c>
    </row>
    <row r="530" spans="2:30" x14ac:dyDescent="0.15">
      <c r="B530" s="213">
        <v>17031002166</v>
      </c>
      <c r="C530" s="213">
        <v>17031001286</v>
      </c>
      <c r="D530" s="213">
        <v>17031004722</v>
      </c>
      <c r="E530" s="213" t="s">
        <v>533</v>
      </c>
      <c r="F530" s="213" t="s">
        <v>534</v>
      </c>
      <c r="G530" s="213" t="s">
        <v>365</v>
      </c>
      <c r="H530" s="213" t="s">
        <v>547</v>
      </c>
      <c r="I530" s="213"/>
      <c r="J530" s="213"/>
      <c r="K530" s="213"/>
      <c r="L530" s="213"/>
      <c r="M530" s="213"/>
      <c r="N530" s="213"/>
      <c r="O530" s="213"/>
      <c r="P530" s="213"/>
      <c r="Q530" s="213"/>
      <c r="R530" s="213"/>
      <c r="S530" s="213"/>
      <c r="T530" s="213"/>
      <c r="U530" s="213" t="s">
        <v>538</v>
      </c>
      <c r="V530" s="213">
        <v>1</v>
      </c>
      <c r="W530" s="213" t="s">
        <v>582</v>
      </c>
      <c r="X530" s="213" t="s">
        <v>541</v>
      </c>
      <c r="Y530" s="213" t="s">
        <v>541</v>
      </c>
      <c r="Z530" s="212">
        <v>0</v>
      </c>
      <c r="AA530" s="212">
        <v>0</v>
      </c>
      <c r="AB530" s="217">
        <v>0.47956700000000002</v>
      </c>
      <c r="AC530" s="217">
        <v>0.77178999999999998</v>
      </c>
      <c r="AD530" s="212">
        <f t="shared" si="8"/>
        <v>0</v>
      </c>
    </row>
    <row r="531" spans="2:30" x14ac:dyDescent="0.15">
      <c r="B531" s="213">
        <v>17031002169</v>
      </c>
      <c r="C531" s="213">
        <v>17031001299</v>
      </c>
      <c r="D531" s="213">
        <v>17031001296</v>
      </c>
      <c r="E531" s="213" t="s">
        <v>533</v>
      </c>
      <c r="F531" s="213" t="s">
        <v>534</v>
      </c>
      <c r="G531" s="213" t="s">
        <v>365</v>
      </c>
      <c r="H531" s="213" t="s">
        <v>535</v>
      </c>
      <c r="I531" s="213"/>
      <c r="J531" s="213"/>
      <c r="K531" s="213"/>
      <c r="L531" s="213"/>
      <c r="M531" s="213"/>
      <c r="N531" s="213"/>
      <c r="O531" s="213"/>
      <c r="P531" s="213"/>
      <c r="Q531" s="213"/>
      <c r="R531" s="213"/>
      <c r="S531" s="213"/>
      <c r="T531" s="213"/>
      <c r="U531" s="213" t="s">
        <v>538</v>
      </c>
      <c r="V531" s="213">
        <v>1</v>
      </c>
      <c r="W531" s="213" t="s">
        <v>560</v>
      </c>
      <c r="X531" s="213" t="s">
        <v>541</v>
      </c>
      <c r="Y531" s="213" t="s">
        <v>549</v>
      </c>
      <c r="Z531" s="212">
        <v>576518</v>
      </c>
      <c r="AA531" s="212">
        <v>21088865</v>
      </c>
      <c r="AB531" s="217">
        <v>0.121821</v>
      </c>
      <c r="AC531" s="217">
        <v>0.196052</v>
      </c>
      <c r="AD531" s="212">
        <f t="shared" si="8"/>
        <v>2569066.6231649998</v>
      </c>
    </row>
    <row r="532" spans="2:30" x14ac:dyDescent="0.15">
      <c r="B532" s="213">
        <v>17031002178</v>
      </c>
      <c r="C532" s="213">
        <v>17031001367</v>
      </c>
      <c r="D532" s="213">
        <v>17031001374</v>
      </c>
      <c r="E532" s="213" t="s">
        <v>533</v>
      </c>
      <c r="F532" s="213" t="s">
        <v>534</v>
      </c>
      <c r="G532" s="213" t="s">
        <v>365</v>
      </c>
      <c r="H532" s="213" t="s">
        <v>557</v>
      </c>
      <c r="I532" s="213"/>
      <c r="J532" s="213" t="s">
        <v>382</v>
      </c>
      <c r="K532" s="213" t="s">
        <v>552</v>
      </c>
      <c r="L532" s="213"/>
      <c r="M532" s="213"/>
      <c r="N532" s="213"/>
      <c r="O532" s="213"/>
      <c r="P532" s="213"/>
      <c r="Q532" s="213"/>
      <c r="R532" s="213"/>
      <c r="S532" s="213"/>
      <c r="T532" s="213"/>
      <c r="U532" s="213" t="s">
        <v>538</v>
      </c>
      <c r="V532" s="213">
        <v>1</v>
      </c>
      <c r="W532" s="213" t="s">
        <v>560</v>
      </c>
      <c r="X532" s="213" t="s">
        <v>541</v>
      </c>
      <c r="Y532" s="213" t="s">
        <v>541</v>
      </c>
      <c r="Z532" s="212">
        <v>0</v>
      </c>
      <c r="AA532" s="212">
        <v>0</v>
      </c>
      <c r="AB532" s="217">
        <v>0.176981</v>
      </c>
      <c r="AC532" s="217">
        <v>0.28482400000000002</v>
      </c>
      <c r="AD532" s="212">
        <f t="shared" si="8"/>
        <v>0</v>
      </c>
    </row>
    <row r="533" spans="2:30" x14ac:dyDescent="0.15">
      <c r="B533" s="213">
        <v>17031002180</v>
      </c>
      <c r="C533" s="213">
        <v>17031000629</v>
      </c>
      <c r="D533" s="213">
        <v>17031000582</v>
      </c>
      <c r="E533" s="213" t="s">
        <v>533</v>
      </c>
      <c r="F533" s="213" t="s">
        <v>534</v>
      </c>
      <c r="G533" s="213" t="s">
        <v>365</v>
      </c>
      <c r="H533" s="213" t="s">
        <v>382</v>
      </c>
      <c r="I533" s="213"/>
      <c r="J533" s="213" t="s">
        <v>572</v>
      </c>
      <c r="K533" s="213" t="s">
        <v>543</v>
      </c>
      <c r="L533" s="213"/>
      <c r="M533" s="213"/>
      <c r="N533" s="213"/>
      <c r="O533" s="213"/>
      <c r="P533" s="213"/>
      <c r="Q533" s="213"/>
      <c r="R533" s="213"/>
      <c r="S533" s="213" t="s">
        <v>609</v>
      </c>
      <c r="T533" s="213"/>
      <c r="U533" s="213" t="s">
        <v>538</v>
      </c>
      <c r="V533" s="213">
        <v>2</v>
      </c>
      <c r="W533" s="213" t="s">
        <v>539</v>
      </c>
      <c r="X533" s="213" t="s">
        <v>554</v>
      </c>
      <c r="Y533" s="213" t="s">
        <v>580</v>
      </c>
      <c r="Z533" s="212">
        <v>1094381</v>
      </c>
      <c r="AA533" s="212">
        <v>33287005</v>
      </c>
      <c r="AB533" s="217">
        <v>1.187775</v>
      </c>
      <c r="AC533" s="217">
        <v>1.9115420000000001</v>
      </c>
      <c r="AD533" s="212">
        <f t="shared" si="8"/>
        <v>39537472.363875002</v>
      </c>
    </row>
    <row r="534" spans="2:30" x14ac:dyDescent="0.15">
      <c r="B534" s="213">
        <v>17031002181</v>
      </c>
      <c r="C534" s="213">
        <v>17031000739</v>
      </c>
      <c r="D534" s="213">
        <v>17031000737</v>
      </c>
      <c r="E534" s="213" t="s">
        <v>533</v>
      </c>
      <c r="F534" s="213" t="s">
        <v>534</v>
      </c>
      <c r="G534" s="213" t="s">
        <v>365</v>
      </c>
      <c r="H534" s="213" t="s">
        <v>535</v>
      </c>
      <c r="I534" s="213"/>
      <c r="J534" s="213"/>
      <c r="K534" s="213"/>
      <c r="L534" s="213"/>
      <c r="M534" s="213"/>
      <c r="N534" s="213"/>
      <c r="O534" s="213"/>
      <c r="P534" s="213"/>
      <c r="Q534" s="213"/>
      <c r="R534" s="213"/>
      <c r="S534" s="213" t="s">
        <v>624</v>
      </c>
      <c r="T534" s="213"/>
      <c r="U534" s="213" t="s">
        <v>538</v>
      </c>
      <c r="V534" s="213">
        <v>2</v>
      </c>
      <c r="W534" s="213" t="s">
        <v>582</v>
      </c>
      <c r="X534" s="213" t="s">
        <v>554</v>
      </c>
      <c r="Y534" s="213" t="s">
        <v>554</v>
      </c>
      <c r="Z534" s="212">
        <v>0</v>
      </c>
      <c r="AA534" s="212">
        <v>0</v>
      </c>
      <c r="AB534" s="217">
        <v>6.4994999999999997E-2</v>
      </c>
      <c r="AC534" s="217">
        <v>0.104599</v>
      </c>
      <c r="AD534" s="212">
        <f t="shared" si="8"/>
        <v>0</v>
      </c>
    </row>
    <row r="535" spans="2:30" x14ac:dyDescent="0.15">
      <c r="B535" s="213">
        <v>17031002182</v>
      </c>
      <c r="C535" s="213">
        <v>17031000804</v>
      </c>
      <c r="D535" s="213">
        <v>17031000705</v>
      </c>
      <c r="E535" s="213" t="s">
        <v>533</v>
      </c>
      <c r="F535" s="213" t="s">
        <v>534</v>
      </c>
      <c r="G535" s="213" t="s">
        <v>365</v>
      </c>
      <c r="H535" s="213" t="s">
        <v>543</v>
      </c>
      <c r="I535" s="213"/>
      <c r="J535" s="213" t="s">
        <v>542</v>
      </c>
      <c r="K535" s="213" t="s">
        <v>547</v>
      </c>
      <c r="L535" s="213"/>
      <c r="M535" s="213"/>
      <c r="N535" s="213"/>
      <c r="O535" s="213"/>
      <c r="P535" s="213"/>
      <c r="Q535" s="213"/>
      <c r="R535" s="213"/>
      <c r="S535" s="213" t="s">
        <v>630</v>
      </c>
      <c r="T535" s="213"/>
      <c r="U535" s="213" t="s">
        <v>538</v>
      </c>
      <c r="V535" s="213">
        <v>2</v>
      </c>
      <c r="W535" s="213" t="s">
        <v>545</v>
      </c>
      <c r="X535" s="213" t="s">
        <v>540</v>
      </c>
      <c r="Y535" s="213" t="s">
        <v>549</v>
      </c>
      <c r="Z535" s="212">
        <v>173950</v>
      </c>
      <c r="AA535" s="212">
        <v>12511548</v>
      </c>
      <c r="AB535" s="217">
        <v>2.1875819999999999</v>
      </c>
      <c r="AC535" s="217">
        <v>3.5205790000000001</v>
      </c>
      <c r="AD535" s="212">
        <f t="shared" si="8"/>
        <v>27370037.196936</v>
      </c>
    </row>
    <row r="536" spans="2:30" x14ac:dyDescent="0.15">
      <c r="B536" s="213">
        <v>17031002183</v>
      </c>
      <c r="C536" s="213">
        <v>17031001200</v>
      </c>
      <c r="D536" s="213">
        <v>17031001154</v>
      </c>
      <c r="E536" s="213" t="s">
        <v>533</v>
      </c>
      <c r="F536" s="213" t="s">
        <v>534</v>
      </c>
      <c r="G536" s="213" t="s">
        <v>365</v>
      </c>
      <c r="H536" s="213" t="s">
        <v>557</v>
      </c>
      <c r="I536" s="213"/>
      <c r="J536" s="213" t="s">
        <v>381</v>
      </c>
      <c r="K536" s="213" t="s">
        <v>535</v>
      </c>
      <c r="L536" s="213" t="s">
        <v>552</v>
      </c>
      <c r="M536" s="213" t="s">
        <v>551</v>
      </c>
      <c r="N536" s="213" t="s">
        <v>543</v>
      </c>
      <c r="O536" s="213" t="s">
        <v>382</v>
      </c>
      <c r="P536" s="213"/>
      <c r="Q536" s="213"/>
      <c r="R536" s="213"/>
      <c r="S536" s="213" t="s">
        <v>570</v>
      </c>
      <c r="T536" s="213"/>
      <c r="U536" s="213" t="s">
        <v>538</v>
      </c>
      <c r="V536" s="213">
        <v>2</v>
      </c>
      <c r="W536" s="213" t="s">
        <v>545</v>
      </c>
      <c r="X536" s="213" t="s">
        <v>540</v>
      </c>
      <c r="Y536" s="213" t="s">
        <v>575</v>
      </c>
      <c r="Z536" s="212">
        <v>1938863</v>
      </c>
      <c r="AA536" s="212">
        <v>84396379</v>
      </c>
      <c r="AB536" s="217">
        <v>1.9883</v>
      </c>
      <c r="AC536" s="217">
        <v>3.1998660000000001</v>
      </c>
      <c r="AD536" s="212">
        <f t="shared" si="8"/>
        <v>167805320.36570001</v>
      </c>
    </row>
    <row r="537" spans="2:30" x14ac:dyDescent="0.15">
      <c r="B537" s="213">
        <v>17031002186</v>
      </c>
      <c r="C537" s="213">
        <v>17031001025</v>
      </c>
      <c r="D537" s="213">
        <v>17031004754</v>
      </c>
      <c r="E537" s="213" t="s">
        <v>533</v>
      </c>
      <c r="F537" s="213" t="s">
        <v>534</v>
      </c>
      <c r="G537" s="213" t="s">
        <v>365</v>
      </c>
      <c r="H537" s="213" t="s">
        <v>535</v>
      </c>
      <c r="I537" s="213"/>
      <c r="J537" s="213" t="s">
        <v>542</v>
      </c>
      <c r="K537" s="213" t="s">
        <v>572</v>
      </c>
      <c r="L537" s="213"/>
      <c r="M537" s="213"/>
      <c r="N537" s="213"/>
      <c r="O537" s="213"/>
      <c r="P537" s="213"/>
      <c r="Q537" s="213"/>
      <c r="R537" s="213"/>
      <c r="S537" s="213" t="s">
        <v>544</v>
      </c>
      <c r="T537" s="213"/>
      <c r="U537" s="213" t="s">
        <v>538</v>
      </c>
      <c r="V537" s="213">
        <v>2</v>
      </c>
      <c r="W537" s="213" t="s">
        <v>545</v>
      </c>
      <c r="X537" s="213" t="s">
        <v>549</v>
      </c>
      <c r="Y537" s="213" t="s">
        <v>549</v>
      </c>
      <c r="Z537" s="212">
        <v>8958</v>
      </c>
      <c r="AA537" s="212">
        <v>744576</v>
      </c>
      <c r="AB537" s="217">
        <v>1.0918490000000001</v>
      </c>
      <c r="AC537" s="217">
        <v>1.757163</v>
      </c>
      <c r="AD537" s="212">
        <f t="shared" si="8"/>
        <v>812964.56102400005</v>
      </c>
    </row>
    <row r="538" spans="2:30" x14ac:dyDescent="0.15">
      <c r="B538" s="213">
        <v>17031002211</v>
      </c>
      <c r="C538" s="213">
        <v>17031000296</v>
      </c>
      <c r="D538" s="213">
        <v>17031004589</v>
      </c>
      <c r="E538" s="213" t="s">
        <v>533</v>
      </c>
      <c r="F538" s="213" t="s">
        <v>534</v>
      </c>
      <c r="G538" s="213" t="s">
        <v>365</v>
      </c>
      <c r="H538" s="213" t="s">
        <v>382</v>
      </c>
      <c r="I538" s="213"/>
      <c r="J538" s="213" t="s">
        <v>535</v>
      </c>
      <c r="K538" s="213" t="s">
        <v>552</v>
      </c>
      <c r="L538" s="213"/>
      <c r="M538" s="213"/>
      <c r="N538" s="213"/>
      <c r="O538" s="213"/>
      <c r="P538" s="213"/>
      <c r="Q538" s="213"/>
      <c r="R538" s="213"/>
      <c r="S538" s="213" t="s">
        <v>586</v>
      </c>
      <c r="T538" s="213"/>
      <c r="U538" s="213" t="s">
        <v>538</v>
      </c>
      <c r="V538" s="213">
        <v>2</v>
      </c>
      <c r="W538" s="213" t="s">
        <v>582</v>
      </c>
      <c r="X538" s="213" t="s">
        <v>549</v>
      </c>
      <c r="Y538" s="213" t="s">
        <v>580</v>
      </c>
      <c r="Z538" s="212">
        <v>622176</v>
      </c>
      <c r="AA538" s="212">
        <v>48764955</v>
      </c>
      <c r="AB538" s="217">
        <v>3.2552789999999998</v>
      </c>
      <c r="AC538" s="217">
        <v>5.2388729999999999</v>
      </c>
      <c r="AD538" s="212">
        <f t="shared" si="8"/>
        <v>158743533.94744501</v>
      </c>
    </row>
    <row r="539" spans="2:30" x14ac:dyDescent="0.15">
      <c r="B539" s="213">
        <v>17031002212</v>
      </c>
      <c r="C539" s="213">
        <v>17031004599</v>
      </c>
      <c r="D539" s="213">
        <v>17031004598</v>
      </c>
      <c r="E539" s="213" t="s">
        <v>533</v>
      </c>
      <c r="F539" s="213" t="s">
        <v>534</v>
      </c>
      <c r="G539" s="213" t="s">
        <v>365</v>
      </c>
      <c r="H539" s="213" t="s">
        <v>382</v>
      </c>
      <c r="I539" s="213"/>
      <c r="J539" s="213" t="s">
        <v>535</v>
      </c>
      <c r="K539" s="213" t="s">
        <v>547</v>
      </c>
      <c r="L539" s="213"/>
      <c r="M539" s="213"/>
      <c r="N539" s="213"/>
      <c r="O539" s="213"/>
      <c r="P539" s="213"/>
      <c r="Q539" s="213"/>
      <c r="R539" s="213"/>
      <c r="S539" s="213" t="s">
        <v>608</v>
      </c>
      <c r="T539" s="213"/>
      <c r="U539" s="213" t="s">
        <v>538</v>
      </c>
      <c r="V539" s="213">
        <v>3</v>
      </c>
      <c r="W539" s="213" t="s">
        <v>566</v>
      </c>
      <c r="X539" s="213" t="s">
        <v>549</v>
      </c>
      <c r="Y539" s="213" t="s">
        <v>549</v>
      </c>
      <c r="Z539" s="212">
        <v>15951</v>
      </c>
      <c r="AA539" s="212">
        <v>1564397</v>
      </c>
      <c r="AB539" s="217">
        <v>1.117022</v>
      </c>
      <c r="AC539" s="217">
        <v>1.7976760000000001</v>
      </c>
      <c r="AD539" s="212">
        <f t="shared" si="8"/>
        <v>1747465.865734</v>
      </c>
    </row>
    <row r="540" spans="2:30" x14ac:dyDescent="0.15">
      <c r="B540" s="213">
        <v>17031002213</v>
      </c>
      <c r="C540" s="213">
        <v>17031004600</v>
      </c>
      <c r="D540" s="213">
        <v>17031004599</v>
      </c>
      <c r="E540" s="213" t="s">
        <v>533</v>
      </c>
      <c r="F540" s="213" t="s">
        <v>534</v>
      </c>
      <c r="G540" s="213" t="s">
        <v>365</v>
      </c>
      <c r="H540" s="213" t="s">
        <v>382</v>
      </c>
      <c r="I540" s="213"/>
      <c r="J540" s="213" t="s">
        <v>535</v>
      </c>
      <c r="K540" s="213" t="s">
        <v>547</v>
      </c>
      <c r="L540" s="213"/>
      <c r="M540" s="213"/>
      <c r="N540" s="213"/>
      <c r="O540" s="213"/>
      <c r="P540" s="213"/>
      <c r="Q540" s="213"/>
      <c r="R540" s="213"/>
      <c r="S540" s="213" t="s">
        <v>608</v>
      </c>
      <c r="T540" s="213"/>
      <c r="U540" s="213" t="s">
        <v>538</v>
      </c>
      <c r="V540" s="213">
        <v>3</v>
      </c>
      <c r="W540" s="213" t="s">
        <v>566</v>
      </c>
      <c r="X540" s="213" t="s">
        <v>549</v>
      </c>
      <c r="Y540" s="213" t="s">
        <v>549</v>
      </c>
      <c r="Z540" s="212">
        <v>15951</v>
      </c>
      <c r="AA540" s="212">
        <v>1564397</v>
      </c>
      <c r="AB540" s="217">
        <v>1.248596</v>
      </c>
      <c r="AC540" s="217">
        <v>2.0094249999999998</v>
      </c>
      <c r="AD540" s="212">
        <f t="shared" si="8"/>
        <v>1953299.8366120001</v>
      </c>
    </row>
    <row r="541" spans="2:30" x14ac:dyDescent="0.15">
      <c r="B541" s="213">
        <v>17031002222</v>
      </c>
      <c r="C541" s="213">
        <v>17031000558</v>
      </c>
      <c r="D541" s="213">
        <v>17031000540</v>
      </c>
      <c r="E541" s="213" t="s">
        <v>533</v>
      </c>
      <c r="F541" s="213" t="s">
        <v>534</v>
      </c>
      <c r="G541" s="213" t="s">
        <v>365</v>
      </c>
      <c r="H541" s="213" t="s">
        <v>557</v>
      </c>
      <c r="I541" s="213"/>
      <c r="J541" s="213" t="s">
        <v>535</v>
      </c>
      <c r="K541" s="213" t="s">
        <v>552</v>
      </c>
      <c r="L541" s="213" t="s">
        <v>543</v>
      </c>
      <c r="M541" s="213" t="s">
        <v>382</v>
      </c>
      <c r="N541" s="213"/>
      <c r="O541" s="213"/>
      <c r="P541" s="213"/>
      <c r="Q541" s="213"/>
      <c r="R541" s="213"/>
      <c r="S541" s="213" t="s">
        <v>570</v>
      </c>
      <c r="T541" s="213"/>
      <c r="U541" s="213" t="s">
        <v>538</v>
      </c>
      <c r="V541" s="213">
        <v>2</v>
      </c>
      <c r="W541" s="213" t="s">
        <v>545</v>
      </c>
      <c r="X541" s="213" t="s">
        <v>540</v>
      </c>
      <c r="Y541" s="213" t="s">
        <v>580</v>
      </c>
      <c r="Z541" s="212">
        <v>884199</v>
      </c>
      <c r="AA541" s="212">
        <v>46257010</v>
      </c>
      <c r="AB541" s="217">
        <v>0.25243500000000002</v>
      </c>
      <c r="AC541" s="217">
        <v>0.40625499999999998</v>
      </c>
      <c r="AD541" s="212">
        <f t="shared" si="8"/>
        <v>11676888.31935</v>
      </c>
    </row>
    <row r="542" spans="2:30" x14ac:dyDescent="0.15">
      <c r="B542" s="213">
        <v>17031002235</v>
      </c>
      <c r="C542" s="213">
        <v>17031004609</v>
      </c>
      <c r="D542" s="213">
        <v>17031004608</v>
      </c>
      <c r="E542" s="213" t="s">
        <v>533</v>
      </c>
      <c r="F542" s="213" t="s">
        <v>534</v>
      </c>
      <c r="G542" s="213" t="s">
        <v>365</v>
      </c>
      <c r="H542" s="213" t="s">
        <v>382</v>
      </c>
      <c r="I542" s="213"/>
      <c r="J542" s="213" t="s">
        <v>547</v>
      </c>
      <c r="K542" s="213"/>
      <c r="L542" s="213"/>
      <c r="M542" s="213"/>
      <c r="N542" s="213"/>
      <c r="O542" s="213"/>
      <c r="P542" s="213"/>
      <c r="Q542" s="213"/>
      <c r="R542" s="213"/>
      <c r="S542" s="213" t="s">
        <v>608</v>
      </c>
      <c r="T542" s="213"/>
      <c r="U542" s="213" t="s">
        <v>538</v>
      </c>
      <c r="V542" s="213">
        <v>3</v>
      </c>
      <c r="W542" s="213" t="s">
        <v>566</v>
      </c>
      <c r="X542" s="213" t="s">
        <v>549</v>
      </c>
      <c r="Y542" s="213" t="s">
        <v>554</v>
      </c>
      <c r="Z542" s="212">
        <v>0</v>
      </c>
      <c r="AA542" s="212">
        <v>0</v>
      </c>
      <c r="AB542" s="217">
        <v>1.3600719999999999</v>
      </c>
      <c r="AC542" s="217">
        <v>2.1888269999999999</v>
      </c>
      <c r="AD542" s="212">
        <f t="shared" si="8"/>
        <v>0</v>
      </c>
    </row>
    <row r="543" spans="2:30" x14ac:dyDescent="0.15">
      <c r="B543" s="213">
        <v>17031002237</v>
      </c>
      <c r="C543" s="213">
        <v>17031000436</v>
      </c>
      <c r="D543" s="213">
        <v>17031000434</v>
      </c>
      <c r="E543" s="213" t="s">
        <v>533</v>
      </c>
      <c r="F543" s="213" t="s">
        <v>534</v>
      </c>
      <c r="G543" s="213" t="s">
        <v>365</v>
      </c>
      <c r="H543" s="213" t="s">
        <v>552</v>
      </c>
      <c r="I543" s="213"/>
      <c r="J543" s="213" t="s">
        <v>551</v>
      </c>
      <c r="K543" s="213" t="s">
        <v>547</v>
      </c>
      <c r="L543" s="213" t="s">
        <v>382</v>
      </c>
      <c r="M543" s="213" t="s">
        <v>563</v>
      </c>
      <c r="N543" s="213"/>
      <c r="O543" s="213"/>
      <c r="P543" s="213"/>
      <c r="Q543" s="213"/>
      <c r="R543" s="213"/>
      <c r="S543" s="213" t="s">
        <v>589</v>
      </c>
      <c r="T543" s="213"/>
      <c r="U543" s="213" t="s">
        <v>538</v>
      </c>
      <c r="V543" s="213">
        <v>3</v>
      </c>
      <c r="W543" s="213" t="s">
        <v>545</v>
      </c>
      <c r="X543" s="213" t="s">
        <v>549</v>
      </c>
      <c r="Y543" s="213" t="s">
        <v>549</v>
      </c>
      <c r="Z543" s="212">
        <v>244221</v>
      </c>
      <c r="AA543" s="212">
        <v>19989495</v>
      </c>
      <c r="AB543" s="217">
        <v>0.52212000000000003</v>
      </c>
      <c r="AC543" s="217">
        <v>0.84027200000000002</v>
      </c>
      <c r="AD543" s="212">
        <f t="shared" si="8"/>
        <v>10436915.1294</v>
      </c>
    </row>
    <row r="544" spans="2:30" x14ac:dyDescent="0.15">
      <c r="B544" s="213">
        <v>17031002238</v>
      </c>
      <c r="C544" s="213">
        <v>17031004637</v>
      </c>
      <c r="D544" s="213">
        <v>17031000436</v>
      </c>
      <c r="E544" s="213" t="s">
        <v>533</v>
      </c>
      <c r="F544" s="213" t="s">
        <v>534</v>
      </c>
      <c r="G544" s="213" t="s">
        <v>365</v>
      </c>
      <c r="H544" s="213" t="s">
        <v>552</v>
      </c>
      <c r="I544" s="213"/>
      <c r="J544" s="213" t="s">
        <v>551</v>
      </c>
      <c r="K544" s="213" t="s">
        <v>547</v>
      </c>
      <c r="L544" s="213" t="s">
        <v>382</v>
      </c>
      <c r="M544" s="213" t="s">
        <v>563</v>
      </c>
      <c r="N544" s="213"/>
      <c r="O544" s="213"/>
      <c r="P544" s="213"/>
      <c r="Q544" s="213"/>
      <c r="R544" s="213"/>
      <c r="S544" s="213" t="s">
        <v>589</v>
      </c>
      <c r="T544" s="213"/>
      <c r="U544" s="213" t="s">
        <v>538</v>
      </c>
      <c r="V544" s="213">
        <v>3</v>
      </c>
      <c r="W544" s="213" t="s">
        <v>545</v>
      </c>
      <c r="X544" s="213" t="s">
        <v>549</v>
      </c>
      <c r="Y544" s="213" t="s">
        <v>549</v>
      </c>
      <c r="Z544" s="212">
        <v>244221</v>
      </c>
      <c r="AA544" s="212">
        <v>19989495</v>
      </c>
      <c r="AB544" s="217">
        <v>1.0225379999999999</v>
      </c>
      <c r="AC544" s="217">
        <v>1.6456189999999999</v>
      </c>
      <c r="AD544" s="212">
        <f t="shared" si="8"/>
        <v>20440018.238309998</v>
      </c>
    </row>
    <row r="545" spans="2:30" x14ac:dyDescent="0.15">
      <c r="B545" s="213">
        <v>17031002241</v>
      </c>
      <c r="C545" s="213">
        <v>17031004639</v>
      </c>
      <c r="D545" s="213">
        <v>17031004638</v>
      </c>
      <c r="E545" s="213" t="s">
        <v>533</v>
      </c>
      <c r="F545" s="213" t="s">
        <v>534</v>
      </c>
      <c r="G545" s="213" t="s">
        <v>365</v>
      </c>
      <c r="H545" s="213" t="s">
        <v>552</v>
      </c>
      <c r="I545" s="213"/>
      <c r="J545" s="213" t="s">
        <v>551</v>
      </c>
      <c r="K545" s="213" t="s">
        <v>547</v>
      </c>
      <c r="L545" s="213" t="s">
        <v>382</v>
      </c>
      <c r="M545" s="213" t="s">
        <v>563</v>
      </c>
      <c r="N545" s="213"/>
      <c r="O545" s="213"/>
      <c r="P545" s="213"/>
      <c r="Q545" s="213"/>
      <c r="R545" s="213"/>
      <c r="S545" s="213" t="s">
        <v>589</v>
      </c>
      <c r="T545" s="213"/>
      <c r="U545" s="213" t="s">
        <v>538</v>
      </c>
      <c r="V545" s="213">
        <v>3</v>
      </c>
      <c r="W545" s="213" t="s">
        <v>545</v>
      </c>
      <c r="X545" s="213" t="s">
        <v>549</v>
      </c>
      <c r="Y545" s="213" t="s">
        <v>549</v>
      </c>
      <c r="Z545" s="212">
        <v>244221</v>
      </c>
      <c r="AA545" s="212">
        <v>19989495</v>
      </c>
      <c r="AB545" s="217">
        <v>0.41120299999999999</v>
      </c>
      <c r="AC545" s="217">
        <v>0.66176800000000002</v>
      </c>
      <c r="AD545" s="212">
        <f t="shared" si="8"/>
        <v>8219740.3124850001</v>
      </c>
    </row>
    <row r="546" spans="2:30" x14ac:dyDescent="0.15">
      <c r="B546" s="213">
        <v>17031002242</v>
      </c>
      <c r="C546" s="213">
        <v>17031000493</v>
      </c>
      <c r="D546" s="213">
        <v>17031000465</v>
      </c>
      <c r="E546" s="213" t="s">
        <v>533</v>
      </c>
      <c r="F546" s="213" t="s">
        <v>534</v>
      </c>
      <c r="G546" s="213" t="s">
        <v>365</v>
      </c>
      <c r="H546" s="213" t="s">
        <v>557</v>
      </c>
      <c r="I546" s="213"/>
      <c r="J546" s="213" t="s">
        <v>535</v>
      </c>
      <c r="K546" s="213" t="s">
        <v>552</v>
      </c>
      <c r="L546" s="213" t="s">
        <v>543</v>
      </c>
      <c r="M546" s="213" t="s">
        <v>382</v>
      </c>
      <c r="N546" s="213"/>
      <c r="O546" s="213"/>
      <c r="P546" s="213"/>
      <c r="Q546" s="213"/>
      <c r="R546" s="213"/>
      <c r="S546" s="213" t="s">
        <v>570</v>
      </c>
      <c r="T546" s="213" t="s">
        <v>676</v>
      </c>
      <c r="U546" s="213" t="s">
        <v>538</v>
      </c>
      <c r="V546" s="213">
        <v>2</v>
      </c>
      <c r="W546" s="213" t="s">
        <v>545</v>
      </c>
      <c r="X546" s="213" t="s">
        <v>554</v>
      </c>
      <c r="Y546" s="213" t="s">
        <v>546</v>
      </c>
      <c r="Z546" s="212">
        <v>884309</v>
      </c>
      <c r="AA546" s="212">
        <v>46298682</v>
      </c>
      <c r="AB546" s="217">
        <v>0.74494199999999999</v>
      </c>
      <c r="AC546" s="217">
        <v>1.1988700000000001</v>
      </c>
      <c r="AD546" s="212">
        <f t="shared" si="8"/>
        <v>34489832.766443998</v>
      </c>
    </row>
    <row r="547" spans="2:30" x14ac:dyDescent="0.15">
      <c r="B547" s="213">
        <v>17031002245</v>
      </c>
      <c r="C547" s="213">
        <v>17031000500</v>
      </c>
      <c r="D547" s="213">
        <v>17031000493</v>
      </c>
      <c r="E547" s="213" t="s">
        <v>533</v>
      </c>
      <c r="F547" s="213" t="s">
        <v>534</v>
      </c>
      <c r="G547" s="213" t="s">
        <v>365</v>
      </c>
      <c r="H547" s="213" t="s">
        <v>557</v>
      </c>
      <c r="I547" s="213"/>
      <c r="J547" s="213" t="s">
        <v>535</v>
      </c>
      <c r="K547" s="213" t="s">
        <v>552</v>
      </c>
      <c r="L547" s="213" t="s">
        <v>543</v>
      </c>
      <c r="M547" s="213" t="s">
        <v>382</v>
      </c>
      <c r="N547" s="213"/>
      <c r="O547" s="213"/>
      <c r="P547" s="213"/>
      <c r="Q547" s="213"/>
      <c r="R547" s="213"/>
      <c r="S547" s="213" t="s">
        <v>570</v>
      </c>
      <c r="T547" s="213" t="s">
        <v>676</v>
      </c>
      <c r="U547" s="213" t="s">
        <v>538</v>
      </c>
      <c r="V547" s="213">
        <v>2</v>
      </c>
      <c r="W547" s="213" t="s">
        <v>545</v>
      </c>
      <c r="X547" s="213" t="s">
        <v>554</v>
      </c>
      <c r="Y547" s="213" t="s">
        <v>546</v>
      </c>
      <c r="Z547" s="212">
        <v>884309</v>
      </c>
      <c r="AA547" s="212">
        <v>46298682</v>
      </c>
      <c r="AB547" s="217">
        <v>0.13173000000000001</v>
      </c>
      <c r="AC547" s="217">
        <v>0.21199999999999999</v>
      </c>
      <c r="AD547" s="212">
        <f t="shared" si="8"/>
        <v>6098925.3798600007</v>
      </c>
    </row>
    <row r="548" spans="2:30" x14ac:dyDescent="0.15">
      <c r="B548" s="213">
        <v>17031002247</v>
      </c>
      <c r="C548" s="213">
        <v>17031000555</v>
      </c>
      <c r="D548" s="213">
        <v>17031000545</v>
      </c>
      <c r="E548" s="213" t="s">
        <v>533</v>
      </c>
      <c r="F548" s="213" t="s">
        <v>534</v>
      </c>
      <c r="G548" s="213" t="s">
        <v>365</v>
      </c>
      <c r="H548" s="213" t="s">
        <v>382</v>
      </c>
      <c r="I548" s="213"/>
      <c r="J548" s="213" t="s">
        <v>572</v>
      </c>
      <c r="K548" s="213" t="s">
        <v>547</v>
      </c>
      <c r="L548" s="213"/>
      <c r="M548" s="213"/>
      <c r="N548" s="213"/>
      <c r="O548" s="213"/>
      <c r="P548" s="213"/>
      <c r="Q548" s="213"/>
      <c r="R548" s="213"/>
      <c r="S548" s="213" t="s">
        <v>583</v>
      </c>
      <c r="T548" s="213"/>
      <c r="U548" s="213" t="s">
        <v>538</v>
      </c>
      <c r="V548" s="213">
        <v>3</v>
      </c>
      <c r="W548" s="213" t="s">
        <v>545</v>
      </c>
      <c r="X548" s="213" t="s">
        <v>549</v>
      </c>
      <c r="Y548" s="213" t="s">
        <v>580</v>
      </c>
      <c r="Z548" s="212">
        <v>1094661</v>
      </c>
      <c r="AA548" s="212">
        <v>33314885</v>
      </c>
      <c r="AB548" s="217">
        <v>0.58910300000000004</v>
      </c>
      <c r="AC548" s="217">
        <v>0.948071</v>
      </c>
      <c r="AD548" s="212">
        <f t="shared" si="8"/>
        <v>19625898.698155001</v>
      </c>
    </row>
    <row r="549" spans="2:30" x14ac:dyDescent="0.15">
      <c r="B549" s="213">
        <v>17031002248</v>
      </c>
      <c r="C549" s="213">
        <v>17031000567</v>
      </c>
      <c r="D549" s="213">
        <v>17031000560</v>
      </c>
      <c r="E549" s="213" t="s">
        <v>533</v>
      </c>
      <c r="F549" s="213" t="s">
        <v>534</v>
      </c>
      <c r="G549" s="213" t="s">
        <v>365</v>
      </c>
      <c r="H549" s="213" t="s">
        <v>382</v>
      </c>
      <c r="I549" s="213"/>
      <c r="J549" s="213" t="s">
        <v>547</v>
      </c>
      <c r="K549" s="213"/>
      <c r="L549" s="213"/>
      <c r="M549" s="213"/>
      <c r="N549" s="213"/>
      <c r="O549" s="213"/>
      <c r="P549" s="213"/>
      <c r="Q549" s="213"/>
      <c r="R549" s="213"/>
      <c r="S549" s="213"/>
      <c r="T549" s="213" t="s">
        <v>674</v>
      </c>
      <c r="U549" s="213" t="s">
        <v>559</v>
      </c>
      <c r="V549" s="213">
        <v>1</v>
      </c>
      <c r="W549" s="213" t="s">
        <v>539</v>
      </c>
      <c r="X549" s="213" t="s">
        <v>541</v>
      </c>
      <c r="Y549" s="213" t="s">
        <v>541</v>
      </c>
      <c r="Z549" s="212">
        <v>0</v>
      </c>
      <c r="AA549" s="212">
        <v>0</v>
      </c>
      <c r="AB549" s="217">
        <v>0.27496300000000001</v>
      </c>
      <c r="AC549" s="217">
        <v>0.44251099999999999</v>
      </c>
      <c r="AD549" s="212">
        <f t="shared" si="8"/>
        <v>0</v>
      </c>
    </row>
    <row r="550" spans="2:30" x14ac:dyDescent="0.15">
      <c r="B550" s="213">
        <v>17031002252</v>
      </c>
      <c r="C550" s="213">
        <v>17031000643</v>
      </c>
      <c r="D550" s="213">
        <v>17031000602</v>
      </c>
      <c r="E550" s="213" t="s">
        <v>533</v>
      </c>
      <c r="F550" s="213" t="s">
        <v>534</v>
      </c>
      <c r="G550" s="213" t="s">
        <v>365</v>
      </c>
      <c r="H550" s="213" t="s">
        <v>557</v>
      </c>
      <c r="I550" s="213"/>
      <c r="J550" s="213" t="s">
        <v>535</v>
      </c>
      <c r="K550" s="213" t="s">
        <v>552</v>
      </c>
      <c r="L550" s="213" t="s">
        <v>543</v>
      </c>
      <c r="M550" s="213" t="s">
        <v>382</v>
      </c>
      <c r="N550" s="213"/>
      <c r="O550" s="213"/>
      <c r="P550" s="213"/>
      <c r="Q550" s="213"/>
      <c r="R550" s="213"/>
      <c r="S550" s="213" t="s">
        <v>570</v>
      </c>
      <c r="T550" s="213"/>
      <c r="U550" s="213" t="s">
        <v>538</v>
      </c>
      <c r="V550" s="213">
        <v>2</v>
      </c>
      <c r="W550" s="213" t="s">
        <v>545</v>
      </c>
      <c r="X550" s="213" t="s">
        <v>540</v>
      </c>
      <c r="Y550" s="213" t="s">
        <v>580</v>
      </c>
      <c r="Z550" s="212">
        <v>1550052</v>
      </c>
      <c r="AA550" s="212">
        <v>61534331</v>
      </c>
      <c r="AB550" s="217">
        <v>1.069769</v>
      </c>
      <c r="AC550" s="217">
        <v>1.72163</v>
      </c>
      <c r="AD550" s="212">
        <f t="shared" si="8"/>
        <v>65827519.739538997</v>
      </c>
    </row>
    <row r="551" spans="2:30" x14ac:dyDescent="0.15">
      <c r="B551" s="213">
        <v>17031002256</v>
      </c>
      <c r="C551" s="213">
        <v>17031004660</v>
      </c>
      <c r="D551" s="213">
        <v>17031004661</v>
      </c>
      <c r="E551" s="213" t="s">
        <v>533</v>
      </c>
      <c r="F551" s="213" t="s">
        <v>534</v>
      </c>
      <c r="G551" s="213" t="s">
        <v>365</v>
      </c>
      <c r="H551" s="213" t="s">
        <v>381</v>
      </c>
      <c r="I551" s="213"/>
      <c r="J551" s="213" t="s">
        <v>542</v>
      </c>
      <c r="K551" s="213" t="s">
        <v>547</v>
      </c>
      <c r="L551" s="213" t="s">
        <v>382</v>
      </c>
      <c r="M551" s="213"/>
      <c r="N551" s="213"/>
      <c r="O551" s="213"/>
      <c r="P551" s="213"/>
      <c r="Q551" s="213"/>
      <c r="R551" s="213"/>
      <c r="S551" s="213" t="s">
        <v>579</v>
      </c>
      <c r="T551" s="213"/>
      <c r="U551" s="213" t="s">
        <v>538</v>
      </c>
      <c r="V551" s="213">
        <v>3</v>
      </c>
      <c r="W551" s="213" t="s">
        <v>545</v>
      </c>
      <c r="X551" s="213" t="s">
        <v>549</v>
      </c>
      <c r="Y551" s="213" t="s">
        <v>580</v>
      </c>
      <c r="Z551" s="212">
        <v>2414957</v>
      </c>
      <c r="AA551" s="212">
        <v>66249232</v>
      </c>
      <c r="AB551" s="217">
        <v>0.97989599999999999</v>
      </c>
      <c r="AC551" s="217">
        <v>1.5769930000000001</v>
      </c>
      <c r="AD551" s="212">
        <f t="shared" si="8"/>
        <v>64917357.439871997</v>
      </c>
    </row>
    <row r="552" spans="2:30" x14ac:dyDescent="0.15">
      <c r="B552" s="213">
        <v>17031002259</v>
      </c>
      <c r="C552" s="213">
        <v>17031004647</v>
      </c>
      <c r="D552" s="213">
        <v>17999020593</v>
      </c>
      <c r="E552" s="213" t="s">
        <v>533</v>
      </c>
      <c r="F552" s="213" t="s">
        <v>534</v>
      </c>
      <c r="G552" s="213" t="s">
        <v>365</v>
      </c>
      <c r="H552" s="213" t="s">
        <v>382</v>
      </c>
      <c r="I552" s="213"/>
      <c r="J552" s="213" t="s">
        <v>547</v>
      </c>
      <c r="K552" s="213"/>
      <c r="L552" s="213"/>
      <c r="M552" s="213"/>
      <c r="N552" s="213"/>
      <c r="O552" s="213"/>
      <c r="P552" s="213"/>
      <c r="Q552" s="213"/>
      <c r="R552" s="213"/>
      <c r="S552" s="213" t="s">
        <v>583</v>
      </c>
      <c r="T552" s="213" t="s">
        <v>626</v>
      </c>
      <c r="U552" s="213" t="s">
        <v>538</v>
      </c>
      <c r="V552" s="213">
        <v>3</v>
      </c>
      <c r="W552" s="213" t="s">
        <v>545</v>
      </c>
      <c r="X552" s="213" t="s">
        <v>549</v>
      </c>
      <c r="Y552" s="213" t="s">
        <v>580</v>
      </c>
      <c r="Z552" s="212">
        <v>1570326</v>
      </c>
      <c r="AA552" s="212">
        <v>48086192</v>
      </c>
      <c r="AB552" s="217">
        <v>0.239374</v>
      </c>
      <c r="AC552" s="217">
        <v>0.38523600000000002</v>
      </c>
      <c r="AD552" s="212">
        <f t="shared" si="8"/>
        <v>11510584.123808</v>
      </c>
    </row>
    <row r="553" spans="2:30" x14ac:dyDescent="0.15">
      <c r="B553" s="213">
        <v>17031002290</v>
      </c>
      <c r="C553" s="213">
        <v>17031001067</v>
      </c>
      <c r="D553" s="213">
        <v>17031001058</v>
      </c>
      <c r="E553" s="213" t="s">
        <v>533</v>
      </c>
      <c r="F553" s="213" t="s">
        <v>534</v>
      </c>
      <c r="G553" s="213" t="s">
        <v>365</v>
      </c>
      <c r="H553" s="213" t="s">
        <v>547</v>
      </c>
      <c r="I553" s="213"/>
      <c r="J553" s="213"/>
      <c r="K553" s="213"/>
      <c r="L553" s="213"/>
      <c r="M553" s="213"/>
      <c r="N553" s="213"/>
      <c r="O553" s="213"/>
      <c r="P553" s="213"/>
      <c r="Q553" s="213"/>
      <c r="R553" s="213"/>
      <c r="S553" s="213"/>
      <c r="T553" s="213"/>
      <c r="U553" s="213" t="s">
        <v>538</v>
      </c>
      <c r="V553" s="213">
        <v>2</v>
      </c>
      <c r="W553" s="213" t="s">
        <v>545</v>
      </c>
      <c r="X553" s="213" t="s">
        <v>554</v>
      </c>
      <c r="Y553" s="213" t="s">
        <v>541</v>
      </c>
      <c r="Z553" s="212">
        <v>0</v>
      </c>
      <c r="AA553" s="212">
        <v>0</v>
      </c>
      <c r="AB553" s="217">
        <v>1.337412</v>
      </c>
      <c r="AC553" s="217">
        <v>2.152361</v>
      </c>
      <c r="AD553" s="212">
        <f t="shared" si="8"/>
        <v>0</v>
      </c>
    </row>
    <row r="554" spans="2:30" x14ac:dyDescent="0.15">
      <c r="B554" s="213">
        <v>17031002292</v>
      </c>
      <c r="C554" s="213">
        <v>17031007685</v>
      </c>
      <c r="D554" s="213">
        <v>17031001220</v>
      </c>
      <c r="E554" s="213" t="s">
        <v>533</v>
      </c>
      <c r="F554" s="213" t="s">
        <v>534</v>
      </c>
      <c r="G554" s="213" t="s">
        <v>365</v>
      </c>
      <c r="H554" s="213" t="s">
        <v>557</v>
      </c>
      <c r="I554" s="213"/>
      <c r="J554" s="213"/>
      <c r="K554" s="213"/>
      <c r="L554" s="213"/>
      <c r="M554" s="213"/>
      <c r="N554" s="213"/>
      <c r="O554" s="213"/>
      <c r="P554" s="213"/>
      <c r="Q554" s="213"/>
      <c r="R554" s="213"/>
      <c r="S554" s="213" t="s">
        <v>618</v>
      </c>
      <c r="T554" s="213"/>
      <c r="U554" s="213" t="s">
        <v>559</v>
      </c>
      <c r="V554" s="213">
        <v>1</v>
      </c>
      <c r="W554" s="213" t="s">
        <v>560</v>
      </c>
      <c r="X554" s="213" t="s">
        <v>541</v>
      </c>
      <c r="Y554" s="213" t="s">
        <v>541</v>
      </c>
      <c r="Z554" s="212">
        <v>0</v>
      </c>
      <c r="AA554" s="212">
        <v>0</v>
      </c>
      <c r="AB554" s="217">
        <v>4.2442739999999999</v>
      </c>
      <c r="AC554" s="217">
        <v>6.8305110000000004</v>
      </c>
      <c r="AD554" s="212">
        <f t="shared" si="8"/>
        <v>0</v>
      </c>
    </row>
    <row r="555" spans="2:30" x14ac:dyDescent="0.15">
      <c r="B555" s="213">
        <v>17031002301</v>
      </c>
      <c r="C555" s="213">
        <v>17031004712</v>
      </c>
      <c r="D555" s="213">
        <v>17031001419</v>
      </c>
      <c r="E555" s="213" t="s">
        <v>533</v>
      </c>
      <c r="F555" s="213" t="s">
        <v>534</v>
      </c>
      <c r="G555" s="213" t="s">
        <v>365</v>
      </c>
      <c r="H555" s="213" t="s">
        <v>551</v>
      </c>
      <c r="I555" s="213"/>
      <c r="J555" s="213"/>
      <c r="K555" s="213"/>
      <c r="L555" s="213"/>
      <c r="M555" s="213"/>
      <c r="N555" s="213"/>
      <c r="O555" s="213"/>
      <c r="P555" s="213"/>
      <c r="Q555" s="213"/>
      <c r="R555" s="213"/>
      <c r="S555" s="213" t="s">
        <v>628</v>
      </c>
      <c r="T555" s="213"/>
      <c r="U555" s="213" t="s">
        <v>538</v>
      </c>
      <c r="V555" s="213">
        <v>1</v>
      </c>
      <c r="W555" s="213" t="s">
        <v>539</v>
      </c>
      <c r="X555" s="213" t="s">
        <v>541</v>
      </c>
      <c r="Y555" s="213" t="s">
        <v>541</v>
      </c>
      <c r="Z555" s="212">
        <v>40</v>
      </c>
      <c r="AA555" s="212">
        <v>4080</v>
      </c>
      <c r="AB555" s="217">
        <v>1.501614</v>
      </c>
      <c r="AC555" s="217">
        <v>2.4166180000000002</v>
      </c>
      <c r="AD555" s="212">
        <f t="shared" si="8"/>
        <v>6126.5851199999997</v>
      </c>
    </row>
    <row r="556" spans="2:30" x14ac:dyDescent="0.15">
      <c r="B556" s="213">
        <v>17031002306</v>
      </c>
      <c r="C556" s="213">
        <v>17031001077</v>
      </c>
      <c r="D556" s="213">
        <v>17031001108</v>
      </c>
      <c r="E556" s="213" t="s">
        <v>533</v>
      </c>
      <c r="F556" s="213" t="s">
        <v>534</v>
      </c>
      <c r="G556" s="213" t="s">
        <v>365</v>
      </c>
      <c r="H556" s="213" t="s">
        <v>577</v>
      </c>
      <c r="I556" s="213"/>
      <c r="J556" s="213"/>
      <c r="K556" s="213"/>
      <c r="L556" s="213"/>
      <c r="M556" s="213"/>
      <c r="N556" s="213"/>
      <c r="O556" s="213"/>
      <c r="P556" s="213"/>
      <c r="Q556" s="213"/>
      <c r="R556" s="213"/>
      <c r="S556" s="213"/>
      <c r="T556" s="213"/>
      <c r="U556" s="213" t="s">
        <v>538</v>
      </c>
      <c r="V556" s="213">
        <v>1</v>
      </c>
      <c r="W556" s="213" t="s">
        <v>560</v>
      </c>
      <c r="X556" s="213" t="s">
        <v>541</v>
      </c>
      <c r="Y556" s="213" t="s">
        <v>541</v>
      </c>
      <c r="Z556" s="212">
        <v>0</v>
      </c>
      <c r="AA556" s="212">
        <v>0</v>
      </c>
      <c r="AB556" s="217">
        <v>2.7798020000000001</v>
      </c>
      <c r="AC556" s="217">
        <v>4.4736669999999998</v>
      </c>
      <c r="AD556" s="212">
        <f t="shared" si="8"/>
        <v>0</v>
      </c>
    </row>
    <row r="557" spans="2:30" x14ac:dyDescent="0.15">
      <c r="B557" s="213">
        <v>17031002308</v>
      </c>
      <c r="C557" s="213">
        <v>17031001303</v>
      </c>
      <c r="D557" s="213">
        <v>17031001311</v>
      </c>
      <c r="E557" s="213" t="s">
        <v>533</v>
      </c>
      <c r="F557" s="213" t="s">
        <v>534</v>
      </c>
      <c r="G557" s="213" t="s">
        <v>365</v>
      </c>
      <c r="H557" s="213" t="s">
        <v>557</v>
      </c>
      <c r="I557" s="213"/>
      <c r="J557" s="213" t="s">
        <v>381</v>
      </c>
      <c r="K557" s="213" t="s">
        <v>535</v>
      </c>
      <c r="L557" s="213" t="s">
        <v>552</v>
      </c>
      <c r="M557" s="213" t="s">
        <v>382</v>
      </c>
      <c r="N557" s="213"/>
      <c r="O557" s="213"/>
      <c r="P557" s="213"/>
      <c r="Q557" s="213"/>
      <c r="R557" s="213"/>
      <c r="S557" s="213"/>
      <c r="T557" s="213"/>
      <c r="U557" s="213" t="s">
        <v>538</v>
      </c>
      <c r="V557" s="213">
        <v>2</v>
      </c>
      <c r="W557" s="213" t="s">
        <v>545</v>
      </c>
      <c r="X557" s="213" t="s">
        <v>554</v>
      </c>
      <c r="Y557" s="213" t="s">
        <v>549</v>
      </c>
      <c r="Z557" s="212">
        <v>427565</v>
      </c>
      <c r="AA557" s="212">
        <v>35006221</v>
      </c>
      <c r="AB557" s="217">
        <v>9.7479999999999997E-2</v>
      </c>
      <c r="AC557" s="217">
        <v>0.15687999999999999</v>
      </c>
      <c r="AD557" s="212">
        <f t="shared" si="8"/>
        <v>3412406.4230800001</v>
      </c>
    </row>
    <row r="558" spans="2:30" x14ac:dyDescent="0.15">
      <c r="B558" s="213">
        <v>17031002332</v>
      </c>
      <c r="C558" s="213">
        <v>17031001476</v>
      </c>
      <c r="D558" s="213">
        <v>17031001443</v>
      </c>
      <c r="E558" s="213" t="s">
        <v>533</v>
      </c>
      <c r="F558" s="213" t="s">
        <v>534</v>
      </c>
      <c r="G558" s="213" t="s">
        <v>365</v>
      </c>
      <c r="H558" s="213" t="s">
        <v>382</v>
      </c>
      <c r="I558" s="213"/>
      <c r="J558" s="213" t="s">
        <v>551</v>
      </c>
      <c r="K558" s="213" t="s">
        <v>555</v>
      </c>
      <c r="L558" s="213" t="s">
        <v>552</v>
      </c>
      <c r="M558" s="213"/>
      <c r="N558" s="213"/>
      <c r="O558" s="213"/>
      <c r="P558" s="213"/>
      <c r="Q558" s="213"/>
      <c r="R558" s="213"/>
      <c r="S558" s="213" t="s">
        <v>556</v>
      </c>
      <c r="T558" s="213"/>
      <c r="U558" s="213" t="s">
        <v>538</v>
      </c>
      <c r="V558" s="213">
        <v>2</v>
      </c>
      <c r="W558" s="213" t="s">
        <v>545</v>
      </c>
      <c r="X558" s="213" t="s">
        <v>540</v>
      </c>
      <c r="Y558" s="213" t="s">
        <v>580</v>
      </c>
      <c r="Z558" s="212">
        <v>845989</v>
      </c>
      <c r="AA558" s="212">
        <v>33419591</v>
      </c>
      <c r="AB558" s="217">
        <v>2.5910709999999999</v>
      </c>
      <c r="AC558" s="217">
        <v>4.1699330000000003</v>
      </c>
      <c r="AD558" s="212">
        <f t="shared" si="8"/>
        <v>86592533.071961001</v>
      </c>
    </row>
    <row r="559" spans="2:30" x14ac:dyDescent="0.15">
      <c r="B559" s="213">
        <v>17031002336</v>
      </c>
      <c r="C559" s="213">
        <v>17031000448</v>
      </c>
      <c r="D559" s="213">
        <v>17031000433</v>
      </c>
      <c r="E559" s="213" t="s">
        <v>533</v>
      </c>
      <c r="F559" s="213" t="s">
        <v>534</v>
      </c>
      <c r="G559" s="213" t="s">
        <v>365</v>
      </c>
      <c r="H559" s="213" t="s">
        <v>382</v>
      </c>
      <c r="I559" s="213"/>
      <c r="J559" s="213"/>
      <c r="K559" s="213"/>
      <c r="L559" s="213"/>
      <c r="M559" s="213"/>
      <c r="N559" s="213"/>
      <c r="O559" s="213"/>
      <c r="P559" s="213"/>
      <c r="Q559" s="213"/>
      <c r="R559" s="213"/>
      <c r="S559" s="213" t="s">
        <v>586</v>
      </c>
      <c r="T559" s="213"/>
      <c r="U559" s="213" t="s">
        <v>538</v>
      </c>
      <c r="V559" s="213">
        <v>2</v>
      </c>
      <c r="W559" s="213" t="s">
        <v>582</v>
      </c>
      <c r="X559" s="213" t="s">
        <v>540</v>
      </c>
      <c r="Y559" s="213" t="s">
        <v>549</v>
      </c>
      <c r="Z559" s="212">
        <v>139565</v>
      </c>
      <c r="AA559" s="212">
        <v>16043772</v>
      </c>
      <c r="AB559" s="217">
        <v>0.392814</v>
      </c>
      <c r="AC559" s="217">
        <v>0.63217500000000004</v>
      </c>
      <c r="AD559" s="212">
        <f t="shared" si="8"/>
        <v>6302218.254408</v>
      </c>
    </row>
    <row r="560" spans="2:30" x14ac:dyDescent="0.15">
      <c r="B560" s="213">
        <v>17031002337</v>
      </c>
      <c r="C560" s="213">
        <v>17031000525</v>
      </c>
      <c r="D560" s="213">
        <v>17031000514</v>
      </c>
      <c r="E560" s="213" t="s">
        <v>533</v>
      </c>
      <c r="F560" s="213" t="s">
        <v>534</v>
      </c>
      <c r="G560" s="213" t="s">
        <v>365</v>
      </c>
      <c r="H560" s="213" t="s">
        <v>382</v>
      </c>
      <c r="I560" s="213"/>
      <c r="J560" s="213"/>
      <c r="K560" s="213"/>
      <c r="L560" s="213"/>
      <c r="M560" s="213"/>
      <c r="N560" s="213"/>
      <c r="O560" s="213"/>
      <c r="P560" s="213"/>
      <c r="Q560" s="213"/>
      <c r="R560" s="213"/>
      <c r="S560" s="213"/>
      <c r="T560" s="213" t="s">
        <v>626</v>
      </c>
      <c r="U560" s="213" t="s">
        <v>559</v>
      </c>
      <c r="V560" s="213">
        <v>1</v>
      </c>
      <c r="W560" s="213" t="s">
        <v>539</v>
      </c>
      <c r="X560" s="213" t="s">
        <v>541</v>
      </c>
      <c r="Y560" s="213" t="s">
        <v>541</v>
      </c>
      <c r="Z560" s="212">
        <v>0</v>
      </c>
      <c r="AA560" s="212">
        <v>0</v>
      </c>
      <c r="AB560" s="217">
        <v>0.31473899999999999</v>
      </c>
      <c r="AC560" s="217">
        <v>0.506525</v>
      </c>
      <c r="AD560" s="212">
        <f t="shared" si="8"/>
        <v>0</v>
      </c>
    </row>
    <row r="561" spans="2:30" x14ac:dyDescent="0.15">
      <c r="B561" s="213">
        <v>17031002339</v>
      </c>
      <c r="C561" s="213">
        <v>17031001560</v>
      </c>
      <c r="D561" s="213">
        <v>17031001559</v>
      </c>
      <c r="E561" s="213" t="s">
        <v>533</v>
      </c>
      <c r="F561" s="213" t="s">
        <v>534</v>
      </c>
      <c r="G561" s="213" t="s">
        <v>365</v>
      </c>
      <c r="H561" s="213" t="s">
        <v>535</v>
      </c>
      <c r="I561" s="213"/>
      <c r="J561" s="213" t="s">
        <v>382</v>
      </c>
      <c r="K561" s="213" t="s">
        <v>536</v>
      </c>
      <c r="L561" s="213"/>
      <c r="M561" s="213"/>
      <c r="N561" s="213"/>
      <c r="O561" s="213"/>
      <c r="P561" s="213"/>
      <c r="Q561" s="213"/>
      <c r="R561" s="213"/>
      <c r="S561" s="213" t="s">
        <v>537</v>
      </c>
      <c r="T561" s="213"/>
      <c r="U561" s="213" t="s">
        <v>538</v>
      </c>
      <c r="V561" s="213">
        <v>2</v>
      </c>
      <c r="W561" s="213" t="s">
        <v>582</v>
      </c>
      <c r="X561" s="213" t="s">
        <v>549</v>
      </c>
      <c r="Y561" s="213" t="s">
        <v>540</v>
      </c>
      <c r="Z561" s="212">
        <v>3276</v>
      </c>
      <c r="AA561" s="212">
        <v>276324</v>
      </c>
      <c r="AB561" s="217">
        <v>0.43037999999999998</v>
      </c>
      <c r="AC561" s="217">
        <v>0.692631</v>
      </c>
      <c r="AD561" s="212">
        <f t="shared" si="8"/>
        <v>118924.32312</v>
      </c>
    </row>
    <row r="562" spans="2:30" x14ac:dyDescent="0.15">
      <c r="B562" s="213">
        <v>17031002355</v>
      </c>
      <c r="C562" s="213">
        <v>17031001414</v>
      </c>
      <c r="D562" s="213">
        <v>17031001411</v>
      </c>
      <c r="E562" s="213" t="s">
        <v>533</v>
      </c>
      <c r="F562" s="213" t="s">
        <v>534</v>
      </c>
      <c r="G562" s="213" t="s">
        <v>365</v>
      </c>
      <c r="H562" s="213" t="s">
        <v>551</v>
      </c>
      <c r="I562" s="213" t="s">
        <v>535</v>
      </c>
      <c r="J562" s="213" t="s">
        <v>381</v>
      </c>
      <c r="K562" s="213" t="s">
        <v>552</v>
      </c>
      <c r="L562" s="213"/>
      <c r="M562" s="213"/>
      <c r="N562" s="213"/>
      <c r="O562" s="213"/>
      <c r="P562" s="213"/>
      <c r="Q562" s="213"/>
      <c r="R562" s="213"/>
      <c r="S562" s="213" t="s">
        <v>553</v>
      </c>
      <c r="T562" s="213"/>
      <c r="U562" s="213" t="s">
        <v>538</v>
      </c>
      <c r="V562" s="213">
        <v>2</v>
      </c>
      <c r="W562" s="213" t="s">
        <v>545</v>
      </c>
      <c r="X562" s="213" t="s">
        <v>549</v>
      </c>
      <c r="Y562" s="213" t="s">
        <v>540</v>
      </c>
      <c r="Z562" s="212">
        <v>576558</v>
      </c>
      <c r="AA562" s="212">
        <v>21092465</v>
      </c>
      <c r="AB562" s="217">
        <v>0.51096699999999995</v>
      </c>
      <c r="AC562" s="217">
        <v>0.82232300000000003</v>
      </c>
      <c r="AD562" s="212">
        <f t="shared" si="8"/>
        <v>10777553.563654998</v>
      </c>
    </row>
    <row r="563" spans="2:30" x14ac:dyDescent="0.15">
      <c r="B563" s="213">
        <v>17031002356</v>
      </c>
      <c r="C563" s="213">
        <v>17031001362</v>
      </c>
      <c r="D563" s="213">
        <v>17031001359</v>
      </c>
      <c r="E563" s="213" t="s">
        <v>533</v>
      </c>
      <c r="F563" s="213" t="s">
        <v>534</v>
      </c>
      <c r="G563" s="213" t="s">
        <v>365</v>
      </c>
      <c r="H563" s="213" t="s">
        <v>557</v>
      </c>
      <c r="I563" s="213"/>
      <c r="J563" s="213" t="s">
        <v>569</v>
      </c>
      <c r="K563" s="213" t="s">
        <v>535</v>
      </c>
      <c r="L563" s="213" t="s">
        <v>551</v>
      </c>
      <c r="M563" s="213" t="s">
        <v>543</v>
      </c>
      <c r="N563" s="213" t="s">
        <v>382</v>
      </c>
      <c r="O563" s="213" t="s">
        <v>552</v>
      </c>
      <c r="P563" s="213"/>
      <c r="Q563" s="213"/>
      <c r="R563" s="213"/>
      <c r="S563" s="213" t="s">
        <v>570</v>
      </c>
      <c r="T563" s="213"/>
      <c r="U563" s="213" t="s">
        <v>538</v>
      </c>
      <c r="V563" s="213">
        <v>2</v>
      </c>
      <c r="W563" s="213" t="s">
        <v>545</v>
      </c>
      <c r="X563" s="213" t="s">
        <v>554</v>
      </c>
      <c r="Y563" s="213" t="s">
        <v>540</v>
      </c>
      <c r="Z563" s="212">
        <v>670307</v>
      </c>
      <c r="AA563" s="212">
        <v>13759237</v>
      </c>
      <c r="AB563" s="217">
        <v>0.184365</v>
      </c>
      <c r="AC563" s="217">
        <v>0.296707</v>
      </c>
      <c r="AD563" s="212">
        <f t="shared" si="8"/>
        <v>2536721.7295050002</v>
      </c>
    </row>
    <row r="564" spans="2:30" x14ac:dyDescent="0.15">
      <c r="B564" s="213">
        <v>17031002374</v>
      </c>
      <c r="C564" s="213">
        <v>17031001428</v>
      </c>
      <c r="D564" s="213">
        <v>17031001432</v>
      </c>
      <c r="E564" s="213" t="s">
        <v>533</v>
      </c>
      <c r="F564" s="213" t="s">
        <v>534</v>
      </c>
      <c r="G564" s="213" t="s">
        <v>365</v>
      </c>
      <c r="H564" s="213" t="s">
        <v>551</v>
      </c>
      <c r="I564" s="213" t="s">
        <v>535</v>
      </c>
      <c r="J564" s="213"/>
      <c r="K564" s="213"/>
      <c r="L564" s="213"/>
      <c r="M564" s="213"/>
      <c r="N564" s="213"/>
      <c r="O564" s="213"/>
      <c r="P564" s="213"/>
      <c r="Q564" s="213"/>
      <c r="R564" s="213"/>
      <c r="S564" s="213" t="s">
        <v>553</v>
      </c>
      <c r="T564" s="213"/>
      <c r="U564" s="213" t="s">
        <v>538</v>
      </c>
      <c r="V564" s="213">
        <v>2</v>
      </c>
      <c r="W564" s="213" t="s">
        <v>545</v>
      </c>
      <c r="X564" s="213" t="s">
        <v>540</v>
      </c>
      <c r="Y564" s="213" t="s">
        <v>546</v>
      </c>
      <c r="Z564" s="212">
        <v>471458</v>
      </c>
      <c r="AA564" s="212">
        <v>22406824</v>
      </c>
      <c r="AB564" s="217">
        <v>0.28462799999999999</v>
      </c>
      <c r="AC564" s="217">
        <v>0.458065</v>
      </c>
      <c r="AD564" s="212">
        <f t="shared" si="8"/>
        <v>6377609.501472</v>
      </c>
    </row>
    <row r="565" spans="2:30" x14ac:dyDescent="0.15">
      <c r="B565" s="213">
        <v>17031002375</v>
      </c>
      <c r="C565" s="213">
        <v>17031001077</v>
      </c>
      <c r="D565" s="213">
        <v>17031001078</v>
      </c>
      <c r="E565" s="213" t="s">
        <v>533</v>
      </c>
      <c r="F565" s="213" t="s">
        <v>534</v>
      </c>
      <c r="G565" s="213" t="s">
        <v>365</v>
      </c>
      <c r="H565" s="213" t="s">
        <v>577</v>
      </c>
      <c r="I565" s="213"/>
      <c r="J565" s="213"/>
      <c r="K565" s="213"/>
      <c r="L565" s="213"/>
      <c r="M565" s="213"/>
      <c r="N565" s="213"/>
      <c r="O565" s="213"/>
      <c r="P565" s="213"/>
      <c r="Q565" s="213"/>
      <c r="R565" s="213"/>
      <c r="S565" s="213"/>
      <c r="T565" s="213"/>
      <c r="U565" s="213" t="s">
        <v>538</v>
      </c>
      <c r="V565" s="213">
        <v>1</v>
      </c>
      <c r="W565" s="213" t="s">
        <v>560</v>
      </c>
      <c r="X565" s="213" t="s">
        <v>541</v>
      </c>
      <c r="Y565" s="213" t="s">
        <v>541</v>
      </c>
      <c r="Z565" s="212">
        <v>0</v>
      </c>
      <c r="AA565" s="212">
        <v>0</v>
      </c>
      <c r="AB565" s="217">
        <v>0.29178100000000001</v>
      </c>
      <c r="AC565" s="217">
        <v>0.46957700000000002</v>
      </c>
      <c r="AD565" s="212">
        <f t="shared" si="8"/>
        <v>0</v>
      </c>
    </row>
    <row r="566" spans="2:30" x14ac:dyDescent="0.15">
      <c r="B566" s="213">
        <v>17031002412</v>
      </c>
      <c r="C566" s="213">
        <v>17031004785</v>
      </c>
      <c r="D566" s="213">
        <v>17031001236</v>
      </c>
      <c r="E566" s="213" t="s">
        <v>533</v>
      </c>
      <c r="F566" s="213" t="s">
        <v>534</v>
      </c>
      <c r="G566" s="213" t="s">
        <v>365</v>
      </c>
      <c r="H566" s="213" t="s">
        <v>535</v>
      </c>
      <c r="I566" s="213"/>
      <c r="J566" s="213" t="s">
        <v>542</v>
      </c>
      <c r="K566" s="213" t="s">
        <v>572</v>
      </c>
      <c r="L566" s="213" t="s">
        <v>547</v>
      </c>
      <c r="M566" s="213" t="s">
        <v>382</v>
      </c>
      <c r="N566" s="213"/>
      <c r="O566" s="213"/>
      <c r="P566" s="213"/>
      <c r="Q566" s="213"/>
      <c r="R566" s="213"/>
      <c r="S566" s="213" t="s">
        <v>601</v>
      </c>
      <c r="T566" s="213"/>
      <c r="U566" s="213" t="s">
        <v>538</v>
      </c>
      <c r="V566" s="213">
        <v>2</v>
      </c>
      <c r="W566" s="213" t="s">
        <v>545</v>
      </c>
      <c r="X566" s="213" t="s">
        <v>549</v>
      </c>
      <c r="Y566" s="213" t="s">
        <v>540</v>
      </c>
      <c r="Z566" s="212">
        <v>416386</v>
      </c>
      <c r="AA566" s="212">
        <v>6195335</v>
      </c>
      <c r="AB566" s="217">
        <v>1.0573729999999999</v>
      </c>
      <c r="AC566" s="217">
        <v>1.701681</v>
      </c>
      <c r="AD566" s="212">
        <f t="shared" si="8"/>
        <v>6550779.9549549995</v>
      </c>
    </row>
    <row r="567" spans="2:30" x14ac:dyDescent="0.15">
      <c r="B567" s="213">
        <v>17031002480</v>
      </c>
      <c r="C567" s="213">
        <v>17031000526</v>
      </c>
      <c r="D567" s="213">
        <v>17031000534</v>
      </c>
      <c r="E567" s="213" t="s">
        <v>533</v>
      </c>
      <c r="F567" s="213" t="s">
        <v>534</v>
      </c>
      <c r="G567" s="213" t="s">
        <v>365</v>
      </c>
      <c r="H567" s="213" t="s">
        <v>382</v>
      </c>
      <c r="I567" s="213"/>
      <c r="J567" s="213" t="s">
        <v>535</v>
      </c>
      <c r="K567" s="213" t="s">
        <v>552</v>
      </c>
      <c r="L567" s="213" t="s">
        <v>557</v>
      </c>
      <c r="M567" s="213" t="s">
        <v>543</v>
      </c>
      <c r="N567" s="213"/>
      <c r="O567" s="213"/>
      <c r="P567" s="213"/>
      <c r="Q567" s="213"/>
      <c r="R567" s="213"/>
      <c r="S567" s="213" t="s">
        <v>650</v>
      </c>
      <c r="T567" s="213"/>
      <c r="U567" s="213" t="s">
        <v>559</v>
      </c>
      <c r="V567" s="213">
        <v>1</v>
      </c>
      <c r="W567" s="213" t="s">
        <v>539</v>
      </c>
      <c r="X567" s="213" t="s">
        <v>541</v>
      </c>
      <c r="Y567" s="213" t="s">
        <v>541</v>
      </c>
      <c r="Z567" s="212">
        <v>1398</v>
      </c>
      <c r="AA567" s="212">
        <v>148308</v>
      </c>
      <c r="AB567" s="217">
        <v>0.32542399999999999</v>
      </c>
      <c r="AC567" s="217">
        <v>0.52372099999999999</v>
      </c>
      <c r="AD567" s="212">
        <f t="shared" si="8"/>
        <v>48262.982592</v>
      </c>
    </row>
    <row r="568" spans="2:30" x14ac:dyDescent="0.15">
      <c r="B568" s="213">
        <v>17031002586</v>
      </c>
      <c r="C568" s="213">
        <v>17031000956</v>
      </c>
      <c r="D568" s="213">
        <v>17031000966</v>
      </c>
      <c r="E568" s="213" t="s">
        <v>533</v>
      </c>
      <c r="F568" s="213" t="s">
        <v>534</v>
      </c>
      <c r="G568" s="213" t="s">
        <v>365</v>
      </c>
      <c r="H568" s="213" t="s">
        <v>571</v>
      </c>
      <c r="I568" s="213"/>
      <c r="J568" s="213" t="s">
        <v>381</v>
      </c>
      <c r="K568" s="213" t="s">
        <v>535</v>
      </c>
      <c r="L568" s="213" t="s">
        <v>552</v>
      </c>
      <c r="M568" s="213" t="s">
        <v>572</v>
      </c>
      <c r="N568" s="213" t="s">
        <v>551</v>
      </c>
      <c r="O568" s="213" t="s">
        <v>555</v>
      </c>
      <c r="P568" s="213" t="s">
        <v>543</v>
      </c>
      <c r="Q568" s="213" t="s">
        <v>382</v>
      </c>
      <c r="R568" s="213" t="s">
        <v>563</v>
      </c>
      <c r="S568" s="213" t="s">
        <v>605</v>
      </c>
      <c r="T568" s="213" t="s">
        <v>574</v>
      </c>
      <c r="U568" s="213" t="s">
        <v>538</v>
      </c>
      <c r="V568" s="213">
        <v>2</v>
      </c>
      <c r="W568" s="213" t="s">
        <v>545</v>
      </c>
      <c r="X568" s="213" t="s">
        <v>554</v>
      </c>
      <c r="Y568" s="213" t="s">
        <v>575</v>
      </c>
      <c r="Z568" s="212">
        <v>344239</v>
      </c>
      <c r="AA568" s="212">
        <v>17729268</v>
      </c>
      <c r="AB568" s="217">
        <v>0.39874799999999999</v>
      </c>
      <c r="AC568" s="217">
        <v>0.64172300000000004</v>
      </c>
      <c r="AD568" s="212">
        <f t="shared" si="8"/>
        <v>7069510.1564640002</v>
      </c>
    </row>
    <row r="569" spans="2:30" x14ac:dyDescent="0.15">
      <c r="B569" s="213">
        <v>17031002598</v>
      </c>
      <c r="C569" s="213">
        <v>17999023625</v>
      </c>
      <c r="D569" s="213">
        <v>17031004692</v>
      </c>
      <c r="E569" s="213" t="s">
        <v>533</v>
      </c>
      <c r="F569" s="213" t="s">
        <v>534</v>
      </c>
      <c r="G569" s="213" t="s">
        <v>365</v>
      </c>
      <c r="H569" s="213" t="s">
        <v>547</v>
      </c>
      <c r="I569" s="213"/>
      <c r="J569" s="213" t="s">
        <v>577</v>
      </c>
      <c r="K569" s="213" t="s">
        <v>551</v>
      </c>
      <c r="L569" s="213" t="s">
        <v>615</v>
      </c>
      <c r="M569" s="213"/>
      <c r="N569" s="213"/>
      <c r="O569" s="213"/>
      <c r="P569" s="213"/>
      <c r="Q569" s="213"/>
      <c r="R569" s="213"/>
      <c r="S569" s="213" t="s">
        <v>581</v>
      </c>
      <c r="T569" s="213"/>
      <c r="U569" s="213" t="s">
        <v>538</v>
      </c>
      <c r="V569" s="213">
        <v>2</v>
      </c>
      <c r="W569" s="213" t="s">
        <v>582</v>
      </c>
      <c r="X569" s="213" t="s">
        <v>540</v>
      </c>
      <c r="Y569" s="213" t="s">
        <v>540</v>
      </c>
      <c r="Z569" s="212">
        <v>103629</v>
      </c>
      <c r="AA569" s="212">
        <v>10039458</v>
      </c>
      <c r="AB569" s="217">
        <v>0.85563199999999995</v>
      </c>
      <c r="AC569" s="217">
        <v>1.377008</v>
      </c>
      <c r="AD569" s="212">
        <f t="shared" si="8"/>
        <v>8590081.5274559986</v>
      </c>
    </row>
    <row r="570" spans="2:30" x14ac:dyDescent="0.15">
      <c r="B570" s="213">
        <v>17031002601</v>
      </c>
      <c r="C570" s="213">
        <v>17031001416</v>
      </c>
      <c r="D570" s="213">
        <v>17031001414</v>
      </c>
      <c r="E570" s="213" t="s">
        <v>533</v>
      </c>
      <c r="F570" s="213" t="s">
        <v>534</v>
      </c>
      <c r="G570" s="213" t="s">
        <v>365</v>
      </c>
      <c r="H570" s="213" t="s">
        <v>551</v>
      </c>
      <c r="I570" s="213" t="s">
        <v>535</v>
      </c>
      <c r="J570" s="213" t="s">
        <v>555</v>
      </c>
      <c r="K570" s="213"/>
      <c r="L570" s="213"/>
      <c r="M570" s="213"/>
      <c r="N570" s="213"/>
      <c r="O570" s="213"/>
      <c r="P570" s="213"/>
      <c r="Q570" s="213"/>
      <c r="R570" s="213"/>
      <c r="S570" s="213" t="s">
        <v>553</v>
      </c>
      <c r="T570" s="213"/>
      <c r="U570" s="213" t="s">
        <v>538</v>
      </c>
      <c r="V570" s="213">
        <v>2</v>
      </c>
      <c r="W570" s="213" t="s">
        <v>545</v>
      </c>
      <c r="X570" s="213" t="s">
        <v>549</v>
      </c>
      <c r="Y570" s="213" t="s">
        <v>540</v>
      </c>
      <c r="Z570" s="212">
        <v>576518</v>
      </c>
      <c r="AA570" s="212">
        <v>21088865</v>
      </c>
      <c r="AB570" s="217">
        <v>0.215278</v>
      </c>
      <c r="AC570" s="217">
        <v>0.34645799999999999</v>
      </c>
      <c r="AD570" s="212">
        <f t="shared" si="8"/>
        <v>4539968.6794699999</v>
      </c>
    </row>
    <row r="571" spans="2:30" x14ac:dyDescent="0.15">
      <c r="B571" s="213">
        <v>17031002602</v>
      </c>
      <c r="C571" s="213">
        <v>17031001416</v>
      </c>
      <c r="D571" s="213">
        <v>17031004509</v>
      </c>
      <c r="E571" s="213" t="s">
        <v>533</v>
      </c>
      <c r="F571" s="213" t="s">
        <v>534</v>
      </c>
      <c r="G571" s="213" t="s">
        <v>365</v>
      </c>
      <c r="H571" s="213" t="s">
        <v>551</v>
      </c>
      <c r="I571" s="213" t="s">
        <v>535</v>
      </c>
      <c r="J571" s="213" t="s">
        <v>552</v>
      </c>
      <c r="K571" s="213" t="s">
        <v>555</v>
      </c>
      <c r="L571" s="213"/>
      <c r="M571" s="213"/>
      <c r="N571" s="213"/>
      <c r="O571" s="213"/>
      <c r="P571" s="213"/>
      <c r="Q571" s="213"/>
      <c r="R571" s="213"/>
      <c r="S571" s="213" t="s">
        <v>553</v>
      </c>
      <c r="T571" s="213"/>
      <c r="U571" s="213" t="s">
        <v>538</v>
      </c>
      <c r="V571" s="213">
        <v>2</v>
      </c>
      <c r="W571" s="213" t="s">
        <v>545</v>
      </c>
      <c r="X571" s="213" t="s">
        <v>549</v>
      </c>
      <c r="Y571" s="213" t="s">
        <v>540</v>
      </c>
      <c r="Z571" s="212">
        <v>576518</v>
      </c>
      <c r="AA571" s="212">
        <v>21088865</v>
      </c>
      <c r="AB571" s="217">
        <v>0.434892</v>
      </c>
      <c r="AC571" s="217">
        <v>0.69989299999999999</v>
      </c>
      <c r="AD571" s="212">
        <f t="shared" si="8"/>
        <v>9171378.6775800008</v>
      </c>
    </row>
    <row r="572" spans="2:30" x14ac:dyDescent="0.15">
      <c r="B572" s="213">
        <v>17031002605</v>
      </c>
      <c r="C572" s="213">
        <v>17031001442</v>
      </c>
      <c r="D572" s="213">
        <v>17031004683</v>
      </c>
      <c r="E572" s="213" t="s">
        <v>533</v>
      </c>
      <c r="F572" s="213" t="s">
        <v>534</v>
      </c>
      <c r="G572" s="213" t="s">
        <v>365</v>
      </c>
      <c r="H572" s="213" t="s">
        <v>547</v>
      </c>
      <c r="I572" s="213"/>
      <c r="J572" s="213" t="s">
        <v>543</v>
      </c>
      <c r="K572" s="213"/>
      <c r="L572" s="213"/>
      <c r="M572" s="213"/>
      <c r="N572" s="213"/>
      <c r="O572" s="213"/>
      <c r="P572" s="213"/>
      <c r="Q572" s="213"/>
      <c r="R572" s="213"/>
      <c r="S572" s="213" t="s">
        <v>602</v>
      </c>
      <c r="T572" s="213"/>
      <c r="U572" s="213" t="s">
        <v>538</v>
      </c>
      <c r="V572" s="213">
        <v>1</v>
      </c>
      <c r="W572" s="213" t="s">
        <v>582</v>
      </c>
      <c r="X572" s="213" t="s">
        <v>540</v>
      </c>
      <c r="Y572" s="213" t="s">
        <v>541</v>
      </c>
      <c r="Z572" s="212">
        <v>480</v>
      </c>
      <c r="AA572" s="212">
        <v>35280</v>
      </c>
      <c r="AB572" s="217">
        <v>3.6024340000000001</v>
      </c>
      <c r="AC572" s="217">
        <v>5.7975659999999998</v>
      </c>
      <c r="AD572" s="212">
        <f t="shared" si="8"/>
        <v>127093.87152</v>
      </c>
    </row>
    <row r="573" spans="2:30" x14ac:dyDescent="0.15">
      <c r="B573" s="213">
        <v>17031002606</v>
      </c>
      <c r="C573" s="213">
        <v>17031007670</v>
      </c>
      <c r="D573" s="213">
        <v>17031004685</v>
      </c>
      <c r="E573" s="213" t="s">
        <v>533</v>
      </c>
      <c r="F573" s="213" t="s">
        <v>534</v>
      </c>
      <c r="G573" s="213" t="s">
        <v>365</v>
      </c>
      <c r="H573" s="213" t="s">
        <v>547</v>
      </c>
      <c r="I573" s="213"/>
      <c r="J573" s="213" t="s">
        <v>543</v>
      </c>
      <c r="K573" s="213"/>
      <c r="L573" s="213"/>
      <c r="M573" s="213"/>
      <c r="N573" s="213"/>
      <c r="O573" s="213"/>
      <c r="P573" s="213"/>
      <c r="Q573" s="213"/>
      <c r="R573" s="213"/>
      <c r="S573" s="213" t="s">
        <v>602</v>
      </c>
      <c r="T573" s="213"/>
      <c r="U573" s="213" t="s">
        <v>538</v>
      </c>
      <c r="V573" s="213">
        <v>2</v>
      </c>
      <c r="W573" s="213" t="s">
        <v>582</v>
      </c>
      <c r="X573" s="213" t="s">
        <v>540</v>
      </c>
      <c r="Y573" s="213" t="s">
        <v>541</v>
      </c>
      <c r="Z573" s="212">
        <v>480</v>
      </c>
      <c r="AA573" s="212">
        <v>35280</v>
      </c>
      <c r="AB573" s="217">
        <v>2.8615599999999999</v>
      </c>
      <c r="AC573" s="217">
        <v>4.6052439999999999</v>
      </c>
      <c r="AD573" s="212">
        <f t="shared" si="8"/>
        <v>100955.83679999999</v>
      </c>
    </row>
    <row r="574" spans="2:30" x14ac:dyDescent="0.15">
      <c r="B574" s="213">
        <v>17031002608</v>
      </c>
      <c r="C574" s="213">
        <v>17031001333</v>
      </c>
      <c r="D574" s="213">
        <v>17031001293</v>
      </c>
      <c r="E574" s="213" t="s">
        <v>533</v>
      </c>
      <c r="F574" s="213" t="s">
        <v>534</v>
      </c>
      <c r="G574" s="213" t="s">
        <v>365</v>
      </c>
      <c r="H574" s="213" t="s">
        <v>547</v>
      </c>
      <c r="I574" s="213"/>
      <c r="J574" s="213" t="s">
        <v>577</v>
      </c>
      <c r="K574" s="213" t="s">
        <v>615</v>
      </c>
      <c r="L574" s="213"/>
      <c r="M574" s="213"/>
      <c r="N574" s="213"/>
      <c r="O574" s="213"/>
      <c r="P574" s="213"/>
      <c r="Q574" s="213"/>
      <c r="R574" s="213"/>
      <c r="S574" s="213" t="s">
        <v>581</v>
      </c>
      <c r="T574" s="213"/>
      <c r="U574" s="213" t="s">
        <v>538</v>
      </c>
      <c r="V574" s="213">
        <v>2</v>
      </c>
      <c r="W574" s="213" t="s">
        <v>582</v>
      </c>
      <c r="X574" s="213" t="s">
        <v>540</v>
      </c>
      <c r="Y574" s="213" t="s">
        <v>541</v>
      </c>
      <c r="Z574" s="212">
        <v>0</v>
      </c>
      <c r="AA574" s="212">
        <v>0</v>
      </c>
      <c r="AB574" s="217">
        <v>1.007585</v>
      </c>
      <c r="AC574" s="217">
        <v>1.6215550000000001</v>
      </c>
      <c r="AD574" s="212">
        <f t="shared" si="8"/>
        <v>0</v>
      </c>
    </row>
    <row r="575" spans="2:30" x14ac:dyDescent="0.15">
      <c r="B575" s="213">
        <v>17031002614</v>
      </c>
      <c r="C575" s="213">
        <v>17031004689</v>
      </c>
      <c r="D575" s="213">
        <v>17031001057</v>
      </c>
      <c r="E575" s="213" t="s">
        <v>533</v>
      </c>
      <c r="F575" s="213" t="s">
        <v>534</v>
      </c>
      <c r="G575" s="213" t="s">
        <v>365</v>
      </c>
      <c r="H575" s="213" t="s">
        <v>547</v>
      </c>
      <c r="I575" s="213"/>
      <c r="J575" s="213" t="s">
        <v>543</v>
      </c>
      <c r="K575" s="213"/>
      <c r="L575" s="213"/>
      <c r="M575" s="213"/>
      <c r="N575" s="213"/>
      <c r="O575" s="213"/>
      <c r="P575" s="213"/>
      <c r="Q575" s="213"/>
      <c r="R575" s="213"/>
      <c r="S575" s="213" t="s">
        <v>602</v>
      </c>
      <c r="T575" s="213"/>
      <c r="U575" s="213" t="s">
        <v>538</v>
      </c>
      <c r="V575" s="213">
        <v>2</v>
      </c>
      <c r="W575" s="213" t="s">
        <v>582</v>
      </c>
      <c r="X575" s="213" t="s">
        <v>540</v>
      </c>
      <c r="Y575" s="213" t="s">
        <v>541</v>
      </c>
      <c r="Z575" s="212">
        <v>0</v>
      </c>
      <c r="AA575" s="212">
        <v>0</v>
      </c>
      <c r="AB575" s="217">
        <v>2.4249200000000002</v>
      </c>
      <c r="AC575" s="217">
        <v>3.9025379999999998</v>
      </c>
      <c r="AD575" s="212">
        <f t="shared" si="8"/>
        <v>0</v>
      </c>
    </row>
    <row r="576" spans="2:30" x14ac:dyDescent="0.15">
      <c r="B576" s="213">
        <v>17031002616</v>
      </c>
      <c r="C576" s="213">
        <v>17031004724</v>
      </c>
      <c r="D576" s="213">
        <v>17031001238</v>
      </c>
      <c r="E576" s="213" t="s">
        <v>533</v>
      </c>
      <c r="F576" s="213" t="s">
        <v>534</v>
      </c>
      <c r="G576" s="213" t="s">
        <v>365</v>
      </c>
      <c r="H576" s="213" t="s">
        <v>547</v>
      </c>
      <c r="I576" s="213"/>
      <c r="J576" s="213"/>
      <c r="K576" s="213"/>
      <c r="L576" s="213"/>
      <c r="M576" s="213"/>
      <c r="N576" s="213"/>
      <c r="O576" s="213"/>
      <c r="P576" s="213"/>
      <c r="Q576" s="213"/>
      <c r="R576" s="213"/>
      <c r="S576" s="213"/>
      <c r="T576" s="213"/>
      <c r="U576" s="213" t="s">
        <v>538</v>
      </c>
      <c r="V576" s="213">
        <v>1</v>
      </c>
      <c r="W576" s="213" t="s">
        <v>582</v>
      </c>
      <c r="X576" s="213" t="s">
        <v>541</v>
      </c>
      <c r="Y576" s="213" t="s">
        <v>541</v>
      </c>
      <c r="Z576" s="212">
        <v>0</v>
      </c>
      <c r="AA576" s="212">
        <v>0</v>
      </c>
      <c r="AB576" s="217">
        <v>0.50756599999999996</v>
      </c>
      <c r="AC576" s="217">
        <v>0.81684999999999997</v>
      </c>
      <c r="AD576" s="212">
        <f t="shared" si="8"/>
        <v>0</v>
      </c>
    </row>
    <row r="577" spans="2:30" x14ac:dyDescent="0.15">
      <c r="B577" s="213">
        <v>17031002650</v>
      </c>
      <c r="C577" s="213">
        <v>17031001378</v>
      </c>
      <c r="D577" s="213">
        <v>17031007660</v>
      </c>
      <c r="E577" s="213" t="s">
        <v>533</v>
      </c>
      <c r="F577" s="213" t="s">
        <v>534</v>
      </c>
      <c r="G577" s="213" t="s">
        <v>365</v>
      </c>
      <c r="H577" s="213" t="s">
        <v>551</v>
      </c>
      <c r="I577" s="213" t="s">
        <v>535</v>
      </c>
      <c r="J577" s="213" t="s">
        <v>381</v>
      </c>
      <c r="K577" s="213" t="s">
        <v>552</v>
      </c>
      <c r="L577" s="213"/>
      <c r="M577" s="213"/>
      <c r="N577" s="213"/>
      <c r="O577" s="213"/>
      <c r="P577" s="213"/>
      <c r="Q577" s="213"/>
      <c r="R577" s="213"/>
      <c r="S577" s="213" t="s">
        <v>628</v>
      </c>
      <c r="T577" s="213"/>
      <c r="U577" s="213" t="s">
        <v>538</v>
      </c>
      <c r="V577" s="213">
        <v>1</v>
      </c>
      <c r="W577" s="213" t="s">
        <v>539</v>
      </c>
      <c r="X577" s="213" t="s">
        <v>541</v>
      </c>
      <c r="Y577" s="213" t="s">
        <v>541</v>
      </c>
      <c r="Z577" s="212">
        <v>40</v>
      </c>
      <c r="AA577" s="212">
        <v>3600</v>
      </c>
      <c r="AB577" s="217">
        <v>0.95460299999999998</v>
      </c>
      <c r="AC577" s="217">
        <v>1.5362880000000001</v>
      </c>
      <c r="AD577" s="212">
        <f t="shared" si="8"/>
        <v>3436.5708</v>
      </c>
    </row>
    <row r="578" spans="2:30" x14ac:dyDescent="0.15">
      <c r="B578" s="213">
        <v>17031002885</v>
      </c>
      <c r="C578" s="213">
        <v>17031001110</v>
      </c>
      <c r="D578" s="213">
        <v>17031001107</v>
      </c>
      <c r="E578" s="213" t="s">
        <v>533</v>
      </c>
      <c r="F578" s="213" t="s">
        <v>534</v>
      </c>
      <c r="G578" s="213" t="s">
        <v>365</v>
      </c>
      <c r="H578" s="213" t="s">
        <v>577</v>
      </c>
      <c r="I578" s="213"/>
      <c r="J578" s="213"/>
      <c r="K578" s="213"/>
      <c r="L578" s="213"/>
      <c r="M578" s="213"/>
      <c r="N578" s="213"/>
      <c r="O578" s="213"/>
      <c r="P578" s="213"/>
      <c r="Q578" s="213"/>
      <c r="R578" s="213"/>
      <c r="S578" s="213"/>
      <c r="T578" s="213"/>
      <c r="U578" s="213" t="s">
        <v>538</v>
      </c>
      <c r="V578" s="213">
        <v>1</v>
      </c>
      <c r="W578" s="213" t="s">
        <v>560</v>
      </c>
      <c r="X578" s="213" t="s">
        <v>541</v>
      </c>
      <c r="Y578" s="213" t="s">
        <v>541</v>
      </c>
      <c r="Z578" s="212">
        <v>0</v>
      </c>
      <c r="AA578" s="212">
        <v>0</v>
      </c>
      <c r="AB578" s="217">
        <v>1.1613549999999999</v>
      </c>
      <c r="AC578" s="217">
        <v>1.8690230000000001</v>
      </c>
      <c r="AD578" s="212">
        <f t="shared" si="8"/>
        <v>0</v>
      </c>
    </row>
    <row r="579" spans="2:30" x14ac:dyDescent="0.15">
      <c r="B579" s="213">
        <v>17031002993</v>
      </c>
      <c r="C579" s="213">
        <v>17031004611</v>
      </c>
      <c r="D579" s="213">
        <v>17031000453</v>
      </c>
      <c r="E579" s="213" t="s">
        <v>533</v>
      </c>
      <c r="F579" s="213" t="s">
        <v>534</v>
      </c>
      <c r="G579" s="213" t="s">
        <v>365</v>
      </c>
      <c r="H579" s="213" t="s">
        <v>382</v>
      </c>
      <c r="I579" s="213"/>
      <c r="J579" s="213" t="s">
        <v>547</v>
      </c>
      <c r="K579" s="213"/>
      <c r="L579" s="213"/>
      <c r="M579" s="213"/>
      <c r="N579" s="213"/>
      <c r="O579" s="213"/>
      <c r="P579" s="213"/>
      <c r="Q579" s="213"/>
      <c r="R579" s="213"/>
      <c r="S579" s="213" t="s">
        <v>608</v>
      </c>
      <c r="T579" s="213"/>
      <c r="U579" s="213" t="s">
        <v>538</v>
      </c>
      <c r="V579" s="213">
        <v>3</v>
      </c>
      <c r="W579" s="213" t="s">
        <v>566</v>
      </c>
      <c r="X579" s="213" t="s">
        <v>540</v>
      </c>
      <c r="Y579" s="213" t="s">
        <v>541</v>
      </c>
      <c r="Z579" s="212">
        <v>0</v>
      </c>
      <c r="AA579" s="212">
        <v>0</v>
      </c>
      <c r="AB579" s="217">
        <v>1.191324</v>
      </c>
      <c r="AC579" s="217">
        <v>1.9172549999999999</v>
      </c>
      <c r="AD579" s="212">
        <f t="shared" si="8"/>
        <v>0</v>
      </c>
    </row>
    <row r="580" spans="2:30" x14ac:dyDescent="0.15">
      <c r="B580" s="213">
        <v>17031002994</v>
      </c>
      <c r="C580" s="213">
        <v>17031000478</v>
      </c>
      <c r="D580" s="213">
        <v>17031004612</v>
      </c>
      <c r="E580" s="213" t="s">
        <v>533</v>
      </c>
      <c r="F580" s="213" t="s">
        <v>534</v>
      </c>
      <c r="G580" s="213" t="s">
        <v>365</v>
      </c>
      <c r="H580" s="213" t="s">
        <v>382</v>
      </c>
      <c r="I580" s="213"/>
      <c r="J580" s="213" t="s">
        <v>547</v>
      </c>
      <c r="K580" s="213"/>
      <c r="L580" s="213"/>
      <c r="M580" s="213"/>
      <c r="N580" s="213"/>
      <c r="O580" s="213"/>
      <c r="P580" s="213"/>
      <c r="Q580" s="213"/>
      <c r="R580" s="213"/>
      <c r="S580" s="213" t="s">
        <v>565</v>
      </c>
      <c r="T580" s="213"/>
      <c r="U580" s="213" t="s">
        <v>538</v>
      </c>
      <c r="V580" s="213">
        <v>2</v>
      </c>
      <c r="W580" s="213" t="s">
        <v>566</v>
      </c>
      <c r="X580" s="213" t="s">
        <v>540</v>
      </c>
      <c r="Y580" s="213" t="s">
        <v>541</v>
      </c>
      <c r="Z580" s="212">
        <v>0</v>
      </c>
      <c r="AA580" s="212">
        <v>0</v>
      </c>
      <c r="AB580" s="217">
        <v>0.13519700000000001</v>
      </c>
      <c r="AC580" s="217">
        <v>0.21757899999999999</v>
      </c>
      <c r="AD580" s="212">
        <f t="shared" si="8"/>
        <v>0</v>
      </c>
    </row>
    <row r="581" spans="2:30" x14ac:dyDescent="0.15">
      <c r="B581" s="213">
        <v>17031003000</v>
      </c>
      <c r="C581" s="213">
        <v>17031001007</v>
      </c>
      <c r="D581" s="213">
        <v>17031001037</v>
      </c>
      <c r="E581" s="213" t="s">
        <v>533</v>
      </c>
      <c r="F581" s="213" t="s">
        <v>534</v>
      </c>
      <c r="G581" s="213" t="s">
        <v>365</v>
      </c>
      <c r="H581" s="213" t="s">
        <v>551</v>
      </c>
      <c r="I581" s="213" t="s">
        <v>535</v>
      </c>
      <c r="J581" s="213"/>
      <c r="K581" s="213"/>
      <c r="L581" s="213"/>
      <c r="M581" s="213"/>
      <c r="N581" s="213"/>
      <c r="O581" s="213"/>
      <c r="P581" s="213"/>
      <c r="Q581" s="213"/>
      <c r="R581" s="213"/>
      <c r="S581" s="213" t="s">
        <v>553</v>
      </c>
      <c r="T581" s="213"/>
      <c r="U581" s="213" t="s">
        <v>538</v>
      </c>
      <c r="V581" s="213">
        <v>1</v>
      </c>
      <c r="W581" s="213" t="s">
        <v>582</v>
      </c>
      <c r="X581" s="213" t="s">
        <v>540</v>
      </c>
      <c r="Y581" s="213" t="s">
        <v>541</v>
      </c>
      <c r="Z581" s="212">
        <v>0</v>
      </c>
      <c r="AA581" s="212">
        <v>0</v>
      </c>
      <c r="AB581" s="217">
        <v>0.32975399999999999</v>
      </c>
      <c r="AC581" s="217">
        <v>0.53068899999999997</v>
      </c>
      <c r="AD581" s="212">
        <f t="shared" si="8"/>
        <v>0</v>
      </c>
    </row>
    <row r="582" spans="2:30" x14ac:dyDescent="0.15">
      <c r="B582" s="213">
        <v>17031003002</v>
      </c>
      <c r="C582" s="213">
        <v>17031001364</v>
      </c>
      <c r="D582" s="213">
        <v>17031001363</v>
      </c>
      <c r="E582" s="213" t="s">
        <v>533</v>
      </c>
      <c r="F582" s="213" t="s">
        <v>534</v>
      </c>
      <c r="G582" s="213" t="s">
        <v>365</v>
      </c>
      <c r="H582" s="213" t="s">
        <v>557</v>
      </c>
      <c r="I582" s="213"/>
      <c r="J582" s="213" t="s">
        <v>569</v>
      </c>
      <c r="K582" s="213" t="s">
        <v>535</v>
      </c>
      <c r="L582" s="213" t="s">
        <v>551</v>
      </c>
      <c r="M582" s="213" t="s">
        <v>543</v>
      </c>
      <c r="N582" s="213" t="s">
        <v>382</v>
      </c>
      <c r="O582" s="213" t="s">
        <v>552</v>
      </c>
      <c r="P582" s="213" t="s">
        <v>555</v>
      </c>
      <c r="Q582" s="213"/>
      <c r="R582" s="213"/>
      <c r="S582" s="213" t="s">
        <v>570</v>
      </c>
      <c r="T582" s="213"/>
      <c r="U582" s="213" t="s">
        <v>538</v>
      </c>
      <c r="V582" s="213">
        <v>2</v>
      </c>
      <c r="W582" s="213" t="s">
        <v>545</v>
      </c>
      <c r="X582" s="213" t="s">
        <v>554</v>
      </c>
      <c r="Y582" s="213" t="s">
        <v>546</v>
      </c>
      <c r="Z582" s="212">
        <v>1025767</v>
      </c>
      <c r="AA582" s="212">
        <v>33047697</v>
      </c>
      <c r="AB582" s="217">
        <v>0.58762300000000001</v>
      </c>
      <c r="AC582" s="217">
        <v>0.945689</v>
      </c>
      <c r="AD582" s="212">
        <f t="shared" ref="AD582:AD645" si="9">AA582*AB582</f>
        <v>19419586.854231</v>
      </c>
    </row>
    <row r="583" spans="2:30" x14ac:dyDescent="0.15">
      <c r="B583" s="213">
        <v>17031003014</v>
      </c>
      <c r="C583" s="213">
        <v>17031000946</v>
      </c>
      <c r="D583" s="213">
        <v>17031000926</v>
      </c>
      <c r="E583" s="213" t="s">
        <v>533</v>
      </c>
      <c r="F583" s="213" t="s">
        <v>534</v>
      </c>
      <c r="G583" s="213" t="s">
        <v>365</v>
      </c>
      <c r="H583" s="213" t="s">
        <v>543</v>
      </c>
      <c r="I583" s="213"/>
      <c r="J583" s="213" t="s">
        <v>542</v>
      </c>
      <c r="K583" s="213"/>
      <c r="L583" s="213"/>
      <c r="M583" s="213"/>
      <c r="N583" s="213"/>
      <c r="O583" s="213"/>
      <c r="P583" s="213"/>
      <c r="Q583" s="213"/>
      <c r="R583" s="213"/>
      <c r="S583" s="213" t="s">
        <v>630</v>
      </c>
      <c r="T583" s="213"/>
      <c r="U583" s="213" t="s">
        <v>538</v>
      </c>
      <c r="V583" s="213">
        <v>4</v>
      </c>
      <c r="W583" s="213" t="s">
        <v>545</v>
      </c>
      <c r="X583" s="213" t="s">
        <v>549</v>
      </c>
      <c r="Y583" s="213" t="s">
        <v>580</v>
      </c>
      <c r="Z583" s="212">
        <v>2463629</v>
      </c>
      <c r="AA583" s="212">
        <v>64091127</v>
      </c>
      <c r="AB583" s="217">
        <v>0.96203700000000003</v>
      </c>
      <c r="AC583" s="217">
        <v>1.548251</v>
      </c>
      <c r="AD583" s="212">
        <f t="shared" si="9"/>
        <v>61658035.545699</v>
      </c>
    </row>
    <row r="584" spans="2:30" x14ac:dyDescent="0.15">
      <c r="B584" s="213">
        <v>17031003106</v>
      </c>
      <c r="C584" s="213">
        <v>17031001563</v>
      </c>
      <c r="D584" s="213">
        <v>17031001560</v>
      </c>
      <c r="E584" s="213" t="s">
        <v>533</v>
      </c>
      <c r="F584" s="213" t="s">
        <v>534</v>
      </c>
      <c r="G584" s="213" t="s">
        <v>365</v>
      </c>
      <c r="H584" s="213" t="s">
        <v>535</v>
      </c>
      <c r="I584" s="213"/>
      <c r="J584" s="213" t="s">
        <v>382</v>
      </c>
      <c r="K584" s="213" t="s">
        <v>536</v>
      </c>
      <c r="L584" s="213"/>
      <c r="M584" s="213"/>
      <c r="N584" s="213"/>
      <c r="O584" s="213"/>
      <c r="P584" s="213"/>
      <c r="Q584" s="213"/>
      <c r="R584" s="213"/>
      <c r="S584" s="213" t="s">
        <v>537</v>
      </c>
      <c r="T584" s="213"/>
      <c r="U584" s="213" t="s">
        <v>538</v>
      </c>
      <c r="V584" s="213">
        <v>2</v>
      </c>
      <c r="W584" s="213" t="s">
        <v>582</v>
      </c>
      <c r="X584" s="213" t="s">
        <v>549</v>
      </c>
      <c r="Y584" s="213" t="s">
        <v>540</v>
      </c>
      <c r="Z584" s="212">
        <v>3276</v>
      </c>
      <c r="AA584" s="212">
        <v>276324</v>
      </c>
      <c r="AB584" s="217">
        <v>0.59954499999999999</v>
      </c>
      <c r="AC584" s="217">
        <v>0.96487599999999996</v>
      </c>
      <c r="AD584" s="212">
        <f t="shared" si="9"/>
        <v>165668.67257999998</v>
      </c>
    </row>
    <row r="585" spans="2:30" x14ac:dyDescent="0.15">
      <c r="B585" s="213">
        <v>17031003107</v>
      </c>
      <c r="C585" s="213">
        <v>17031001566</v>
      </c>
      <c r="D585" s="213">
        <v>17031001543</v>
      </c>
      <c r="E585" s="213" t="s">
        <v>533</v>
      </c>
      <c r="F585" s="213" t="s">
        <v>534</v>
      </c>
      <c r="G585" s="213" t="s">
        <v>365</v>
      </c>
      <c r="H585" s="213" t="s">
        <v>382</v>
      </c>
      <c r="I585" s="213"/>
      <c r="J585" s="213" t="s">
        <v>551</v>
      </c>
      <c r="K585" s="213" t="s">
        <v>555</v>
      </c>
      <c r="L585" s="213" t="s">
        <v>552</v>
      </c>
      <c r="M585" s="213"/>
      <c r="N585" s="213"/>
      <c r="O585" s="213"/>
      <c r="P585" s="213"/>
      <c r="Q585" s="213"/>
      <c r="R585" s="213"/>
      <c r="S585" s="213" t="s">
        <v>556</v>
      </c>
      <c r="T585" s="213"/>
      <c r="U585" s="213" t="s">
        <v>538</v>
      </c>
      <c r="V585" s="213">
        <v>2</v>
      </c>
      <c r="W585" s="213" t="s">
        <v>545</v>
      </c>
      <c r="X585" s="213" t="s">
        <v>540</v>
      </c>
      <c r="Y585" s="213" t="s">
        <v>580</v>
      </c>
      <c r="Z585" s="212">
        <v>845989</v>
      </c>
      <c r="AA585" s="212">
        <v>33419591</v>
      </c>
      <c r="AB585" s="217">
        <v>1.0771630000000001</v>
      </c>
      <c r="AC585" s="217">
        <v>1.7335290000000001</v>
      </c>
      <c r="AD585" s="212">
        <f t="shared" si="9"/>
        <v>35998346.900333002</v>
      </c>
    </row>
    <row r="586" spans="2:30" x14ac:dyDescent="0.15">
      <c r="B586" s="213">
        <v>17031003111</v>
      </c>
      <c r="C586" s="213">
        <v>17031000821</v>
      </c>
      <c r="D586" s="213">
        <v>17031004717</v>
      </c>
      <c r="E586" s="213" t="s">
        <v>533</v>
      </c>
      <c r="F586" s="213" t="s">
        <v>534</v>
      </c>
      <c r="G586" s="213" t="s">
        <v>365</v>
      </c>
      <c r="H586" s="213" t="s">
        <v>543</v>
      </c>
      <c r="I586" s="213"/>
      <c r="J586" s="213"/>
      <c r="K586" s="213"/>
      <c r="L586" s="213"/>
      <c r="M586" s="213"/>
      <c r="N586" s="213"/>
      <c r="O586" s="213"/>
      <c r="P586" s="213"/>
      <c r="Q586" s="213"/>
      <c r="R586" s="213"/>
      <c r="S586" s="213" t="s">
        <v>658</v>
      </c>
      <c r="T586" s="213"/>
      <c r="U586" s="213" t="s">
        <v>559</v>
      </c>
      <c r="V586" s="213">
        <v>1</v>
      </c>
      <c r="W586" s="213" t="s">
        <v>560</v>
      </c>
      <c r="X586" s="213" t="s">
        <v>541</v>
      </c>
      <c r="Y586" s="213" t="s">
        <v>541</v>
      </c>
      <c r="Z586" s="212">
        <v>0</v>
      </c>
      <c r="AA586" s="212">
        <v>0</v>
      </c>
      <c r="AB586" s="217">
        <v>0.96862199999999998</v>
      </c>
      <c r="AC586" s="217">
        <v>1.5588489999999999</v>
      </c>
      <c r="AD586" s="212">
        <f t="shared" si="9"/>
        <v>0</v>
      </c>
    </row>
    <row r="587" spans="2:30" x14ac:dyDescent="0.15">
      <c r="B587" s="213">
        <v>17031003117</v>
      </c>
      <c r="C587" s="213">
        <v>17031001127</v>
      </c>
      <c r="D587" s="213">
        <v>17031001131</v>
      </c>
      <c r="E587" s="213" t="s">
        <v>533</v>
      </c>
      <c r="F587" s="213" t="s">
        <v>534</v>
      </c>
      <c r="G587" s="213" t="s">
        <v>365</v>
      </c>
      <c r="H587" s="213" t="s">
        <v>661</v>
      </c>
      <c r="I587" s="213"/>
      <c r="J587" s="213"/>
      <c r="K587" s="213"/>
      <c r="L587" s="213"/>
      <c r="M587" s="213"/>
      <c r="N587" s="213"/>
      <c r="O587" s="213"/>
      <c r="P587" s="213"/>
      <c r="Q587" s="213"/>
      <c r="R587" s="213"/>
      <c r="S587" s="213"/>
      <c r="T587" s="213"/>
      <c r="U587" s="213" t="s">
        <v>538</v>
      </c>
      <c r="V587" s="213">
        <v>1</v>
      </c>
      <c r="W587" s="213" t="s">
        <v>560</v>
      </c>
      <c r="X587" s="213" t="s">
        <v>541</v>
      </c>
      <c r="Y587" s="213" t="s">
        <v>541</v>
      </c>
      <c r="Z587" s="212">
        <v>0</v>
      </c>
      <c r="AA587" s="212">
        <v>0</v>
      </c>
      <c r="AB587" s="217">
        <v>0.39871899999999999</v>
      </c>
      <c r="AC587" s="217">
        <v>0.64167799999999997</v>
      </c>
      <c r="AD587" s="212">
        <f t="shared" si="9"/>
        <v>0</v>
      </c>
    </row>
    <row r="588" spans="2:30" x14ac:dyDescent="0.15">
      <c r="B588" s="213">
        <v>17031003120</v>
      </c>
      <c r="C588" s="213">
        <v>17031001080</v>
      </c>
      <c r="D588" s="213">
        <v>17031001088</v>
      </c>
      <c r="E588" s="213" t="s">
        <v>533</v>
      </c>
      <c r="F588" s="213" t="s">
        <v>534</v>
      </c>
      <c r="G588" s="213" t="s">
        <v>365</v>
      </c>
      <c r="H588" s="213" t="s">
        <v>661</v>
      </c>
      <c r="I588" s="213"/>
      <c r="J588" s="213"/>
      <c r="K588" s="213"/>
      <c r="L588" s="213"/>
      <c r="M588" s="213"/>
      <c r="N588" s="213"/>
      <c r="O588" s="213"/>
      <c r="P588" s="213"/>
      <c r="Q588" s="213"/>
      <c r="R588" s="213"/>
      <c r="S588" s="213"/>
      <c r="T588" s="213"/>
      <c r="U588" s="213" t="s">
        <v>538</v>
      </c>
      <c r="V588" s="213">
        <v>1</v>
      </c>
      <c r="W588" s="213" t="s">
        <v>560</v>
      </c>
      <c r="X588" s="213" t="s">
        <v>541</v>
      </c>
      <c r="Y588" s="213" t="s">
        <v>541</v>
      </c>
      <c r="Z588" s="212">
        <v>0</v>
      </c>
      <c r="AA588" s="212">
        <v>0</v>
      </c>
      <c r="AB588" s="217">
        <v>6.8680000000000005E-2</v>
      </c>
      <c r="AC588" s="217">
        <v>0.110531</v>
      </c>
      <c r="AD588" s="212">
        <f t="shared" si="9"/>
        <v>0</v>
      </c>
    </row>
    <row r="589" spans="2:30" x14ac:dyDescent="0.15">
      <c r="B589" s="213">
        <v>17031003229</v>
      </c>
      <c r="C589" s="213">
        <v>17031000432</v>
      </c>
      <c r="D589" s="213">
        <v>17031004586</v>
      </c>
      <c r="E589" s="213" t="s">
        <v>533</v>
      </c>
      <c r="F589" s="213" t="s">
        <v>534</v>
      </c>
      <c r="G589" s="213" t="s">
        <v>365</v>
      </c>
      <c r="H589" s="213" t="s">
        <v>382</v>
      </c>
      <c r="I589" s="213"/>
      <c r="J589" s="213" t="s">
        <v>547</v>
      </c>
      <c r="K589" s="213"/>
      <c r="L589" s="213"/>
      <c r="M589" s="213"/>
      <c r="N589" s="213"/>
      <c r="O589" s="213"/>
      <c r="P589" s="213"/>
      <c r="Q589" s="213"/>
      <c r="R589" s="213"/>
      <c r="S589" s="213" t="s">
        <v>565</v>
      </c>
      <c r="T589" s="213"/>
      <c r="U589" s="213" t="s">
        <v>538</v>
      </c>
      <c r="V589" s="213">
        <v>2</v>
      </c>
      <c r="W589" s="213" t="s">
        <v>566</v>
      </c>
      <c r="X589" s="213" t="s">
        <v>549</v>
      </c>
      <c r="Y589" s="213" t="s">
        <v>541</v>
      </c>
      <c r="Z589" s="212">
        <v>0</v>
      </c>
      <c r="AA589" s="212">
        <v>0</v>
      </c>
      <c r="AB589" s="217">
        <v>2.0223930000000001</v>
      </c>
      <c r="AC589" s="217">
        <v>3.2547329999999999</v>
      </c>
      <c r="AD589" s="212">
        <f t="shared" si="9"/>
        <v>0</v>
      </c>
    </row>
    <row r="590" spans="2:30" x14ac:dyDescent="0.15">
      <c r="B590" s="213">
        <v>17031003234</v>
      </c>
      <c r="C590" s="213">
        <v>17031001208</v>
      </c>
      <c r="D590" s="213">
        <v>17031001116</v>
      </c>
      <c r="E590" s="213" t="s">
        <v>533</v>
      </c>
      <c r="F590" s="213" t="s">
        <v>534</v>
      </c>
      <c r="G590" s="213" t="s">
        <v>365</v>
      </c>
      <c r="H590" s="213" t="s">
        <v>535</v>
      </c>
      <c r="I590" s="213"/>
      <c r="J590" s="213" t="s">
        <v>542</v>
      </c>
      <c r="K590" s="213" t="s">
        <v>572</v>
      </c>
      <c r="L590" s="213" t="s">
        <v>543</v>
      </c>
      <c r="M590" s="213"/>
      <c r="N590" s="213"/>
      <c r="O590" s="213"/>
      <c r="P590" s="213"/>
      <c r="Q590" s="213"/>
      <c r="R590" s="213"/>
      <c r="S590" s="213" t="s">
        <v>544</v>
      </c>
      <c r="T590" s="213"/>
      <c r="U590" s="213" t="s">
        <v>538</v>
      </c>
      <c r="V590" s="213">
        <v>2</v>
      </c>
      <c r="W590" s="213" t="s">
        <v>545</v>
      </c>
      <c r="X590" s="213" t="s">
        <v>549</v>
      </c>
      <c r="Y590" s="213" t="s">
        <v>546</v>
      </c>
      <c r="Z590" s="212">
        <v>54557</v>
      </c>
      <c r="AA590" s="212">
        <v>4993342</v>
      </c>
      <c r="AB590" s="217">
        <v>2.6482009999999998</v>
      </c>
      <c r="AC590" s="217">
        <v>4.2618749999999999</v>
      </c>
      <c r="AD590" s="212">
        <f t="shared" si="9"/>
        <v>13223373.277741998</v>
      </c>
    </row>
    <row r="591" spans="2:30" x14ac:dyDescent="0.15">
      <c r="B591" s="213">
        <v>17031003246</v>
      </c>
      <c r="C591" s="213">
        <v>17031004640</v>
      </c>
      <c r="D591" s="213">
        <v>17031000475</v>
      </c>
      <c r="E591" s="213" t="s">
        <v>533</v>
      </c>
      <c r="F591" s="213" t="s">
        <v>534</v>
      </c>
      <c r="G591" s="213" t="s">
        <v>365</v>
      </c>
      <c r="H591" s="213" t="s">
        <v>552</v>
      </c>
      <c r="I591" s="213"/>
      <c r="J591" s="213" t="s">
        <v>551</v>
      </c>
      <c r="K591" s="213" t="s">
        <v>547</v>
      </c>
      <c r="L591" s="213" t="s">
        <v>382</v>
      </c>
      <c r="M591" s="213" t="s">
        <v>563</v>
      </c>
      <c r="N591" s="213"/>
      <c r="O591" s="213"/>
      <c r="P591" s="213"/>
      <c r="Q591" s="213"/>
      <c r="R591" s="213"/>
      <c r="S591" s="213" t="s">
        <v>589</v>
      </c>
      <c r="T591" s="213"/>
      <c r="U591" s="213" t="s">
        <v>538</v>
      </c>
      <c r="V591" s="213">
        <v>3</v>
      </c>
      <c r="W591" s="213" t="s">
        <v>545</v>
      </c>
      <c r="X591" s="213" t="s">
        <v>549</v>
      </c>
      <c r="Y591" s="213" t="s">
        <v>549</v>
      </c>
      <c r="Z591" s="212">
        <v>244221</v>
      </c>
      <c r="AA591" s="212">
        <v>19989495</v>
      </c>
      <c r="AB591" s="217">
        <v>0.17754300000000001</v>
      </c>
      <c r="AC591" s="217">
        <v>0.28572799999999998</v>
      </c>
      <c r="AD591" s="212">
        <f t="shared" si="9"/>
        <v>3548994.9107850003</v>
      </c>
    </row>
    <row r="592" spans="2:30" x14ac:dyDescent="0.15">
      <c r="B592" s="213">
        <v>17031003247</v>
      </c>
      <c r="C592" s="213">
        <v>17031006979</v>
      </c>
      <c r="D592" s="213">
        <v>17031000512</v>
      </c>
      <c r="E592" s="213" t="s">
        <v>533</v>
      </c>
      <c r="F592" s="213" t="s">
        <v>534</v>
      </c>
      <c r="G592" s="213" t="s">
        <v>365</v>
      </c>
      <c r="H592" s="213" t="s">
        <v>382</v>
      </c>
      <c r="I592" s="213"/>
      <c r="J592" s="213" t="s">
        <v>547</v>
      </c>
      <c r="K592" s="213"/>
      <c r="L592" s="213"/>
      <c r="M592" s="213"/>
      <c r="N592" s="213"/>
      <c r="O592" s="213"/>
      <c r="P592" s="213"/>
      <c r="Q592" s="213"/>
      <c r="R592" s="213"/>
      <c r="S592" s="213" t="s">
        <v>608</v>
      </c>
      <c r="T592" s="213"/>
      <c r="U592" s="213" t="s">
        <v>538</v>
      </c>
      <c r="V592" s="213">
        <v>4</v>
      </c>
      <c r="W592" s="213" t="s">
        <v>545</v>
      </c>
      <c r="X592" s="213" t="s">
        <v>540</v>
      </c>
      <c r="Y592" s="213" t="s">
        <v>541</v>
      </c>
      <c r="Z592" s="212">
        <v>0</v>
      </c>
      <c r="AA592" s="212">
        <v>0</v>
      </c>
      <c r="AB592" s="217">
        <v>0.682064</v>
      </c>
      <c r="AC592" s="217">
        <v>1.097677</v>
      </c>
      <c r="AD592" s="212">
        <f t="shared" si="9"/>
        <v>0</v>
      </c>
    </row>
    <row r="593" spans="2:30" x14ac:dyDescent="0.15">
      <c r="B593" s="213">
        <v>17031003264</v>
      </c>
      <c r="C593" s="213">
        <v>17031001358</v>
      </c>
      <c r="D593" s="213">
        <v>17031001408</v>
      </c>
      <c r="E593" s="213" t="s">
        <v>533</v>
      </c>
      <c r="F593" s="213" t="s">
        <v>534</v>
      </c>
      <c r="G593" s="213" t="s">
        <v>365</v>
      </c>
      <c r="H593" s="213" t="s">
        <v>382</v>
      </c>
      <c r="I593" s="213"/>
      <c r="J593" s="213" t="s">
        <v>542</v>
      </c>
      <c r="K593" s="213" t="s">
        <v>551</v>
      </c>
      <c r="L593" s="213" t="s">
        <v>555</v>
      </c>
      <c r="M593" s="213" t="s">
        <v>552</v>
      </c>
      <c r="N593" s="213" t="s">
        <v>535</v>
      </c>
      <c r="O593" s="213"/>
      <c r="P593" s="213"/>
      <c r="Q593" s="213"/>
      <c r="R593" s="213"/>
      <c r="S593" s="213" t="s">
        <v>556</v>
      </c>
      <c r="T593" s="213" t="s">
        <v>631</v>
      </c>
      <c r="U593" s="213" t="s">
        <v>538</v>
      </c>
      <c r="V593" s="213">
        <v>2</v>
      </c>
      <c r="W593" s="213" t="s">
        <v>545</v>
      </c>
      <c r="X593" s="213" t="s">
        <v>554</v>
      </c>
      <c r="Y593" s="213" t="s">
        <v>580</v>
      </c>
      <c r="Z593" s="212">
        <v>679825</v>
      </c>
      <c r="AA593" s="212">
        <v>32130584</v>
      </c>
      <c r="AB593" s="217">
        <v>1.0174780000000001</v>
      </c>
      <c r="AC593" s="217">
        <v>1.6374759999999999</v>
      </c>
      <c r="AD593" s="212">
        <f t="shared" si="9"/>
        <v>32692162.347152002</v>
      </c>
    </row>
    <row r="594" spans="2:30" x14ac:dyDescent="0.15">
      <c r="B594" s="213">
        <v>17031003270</v>
      </c>
      <c r="C594" s="213">
        <v>17031000659</v>
      </c>
      <c r="D594" s="213">
        <v>17031000654</v>
      </c>
      <c r="E594" s="213" t="s">
        <v>533</v>
      </c>
      <c r="F594" s="213" t="s">
        <v>534</v>
      </c>
      <c r="G594" s="213" t="s">
        <v>365</v>
      </c>
      <c r="H594" s="213" t="s">
        <v>382</v>
      </c>
      <c r="I594" s="213"/>
      <c r="J594" s="213" t="s">
        <v>572</v>
      </c>
      <c r="K594" s="213"/>
      <c r="L594" s="213"/>
      <c r="M594" s="213"/>
      <c r="N594" s="213"/>
      <c r="O594" s="213"/>
      <c r="P594" s="213"/>
      <c r="Q594" s="213"/>
      <c r="R594" s="213"/>
      <c r="S594" s="213" t="s">
        <v>609</v>
      </c>
      <c r="T594" s="213" t="s">
        <v>695</v>
      </c>
      <c r="U594" s="213" t="s">
        <v>538</v>
      </c>
      <c r="V594" s="213">
        <v>1</v>
      </c>
      <c r="W594" s="213" t="s">
        <v>539</v>
      </c>
      <c r="X594" s="213" t="s">
        <v>541</v>
      </c>
      <c r="Y594" s="213" t="s">
        <v>540</v>
      </c>
      <c r="Z594" s="212">
        <v>5628</v>
      </c>
      <c r="AA594" s="212">
        <v>424432</v>
      </c>
      <c r="AB594" s="217">
        <v>0.236427</v>
      </c>
      <c r="AC594" s="217">
        <v>0.38049300000000003</v>
      </c>
      <c r="AD594" s="212">
        <f t="shared" si="9"/>
        <v>100347.18446400001</v>
      </c>
    </row>
    <row r="595" spans="2:30" x14ac:dyDescent="0.15">
      <c r="B595" s="213">
        <v>17031003274</v>
      </c>
      <c r="C595" s="213">
        <v>17031000486</v>
      </c>
      <c r="D595" s="213">
        <v>17031000517</v>
      </c>
      <c r="E595" s="213" t="s">
        <v>533</v>
      </c>
      <c r="F595" s="213" t="s">
        <v>534</v>
      </c>
      <c r="G595" s="213" t="s">
        <v>365</v>
      </c>
      <c r="H595" s="213" t="s">
        <v>571</v>
      </c>
      <c r="I595" s="213"/>
      <c r="J595" s="213" t="s">
        <v>552</v>
      </c>
      <c r="K595" s="213" t="s">
        <v>551</v>
      </c>
      <c r="L595" s="213" t="s">
        <v>563</v>
      </c>
      <c r="M595" s="213"/>
      <c r="N595" s="213"/>
      <c r="O595" s="213"/>
      <c r="P595" s="213"/>
      <c r="Q595" s="213"/>
      <c r="R595" s="213"/>
      <c r="S595" s="213" t="s">
        <v>573</v>
      </c>
      <c r="T595" s="213"/>
      <c r="U595" s="213" t="s">
        <v>538</v>
      </c>
      <c r="V595" s="213">
        <v>2</v>
      </c>
      <c r="W595" s="213" t="s">
        <v>545</v>
      </c>
      <c r="X595" s="213" t="s">
        <v>554</v>
      </c>
      <c r="Y595" s="213" t="s">
        <v>546</v>
      </c>
      <c r="Z595" s="212">
        <v>59256</v>
      </c>
      <c r="AA595" s="212">
        <v>3443324</v>
      </c>
      <c r="AB595" s="217">
        <v>1.1662250000000001</v>
      </c>
      <c r="AC595" s="217">
        <v>1.8768609999999999</v>
      </c>
      <c r="AD595" s="212">
        <f t="shared" si="9"/>
        <v>4015690.5319000003</v>
      </c>
    </row>
    <row r="596" spans="2:30" x14ac:dyDescent="0.15">
      <c r="B596" s="213">
        <v>17031003280</v>
      </c>
      <c r="C596" s="213">
        <v>17031001076</v>
      </c>
      <c r="D596" s="213">
        <v>17031004751</v>
      </c>
      <c r="E596" s="213" t="s">
        <v>533</v>
      </c>
      <c r="F596" s="213" t="s">
        <v>534</v>
      </c>
      <c r="G596" s="213" t="s">
        <v>365</v>
      </c>
      <c r="H596" s="213" t="s">
        <v>535</v>
      </c>
      <c r="I596" s="213"/>
      <c r="J596" s="213" t="s">
        <v>542</v>
      </c>
      <c r="K596" s="213" t="s">
        <v>572</v>
      </c>
      <c r="L596" s="213"/>
      <c r="M596" s="213"/>
      <c r="N596" s="213"/>
      <c r="O596" s="213"/>
      <c r="P596" s="213"/>
      <c r="Q596" s="213"/>
      <c r="R596" s="213"/>
      <c r="S596" s="213" t="s">
        <v>544</v>
      </c>
      <c r="T596" s="213"/>
      <c r="U596" s="213" t="s">
        <v>538</v>
      </c>
      <c r="V596" s="213">
        <v>2</v>
      </c>
      <c r="W596" s="213" t="s">
        <v>545</v>
      </c>
      <c r="X596" s="213" t="s">
        <v>549</v>
      </c>
      <c r="Y596" s="213" t="s">
        <v>549</v>
      </c>
      <c r="Z596" s="212">
        <v>9558</v>
      </c>
      <c r="AA596" s="212">
        <v>806456</v>
      </c>
      <c r="AB596" s="217">
        <v>1.1611590000000001</v>
      </c>
      <c r="AC596" s="217">
        <v>1.8687069999999999</v>
      </c>
      <c r="AD596" s="212">
        <f t="shared" si="9"/>
        <v>936423.64250399999</v>
      </c>
    </row>
    <row r="597" spans="2:30" x14ac:dyDescent="0.15">
      <c r="B597" s="213">
        <v>17031003295</v>
      </c>
      <c r="C597" s="213">
        <v>17031001413</v>
      </c>
      <c r="D597" s="213">
        <v>17031001416</v>
      </c>
      <c r="E597" s="213" t="s">
        <v>533</v>
      </c>
      <c r="F597" s="213" t="s">
        <v>534</v>
      </c>
      <c r="G597" s="213" t="s">
        <v>365</v>
      </c>
      <c r="H597" s="213" t="s">
        <v>551</v>
      </c>
      <c r="I597" s="213" t="s">
        <v>535</v>
      </c>
      <c r="J597" s="213" t="s">
        <v>555</v>
      </c>
      <c r="K597" s="213"/>
      <c r="L597" s="213"/>
      <c r="M597" s="213"/>
      <c r="N597" s="213"/>
      <c r="O597" s="213"/>
      <c r="P597" s="213"/>
      <c r="Q597" s="213"/>
      <c r="R597" s="213"/>
      <c r="S597" s="213" t="s">
        <v>553</v>
      </c>
      <c r="T597" s="213"/>
      <c r="U597" s="213" t="s">
        <v>538</v>
      </c>
      <c r="V597" s="213">
        <v>1</v>
      </c>
      <c r="W597" s="213" t="s">
        <v>545</v>
      </c>
      <c r="X597" s="213" t="s">
        <v>541</v>
      </c>
      <c r="Y597" s="213" t="s">
        <v>541</v>
      </c>
      <c r="Z597" s="212">
        <v>0</v>
      </c>
      <c r="AA597" s="212">
        <v>0</v>
      </c>
      <c r="AB597" s="217">
        <v>0.40209400000000001</v>
      </c>
      <c r="AC597" s="217">
        <v>0.64710900000000005</v>
      </c>
      <c r="AD597" s="212">
        <f t="shared" si="9"/>
        <v>0</v>
      </c>
    </row>
    <row r="598" spans="2:30" x14ac:dyDescent="0.15">
      <c r="B598" s="213">
        <v>17031003482</v>
      </c>
      <c r="C598" s="213">
        <v>17031000986</v>
      </c>
      <c r="D598" s="213">
        <v>17031000963</v>
      </c>
      <c r="E598" s="213" t="s">
        <v>533</v>
      </c>
      <c r="F598" s="213" t="s">
        <v>534</v>
      </c>
      <c r="G598" s="213" t="s">
        <v>365</v>
      </c>
      <c r="H598" s="213" t="s">
        <v>571</v>
      </c>
      <c r="I598" s="213"/>
      <c r="J598" s="213" t="s">
        <v>381</v>
      </c>
      <c r="K598" s="213" t="s">
        <v>535</v>
      </c>
      <c r="L598" s="213" t="s">
        <v>552</v>
      </c>
      <c r="M598" s="213" t="s">
        <v>551</v>
      </c>
      <c r="N598" s="213" t="s">
        <v>557</v>
      </c>
      <c r="O598" s="213" t="s">
        <v>543</v>
      </c>
      <c r="P598" s="213" t="s">
        <v>382</v>
      </c>
      <c r="Q598" s="213"/>
      <c r="R598" s="213"/>
      <c r="S598" s="213" t="s">
        <v>605</v>
      </c>
      <c r="T598" s="213"/>
      <c r="U598" s="213" t="s">
        <v>538</v>
      </c>
      <c r="V598" s="213">
        <v>1</v>
      </c>
      <c r="W598" s="213" t="s">
        <v>545</v>
      </c>
      <c r="X598" s="213" t="s">
        <v>554</v>
      </c>
      <c r="Y598" s="213" t="s">
        <v>549</v>
      </c>
      <c r="Z598" s="212">
        <v>66292</v>
      </c>
      <c r="AA598" s="212">
        <v>3298240</v>
      </c>
      <c r="AB598" s="217">
        <v>0.39993200000000001</v>
      </c>
      <c r="AC598" s="217">
        <v>0.64363000000000004</v>
      </c>
      <c r="AD598" s="212">
        <f t="shared" si="9"/>
        <v>1319071.7196800001</v>
      </c>
    </row>
    <row r="599" spans="2:30" x14ac:dyDescent="0.15">
      <c r="B599" s="213">
        <v>17031003502</v>
      </c>
      <c r="C599" s="213">
        <v>17999019973</v>
      </c>
      <c r="D599" s="213">
        <v>17031007547</v>
      </c>
      <c r="E599" s="213" t="s">
        <v>533</v>
      </c>
      <c r="F599" s="213" t="s">
        <v>534</v>
      </c>
      <c r="G599" s="213" t="s">
        <v>365</v>
      </c>
      <c r="H599" s="213" t="s">
        <v>552</v>
      </c>
      <c r="I599" s="213"/>
      <c r="J599" s="213" t="s">
        <v>547</v>
      </c>
      <c r="K599" s="213"/>
      <c r="L599" s="213"/>
      <c r="M599" s="213"/>
      <c r="N599" s="213"/>
      <c r="O599" s="213"/>
      <c r="P599" s="213"/>
      <c r="Q599" s="213"/>
      <c r="R599" s="213"/>
      <c r="S599" s="213" t="s">
        <v>589</v>
      </c>
      <c r="T599" s="213"/>
      <c r="U599" s="213" t="s">
        <v>538</v>
      </c>
      <c r="V599" s="213">
        <v>2</v>
      </c>
      <c r="W599" s="213" t="s">
        <v>545</v>
      </c>
      <c r="X599" s="213" t="s">
        <v>549</v>
      </c>
      <c r="Y599" s="213" t="s">
        <v>540</v>
      </c>
      <c r="Z599" s="212">
        <v>62931</v>
      </c>
      <c r="AA599" s="212">
        <v>6634428</v>
      </c>
      <c r="AB599" s="217">
        <v>0.72777499999999995</v>
      </c>
      <c r="AC599" s="217">
        <v>1.171243</v>
      </c>
      <c r="AD599" s="212">
        <f t="shared" si="9"/>
        <v>4828370.8377</v>
      </c>
    </row>
    <row r="600" spans="2:30" x14ac:dyDescent="0.15">
      <c r="B600" s="213">
        <v>17031003505</v>
      </c>
      <c r="C600" s="213">
        <v>17031004654</v>
      </c>
      <c r="D600" s="213">
        <v>17031000675</v>
      </c>
      <c r="E600" s="213" t="s">
        <v>533</v>
      </c>
      <c r="F600" s="213" t="s">
        <v>534</v>
      </c>
      <c r="G600" s="213" t="s">
        <v>365</v>
      </c>
      <c r="H600" s="213" t="s">
        <v>535</v>
      </c>
      <c r="I600" s="213"/>
      <c r="J600" s="213"/>
      <c r="K600" s="213"/>
      <c r="L600" s="213"/>
      <c r="M600" s="213"/>
      <c r="N600" s="213"/>
      <c r="O600" s="213"/>
      <c r="P600" s="213"/>
      <c r="Q600" s="213"/>
      <c r="R600" s="213"/>
      <c r="S600" s="213" t="s">
        <v>624</v>
      </c>
      <c r="T600" s="213"/>
      <c r="U600" s="213" t="s">
        <v>538</v>
      </c>
      <c r="V600" s="213">
        <v>1</v>
      </c>
      <c r="W600" s="213" t="s">
        <v>582</v>
      </c>
      <c r="X600" s="213" t="s">
        <v>540</v>
      </c>
      <c r="Y600" s="213" t="s">
        <v>554</v>
      </c>
      <c r="Z600" s="212">
        <v>1600</v>
      </c>
      <c r="AA600" s="212">
        <v>134280</v>
      </c>
      <c r="AB600" s="217">
        <v>1.958852</v>
      </c>
      <c r="AC600" s="217">
        <v>3.1524730000000001</v>
      </c>
      <c r="AD600" s="212">
        <f t="shared" si="9"/>
        <v>263034.64656000002</v>
      </c>
    </row>
    <row r="601" spans="2:30" x14ac:dyDescent="0.15">
      <c r="B601" s="213">
        <v>17031003554</v>
      </c>
      <c r="C601" s="213">
        <v>17031004688</v>
      </c>
      <c r="D601" s="213">
        <v>17031001164</v>
      </c>
      <c r="E601" s="213" t="s">
        <v>533</v>
      </c>
      <c r="F601" s="213" t="s">
        <v>534</v>
      </c>
      <c r="G601" s="213" t="s">
        <v>365</v>
      </c>
      <c r="H601" s="213" t="s">
        <v>547</v>
      </c>
      <c r="I601" s="213"/>
      <c r="J601" s="213" t="s">
        <v>543</v>
      </c>
      <c r="K601" s="213"/>
      <c r="L601" s="213"/>
      <c r="M601" s="213"/>
      <c r="N601" s="213"/>
      <c r="O601" s="213"/>
      <c r="P601" s="213"/>
      <c r="Q601" s="213"/>
      <c r="R601" s="213"/>
      <c r="S601" s="213" t="s">
        <v>602</v>
      </c>
      <c r="T601" s="213"/>
      <c r="U601" s="213" t="s">
        <v>538</v>
      </c>
      <c r="V601" s="213">
        <v>2</v>
      </c>
      <c r="W601" s="213" t="s">
        <v>582</v>
      </c>
      <c r="X601" s="213" t="s">
        <v>540</v>
      </c>
      <c r="Y601" s="213" t="s">
        <v>541</v>
      </c>
      <c r="Z601" s="212">
        <v>480</v>
      </c>
      <c r="AA601" s="212">
        <v>35280</v>
      </c>
      <c r="AB601" s="217">
        <v>0.110498</v>
      </c>
      <c r="AC601" s="217">
        <v>0.17782999999999999</v>
      </c>
      <c r="AD601" s="212">
        <f t="shared" si="9"/>
        <v>3898.3694399999999</v>
      </c>
    </row>
    <row r="602" spans="2:30" x14ac:dyDescent="0.15">
      <c r="B602" s="213">
        <v>17031003555</v>
      </c>
      <c r="C602" s="213">
        <v>17031001250</v>
      </c>
      <c r="D602" s="213">
        <v>17031004724</v>
      </c>
      <c r="E602" s="213" t="s">
        <v>533</v>
      </c>
      <c r="F602" s="213" t="s">
        <v>534</v>
      </c>
      <c r="G602" s="213" t="s">
        <v>365</v>
      </c>
      <c r="H602" s="213" t="s">
        <v>547</v>
      </c>
      <c r="I602" s="213"/>
      <c r="J602" s="213"/>
      <c r="K602" s="213"/>
      <c r="L602" s="213"/>
      <c r="M602" s="213"/>
      <c r="N602" s="213"/>
      <c r="O602" s="213"/>
      <c r="P602" s="213"/>
      <c r="Q602" s="213"/>
      <c r="R602" s="213"/>
      <c r="S602" s="213"/>
      <c r="T602" s="213"/>
      <c r="U602" s="213" t="s">
        <v>538</v>
      </c>
      <c r="V602" s="213">
        <v>1</v>
      </c>
      <c r="W602" s="213" t="s">
        <v>582</v>
      </c>
      <c r="X602" s="213" t="s">
        <v>541</v>
      </c>
      <c r="Y602" s="213" t="s">
        <v>541</v>
      </c>
      <c r="Z602" s="212">
        <v>0</v>
      </c>
      <c r="AA602" s="212">
        <v>0</v>
      </c>
      <c r="AB602" s="217">
        <v>0.48896400000000001</v>
      </c>
      <c r="AC602" s="217">
        <v>0.78691199999999994</v>
      </c>
      <c r="AD602" s="212">
        <f t="shared" si="9"/>
        <v>0</v>
      </c>
    </row>
    <row r="603" spans="2:30" x14ac:dyDescent="0.15">
      <c r="B603" s="213">
        <v>17031003580</v>
      </c>
      <c r="C603" s="213">
        <v>17031000944</v>
      </c>
      <c r="D603" s="213">
        <v>17031000936</v>
      </c>
      <c r="E603" s="213" t="s">
        <v>533</v>
      </c>
      <c r="F603" s="213" t="s">
        <v>534</v>
      </c>
      <c r="G603" s="213" t="s">
        <v>365</v>
      </c>
      <c r="H603" s="213" t="s">
        <v>557</v>
      </c>
      <c r="I603" s="213"/>
      <c r="J603" s="213" t="s">
        <v>381</v>
      </c>
      <c r="K603" s="213" t="s">
        <v>571</v>
      </c>
      <c r="L603" s="213" t="s">
        <v>535</v>
      </c>
      <c r="M603" s="213" t="s">
        <v>552</v>
      </c>
      <c r="N603" s="213" t="s">
        <v>551</v>
      </c>
      <c r="O603" s="213" t="s">
        <v>543</v>
      </c>
      <c r="P603" s="213" t="s">
        <v>382</v>
      </c>
      <c r="Q603" s="213" t="s">
        <v>563</v>
      </c>
      <c r="R603" s="213"/>
      <c r="S603" s="213" t="s">
        <v>570</v>
      </c>
      <c r="T603" s="213"/>
      <c r="U603" s="213" t="s">
        <v>538</v>
      </c>
      <c r="V603" s="213">
        <v>2</v>
      </c>
      <c r="W603" s="213" t="s">
        <v>545</v>
      </c>
      <c r="X603" s="213" t="s">
        <v>540</v>
      </c>
      <c r="Y603" s="213" t="s">
        <v>575</v>
      </c>
      <c r="Z603" s="212">
        <v>1602041</v>
      </c>
      <c r="AA603" s="212">
        <v>89971184</v>
      </c>
      <c r="AB603" s="217">
        <v>0.19883500000000001</v>
      </c>
      <c r="AC603" s="217">
        <v>0.319994</v>
      </c>
      <c r="AD603" s="212">
        <f t="shared" si="9"/>
        <v>17889420.370640002</v>
      </c>
    </row>
    <row r="604" spans="2:30" x14ac:dyDescent="0.15">
      <c r="B604" s="213">
        <v>17031003582</v>
      </c>
      <c r="C604" s="213">
        <v>17031000545</v>
      </c>
      <c r="D604" s="213">
        <v>17031000546</v>
      </c>
      <c r="E604" s="213" t="s">
        <v>533</v>
      </c>
      <c r="F604" s="213" t="s">
        <v>534</v>
      </c>
      <c r="G604" s="213" t="s">
        <v>365</v>
      </c>
      <c r="H604" s="213" t="s">
        <v>382</v>
      </c>
      <c r="I604" s="213"/>
      <c r="J604" s="213" t="s">
        <v>547</v>
      </c>
      <c r="K604" s="213"/>
      <c r="L604" s="213"/>
      <c r="M604" s="213"/>
      <c r="N604" s="213"/>
      <c r="O604" s="213"/>
      <c r="P604" s="213"/>
      <c r="Q604" s="213"/>
      <c r="R604" s="213"/>
      <c r="S604" s="213" t="s">
        <v>583</v>
      </c>
      <c r="T604" s="213" t="s">
        <v>626</v>
      </c>
      <c r="U604" s="213" t="s">
        <v>538</v>
      </c>
      <c r="V604" s="213">
        <v>3</v>
      </c>
      <c r="W604" s="213" t="s">
        <v>545</v>
      </c>
      <c r="X604" s="213" t="s">
        <v>549</v>
      </c>
      <c r="Y604" s="213" t="s">
        <v>580</v>
      </c>
      <c r="Z604" s="212">
        <v>1094661</v>
      </c>
      <c r="AA604" s="212">
        <v>33314885</v>
      </c>
      <c r="AB604" s="217">
        <v>0.21718299999999999</v>
      </c>
      <c r="AC604" s="217">
        <v>0.349522</v>
      </c>
      <c r="AD604" s="212">
        <f t="shared" si="9"/>
        <v>7235426.6689549992</v>
      </c>
    </row>
    <row r="605" spans="2:30" x14ac:dyDescent="0.15">
      <c r="B605" s="213">
        <v>17031003603</v>
      </c>
      <c r="C605" s="213">
        <v>17031000977</v>
      </c>
      <c r="D605" s="213">
        <v>17031001005</v>
      </c>
      <c r="E605" s="213" t="s">
        <v>533</v>
      </c>
      <c r="F605" s="213" t="s">
        <v>534</v>
      </c>
      <c r="G605" s="213" t="s">
        <v>365</v>
      </c>
      <c r="H605" s="213" t="s">
        <v>571</v>
      </c>
      <c r="I605" s="213"/>
      <c r="J605" s="213" t="s">
        <v>381</v>
      </c>
      <c r="K605" s="213" t="s">
        <v>535</v>
      </c>
      <c r="L605" s="213" t="s">
        <v>552</v>
      </c>
      <c r="M605" s="213" t="s">
        <v>572</v>
      </c>
      <c r="N605" s="213" t="s">
        <v>551</v>
      </c>
      <c r="O605" s="213" t="s">
        <v>555</v>
      </c>
      <c r="P605" s="213" t="s">
        <v>543</v>
      </c>
      <c r="Q605" s="213" t="s">
        <v>382</v>
      </c>
      <c r="R605" s="213" t="s">
        <v>563</v>
      </c>
      <c r="S605" s="213" t="s">
        <v>573</v>
      </c>
      <c r="T605" s="213" t="s">
        <v>574</v>
      </c>
      <c r="U605" s="213" t="s">
        <v>538</v>
      </c>
      <c r="V605" s="213">
        <v>2</v>
      </c>
      <c r="W605" s="213" t="s">
        <v>545</v>
      </c>
      <c r="X605" s="213" t="s">
        <v>554</v>
      </c>
      <c r="Y605" s="213" t="s">
        <v>575</v>
      </c>
      <c r="Z605" s="212">
        <v>388467</v>
      </c>
      <c r="AA605" s="212">
        <v>19916620</v>
      </c>
      <c r="AB605" s="217">
        <v>0.97281300000000004</v>
      </c>
      <c r="AC605" s="217">
        <v>1.565593</v>
      </c>
      <c r="AD605" s="212">
        <f t="shared" si="9"/>
        <v>19375146.852060001</v>
      </c>
    </row>
    <row r="606" spans="2:30" x14ac:dyDescent="0.15">
      <c r="B606" s="213">
        <v>17031003604</v>
      </c>
      <c r="C606" s="213">
        <v>17031001005</v>
      </c>
      <c r="D606" s="213">
        <v>17031001008</v>
      </c>
      <c r="E606" s="213" t="s">
        <v>533</v>
      </c>
      <c r="F606" s="213" t="s">
        <v>534</v>
      </c>
      <c r="G606" s="213" t="s">
        <v>365</v>
      </c>
      <c r="H606" s="213" t="s">
        <v>571</v>
      </c>
      <c r="I606" s="213"/>
      <c r="J606" s="213" t="s">
        <v>381</v>
      </c>
      <c r="K606" s="213" t="s">
        <v>535</v>
      </c>
      <c r="L606" s="213" t="s">
        <v>552</v>
      </c>
      <c r="M606" s="213" t="s">
        <v>572</v>
      </c>
      <c r="N606" s="213" t="s">
        <v>551</v>
      </c>
      <c r="O606" s="213" t="s">
        <v>555</v>
      </c>
      <c r="P606" s="213" t="s">
        <v>543</v>
      </c>
      <c r="Q606" s="213" t="s">
        <v>382</v>
      </c>
      <c r="R606" s="213"/>
      <c r="S606" s="213" t="s">
        <v>573</v>
      </c>
      <c r="T606" s="213" t="s">
        <v>574</v>
      </c>
      <c r="U606" s="213" t="s">
        <v>538</v>
      </c>
      <c r="V606" s="213">
        <v>2</v>
      </c>
      <c r="W606" s="213" t="s">
        <v>545</v>
      </c>
      <c r="X606" s="213" t="s">
        <v>554</v>
      </c>
      <c r="Y606" s="213" t="s">
        <v>575</v>
      </c>
      <c r="Z606" s="212">
        <v>388467</v>
      </c>
      <c r="AA606" s="212">
        <v>19916620</v>
      </c>
      <c r="AB606" s="217">
        <v>0.22281899999999999</v>
      </c>
      <c r="AC606" s="217">
        <v>0.35859400000000002</v>
      </c>
      <c r="AD606" s="212">
        <f t="shared" si="9"/>
        <v>4437801.3517800001</v>
      </c>
    </row>
    <row r="607" spans="2:30" x14ac:dyDescent="0.15">
      <c r="B607" s="213">
        <v>17031003611</v>
      </c>
      <c r="C607" s="213">
        <v>17031006777</v>
      </c>
      <c r="D607" s="213">
        <v>17031006778</v>
      </c>
      <c r="E607" s="213" t="s">
        <v>533</v>
      </c>
      <c r="F607" s="213" t="s">
        <v>534</v>
      </c>
      <c r="G607" s="213" t="s">
        <v>365</v>
      </c>
      <c r="H607" s="213" t="s">
        <v>571</v>
      </c>
      <c r="I607" s="213"/>
      <c r="J607" s="213" t="s">
        <v>552</v>
      </c>
      <c r="K607" s="213" t="s">
        <v>572</v>
      </c>
      <c r="L607" s="213" t="s">
        <v>551</v>
      </c>
      <c r="M607" s="213" t="s">
        <v>555</v>
      </c>
      <c r="N607" s="213" t="s">
        <v>543</v>
      </c>
      <c r="O607" s="213" t="s">
        <v>382</v>
      </c>
      <c r="P607" s="213" t="s">
        <v>535</v>
      </c>
      <c r="Q607" s="213" t="s">
        <v>381</v>
      </c>
      <c r="R607" s="213"/>
      <c r="S607" s="213" t="s">
        <v>573</v>
      </c>
      <c r="T607" s="213" t="s">
        <v>677</v>
      </c>
      <c r="U607" s="213" t="s">
        <v>538</v>
      </c>
      <c r="V607" s="213">
        <v>2</v>
      </c>
      <c r="W607" s="213" t="s">
        <v>545</v>
      </c>
      <c r="X607" s="213" t="s">
        <v>554</v>
      </c>
      <c r="Y607" s="213" t="s">
        <v>580</v>
      </c>
      <c r="Z607" s="212">
        <v>388467</v>
      </c>
      <c r="AA607" s="212">
        <v>19916620</v>
      </c>
      <c r="AB607" s="217">
        <v>0.71130300000000002</v>
      </c>
      <c r="AC607" s="217">
        <v>1.1447339999999999</v>
      </c>
      <c r="AD607" s="212">
        <f t="shared" si="9"/>
        <v>14166751.55586</v>
      </c>
    </row>
    <row r="608" spans="2:30" x14ac:dyDescent="0.15">
      <c r="B608" s="213">
        <v>17031003613</v>
      </c>
      <c r="C608" s="213">
        <v>17031001022</v>
      </c>
      <c r="D608" s="213">
        <v>17031001020</v>
      </c>
      <c r="E608" s="213" t="s">
        <v>533</v>
      </c>
      <c r="F608" s="213" t="s">
        <v>534</v>
      </c>
      <c r="G608" s="213" t="s">
        <v>365</v>
      </c>
      <c r="H608" s="213" t="s">
        <v>571</v>
      </c>
      <c r="I608" s="213"/>
      <c r="J608" s="213" t="s">
        <v>552</v>
      </c>
      <c r="K608" s="213" t="s">
        <v>572</v>
      </c>
      <c r="L608" s="213" t="s">
        <v>551</v>
      </c>
      <c r="M608" s="213" t="s">
        <v>555</v>
      </c>
      <c r="N608" s="213" t="s">
        <v>543</v>
      </c>
      <c r="O608" s="213" t="s">
        <v>382</v>
      </c>
      <c r="P608" s="213" t="s">
        <v>535</v>
      </c>
      <c r="Q608" s="213" t="s">
        <v>381</v>
      </c>
      <c r="R608" s="213"/>
      <c r="S608" s="213" t="s">
        <v>573</v>
      </c>
      <c r="T608" s="213"/>
      <c r="U608" s="213" t="s">
        <v>538</v>
      </c>
      <c r="V608" s="213">
        <v>2</v>
      </c>
      <c r="W608" s="213" t="s">
        <v>545</v>
      </c>
      <c r="X608" s="213" t="s">
        <v>554</v>
      </c>
      <c r="Y608" s="213" t="s">
        <v>580</v>
      </c>
      <c r="Z608" s="212">
        <v>388467</v>
      </c>
      <c r="AA608" s="212">
        <v>19916620</v>
      </c>
      <c r="AB608" s="217">
        <v>8.6189000000000002E-2</v>
      </c>
      <c r="AC608" s="217">
        <v>0.138708</v>
      </c>
      <c r="AD608" s="212">
        <f t="shared" si="9"/>
        <v>1716593.56118</v>
      </c>
    </row>
    <row r="609" spans="2:30" x14ac:dyDescent="0.15">
      <c r="B609" s="213">
        <v>17031003618</v>
      </c>
      <c r="C609" s="213">
        <v>17031001317</v>
      </c>
      <c r="D609" s="213">
        <v>17031001300</v>
      </c>
      <c r="E609" s="213" t="s">
        <v>533</v>
      </c>
      <c r="F609" s="213" t="s">
        <v>534</v>
      </c>
      <c r="G609" s="213" t="s">
        <v>365</v>
      </c>
      <c r="H609" s="213" t="s">
        <v>551</v>
      </c>
      <c r="I609" s="213"/>
      <c r="J609" s="213" t="s">
        <v>381</v>
      </c>
      <c r="K609" s="213" t="s">
        <v>535</v>
      </c>
      <c r="L609" s="213" t="s">
        <v>552</v>
      </c>
      <c r="M609" s="213"/>
      <c r="N609" s="213"/>
      <c r="O609" s="213"/>
      <c r="P609" s="213"/>
      <c r="Q609" s="213"/>
      <c r="R609" s="213"/>
      <c r="S609" s="213" t="s">
        <v>603</v>
      </c>
      <c r="T609" s="213" t="s">
        <v>603</v>
      </c>
      <c r="U609" s="213" t="s">
        <v>538</v>
      </c>
      <c r="V609" s="213">
        <v>2</v>
      </c>
      <c r="W609" s="213" t="s">
        <v>545</v>
      </c>
      <c r="X609" s="213" t="s">
        <v>540</v>
      </c>
      <c r="Y609" s="213" t="s">
        <v>575</v>
      </c>
      <c r="Z609" s="212">
        <v>853221</v>
      </c>
      <c r="AA609" s="212">
        <v>45095902</v>
      </c>
      <c r="AB609" s="217">
        <v>1.807987</v>
      </c>
      <c r="AC609" s="217">
        <v>2.9096790000000001</v>
      </c>
      <c r="AD609" s="212">
        <f t="shared" si="9"/>
        <v>81532804.569273993</v>
      </c>
    </row>
    <row r="610" spans="2:30" x14ac:dyDescent="0.15">
      <c r="B610" s="213">
        <v>17031003621</v>
      </c>
      <c r="C610" s="213">
        <v>17031001329</v>
      </c>
      <c r="D610" s="213">
        <v>17031001325</v>
      </c>
      <c r="E610" s="213" t="s">
        <v>533</v>
      </c>
      <c r="F610" s="213" t="s">
        <v>534</v>
      </c>
      <c r="G610" s="213" t="s">
        <v>365</v>
      </c>
      <c r="H610" s="213" t="s">
        <v>551</v>
      </c>
      <c r="I610" s="213"/>
      <c r="J610" s="213" t="s">
        <v>381</v>
      </c>
      <c r="K610" s="213" t="s">
        <v>535</v>
      </c>
      <c r="L610" s="213" t="s">
        <v>552</v>
      </c>
      <c r="M610" s="213"/>
      <c r="N610" s="213"/>
      <c r="O610" s="213"/>
      <c r="P610" s="213"/>
      <c r="Q610" s="213"/>
      <c r="R610" s="213"/>
      <c r="S610" s="213" t="s">
        <v>603</v>
      </c>
      <c r="T610" s="213"/>
      <c r="U610" s="213" t="s">
        <v>538</v>
      </c>
      <c r="V610" s="213">
        <v>2</v>
      </c>
      <c r="W610" s="213" t="s">
        <v>545</v>
      </c>
      <c r="X610" s="213" t="s">
        <v>540</v>
      </c>
      <c r="Y610" s="213" t="s">
        <v>575</v>
      </c>
      <c r="Z610" s="212">
        <v>848995</v>
      </c>
      <c r="AA610" s="212">
        <v>44678235</v>
      </c>
      <c r="AB610" s="217">
        <v>0.24329899999999999</v>
      </c>
      <c r="AC610" s="217">
        <v>0.39155299999999998</v>
      </c>
      <c r="AD610" s="212">
        <f t="shared" si="9"/>
        <v>10870169.897265</v>
      </c>
    </row>
    <row r="611" spans="2:30" x14ac:dyDescent="0.15">
      <c r="B611" s="213">
        <v>17031003623</v>
      </c>
      <c r="C611" s="213">
        <v>17031000920</v>
      </c>
      <c r="D611" s="213">
        <v>17031000907</v>
      </c>
      <c r="E611" s="213" t="s">
        <v>533</v>
      </c>
      <c r="F611" s="213" t="s">
        <v>534</v>
      </c>
      <c r="G611" s="213" t="s">
        <v>365</v>
      </c>
      <c r="H611" s="213" t="s">
        <v>547</v>
      </c>
      <c r="I611" s="213"/>
      <c r="J611" s="213" t="s">
        <v>577</v>
      </c>
      <c r="K611" s="213"/>
      <c r="L611" s="213"/>
      <c r="M611" s="213"/>
      <c r="N611" s="213"/>
      <c r="O611" s="213"/>
      <c r="P611" s="213"/>
      <c r="Q611" s="213"/>
      <c r="R611" s="213"/>
      <c r="S611" s="213" t="s">
        <v>581</v>
      </c>
      <c r="T611" s="213"/>
      <c r="U611" s="213" t="s">
        <v>538</v>
      </c>
      <c r="V611" s="213">
        <v>2</v>
      </c>
      <c r="W611" s="213" t="s">
        <v>582</v>
      </c>
      <c r="X611" s="213" t="s">
        <v>540</v>
      </c>
      <c r="Y611" s="213" t="s">
        <v>541</v>
      </c>
      <c r="Z611" s="212">
        <v>0</v>
      </c>
      <c r="AA611" s="212">
        <v>0</v>
      </c>
      <c r="AB611" s="217">
        <v>0.54191900000000004</v>
      </c>
      <c r="AC611" s="217">
        <v>0.87213499999999999</v>
      </c>
      <c r="AD611" s="212">
        <f t="shared" si="9"/>
        <v>0</v>
      </c>
    </row>
    <row r="612" spans="2:30" x14ac:dyDescent="0.15">
      <c r="B612" s="213">
        <v>17031003626</v>
      </c>
      <c r="C612" s="213">
        <v>17031000803</v>
      </c>
      <c r="D612" s="213">
        <v>17031007918</v>
      </c>
      <c r="E612" s="213" t="s">
        <v>533</v>
      </c>
      <c r="F612" s="213" t="s">
        <v>534</v>
      </c>
      <c r="G612" s="213" t="s">
        <v>365</v>
      </c>
      <c r="H612" s="213" t="s">
        <v>543</v>
      </c>
      <c r="I612" s="213"/>
      <c r="J612" s="213" t="s">
        <v>535</v>
      </c>
      <c r="K612" s="213"/>
      <c r="L612" s="213"/>
      <c r="M612" s="213"/>
      <c r="N612" s="213"/>
      <c r="O612" s="213"/>
      <c r="P612" s="213"/>
      <c r="Q612" s="213"/>
      <c r="R612" s="213"/>
      <c r="S612" s="213" t="s">
        <v>639</v>
      </c>
      <c r="T612" s="213"/>
      <c r="U612" s="213" t="s">
        <v>538</v>
      </c>
      <c r="V612" s="213">
        <v>2</v>
      </c>
      <c r="W612" s="213" t="s">
        <v>560</v>
      </c>
      <c r="X612" s="213" t="s">
        <v>541</v>
      </c>
      <c r="Y612" s="213" t="s">
        <v>541</v>
      </c>
      <c r="Z612" s="212">
        <v>3700</v>
      </c>
      <c r="AA612" s="212">
        <v>323840</v>
      </c>
      <c r="AB612" s="217">
        <v>0.101657</v>
      </c>
      <c r="AC612" s="217">
        <v>0.163601</v>
      </c>
      <c r="AD612" s="212">
        <f t="shared" si="9"/>
        <v>32920.602879999999</v>
      </c>
    </row>
    <row r="613" spans="2:30" x14ac:dyDescent="0.15">
      <c r="B613" s="213">
        <v>17031003632</v>
      </c>
      <c r="C613" s="213">
        <v>17031001021</v>
      </c>
      <c r="D613" s="213">
        <v>17031001044</v>
      </c>
      <c r="E613" s="213" t="s">
        <v>533</v>
      </c>
      <c r="F613" s="213" t="s">
        <v>534</v>
      </c>
      <c r="G613" s="213" t="s">
        <v>365</v>
      </c>
      <c r="H613" s="213" t="s">
        <v>551</v>
      </c>
      <c r="I613" s="213"/>
      <c r="J613" s="213"/>
      <c r="K613" s="213"/>
      <c r="L613" s="213"/>
      <c r="M613" s="213"/>
      <c r="N613" s="213"/>
      <c r="O613" s="213"/>
      <c r="P613" s="213"/>
      <c r="Q613" s="213"/>
      <c r="R613" s="213"/>
      <c r="S613" s="213" t="s">
        <v>600</v>
      </c>
      <c r="T613" s="213" t="s">
        <v>699</v>
      </c>
      <c r="U613" s="213" t="s">
        <v>538</v>
      </c>
      <c r="V613" s="213">
        <v>2</v>
      </c>
      <c r="W613" s="213" t="s">
        <v>582</v>
      </c>
      <c r="X613" s="213" t="s">
        <v>554</v>
      </c>
      <c r="Y613" s="213" t="s">
        <v>575</v>
      </c>
      <c r="Z613" s="212">
        <v>422030</v>
      </c>
      <c r="AA613" s="212">
        <v>9732094</v>
      </c>
      <c r="AB613" s="217">
        <v>0.49623</v>
      </c>
      <c r="AC613" s="217">
        <v>0.79860699999999996</v>
      </c>
      <c r="AD613" s="212">
        <f t="shared" si="9"/>
        <v>4829357.00562</v>
      </c>
    </row>
    <row r="614" spans="2:30" x14ac:dyDescent="0.15">
      <c r="B614" s="213">
        <v>17031003635</v>
      </c>
      <c r="C614" s="213">
        <v>17031000800</v>
      </c>
      <c r="D614" s="213">
        <v>17031000799</v>
      </c>
      <c r="E614" s="213" t="s">
        <v>533</v>
      </c>
      <c r="F614" s="213" t="s">
        <v>534</v>
      </c>
      <c r="G614" s="213" t="s">
        <v>365</v>
      </c>
      <c r="H614" s="213" t="s">
        <v>543</v>
      </c>
      <c r="I614" s="213"/>
      <c r="J614" s="213" t="s">
        <v>382</v>
      </c>
      <c r="K614" s="213"/>
      <c r="L614" s="213"/>
      <c r="M614" s="213"/>
      <c r="N614" s="213"/>
      <c r="O614" s="213"/>
      <c r="P614" s="213"/>
      <c r="Q614" s="213"/>
      <c r="R614" s="213"/>
      <c r="S614" s="213" t="s">
        <v>639</v>
      </c>
      <c r="T614" s="213"/>
      <c r="U614" s="213" t="s">
        <v>538</v>
      </c>
      <c r="V614" s="213">
        <v>2</v>
      </c>
      <c r="W614" s="213" t="s">
        <v>560</v>
      </c>
      <c r="X614" s="213" t="s">
        <v>541</v>
      </c>
      <c r="Y614" s="213" t="s">
        <v>549</v>
      </c>
      <c r="Z614" s="212">
        <v>2548647</v>
      </c>
      <c r="AA614" s="212">
        <v>66220527</v>
      </c>
      <c r="AB614" s="217">
        <v>0.20157</v>
      </c>
      <c r="AC614" s="217">
        <v>0.32439600000000002</v>
      </c>
      <c r="AD614" s="212">
        <f t="shared" si="9"/>
        <v>13348071.627389999</v>
      </c>
    </row>
    <row r="615" spans="2:30" x14ac:dyDescent="0.15">
      <c r="B615" s="213">
        <v>17031003636</v>
      </c>
      <c r="C615" s="213">
        <v>17031001068</v>
      </c>
      <c r="D615" s="213">
        <v>17031001078</v>
      </c>
      <c r="E615" s="213" t="s">
        <v>533</v>
      </c>
      <c r="F615" s="213" t="s">
        <v>534</v>
      </c>
      <c r="G615" s="213" t="s">
        <v>365</v>
      </c>
      <c r="H615" s="213" t="s">
        <v>547</v>
      </c>
      <c r="I615" s="213"/>
      <c r="J615" s="213" t="s">
        <v>577</v>
      </c>
      <c r="K615" s="213"/>
      <c r="L615" s="213"/>
      <c r="M615" s="213"/>
      <c r="N615" s="213"/>
      <c r="O615" s="213"/>
      <c r="P615" s="213"/>
      <c r="Q615" s="213"/>
      <c r="R615" s="213"/>
      <c r="S615" s="213" t="s">
        <v>581</v>
      </c>
      <c r="T615" s="213"/>
      <c r="U615" s="213" t="s">
        <v>538</v>
      </c>
      <c r="V615" s="213">
        <v>2</v>
      </c>
      <c r="W615" s="213" t="s">
        <v>582</v>
      </c>
      <c r="X615" s="213" t="s">
        <v>540</v>
      </c>
      <c r="Y615" s="213" t="s">
        <v>541</v>
      </c>
      <c r="Z615" s="212">
        <v>0</v>
      </c>
      <c r="AA615" s="212">
        <v>0</v>
      </c>
      <c r="AB615" s="217">
        <v>0.33006600000000003</v>
      </c>
      <c r="AC615" s="217">
        <v>0.53119099999999997</v>
      </c>
      <c r="AD615" s="212">
        <f t="shared" si="9"/>
        <v>0</v>
      </c>
    </row>
    <row r="616" spans="2:30" x14ac:dyDescent="0.15">
      <c r="B616" s="213">
        <v>17031003638</v>
      </c>
      <c r="C616" s="213">
        <v>17031001030</v>
      </c>
      <c r="D616" s="213">
        <v>17031000920</v>
      </c>
      <c r="E616" s="213" t="s">
        <v>533</v>
      </c>
      <c r="F616" s="213" t="s">
        <v>534</v>
      </c>
      <c r="G616" s="213" t="s">
        <v>365</v>
      </c>
      <c r="H616" s="213" t="s">
        <v>547</v>
      </c>
      <c r="I616" s="213"/>
      <c r="J616" s="213" t="s">
        <v>577</v>
      </c>
      <c r="K616" s="213"/>
      <c r="L616" s="213"/>
      <c r="M616" s="213"/>
      <c r="N616" s="213"/>
      <c r="O616" s="213"/>
      <c r="P616" s="213"/>
      <c r="Q616" s="213"/>
      <c r="R616" s="213"/>
      <c r="S616" s="213" t="s">
        <v>581</v>
      </c>
      <c r="T616" s="213"/>
      <c r="U616" s="213" t="s">
        <v>538</v>
      </c>
      <c r="V616" s="213">
        <v>2</v>
      </c>
      <c r="W616" s="213" t="s">
        <v>582</v>
      </c>
      <c r="X616" s="213" t="s">
        <v>540</v>
      </c>
      <c r="Y616" s="213" t="s">
        <v>541</v>
      </c>
      <c r="Z616" s="212">
        <v>0</v>
      </c>
      <c r="AA616" s="212">
        <v>0</v>
      </c>
      <c r="AB616" s="217">
        <v>2.9531239999999999</v>
      </c>
      <c r="AC616" s="217">
        <v>4.7526029999999997</v>
      </c>
      <c r="AD616" s="212">
        <f t="shared" si="9"/>
        <v>0</v>
      </c>
    </row>
    <row r="617" spans="2:30" x14ac:dyDescent="0.15">
      <c r="B617" s="213">
        <v>17031003640</v>
      </c>
      <c r="C617" s="213">
        <v>17031000717</v>
      </c>
      <c r="D617" s="213">
        <v>17031004673</v>
      </c>
      <c r="E617" s="213" t="s">
        <v>533</v>
      </c>
      <c r="F617" s="213" t="s">
        <v>534</v>
      </c>
      <c r="G617" s="213" t="s">
        <v>365</v>
      </c>
      <c r="H617" s="213" t="s">
        <v>571</v>
      </c>
      <c r="I617" s="213"/>
      <c r="J617" s="213" t="s">
        <v>381</v>
      </c>
      <c r="K617" s="213" t="s">
        <v>535</v>
      </c>
      <c r="L617" s="213" t="s">
        <v>543</v>
      </c>
      <c r="M617" s="213"/>
      <c r="N617" s="213"/>
      <c r="O617" s="213"/>
      <c r="P617" s="213"/>
      <c r="Q617" s="213"/>
      <c r="R617" s="213"/>
      <c r="S617" s="213"/>
      <c r="T617" s="213"/>
      <c r="U617" s="213" t="s">
        <v>538</v>
      </c>
      <c r="V617" s="213">
        <v>1</v>
      </c>
      <c r="W617" s="213" t="s">
        <v>545</v>
      </c>
      <c r="X617" s="213" t="s">
        <v>541</v>
      </c>
      <c r="Y617" s="213" t="s">
        <v>540</v>
      </c>
      <c r="Z617" s="212">
        <v>23196</v>
      </c>
      <c r="AA617" s="212">
        <v>1367968</v>
      </c>
      <c r="AB617" s="217">
        <v>0.50626099999999996</v>
      </c>
      <c r="AC617" s="217">
        <v>0.81474999999999997</v>
      </c>
      <c r="AD617" s="212">
        <f t="shared" si="9"/>
        <v>692548.847648</v>
      </c>
    </row>
    <row r="618" spans="2:30" x14ac:dyDescent="0.15">
      <c r="B618" s="213">
        <v>17031003644</v>
      </c>
      <c r="C618" s="213">
        <v>17031000704</v>
      </c>
      <c r="D618" s="213">
        <v>17031004762</v>
      </c>
      <c r="E618" s="213" t="s">
        <v>533</v>
      </c>
      <c r="F618" s="213" t="s">
        <v>534</v>
      </c>
      <c r="G618" s="213" t="s">
        <v>365</v>
      </c>
      <c r="H618" s="213" t="s">
        <v>382</v>
      </c>
      <c r="I618" s="213"/>
      <c r="J618" s="213"/>
      <c r="K618" s="213"/>
      <c r="L618" s="213"/>
      <c r="M618" s="213"/>
      <c r="N618" s="213"/>
      <c r="O618" s="213"/>
      <c r="P618" s="213"/>
      <c r="Q618" s="213"/>
      <c r="R618" s="213"/>
      <c r="S618" s="213"/>
      <c r="T618" s="213"/>
      <c r="U618" s="213" t="s">
        <v>559</v>
      </c>
      <c r="V618" s="213">
        <v>1</v>
      </c>
      <c r="W618" s="213" t="s">
        <v>560</v>
      </c>
      <c r="X618" s="213" t="s">
        <v>541</v>
      </c>
      <c r="Y618" s="213" t="s">
        <v>541</v>
      </c>
      <c r="Z618" s="212">
        <v>600</v>
      </c>
      <c r="AA618" s="212">
        <v>33400</v>
      </c>
      <c r="AB618" s="217">
        <v>0.26228200000000002</v>
      </c>
      <c r="AC618" s="217">
        <v>0.42210300000000001</v>
      </c>
      <c r="AD618" s="212">
        <f t="shared" si="9"/>
        <v>8760.2188000000006</v>
      </c>
    </row>
    <row r="619" spans="2:30" x14ac:dyDescent="0.15">
      <c r="B619" s="213">
        <v>17031003660</v>
      </c>
      <c r="C619" s="213">
        <v>17031001079</v>
      </c>
      <c r="D619" s="213">
        <v>17031001070</v>
      </c>
      <c r="E619" s="213" t="s">
        <v>533</v>
      </c>
      <c r="F619" s="213" t="s">
        <v>534</v>
      </c>
      <c r="G619" s="213" t="s">
        <v>365</v>
      </c>
      <c r="H619" s="213" t="s">
        <v>547</v>
      </c>
      <c r="I619" s="213"/>
      <c r="J619" s="213"/>
      <c r="K619" s="213"/>
      <c r="L619" s="213"/>
      <c r="M619" s="213"/>
      <c r="N619" s="213"/>
      <c r="O619" s="213"/>
      <c r="P619" s="213"/>
      <c r="Q619" s="213"/>
      <c r="R619" s="213"/>
      <c r="S619" s="213" t="s">
        <v>611</v>
      </c>
      <c r="T619" s="213"/>
      <c r="U619" s="213" t="s">
        <v>538</v>
      </c>
      <c r="V619" s="213">
        <v>2</v>
      </c>
      <c r="W619" s="213" t="s">
        <v>582</v>
      </c>
      <c r="X619" s="213" t="s">
        <v>540</v>
      </c>
      <c r="Y619" s="213" t="s">
        <v>541</v>
      </c>
      <c r="Z619" s="212">
        <v>0</v>
      </c>
      <c r="AA619" s="212">
        <v>0</v>
      </c>
      <c r="AB619" s="217">
        <v>0.59193399999999996</v>
      </c>
      <c r="AC619" s="217">
        <v>0.95262800000000003</v>
      </c>
      <c r="AD619" s="212">
        <f t="shared" si="9"/>
        <v>0</v>
      </c>
    </row>
    <row r="620" spans="2:30" x14ac:dyDescent="0.15">
      <c r="B620" s="213">
        <v>17031003661</v>
      </c>
      <c r="C620" s="213">
        <v>17031001044</v>
      </c>
      <c r="D620" s="213">
        <v>17031001053</v>
      </c>
      <c r="E620" s="213" t="s">
        <v>533</v>
      </c>
      <c r="F620" s="213" t="s">
        <v>534</v>
      </c>
      <c r="G620" s="213" t="s">
        <v>365</v>
      </c>
      <c r="H620" s="213" t="s">
        <v>551</v>
      </c>
      <c r="I620" s="213"/>
      <c r="J620" s="213"/>
      <c r="K620" s="213"/>
      <c r="L620" s="213"/>
      <c r="M620" s="213"/>
      <c r="N620" s="213"/>
      <c r="O620" s="213"/>
      <c r="P620" s="213"/>
      <c r="Q620" s="213"/>
      <c r="R620" s="213"/>
      <c r="S620" s="213" t="s">
        <v>600</v>
      </c>
      <c r="T620" s="213"/>
      <c r="U620" s="213" t="s">
        <v>538</v>
      </c>
      <c r="V620" s="213">
        <v>2</v>
      </c>
      <c r="W620" s="213" t="s">
        <v>582</v>
      </c>
      <c r="X620" s="213" t="s">
        <v>554</v>
      </c>
      <c r="Y620" s="213" t="s">
        <v>575</v>
      </c>
      <c r="Z620" s="212">
        <v>422030</v>
      </c>
      <c r="AA620" s="212">
        <v>9732094</v>
      </c>
      <c r="AB620" s="217">
        <v>0.200456</v>
      </c>
      <c r="AC620" s="217">
        <v>0.32260299999999997</v>
      </c>
      <c r="AD620" s="212">
        <f t="shared" si="9"/>
        <v>1950856.6348639999</v>
      </c>
    </row>
    <row r="621" spans="2:30" x14ac:dyDescent="0.15">
      <c r="B621" s="213">
        <v>17031003664</v>
      </c>
      <c r="C621" s="213">
        <v>17031007053</v>
      </c>
      <c r="D621" s="213">
        <v>17031001270</v>
      </c>
      <c r="E621" s="213" t="s">
        <v>533</v>
      </c>
      <c r="F621" s="213" t="s">
        <v>534</v>
      </c>
      <c r="G621" s="213" t="s">
        <v>365</v>
      </c>
      <c r="H621" s="213" t="s">
        <v>547</v>
      </c>
      <c r="I621" s="213"/>
      <c r="J621" s="213"/>
      <c r="K621" s="213"/>
      <c r="L621" s="213"/>
      <c r="M621" s="213"/>
      <c r="N621" s="213"/>
      <c r="O621" s="213"/>
      <c r="P621" s="213"/>
      <c r="Q621" s="213"/>
      <c r="R621" s="213"/>
      <c r="S621" s="213" t="s">
        <v>611</v>
      </c>
      <c r="T621" s="213"/>
      <c r="U621" s="213" t="s">
        <v>538</v>
      </c>
      <c r="V621" s="213">
        <v>2</v>
      </c>
      <c r="W621" s="213" t="s">
        <v>582</v>
      </c>
      <c r="X621" s="213" t="s">
        <v>540</v>
      </c>
      <c r="Y621" s="213" t="s">
        <v>541</v>
      </c>
      <c r="Z621" s="212">
        <v>0</v>
      </c>
      <c r="AA621" s="212">
        <v>0</v>
      </c>
      <c r="AB621" s="217">
        <v>0.50539800000000001</v>
      </c>
      <c r="AC621" s="217">
        <v>0.81336200000000003</v>
      </c>
      <c r="AD621" s="212">
        <f t="shared" si="9"/>
        <v>0</v>
      </c>
    </row>
    <row r="622" spans="2:30" x14ac:dyDescent="0.15">
      <c r="B622" s="213">
        <v>17031003665</v>
      </c>
      <c r="C622" s="213">
        <v>17031004701</v>
      </c>
      <c r="D622" s="213">
        <v>17031004700</v>
      </c>
      <c r="E622" s="213" t="s">
        <v>533</v>
      </c>
      <c r="F622" s="213" t="s">
        <v>534</v>
      </c>
      <c r="G622" s="213" t="s">
        <v>365</v>
      </c>
      <c r="H622" s="213" t="s">
        <v>547</v>
      </c>
      <c r="I622" s="213"/>
      <c r="J622" s="213"/>
      <c r="K622" s="213"/>
      <c r="L622" s="213"/>
      <c r="M622" s="213"/>
      <c r="N622" s="213"/>
      <c r="O622" s="213"/>
      <c r="P622" s="213"/>
      <c r="Q622" s="213"/>
      <c r="R622" s="213"/>
      <c r="S622" s="213" t="s">
        <v>611</v>
      </c>
      <c r="T622" s="213"/>
      <c r="U622" s="213" t="s">
        <v>538</v>
      </c>
      <c r="V622" s="213">
        <v>2</v>
      </c>
      <c r="W622" s="213" t="s">
        <v>582</v>
      </c>
      <c r="X622" s="213" t="s">
        <v>540</v>
      </c>
      <c r="Y622" s="213" t="s">
        <v>541</v>
      </c>
      <c r="Z622" s="212">
        <v>0</v>
      </c>
      <c r="AA622" s="212">
        <v>0</v>
      </c>
      <c r="AB622" s="217">
        <v>0.58144799999999996</v>
      </c>
      <c r="AC622" s="217">
        <v>0.93575200000000003</v>
      </c>
      <c r="AD622" s="212">
        <f t="shared" si="9"/>
        <v>0</v>
      </c>
    </row>
    <row r="623" spans="2:30" x14ac:dyDescent="0.15">
      <c r="B623" s="213">
        <v>17031003667</v>
      </c>
      <c r="C623" s="213">
        <v>17031001243</v>
      </c>
      <c r="D623" s="213">
        <v>17031001158</v>
      </c>
      <c r="E623" s="213" t="s">
        <v>533</v>
      </c>
      <c r="F623" s="213" t="s">
        <v>534</v>
      </c>
      <c r="G623" s="213" t="s">
        <v>365</v>
      </c>
      <c r="H623" s="213" t="s">
        <v>547</v>
      </c>
      <c r="I623" s="213"/>
      <c r="J623" s="213" t="s">
        <v>577</v>
      </c>
      <c r="K623" s="213"/>
      <c r="L623" s="213"/>
      <c r="M623" s="213"/>
      <c r="N623" s="213"/>
      <c r="O623" s="213"/>
      <c r="P623" s="213"/>
      <c r="Q623" s="213"/>
      <c r="R623" s="213"/>
      <c r="S623" s="213" t="s">
        <v>581</v>
      </c>
      <c r="T623" s="213"/>
      <c r="U623" s="213" t="s">
        <v>538</v>
      </c>
      <c r="V623" s="213">
        <v>2</v>
      </c>
      <c r="W623" s="213" t="s">
        <v>582</v>
      </c>
      <c r="X623" s="213" t="s">
        <v>540</v>
      </c>
      <c r="Y623" s="213" t="s">
        <v>541</v>
      </c>
      <c r="Z623" s="212">
        <v>0</v>
      </c>
      <c r="AA623" s="212">
        <v>0</v>
      </c>
      <c r="AB623" s="217">
        <v>2.3173319999999999</v>
      </c>
      <c r="AC623" s="217">
        <v>3.7293910000000001</v>
      </c>
      <c r="AD623" s="212">
        <f t="shared" si="9"/>
        <v>0</v>
      </c>
    </row>
    <row r="624" spans="2:30" x14ac:dyDescent="0.15">
      <c r="B624" s="213">
        <v>17031003679</v>
      </c>
      <c r="C624" s="213">
        <v>17031001340</v>
      </c>
      <c r="D624" s="213">
        <v>17031001325</v>
      </c>
      <c r="E624" s="213" t="s">
        <v>533</v>
      </c>
      <c r="F624" s="213" t="s">
        <v>534</v>
      </c>
      <c r="G624" s="213" t="s">
        <v>365</v>
      </c>
      <c r="H624" s="213" t="s">
        <v>551</v>
      </c>
      <c r="I624" s="213"/>
      <c r="J624" s="213" t="s">
        <v>381</v>
      </c>
      <c r="K624" s="213" t="s">
        <v>535</v>
      </c>
      <c r="L624" s="213" t="s">
        <v>552</v>
      </c>
      <c r="M624" s="213"/>
      <c r="N624" s="213"/>
      <c r="O624" s="213"/>
      <c r="P624" s="213"/>
      <c r="Q624" s="213"/>
      <c r="R624" s="213"/>
      <c r="S624" s="213" t="s">
        <v>628</v>
      </c>
      <c r="T624" s="213"/>
      <c r="U624" s="213" t="s">
        <v>538</v>
      </c>
      <c r="V624" s="213">
        <v>1</v>
      </c>
      <c r="W624" s="213" t="s">
        <v>545</v>
      </c>
      <c r="X624" s="213" t="s">
        <v>541</v>
      </c>
      <c r="Y624" s="213" t="s">
        <v>541</v>
      </c>
      <c r="Z624" s="212">
        <v>4226</v>
      </c>
      <c r="AA624" s="212">
        <v>417667</v>
      </c>
      <c r="AB624" s="217">
        <v>0.18278</v>
      </c>
      <c r="AC624" s="217">
        <v>0.294157</v>
      </c>
      <c r="AD624" s="212">
        <f t="shared" si="9"/>
        <v>76341.17426</v>
      </c>
    </row>
    <row r="625" spans="2:30" x14ac:dyDescent="0.15">
      <c r="B625" s="213">
        <v>17031003680</v>
      </c>
      <c r="C625" s="213">
        <v>17031001340</v>
      </c>
      <c r="D625" s="213">
        <v>17031001357</v>
      </c>
      <c r="E625" s="213" t="s">
        <v>533</v>
      </c>
      <c r="F625" s="213" t="s">
        <v>534</v>
      </c>
      <c r="G625" s="213" t="s">
        <v>365</v>
      </c>
      <c r="H625" s="213" t="s">
        <v>551</v>
      </c>
      <c r="I625" s="213" t="s">
        <v>535</v>
      </c>
      <c r="J625" s="213" t="s">
        <v>381</v>
      </c>
      <c r="K625" s="213" t="s">
        <v>552</v>
      </c>
      <c r="L625" s="213"/>
      <c r="M625" s="213"/>
      <c r="N625" s="213"/>
      <c r="O625" s="213"/>
      <c r="P625" s="213"/>
      <c r="Q625" s="213"/>
      <c r="R625" s="213"/>
      <c r="S625" s="213" t="s">
        <v>628</v>
      </c>
      <c r="T625" s="213"/>
      <c r="U625" s="213" t="s">
        <v>538</v>
      </c>
      <c r="V625" s="213">
        <v>1</v>
      </c>
      <c r="W625" s="213" t="s">
        <v>545</v>
      </c>
      <c r="X625" s="213" t="s">
        <v>541</v>
      </c>
      <c r="Y625" s="213" t="s">
        <v>541</v>
      </c>
      <c r="Z625" s="212">
        <v>4826</v>
      </c>
      <c r="AA625" s="212">
        <v>477747</v>
      </c>
      <c r="AB625" s="217">
        <v>0.34460099999999999</v>
      </c>
      <c r="AC625" s="217">
        <v>0.55458300000000005</v>
      </c>
      <c r="AD625" s="212">
        <f t="shared" si="9"/>
        <v>164632.09394699999</v>
      </c>
    </row>
    <row r="626" spans="2:30" x14ac:dyDescent="0.15">
      <c r="B626" s="213">
        <v>17031003681</v>
      </c>
      <c r="C626" s="213">
        <v>17031001300</v>
      </c>
      <c r="D626" s="213">
        <v>17031001302</v>
      </c>
      <c r="E626" s="213" t="s">
        <v>533</v>
      </c>
      <c r="F626" s="213" t="s">
        <v>534</v>
      </c>
      <c r="G626" s="213" t="s">
        <v>365</v>
      </c>
      <c r="H626" s="213" t="s">
        <v>551</v>
      </c>
      <c r="I626" s="213"/>
      <c r="J626" s="213" t="s">
        <v>381</v>
      </c>
      <c r="K626" s="213" t="s">
        <v>535</v>
      </c>
      <c r="L626" s="213" t="s">
        <v>552</v>
      </c>
      <c r="M626" s="213"/>
      <c r="N626" s="213"/>
      <c r="O626" s="213"/>
      <c r="P626" s="213"/>
      <c r="Q626" s="213"/>
      <c r="R626" s="213"/>
      <c r="S626" s="213" t="s">
        <v>603</v>
      </c>
      <c r="T626" s="213" t="s">
        <v>603</v>
      </c>
      <c r="U626" s="213" t="s">
        <v>538</v>
      </c>
      <c r="V626" s="213">
        <v>3</v>
      </c>
      <c r="W626" s="213" t="s">
        <v>545</v>
      </c>
      <c r="X626" s="213" t="s">
        <v>540</v>
      </c>
      <c r="Y626" s="213" t="s">
        <v>575</v>
      </c>
      <c r="Z626" s="212">
        <v>1306520</v>
      </c>
      <c r="AA626" s="212">
        <v>66665285</v>
      </c>
      <c r="AB626" s="217">
        <v>0.45213199999999998</v>
      </c>
      <c r="AC626" s="217">
        <v>0.72763800000000001</v>
      </c>
      <c r="AD626" s="212">
        <f t="shared" si="9"/>
        <v>30141508.637619998</v>
      </c>
    </row>
    <row r="627" spans="2:30" x14ac:dyDescent="0.15">
      <c r="B627" s="213">
        <v>17031003686</v>
      </c>
      <c r="C627" s="213">
        <v>17031001016</v>
      </c>
      <c r="D627" s="213">
        <v>17031001017</v>
      </c>
      <c r="E627" s="213" t="s">
        <v>533</v>
      </c>
      <c r="F627" s="213" t="s">
        <v>534</v>
      </c>
      <c r="G627" s="213" t="s">
        <v>365</v>
      </c>
      <c r="H627" s="213" t="s">
        <v>571</v>
      </c>
      <c r="I627" s="213"/>
      <c r="J627" s="213" t="s">
        <v>552</v>
      </c>
      <c r="K627" s="213" t="s">
        <v>572</v>
      </c>
      <c r="L627" s="213" t="s">
        <v>555</v>
      </c>
      <c r="M627" s="213" t="s">
        <v>547</v>
      </c>
      <c r="N627" s="213" t="s">
        <v>543</v>
      </c>
      <c r="O627" s="213" t="s">
        <v>382</v>
      </c>
      <c r="P627" s="213"/>
      <c r="Q627" s="213"/>
      <c r="R627" s="213"/>
      <c r="S627" s="213" t="s">
        <v>573</v>
      </c>
      <c r="T627" s="213"/>
      <c r="U627" s="213" t="s">
        <v>538</v>
      </c>
      <c r="V627" s="213">
        <v>2</v>
      </c>
      <c r="W627" s="213" t="s">
        <v>545</v>
      </c>
      <c r="X627" s="213" t="s">
        <v>554</v>
      </c>
      <c r="Y627" s="213" t="s">
        <v>575</v>
      </c>
      <c r="Z627" s="212">
        <v>383371</v>
      </c>
      <c r="AA627" s="212">
        <v>19455664</v>
      </c>
      <c r="AB627" s="217">
        <v>0.13039100000000001</v>
      </c>
      <c r="AC627" s="217">
        <v>0.209844</v>
      </c>
      <c r="AD627" s="212">
        <f t="shared" si="9"/>
        <v>2536843.4846240003</v>
      </c>
    </row>
    <row r="628" spans="2:30" x14ac:dyDescent="0.15">
      <c r="B628" s="213">
        <v>17031003688</v>
      </c>
      <c r="C628" s="213">
        <v>17031000289</v>
      </c>
      <c r="D628" s="213">
        <v>17031004580</v>
      </c>
      <c r="E628" s="213" t="s">
        <v>533</v>
      </c>
      <c r="F628" s="213" t="s">
        <v>534</v>
      </c>
      <c r="G628" s="213" t="s">
        <v>365</v>
      </c>
      <c r="H628" s="213" t="s">
        <v>382</v>
      </c>
      <c r="I628" s="213"/>
      <c r="J628" s="213" t="s">
        <v>547</v>
      </c>
      <c r="K628" s="213"/>
      <c r="L628" s="213"/>
      <c r="M628" s="213"/>
      <c r="N628" s="213"/>
      <c r="O628" s="213"/>
      <c r="P628" s="213"/>
      <c r="Q628" s="213"/>
      <c r="R628" s="213"/>
      <c r="S628" s="213" t="s">
        <v>565</v>
      </c>
      <c r="T628" s="213"/>
      <c r="U628" s="213" t="s">
        <v>538</v>
      </c>
      <c r="V628" s="213">
        <v>2</v>
      </c>
      <c r="W628" s="213" t="s">
        <v>566</v>
      </c>
      <c r="X628" s="213" t="s">
        <v>549</v>
      </c>
      <c r="Y628" s="213" t="s">
        <v>541</v>
      </c>
      <c r="Z628" s="212">
        <v>0</v>
      </c>
      <c r="AA628" s="212">
        <v>0</v>
      </c>
      <c r="AB628" s="217">
        <v>0.53701100000000002</v>
      </c>
      <c r="AC628" s="217">
        <v>0.86423700000000003</v>
      </c>
      <c r="AD628" s="212">
        <f t="shared" si="9"/>
        <v>0</v>
      </c>
    </row>
    <row r="629" spans="2:30" x14ac:dyDescent="0.15">
      <c r="B629" s="213">
        <v>17031003690</v>
      </c>
      <c r="C629" s="213">
        <v>17031004582</v>
      </c>
      <c r="D629" s="213">
        <v>17031004581</v>
      </c>
      <c r="E629" s="213" t="s">
        <v>533</v>
      </c>
      <c r="F629" s="213" t="s">
        <v>534</v>
      </c>
      <c r="G629" s="213" t="s">
        <v>365</v>
      </c>
      <c r="H629" s="213" t="s">
        <v>382</v>
      </c>
      <c r="I629" s="213"/>
      <c r="J629" s="213" t="s">
        <v>547</v>
      </c>
      <c r="K629" s="213"/>
      <c r="L629" s="213"/>
      <c r="M629" s="213"/>
      <c r="N629" s="213"/>
      <c r="O629" s="213"/>
      <c r="P629" s="213"/>
      <c r="Q629" s="213"/>
      <c r="R629" s="213"/>
      <c r="S629" s="213" t="s">
        <v>565</v>
      </c>
      <c r="T629" s="213"/>
      <c r="U629" s="213" t="s">
        <v>538</v>
      </c>
      <c r="V629" s="213">
        <v>2</v>
      </c>
      <c r="W629" s="213" t="s">
        <v>566</v>
      </c>
      <c r="X629" s="213" t="s">
        <v>549</v>
      </c>
      <c r="Y629" s="213" t="s">
        <v>541</v>
      </c>
      <c r="Z629" s="212">
        <v>0</v>
      </c>
      <c r="AA629" s="212">
        <v>0</v>
      </c>
      <c r="AB629" s="217">
        <v>1.0200370000000001</v>
      </c>
      <c r="AC629" s="217">
        <v>1.641594</v>
      </c>
      <c r="AD629" s="212">
        <f t="shared" si="9"/>
        <v>0</v>
      </c>
    </row>
    <row r="630" spans="2:30" x14ac:dyDescent="0.15">
      <c r="B630" s="213">
        <v>17031003692</v>
      </c>
      <c r="C630" s="213">
        <v>17031004584</v>
      </c>
      <c r="D630" s="213">
        <v>17031000372</v>
      </c>
      <c r="E630" s="213" t="s">
        <v>533</v>
      </c>
      <c r="F630" s="213" t="s">
        <v>534</v>
      </c>
      <c r="G630" s="213" t="s">
        <v>365</v>
      </c>
      <c r="H630" s="213" t="s">
        <v>382</v>
      </c>
      <c r="I630" s="213"/>
      <c r="J630" s="213" t="s">
        <v>547</v>
      </c>
      <c r="K630" s="213"/>
      <c r="L630" s="213"/>
      <c r="M630" s="213"/>
      <c r="N630" s="213"/>
      <c r="O630" s="213"/>
      <c r="P630" s="213"/>
      <c r="Q630" s="213"/>
      <c r="R630" s="213"/>
      <c r="S630" s="213" t="s">
        <v>565</v>
      </c>
      <c r="T630" s="213"/>
      <c r="U630" s="213" t="s">
        <v>538</v>
      </c>
      <c r="V630" s="213">
        <v>2</v>
      </c>
      <c r="W630" s="213" t="s">
        <v>566</v>
      </c>
      <c r="X630" s="213" t="s">
        <v>549</v>
      </c>
      <c r="Y630" s="213" t="s">
        <v>541</v>
      </c>
      <c r="Z630" s="212">
        <v>0</v>
      </c>
      <c r="AA630" s="212">
        <v>0</v>
      </c>
      <c r="AB630" s="217">
        <v>0.37741000000000002</v>
      </c>
      <c r="AC630" s="217">
        <v>0.60738300000000001</v>
      </c>
      <c r="AD630" s="212">
        <f t="shared" si="9"/>
        <v>0</v>
      </c>
    </row>
    <row r="631" spans="2:30" x14ac:dyDescent="0.15">
      <c r="B631" s="213">
        <v>17031003693</v>
      </c>
      <c r="C631" s="213">
        <v>17031000463</v>
      </c>
      <c r="D631" s="213">
        <v>17031000432</v>
      </c>
      <c r="E631" s="213" t="s">
        <v>533</v>
      </c>
      <c r="F631" s="213" t="s">
        <v>534</v>
      </c>
      <c r="G631" s="213" t="s">
        <v>365</v>
      </c>
      <c r="H631" s="213" t="s">
        <v>382</v>
      </c>
      <c r="I631" s="213"/>
      <c r="J631" s="213" t="s">
        <v>547</v>
      </c>
      <c r="K631" s="213"/>
      <c r="L631" s="213"/>
      <c r="M631" s="213"/>
      <c r="N631" s="213"/>
      <c r="O631" s="213"/>
      <c r="P631" s="213"/>
      <c r="Q631" s="213"/>
      <c r="R631" s="213"/>
      <c r="S631" s="213" t="s">
        <v>565</v>
      </c>
      <c r="T631" s="213"/>
      <c r="U631" s="213" t="s">
        <v>538</v>
      </c>
      <c r="V631" s="213">
        <v>2</v>
      </c>
      <c r="W631" s="213" t="s">
        <v>566</v>
      </c>
      <c r="X631" s="213" t="s">
        <v>540</v>
      </c>
      <c r="Y631" s="213" t="s">
        <v>541</v>
      </c>
      <c r="Z631" s="212">
        <v>0</v>
      </c>
      <c r="AA631" s="212">
        <v>0</v>
      </c>
      <c r="AB631" s="217">
        <v>0.95845100000000005</v>
      </c>
      <c r="AC631" s="217">
        <v>1.542481</v>
      </c>
      <c r="AD631" s="212">
        <f t="shared" si="9"/>
        <v>0</v>
      </c>
    </row>
    <row r="632" spans="2:30" x14ac:dyDescent="0.15">
      <c r="B632" s="213">
        <v>17031003694</v>
      </c>
      <c r="C632" s="213">
        <v>17031004612</v>
      </c>
      <c r="D632" s="213">
        <v>17031000463</v>
      </c>
      <c r="E632" s="213" t="s">
        <v>533</v>
      </c>
      <c r="F632" s="213" t="s">
        <v>534</v>
      </c>
      <c r="G632" s="213" t="s">
        <v>365</v>
      </c>
      <c r="H632" s="213" t="s">
        <v>382</v>
      </c>
      <c r="I632" s="213"/>
      <c r="J632" s="213" t="s">
        <v>547</v>
      </c>
      <c r="K632" s="213"/>
      <c r="L632" s="213"/>
      <c r="M632" s="213"/>
      <c r="N632" s="213"/>
      <c r="O632" s="213"/>
      <c r="P632" s="213"/>
      <c r="Q632" s="213"/>
      <c r="R632" s="213"/>
      <c r="S632" s="213" t="s">
        <v>565</v>
      </c>
      <c r="T632" s="213"/>
      <c r="U632" s="213" t="s">
        <v>538</v>
      </c>
      <c r="V632" s="213">
        <v>2</v>
      </c>
      <c r="W632" s="213" t="s">
        <v>566</v>
      </c>
      <c r="X632" s="213" t="s">
        <v>540</v>
      </c>
      <c r="Y632" s="213" t="s">
        <v>541</v>
      </c>
      <c r="Z632" s="212">
        <v>0</v>
      </c>
      <c r="AA632" s="212">
        <v>0</v>
      </c>
      <c r="AB632" s="217">
        <v>0.37778899999999999</v>
      </c>
      <c r="AC632" s="217">
        <v>0.60799400000000003</v>
      </c>
      <c r="AD632" s="212">
        <f t="shared" si="9"/>
        <v>0</v>
      </c>
    </row>
    <row r="633" spans="2:30" x14ac:dyDescent="0.15">
      <c r="B633" s="213">
        <v>17031003814</v>
      </c>
      <c r="C633" s="213">
        <v>17031001275</v>
      </c>
      <c r="D633" s="213">
        <v>17031001287</v>
      </c>
      <c r="E633" s="213" t="s">
        <v>533</v>
      </c>
      <c r="F633" s="213" t="s">
        <v>534</v>
      </c>
      <c r="G633" s="213" t="s">
        <v>365</v>
      </c>
      <c r="H633" s="213" t="s">
        <v>543</v>
      </c>
      <c r="I633" s="213"/>
      <c r="J633" s="213" t="s">
        <v>557</v>
      </c>
      <c r="K633" s="213"/>
      <c r="L633" s="213"/>
      <c r="M633" s="213"/>
      <c r="N633" s="213"/>
      <c r="O633" s="213"/>
      <c r="P633" s="213"/>
      <c r="Q633" s="213"/>
      <c r="R633" s="213"/>
      <c r="S633" s="213" t="s">
        <v>558</v>
      </c>
      <c r="T633" s="213"/>
      <c r="U633" s="213" t="s">
        <v>559</v>
      </c>
      <c r="V633" s="213">
        <v>1</v>
      </c>
      <c r="W633" s="213" t="s">
        <v>560</v>
      </c>
      <c r="X633" s="213" t="s">
        <v>541</v>
      </c>
      <c r="Y633" s="213" t="s">
        <v>541</v>
      </c>
      <c r="Z633" s="212">
        <v>0</v>
      </c>
      <c r="AA633" s="212">
        <v>0</v>
      </c>
      <c r="AB633" s="217">
        <v>0.308226</v>
      </c>
      <c r="AC633" s="217">
        <v>0.49604300000000001</v>
      </c>
      <c r="AD633" s="212">
        <f t="shared" si="9"/>
        <v>0</v>
      </c>
    </row>
    <row r="634" spans="2:30" x14ac:dyDescent="0.15">
      <c r="B634" s="213">
        <v>17031003815</v>
      </c>
      <c r="C634" s="213">
        <v>17031001381</v>
      </c>
      <c r="D634" s="213">
        <v>17031001349</v>
      </c>
      <c r="E634" s="213" t="s">
        <v>533</v>
      </c>
      <c r="F634" s="213" t="s">
        <v>534</v>
      </c>
      <c r="G634" s="213" t="s">
        <v>365</v>
      </c>
      <c r="H634" s="213" t="s">
        <v>543</v>
      </c>
      <c r="I634" s="213"/>
      <c r="J634" s="213" t="s">
        <v>557</v>
      </c>
      <c r="K634" s="213"/>
      <c r="L634" s="213"/>
      <c r="M634" s="213"/>
      <c r="N634" s="213"/>
      <c r="O634" s="213"/>
      <c r="P634" s="213"/>
      <c r="Q634" s="213"/>
      <c r="R634" s="213"/>
      <c r="S634" s="213" t="s">
        <v>558</v>
      </c>
      <c r="T634" s="213"/>
      <c r="U634" s="213" t="s">
        <v>559</v>
      </c>
      <c r="V634" s="213">
        <v>1</v>
      </c>
      <c r="W634" s="213" t="s">
        <v>560</v>
      </c>
      <c r="X634" s="213" t="s">
        <v>541</v>
      </c>
      <c r="Y634" s="213" t="s">
        <v>541</v>
      </c>
      <c r="Z634" s="212">
        <v>0</v>
      </c>
      <c r="AA634" s="212">
        <v>0</v>
      </c>
      <c r="AB634" s="217">
        <v>0.77809099999999998</v>
      </c>
      <c r="AC634" s="217">
        <v>1.252219</v>
      </c>
      <c r="AD634" s="212">
        <f t="shared" si="9"/>
        <v>0</v>
      </c>
    </row>
    <row r="635" spans="2:30" x14ac:dyDescent="0.15">
      <c r="B635" s="213">
        <v>17031003816</v>
      </c>
      <c r="C635" s="213">
        <v>17031001383</v>
      </c>
      <c r="D635" s="213">
        <v>17031001351</v>
      </c>
      <c r="E635" s="213" t="s">
        <v>533</v>
      </c>
      <c r="F635" s="213" t="s">
        <v>534</v>
      </c>
      <c r="G635" s="213" t="s">
        <v>365</v>
      </c>
      <c r="H635" s="213" t="s">
        <v>543</v>
      </c>
      <c r="I635" s="213"/>
      <c r="J635" s="213"/>
      <c r="K635" s="213"/>
      <c r="L635" s="213"/>
      <c r="M635" s="213"/>
      <c r="N635" s="213"/>
      <c r="O635" s="213"/>
      <c r="P635" s="213"/>
      <c r="Q635" s="213"/>
      <c r="R635" s="213"/>
      <c r="S635" s="213" t="s">
        <v>604</v>
      </c>
      <c r="T635" s="213"/>
      <c r="U635" s="213" t="s">
        <v>538</v>
      </c>
      <c r="V635" s="213">
        <v>2</v>
      </c>
      <c r="W635" s="213" t="s">
        <v>545</v>
      </c>
      <c r="X635" s="213" t="s">
        <v>554</v>
      </c>
      <c r="Y635" s="213" t="s">
        <v>546</v>
      </c>
      <c r="Z635" s="212">
        <v>6440</v>
      </c>
      <c r="AA635" s="212">
        <v>601439</v>
      </c>
      <c r="AB635" s="217">
        <v>0.47753899999999999</v>
      </c>
      <c r="AC635" s="217">
        <v>0.76852600000000004</v>
      </c>
      <c r="AD635" s="212">
        <f t="shared" si="9"/>
        <v>287210.57862099999</v>
      </c>
    </row>
    <row r="636" spans="2:30" x14ac:dyDescent="0.15">
      <c r="B636" s="213">
        <v>17031003820</v>
      </c>
      <c r="C636" s="213">
        <v>17031001116</v>
      </c>
      <c r="D636" s="213">
        <v>17031001108</v>
      </c>
      <c r="E636" s="213" t="s">
        <v>533</v>
      </c>
      <c r="F636" s="213" t="s">
        <v>534</v>
      </c>
      <c r="G636" s="213" t="s">
        <v>365</v>
      </c>
      <c r="H636" s="213" t="s">
        <v>577</v>
      </c>
      <c r="I636" s="213"/>
      <c r="J636" s="213" t="s">
        <v>543</v>
      </c>
      <c r="K636" s="213"/>
      <c r="L636" s="213"/>
      <c r="M636" s="213"/>
      <c r="N636" s="213"/>
      <c r="O636" s="213"/>
      <c r="P636" s="213"/>
      <c r="Q636" s="213"/>
      <c r="R636" s="213"/>
      <c r="S636" s="213"/>
      <c r="T636" s="213"/>
      <c r="U636" s="213" t="s">
        <v>538</v>
      </c>
      <c r="V636" s="213">
        <v>1</v>
      </c>
      <c r="W636" s="213" t="s">
        <v>560</v>
      </c>
      <c r="X636" s="213" t="s">
        <v>541</v>
      </c>
      <c r="Y636" s="213" t="s">
        <v>541</v>
      </c>
      <c r="Z636" s="212">
        <v>0</v>
      </c>
      <c r="AA636" s="212">
        <v>0</v>
      </c>
      <c r="AB636" s="217">
        <v>0.63456199999999996</v>
      </c>
      <c r="AC636" s="217">
        <v>1.0212300000000001</v>
      </c>
      <c r="AD636" s="212">
        <f t="shared" si="9"/>
        <v>0</v>
      </c>
    </row>
    <row r="637" spans="2:30" x14ac:dyDescent="0.15">
      <c r="B637" s="213">
        <v>17031003824</v>
      </c>
      <c r="C637" s="213">
        <v>17031000809</v>
      </c>
      <c r="D637" s="213">
        <v>17031000782</v>
      </c>
      <c r="E637" s="213" t="s">
        <v>533</v>
      </c>
      <c r="F637" s="213" t="s">
        <v>534</v>
      </c>
      <c r="G637" s="213" t="s">
        <v>365</v>
      </c>
      <c r="H637" s="213" t="s">
        <v>381</v>
      </c>
      <c r="I637" s="213"/>
      <c r="J637" s="213" t="s">
        <v>382</v>
      </c>
      <c r="K637" s="213"/>
      <c r="L637" s="213"/>
      <c r="M637" s="213"/>
      <c r="N637" s="213"/>
      <c r="O637" s="213"/>
      <c r="P637" s="213"/>
      <c r="Q637" s="213"/>
      <c r="R637" s="213"/>
      <c r="S637" s="213" t="s">
        <v>647</v>
      </c>
      <c r="T637" s="213" t="s">
        <v>706</v>
      </c>
      <c r="U637" s="213" t="s">
        <v>538</v>
      </c>
      <c r="V637" s="213">
        <v>2</v>
      </c>
      <c r="W637" s="213" t="s">
        <v>545</v>
      </c>
      <c r="X637" s="213" t="s">
        <v>540</v>
      </c>
      <c r="Y637" s="213" t="s">
        <v>580</v>
      </c>
      <c r="Z637" s="212">
        <v>1640</v>
      </c>
      <c r="AA637" s="212">
        <v>150440</v>
      </c>
      <c r="AB637" s="217">
        <v>0.94211800000000001</v>
      </c>
      <c r="AC637" s="217">
        <v>1.516195</v>
      </c>
      <c r="AD637" s="212">
        <f t="shared" si="9"/>
        <v>141732.23191999999</v>
      </c>
    </row>
    <row r="638" spans="2:30" x14ac:dyDescent="0.15">
      <c r="B638" s="213">
        <v>17031003825</v>
      </c>
      <c r="C638" s="213">
        <v>17031004675</v>
      </c>
      <c r="D638" s="213">
        <v>17031000648</v>
      </c>
      <c r="E638" s="213" t="s">
        <v>533</v>
      </c>
      <c r="F638" s="213" t="s">
        <v>534</v>
      </c>
      <c r="G638" s="213" t="s">
        <v>365</v>
      </c>
      <c r="H638" s="213" t="s">
        <v>543</v>
      </c>
      <c r="I638" s="213"/>
      <c r="J638" s="213"/>
      <c r="K638" s="213"/>
      <c r="L638" s="213"/>
      <c r="M638" s="213"/>
      <c r="N638" s="213"/>
      <c r="O638" s="213"/>
      <c r="P638" s="213"/>
      <c r="Q638" s="213"/>
      <c r="R638" s="213"/>
      <c r="S638" s="213" t="s">
        <v>639</v>
      </c>
      <c r="T638" s="213"/>
      <c r="U638" s="213" t="s">
        <v>538</v>
      </c>
      <c r="V638" s="213">
        <v>2</v>
      </c>
      <c r="W638" s="213" t="s">
        <v>560</v>
      </c>
      <c r="X638" s="213" t="s">
        <v>541</v>
      </c>
      <c r="Y638" s="213" t="s">
        <v>541</v>
      </c>
      <c r="Z638" s="212">
        <v>2077130</v>
      </c>
      <c r="AA638" s="212">
        <v>42495942</v>
      </c>
      <c r="AB638" s="217">
        <v>0.25121399999999999</v>
      </c>
      <c r="AC638" s="217">
        <v>0.40429100000000001</v>
      </c>
      <c r="AD638" s="212">
        <f t="shared" si="9"/>
        <v>10675575.573588001</v>
      </c>
    </row>
    <row r="639" spans="2:30" x14ac:dyDescent="0.15">
      <c r="B639" s="213">
        <v>17031003837</v>
      </c>
      <c r="C639" s="213">
        <v>17031000793</v>
      </c>
      <c r="D639" s="213">
        <v>17031000800</v>
      </c>
      <c r="E639" s="213" t="s">
        <v>533</v>
      </c>
      <c r="F639" s="213" t="s">
        <v>534</v>
      </c>
      <c r="G639" s="213" t="s">
        <v>365</v>
      </c>
      <c r="H639" s="213" t="s">
        <v>543</v>
      </c>
      <c r="I639" s="213"/>
      <c r="J639" s="213" t="s">
        <v>382</v>
      </c>
      <c r="K639" s="213"/>
      <c r="L639" s="213"/>
      <c r="M639" s="213"/>
      <c r="N639" s="213"/>
      <c r="O639" s="213"/>
      <c r="P639" s="213"/>
      <c r="Q639" s="213"/>
      <c r="R639" s="213"/>
      <c r="S639" s="213" t="s">
        <v>639</v>
      </c>
      <c r="T639" s="213"/>
      <c r="U639" s="213" t="s">
        <v>538</v>
      </c>
      <c r="V639" s="213">
        <v>2</v>
      </c>
      <c r="W639" s="213" t="s">
        <v>560</v>
      </c>
      <c r="X639" s="213" t="s">
        <v>541</v>
      </c>
      <c r="Y639" s="213" t="s">
        <v>549</v>
      </c>
      <c r="Z639" s="212">
        <v>2548647</v>
      </c>
      <c r="AA639" s="212">
        <v>66220527</v>
      </c>
      <c r="AB639" s="217">
        <v>0.58913199999999999</v>
      </c>
      <c r="AC639" s="217">
        <v>0.94811800000000002</v>
      </c>
      <c r="AD639" s="212">
        <f t="shared" si="9"/>
        <v>39012631.512563996</v>
      </c>
    </row>
    <row r="640" spans="2:30" x14ac:dyDescent="0.15">
      <c r="B640" s="213">
        <v>17031003862</v>
      </c>
      <c r="C640" s="213">
        <v>17031001209</v>
      </c>
      <c r="D640" s="213">
        <v>17031004737</v>
      </c>
      <c r="E640" s="213" t="s">
        <v>533</v>
      </c>
      <c r="F640" s="213" t="s">
        <v>534</v>
      </c>
      <c r="G640" s="213" t="s">
        <v>365</v>
      </c>
      <c r="H640" s="213" t="s">
        <v>543</v>
      </c>
      <c r="I640" s="213"/>
      <c r="J640" s="213"/>
      <c r="K640" s="213"/>
      <c r="L640" s="213"/>
      <c r="M640" s="213"/>
      <c r="N640" s="213"/>
      <c r="O640" s="213"/>
      <c r="P640" s="213"/>
      <c r="Q640" s="213"/>
      <c r="R640" s="213"/>
      <c r="S640" s="213" t="s">
        <v>604</v>
      </c>
      <c r="T640" s="213"/>
      <c r="U640" s="213" t="s">
        <v>538</v>
      </c>
      <c r="V640" s="213">
        <v>2</v>
      </c>
      <c r="W640" s="213" t="s">
        <v>545</v>
      </c>
      <c r="X640" s="213" t="s">
        <v>554</v>
      </c>
      <c r="Y640" s="213" t="s">
        <v>546</v>
      </c>
      <c r="Z640" s="212">
        <v>6400</v>
      </c>
      <c r="AA640" s="212">
        <v>597639</v>
      </c>
      <c r="AB640" s="217">
        <v>1.081693</v>
      </c>
      <c r="AC640" s="217">
        <v>1.7408189999999999</v>
      </c>
      <c r="AD640" s="212">
        <f t="shared" si="9"/>
        <v>646461.92282700003</v>
      </c>
    </row>
    <row r="641" spans="2:30" x14ac:dyDescent="0.15">
      <c r="B641" s="213">
        <v>17031003869</v>
      </c>
      <c r="C641" s="213">
        <v>17031001419</v>
      </c>
      <c r="D641" s="213">
        <v>17031001428</v>
      </c>
      <c r="E641" s="213" t="s">
        <v>533</v>
      </c>
      <c r="F641" s="213" t="s">
        <v>534</v>
      </c>
      <c r="G641" s="213" t="s">
        <v>365</v>
      </c>
      <c r="H641" s="213" t="s">
        <v>551</v>
      </c>
      <c r="I641" s="213" t="s">
        <v>535</v>
      </c>
      <c r="J641" s="213" t="s">
        <v>555</v>
      </c>
      <c r="K641" s="213"/>
      <c r="L641" s="213"/>
      <c r="M641" s="213"/>
      <c r="N641" s="213"/>
      <c r="O641" s="213"/>
      <c r="P641" s="213"/>
      <c r="Q641" s="213"/>
      <c r="R641" s="213"/>
      <c r="S641" s="213" t="s">
        <v>553</v>
      </c>
      <c r="T641" s="213"/>
      <c r="U641" s="213" t="s">
        <v>538</v>
      </c>
      <c r="V641" s="213">
        <v>2</v>
      </c>
      <c r="W641" s="213" t="s">
        <v>545</v>
      </c>
      <c r="X641" s="213" t="s">
        <v>549</v>
      </c>
      <c r="Y641" s="213" t="s">
        <v>546</v>
      </c>
      <c r="Z641" s="212">
        <v>470398</v>
      </c>
      <c r="AA641" s="212">
        <v>22314180</v>
      </c>
      <c r="AB641" s="217">
        <v>1.2545139999999999</v>
      </c>
      <c r="AC641" s="217">
        <v>2.0189490000000001</v>
      </c>
      <c r="AD641" s="212">
        <f t="shared" si="9"/>
        <v>27993451.208519999</v>
      </c>
    </row>
    <row r="642" spans="2:30" x14ac:dyDescent="0.15">
      <c r="B642" s="213">
        <v>17031003897</v>
      </c>
      <c r="C642" s="213">
        <v>17031000514</v>
      </c>
      <c r="D642" s="213">
        <v>17031000505</v>
      </c>
      <c r="E642" s="213" t="s">
        <v>533</v>
      </c>
      <c r="F642" s="213" t="s">
        <v>534</v>
      </c>
      <c r="G642" s="213" t="s">
        <v>365</v>
      </c>
      <c r="H642" s="213" t="s">
        <v>382</v>
      </c>
      <c r="I642" s="213"/>
      <c r="J642" s="213"/>
      <c r="K642" s="213"/>
      <c r="L642" s="213"/>
      <c r="M642" s="213"/>
      <c r="N642" s="213"/>
      <c r="O642" s="213"/>
      <c r="P642" s="213"/>
      <c r="Q642" s="213"/>
      <c r="R642" s="213"/>
      <c r="S642" s="213" t="s">
        <v>586</v>
      </c>
      <c r="T642" s="213"/>
      <c r="U642" s="213" t="s">
        <v>538</v>
      </c>
      <c r="V642" s="213">
        <v>2</v>
      </c>
      <c r="W642" s="213" t="s">
        <v>582</v>
      </c>
      <c r="X642" s="213" t="s">
        <v>554</v>
      </c>
      <c r="Y642" s="213" t="s">
        <v>549</v>
      </c>
      <c r="Z642" s="212">
        <v>148115</v>
      </c>
      <c r="AA642" s="212">
        <v>16606516</v>
      </c>
      <c r="AB642" s="217">
        <v>0.52910800000000002</v>
      </c>
      <c r="AC642" s="217">
        <v>0.851518</v>
      </c>
      <c r="AD642" s="212">
        <f t="shared" si="9"/>
        <v>8786640.4677280001</v>
      </c>
    </row>
    <row r="643" spans="2:30" x14ac:dyDescent="0.15">
      <c r="B643" s="213">
        <v>17031003920</v>
      </c>
      <c r="C643" s="213">
        <v>17031000819</v>
      </c>
      <c r="D643" s="213">
        <v>17031000811</v>
      </c>
      <c r="E643" s="213" t="s">
        <v>533</v>
      </c>
      <c r="F643" s="213" t="s">
        <v>534</v>
      </c>
      <c r="G643" s="213" t="s">
        <v>365</v>
      </c>
      <c r="H643" s="213" t="s">
        <v>557</v>
      </c>
      <c r="I643" s="213"/>
      <c r="J643" s="213" t="s">
        <v>381</v>
      </c>
      <c r="K643" s="213" t="s">
        <v>535</v>
      </c>
      <c r="L643" s="213" t="s">
        <v>552</v>
      </c>
      <c r="M643" s="213" t="s">
        <v>543</v>
      </c>
      <c r="N643" s="213" t="s">
        <v>382</v>
      </c>
      <c r="O643" s="213"/>
      <c r="P643" s="213"/>
      <c r="Q643" s="213"/>
      <c r="R643" s="213"/>
      <c r="S643" s="213" t="s">
        <v>570</v>
      </c>
      <c r="T643" s="213"/>
      <c r="U643" s="213" t="s">
        <v>538</v>
      </c>
      <c r="V643" s="213">
        <v>2</v>
      </c>
      <c r="W643" s="213" t="s">
        <v>545</v>
      </c>
      <c r="X643" s="213" t="s">
        <v>540</v>
      </c>
      <c r="Y643" s="213" t="s">
        <v>580</v>
      </c>
      <c r="Z643" s="212">
        <v>1551932</v>
      </c>
      <c r="AA643" s="212">
        <v>61687731</v>
      </c>
      <c r="AB643" s="217">
        <v>0.26888600000000001</v>
      </c>
      <c r="AC643" s="217">
        <v>0.43273099999999998</v>
      </c>
      <c r="AD643" s="212">
        <f t="shared" si="9"/>
        <v>16586967.237666002</v>
      </c>
    </row>
    <row r="644" spans="2:30" x14ac:dyDescent="0.15">
      <c r="B644" s="213">
        <v>17031003923</v>
      </c>
      <c r="C644" s="213">
        <v>17031000572</v>
      </c>
      <c r="D644" s="213">
        <v>17031000571</v>
      </c>
      <c r="E644" s="213" t="s">
        <v>533</v>
      </c>
      <c r="F644" s="213" t="s">
        <v>534</v>
      </c>
      <c r="G644" s="213" t="s">
        <v>365</v>
      </c>
      <c r="H644" s="213" t="s">
        <v>382</v>
      </c>
      <c r="I644" s="213"/>
      <c r="J644" s="213" t="s">
        <v>572</v>
      </c>
      <c r="K644" s="213" t="s">
        <v>547</v>
      </c>
      <c r="L644" s="213"/>
      <c r="M644" s="213"/>
      <c r="N644" s="213"/>
      <c r="O644" s="213"/>
      <c r="P644" s="213"/>
      <c r="Q644" s="213"/>
      <c r="R644" s="213"/>
      <c r="S644" s="213" t="s">
        <v>583</v>
      </c>
      <c r="T644" s="213"/>
      <c r="U644" s="213" t="s">
        <v>538</v>
      </c>
      <c r="V644" s="213">
        <v>4</v>
      </c>
      <c r="W644" s="213" t="s">
        <v>545</v>
      </c>
      <c r="X644" s="213" t="s">
        <v>540</v>
      </c>
      <c r="Y644" s="213" t="s">
        <v>580</v>
      </c>
      <c r="Z644" s="212">
        <v>1094381</v>
      </c>
      <c r="AA644" s="212">
        <v>33287005</v>
      </c>
      <c r="AB644" s="217">
        <v>0.29959000000000002</v>
      </c>
      <c r="AC644" s="217">
        <v>0.48214499999999999</v>
      </c>
      <c r="AD644" s="212">
        <f t="shared" si="9"/>
        <v>9972453.8279500008</v>
      </c>
    </row>
    <row r="645" spans="2:30" x14ac:dyDescent="0.15">
      <c r="B645" s="213">
        <v>17031003933</v>
      </c>
      <c r="C645" s="213">
        <v>17031001096</v>
      </c>
      <c r="D645" s="213">
        <v>17031001073</v>
      </c>
      <c r="E645" s="213" t="s">
        <v>533</v>
      </c>
      <c r="F645" s="213" t="s">
        <v>534</v>
      </c>
      <c r="G645" s="213" t="s">
        <v>365</v>
      </c>
      <c r="H645" s="213" t="s">
        <v>577</v>
      </c>
      <c r="I645" s="213"/>
      <c r="J645" s="213"/>
      <c r="K645" s="213"/>
      <c r="L645" s="213"/>
      <c r="M645" s="213"/>
      <c r="N645" s="213"/>
      <c r="O645" s="213"/>
      <c r="P645" s="213"/>
      <c r="Q645" s="213"/>
      <c r="R645" s="213"/>
      <c r="S645" s="213"/>
      <c r="T645" s="213"/>
      <c r="U645" s="213" t="s">
        <v>538</v>
      </c>
      <c r="V645" s="213">
        <v>1</v>
      </c>
      <c r="W645" s="213" t="s">
        <v>560</v>
      </c>
      <c r="X645" s="213" t="s">
        <v>541</v>
      </c>
      <c r="Y645" s="213" t="s">
        <v>541</v>
      </c>
      <c r="Z645" s="212">
        <v>0</v>
      </c>
      <c r="AA645" s="212">
        <v>0</v>
      </c>
      <c r="AB645" s="217">
        <v>0.75925799999999999</v>
      </c>
      <c r="AC645" s="217">
        <v>1.2219089999999999</v>
      </c>
      <c r="AD645" s="212">
        <f t="shared" si="9"/>
        <v>0</v>
      </c>
    </row>
    <row r="646" spans="2:30" x14ac:dyDescent="0.15">
      <c r="B646" s="213">
        <v>17031003935</v>
      </c>
      <c r="C646" s="213">
        <v>17031000644</v>
      </c>
      <c r="D646" s="213">
        <v>17031000615</v>
      </c>
      <c r="E646" s="213" t="s">
        <v>533</v>
      </c>
      <c r="F646" s="213" t="s">
        <v>534</v>
      </c>
      <c r="G646" s="213" t="s">
        <v>365</v>
      </c>
      <c r="H646" s="213" t="s">
        <v>547</v>
      </c>
      <c r="I646" s="213"/>
      <c r="J646" s="213" t="s">
        <v>627</v>
      </c>
      <c r="K646" s="213"/>
      <c r="L646" s="213"/>
      <c r="M646" s="213"/>
      <c r="N646" s="213"/>
      <c r="O646" s="213"/>
      <c r="P646" s="213"/>
      <c r="Q646" s="213"/>
      <c r="R646" s="213"/>
      <c r="S646" s="213"/>
      <c r="T646" s="213"/>
      <c r="U646" s="213" t="s">
        <v>538</v>
      </c>
      <c r="V646" s="213">
        <v>4</v>
      </c>
      <c r="W646" s="213" t="s">
        <v>545</v>
      </c>
      <c r="X646" s="213" t="s">
        <v>554</v>
      </c>
      <c r="Y646" s="213" t="s">
        <v>541</v>
      </c>
      <c r="Z646" s="212">
        <v>0</v>
      </c>
      <c r="AA646" s="212">
        <v>0</v>
      </c>
      <c r="AB646" s="217">
        <v>0.451104</v>
      </c>
      <c r="AC646" s="217">
        <v>0.72598300000000004</v>
      </c>
      <c r="AD646" s="212">
        <f t="shared" ref="AD646:AD709" si="10">AA646*AB646</f>
        <v>0</v>
      </c>
    </row>
    <row r="647" spans="2:30" x14ac:dyDescent="0.15">
      <c r="B647" s="213">
        <v>17031003939</v>
      </c>
      <c r="C647" s="213">
        <v>17031001105</v>
      </c>
      <c r="D647" s="213">
        <v>17031001120</v>
      </c>
      <c r="E647" s="213" t="s">
        <v>533</v>
      </c>
      <c r="F647" s="213" t="s">
        <v>534</v>
      </c>
      <c r="G647" s="213" t="s">
        <v>365</v>
      </c>
      <c r="H647" s="213" t="s">
        <v>577</v>
      </c>
      <c r="I647" s="213"/>
      <c r="J647" s="213"/>
      <c r="K647" s="213"/>
      <c r="L647" s="213"/>
      <c r="M647" s="213"/>
      <c r="N647" s="213"/>
      <c r="O647" s="213"/>
      <c r="P647" s="213"/>
      <c r="Q647" s="213"/>
      <c r="R647" s="213"/>
      <c r="S647" s="213"/>
      <c r="T647" s="213"/>
      <c r="U647" s="213" t="s">
        <v>538</v>
      </c>
      <c r="V647" s="213">
        <v>1</v>
      </c>
      <c r="W647" s="213" t="s">
        <v>560</v>
      </c>
      <c r="X647" s="213" t="s">
        <v>541</v>
      </c>
      <c r="Y647" s="213" t="s">
        <v>541</v>
      </c>
      <c r="Z647" s="212">
        <v>0</v>
      </c>
      <c r="AA647" s="212">
        <v>0</v>
      </c>
      <c r="AB647" s="217">
        <v>0.36601499999999998</v>
      </c>
      <c r="AC647" s="217">
        <v>0.58904500000000004</v>
      </c>
      <c r="AD647" s="212">
        <f t="shared" si="10"/>
        <v>0</v>
      </c>
    </row>
    <row r="648" spans="2:30" x14ac:dyDescent="0.15">
      <c r="B648" s="213">
        <v>17031003952</v>
      </c>
      <c r="C648" s="213">
        <v>17031004716</v>
      </c>
      <c r="D648" s="213">
        <v>17031000999</v>
      </c>
      <c r="E648" s="213" t="s">
        <v>533</v>
      </c>
      <c r="F648" s="213" t="s">
        <v>534</v>
      </c>
      <c r="G648" s="213" t="s">
        <v>365</v>
      </c>
      <c r="H648" s="213" t="s">
        <v>551</v>
      </c>
      <c r="I648" s="213"/>
      <c r="J648" s="213" t="s">
        <v>381</v>
      </c>
      <c r="K648" s="213" t="s">
        <v>535</v>
      </c>
      <c r="L648" s="213" t="s">
        <v>552</v>
      </c>
      <c r="M648" s="213" t="s">
        <v>382</v>
      </c>
      <c r="N648" s="213"/>
      <c r="O648" s="213"/>
      <c r="P648" s="213"/>
      <c r="Q648" s="213"/>
      <c r="R648" s="213"/>
      <c r="S648" s="213" t="s">
        <v>600</v>
      </c>
      <c r="T648" s="213"/>
      <c r="U648" s="213" t="s">
        <v>538</v>
      </c>
      <c r="V648" s="213">
        <v>3</v>
      </c>
      <c r="W648" s="213" t="s">
        <v>582</v>
      </c>
      <c r="X648" s="213" t="s">
        <v>554</v>
      </c>
      <c r="Y648" s="213" t="s">
        <v>575</v>
      </c>
      <c r="Z648" s="212">
        <v>416894</v>
      </c>
      <c r="AA648" s="212">
        <v>9270978</v>
      </c>
      <c r="AB648" s="217">
        <v>0.94420800000000005</v>
      </c>
      <c r="AC648" s="217">
        <v>1.5195590000000001</v>
      </c>
      <c r="AD648" s="212">
        <f t="shared" si="10"/>
        <v>8753731.5954240002</v>
      </c>
    </row>
    <row r="649" spans="2:30" x14ac:dyDescent="0.15">
      <c r="B649" s="213">
        <v>17031003953</v>
      </c>
      <c r="C649" s="213">
        <v>17031001151</v>
      </c>
      <c r="D649" s="213">
        <v>17031001118</v>
      </c>
      <c r="E649" s="213" t="s">
        <v>533</v>
      </c>
      <c r="F649" s="213" t="s">
        <v>534</v>
      </c>
      <c r="G649" s="213" t="s">
        <v>365</v>
      </c>
      <c r="H649" s="213" t="s">
        <v>543</v>
      </c>
      <c r="I649" s="213"/>
      <c r="J649" s="213" t="s">
        <v>542</v>
      </c>
      <c r="K649" s="213" t="s">
        <v>552</v>
      </c>
      <c r="L649" s="213" t="s">
        <v>557</v>
      </c>
      <c r="M649" s="213" t="s">
        <v>661</v>
      </c>
      <c r="N649" s="213"/>
      <c r="O649" s="213"/>
      <c r="P649" s="213"/>
      <c r="Q649" s="213"/>
      <c r="R649" s="213"/>
      <c r="S649" s="213" t="s">
        <v>630</v>
      </c>
      <c r="T649" s="213"/>
      <c r="U649" s="213" t="s">
        <v>538</v>
      </c>
      <c r="V649" s="213">
        <v>4</v>
      </c>
      <c r="W649" s="213" t="s">
        <v>545</v>
      </c>
      <c r="X649" s="213" t="s">
        <v>540</v>
      </c>
      <c r="Y649" s="213" t="s">
        <v>575</v>
      </c>
      <c r="Z649" s="212">
        <v>2658147</v>
      </c>
      <c r="AA649" s="212">
        <v>74296668</v>
      </c>
      <c r="AB649" s="217">
        <v>0.91646499999999997</v>
      </c>
      <c r="AC649" s="217">
        <v>1.4749099999999999</v>
      </c>
      <c r="AD649" s="212">
        <f t="shared" si="10"/>
        <v>68090295.838619992</v>
      </c>
    </row>
    <row r="650" spans="2:30" x14ac:dyDescent="0.15">
      <c r="B650" s="213">
        <v>17031003958</v>
      </c>
      <c r="C650" s="213">
        <v>17031000716</v>
      </c>
      <c r="D650" s="213">
        <v>17031000686</v>
      </c>
      <c r="E650" s="213" t="s">
        <v>533</v>
      </c>
      <c r="F650" s="213" t="s">
        <v>534</v>
      </c>
      <c r="G650" s="213" t="s">
        <v>365</v>
      </c>
      <c r="H650" s="213" t="s">
        <v>381</v>
      </c>
      <c r="I650" s="213"/>
      <c r="J650" s="213" t="s">
        <v>542</v>
      </c>
      <c r="K650" s="213" t="s">
        <v>572</v>
      </c>
      <c r="L650" s="213" t="s">
        <v>547</v>
      </c>
      <c r="M650" s="213" t="s">
        <v>382</v>
      </c>
      <c r="N650" s="213"/>
      <c r="O650" s="213"/>
      <c r="P650" s="213"/>
      <c r="Q650" s="213"/>
      <c r="R650" s="213"/>
      <c r="S650" s="213" t="s">
        <v>579</v>
      </c>
      <c r="T650" s="213"/>
      <c r="U650" s="213" t="s">
        <v>538</v>
      </c>
      <c r="V650" s="213">
        <v>4</v>
      </c>
      <c r="W650" s="213" t="s">
        <v>545</v>
      </c>
      <c r="X650" s="213" t="s">
        <v>549</v>
      </c>
      <c r="Y650" s="213" t="s">
        <v>580</v>
      </c>
      <c r="Z650" s="212">
        <v>2437713</v>
      </c>
      <c r="AA650" s="212">
        <v>67580400</v>
      </c>
      <c r="AB650" s="217">
        <v>2.4484360000000001</v>
      </c>
      <c r="AC650" s="217">
        <v>3.9403839999999999</v>
      </c>
      <c r="AD650" s="212">
        <f t="shared" si="10"/>
        <v>165466284.25440001</v>
      </c>
    </row>
    <row r="651" spans="2:30" x14ac:dyDescent="0.15">
      <c r="B651" s="213">
        <v>17031003959</v>
      </c>
      <c r="C651" s="213">
        <v>17031000717</v>
      </c>
      <c r="D651" s="213">
        <v>17031000716</v>
      </c>
      <c r="E651" s="213" t="s">
        <v>533</v>
      </c>
      <c r="F651" s="213" t="s">
        <v>534</v>
      </c>
      <c r="G651" s="213" t="s">
        <v>365</v>
      </c>
      <c r="H651" s="213" t="s">
        <v>381</v>
      </c>
      <c r="I651" s="213"/>
      <c r="J651" s="213" t="s">
        <v>542</v>
      </c>
      <c r="K651" s="213" t="s">
        <v>572</v>
      </c>
      <c r="L651" s="213" t="s">
        <v>547</v>
      </c>
      <c r="M651" s="213" t="s">
        <v>382</v>
      </c>
      <c r="N651" s="213"/>
      <c r="O651" s="213"/>
      <c r="P651" s="213"/>
      <c r="Q651" s="213"/>
      <c r="R651" s="213"/>
      <c r="S651" s="213" t="s">
        <v>579</v>
      </c>
      <c r="T651" s="213"/>
      <c r="U651" s="213" t="s">
        <v>538</v>
      </c>
      <c r="V651" s="213">
        <v>4</v>
      </c>
      <c r="W651" s="213" t="s">
        <v>545</v>
      </c>
      <c r="X651" s="213" t="s">
        <v>549</v>
      </c>
      <c r="Y651" s="213" t="s">
        <v>580</v>
      </c>
      <c r="Z651" s="212">
        <v>2437713</v>
      </c>
      <c r="AA651" s="212">
        <v>67580400</v>
      </c>
      <c r="AB651" s="217">
        <v>0.24427099999999999</v>
      </c>
      <c r="AC651" s="217">
        <v>0.39311699999999999</v>
      </c>
      <c r="AD651" s="212">
        <f t="shared" si="10"/>
        <v>16507931.8884</v>
      </c>
    </row>
    <row r="652" spans="2:30" x14ac:dyDescent="0.15">
      <c r="B652" s="213">
        <v>17031003961</v>
      </c>
      <c r="C652" s="213">
        <v>17031000788</v>
      </c>
      <c r="D652" s="213">
        <v>17031004659</v>
      </c>
      <c r="E652" s="213" t="s">
        <v>533</v>
      </c>
      <c r="F652" s="213" t="s">
        <v>534</v>
      </c>
      <c r="G652" s="213" t="s">
        <v>365</v>
      </c>
      <c r="H652" s="213" t="s">
        <v>381</v>
      </c>
      <c r="I652" s="213"/>
      <c r="J652" s="213" t="s">
        <v>542</v>
      </c>
      <c r="K652" s="213" t="s">
        <v>547</v>
      </c>
      <c r="L652" s="213" t="s">
        <v>382</v>
      </c>
      <c r="M652" s="213"/>
      <c r="N652" s="213"/>
      <c r="O652" s="213"/>
      <c r="P652" s="213"/>
      <c r="Q652" s="213"/>
      <c r="R652" s="213"/>
      <c r="S652" s="213" t="s">
        <v>579</v>
      </c>
      <c r="T652" s="213"/>
      <c r="U652" s="213" t="s">
        <v>538</v>
      </c>
      <c r="V652" s="213">
        <v>3</v>
      </c>
      <c r="W652" s="213" t="s">
        <v>545</v>
      </c>
      <c r="X652" s="213" t="s">
        <v>549</v>
      </c>
      <c r="Y652" s="213" t="s">
        <v>580</v>
      </c>
      <c r="Z652" s="212">
        <v>2414957</v>
      </c>
      <c r="AA652" s="212">
        <v>66249232</v>
      </c>
      <c r="AB652" s="217">
        <v>0.54175700000000004</v>
      </c>
      <c r="AC652" s="217">
        <v>0.87187499999999996</v>
      </c>
      <c r="AD652" s="212">
        <f t="shared" si="10"/>
        <v>35890985.180624001</v>
      </c>
    </row>
    <row r="653" spans="2:30" x14ac:dyDescent="0.15">
      <c r="B653" s="213">
        <v>17031003964</v>
      </c>
      <c r="C653" s="213">
        <v>17031000776</v>
      </c>
      <c r="D653" s="213">
        <v>17031000775</v>
      </c>
      <c r="E653" s="213" t="s">
        <v>533</v>
      </c>
      <c r="F653" s="213" t="s">
        <v>534</v>
      </c>
      <c r="G653" s="213" t="s">
        <v>365</v>
      </c>
      <c r="H653" s="213" t="s">
        <v>535</v>
      </c>
      <c r="I653" s="213"/>
      <c r="J653" s="213" t="s">
        <v>542</v>
      </c>
      <c r="K653" s="213" t="s">
        <v>572</v>
      </c>
      <c r="L653" s="213" t="s">
        <v>547</v>
      </c>
      <c r="M653" s="213" t="s">
        <v>382</v>
      </c>
      <c r="N653" s="213"/>
      <c r="O653" s="213"/>
      <c r="P653" s="213"/>
      <c r="Q653" s="213"/>
      <c r="R653" s="213"/>
      <c r="S653" s="213" t="s">
        <v>601</v>
      </c>
      <c r="T653" s="213"/>
      <c r="U653" s="213" t="s">
        <v>538</v>
      </c>
      <c r="V653" s="213">
        <v>2</v>
      </c>
      <c r="W653" s="213" t="s">
        <v>545</v>
      </c>
      <c r="X653" s="213" t="s">
        <v>540</v>
      </c>
      <c r="Y653" s="213" t="s">
        <v>540</v>
      </c>
      <c r="Z653" s="212">
        <v>2332</v>
      </c>
      <c r="AA653" s="212">
        <v>215240</v>
      </c>
      <c r="AB653" s="217">
        <v>0.21174000000000001</v>
      </c>
      <c r="AC653" s="217">
        <v>0.34076299999999998</v>
      </c>
      <c r="AD653" s="212">
        <f t="shared" si="10"/>
        <v>45574.917600000001</v>
      </c>
    </row>
    <row r="654" spans="2:30" x14ac:dyDescent="0.15">
      <c r="B654" s="213">
        <v>17031003972</v>
      </c>
      <c r="C654" s="213">
        <v>17031000926</v>
      </c>
      <c r="D654" s="213">
        <v>17031000903</v>
      </c>
      <c r="E654" s="213" t="s">
        <v>533</v>
      </c>
      <c r="F654" s="213" t="s">
        <v>534</v>
      </c>
      <c r="G654" s="213" t="s">
        <v>365</v>
      </c>
      <c r="H654" s="213" t="s">
        <v>543</v>
      </c>
      <c r="I654" s="213"/>
      <c r="J654" s="213" t="s">
        <v>542</v>
      </c>
      <c r="K654" s="213"/>
      <c r="L654" s="213"/>
      <c r="M654" s="213"/>
      <c r="N654" s="213"/>
      <c r="O654" s="213"/>
      <c r="P654" s="213"/>
      <c r="Q654" s="213"/>
      <c r="R654" s="213"/>
      <c r="S654" s="213" t="s">
        <v>630</v>
      </c>
      <c r="T654" s="213"/>
      <c r="U654" s="213" t="s">
        <v>538</v>
      </c>
      <c r="V654" s="213">
        <v>2</v>
      </c>
      <c r="W654" s="213" t="s">
        <v>545</v>
      </c>
      <c r="X654" s="213" t="s">
        <v>540</v>
      </c>
      <c r="Y654" s="213" t="s">
        <v>580</v>
      </c>
      <c r="Z654" s="212">
        <v>2463629</v>
      </c>
      <c r="AA654" s="212">
        <v>64091127</v>
      </c>
      <c r="AB654" s="217">
        <v>0.82285200000000003</v>
      </c>
      <c r="AC654" s="217">
        <v>1.324254</v>
      </c>
      <c r="AD654" s="212">
        <f t="shared" si="10"/>
        <v>52737512.034203999</v>
      </c>
    </row>
    <row r="655" spans="2:30" x14ac:dyDescent="0.15">
      <c r="B655" s="213">
        <v>17031004008</v>
      </c>
      <c r="C655" s="213">
        <v>17031004758</v>
      </c>
      <c r="D655" s="213">
        <v>17031004756</v>
      </c>
      <c r="E655" s="213" t="s">
        <v>533</v>
      </c>
      <c r="F655" s="213" t="s">
        <v>534</v>
      </c>
      <c r="G655" s="213" t="s">
        <v>365</v>
      </c>
      <c r="H655" s="213" t="s">
        <v>547</v>
      </c>
      <c r="I655" s="213"/>
      <c r="J655" s="213" t="s">
        <v>577</v>
      </c>
      <c r="K655" s="213"/>
      <c r="L655" s="213"/>
      <c r="M655" s="213"/>
      <c r="N655" s="213"/>
      <c r="O655" s="213"/>
      <c r="P655" s="213"/>
      <c r="Q655" s="213"/>
      <c r="R655" s="213"/>
      <c r="S655" s="213" t="s">
        <v>581</v>
      </c>
      <c r="T655" s="213"/>
      <c r="U655" s="213" t="s">
        <v>538</v>
      </c>
      <c r="V655" s="213">
        <v>2</v>
      </c>
      <c r="W655" s="213" t="s">
        <v>582</v>
      </c>
      <c r="X655" s="213" t="s">
        <v>540</v>
      </c>
      <c r="Y655" s="213" t="s">
        <v>541</v>
      </c>
      <c r="Z655" s="212">
        <v>0</v>
      </c>
      <c r="AA655" s="212">
        <v>0</v>
      </c>
      <c r="AB655" s="217">
        <v>1.6078939999999999</v>
      </c>
      <c r="AC655" s="217">
        <v>2.5876600000000001</v>
      </c>
      <c r="AD655" s="212">
        <f t="shared" si="10"/>
        <v>0</v>
      </c>
    </row>
    <row r="656" spans="2:30" x14ac:dyDescent="0.15">
      <c r="B656" s="213">
        <v>17031004012</v>
      </c>
      <c r="C656" s="213">
        <v>17031000582</v>
      </c>
      <c r="D656" s="213">
        <v>17031000570</v>
      </c>
      <c r="E656" s="213" t="s">
        <v>533</v>
      </c>
      <c r="F656" s="213" t="s">
        <v>534</v>
      </c>
      <c r="G656" s="213" t="s">
        <v>365</v>
      </c>
      <c r="H656" s="213" t="s">
        <v>382</v>
      </c>
      <c r="I656" s="213"/>
      <c r="J656" s="213" t="s">
        <v>572</v>
      </c>
      <c r="K656" s="213" t="s">
        <v>543</v>
      </c>
      <c r="L656" s="213"/>
      <c r="M656" s="213"/>
      <c r="N656" s="213"/>
      <c r="O656" s="213"/>
      <c r="P656" s="213"/>
      <c r="Q656" s="213"/>
      <c r="R656" s="213"/>
      <c r="S656" s="213" t="s">
        <v>609</v>
      </c>
      <c r="T656" s="213"/>
      <c r="U656" s="213" t="s">
        <v>538</v>
      </c>
      <c r="V656" s="213">
        <v>2</v>
      </c>
      <c r="W656" s="213" t="s">
        <v>539</v>
      </c>
      <c r="X656" s="213" t="s">
        <v>554</v>
      </c>
      <c r="Y656" s="213" t="s">
        <v>580</v>
      </c>
      <c r="Z656" s="212">
        <v>1094381</v>
      </c>
      <c r="AA656" s="212">
        <v>33287005</v>
      </c>
      <c r="AB656" s="217">
        <v>0.38240099999999999</v>
      </c>
      <c r="AC656" s="217">
        <v>0.61541599999999996</v>
      </c>
      <c r="AD656" s="212">
        <f t="shared" si="10"/>
        <v>12728983.999004999</v>
      </c>
    </row>
    <row r="657" spans="2:30" x14ac:dyDescent="0.15">
      <c r="B657" s="213">
        <v>17031004014</v>
      </c>
      <c r="C657" s="213">
        <v>17031000683</v>
      </c>
      <c r="D657" s="213">
        <v>17031000682</v>
      </c>
      <c r="E657" s="213" t="s">
        <v>533</v>
      </c>
      <c r="F657" s="213" t="s">
        <v>534</v>
      </c>
      <c r="G657" s="213" t="s">
        <v>365</v>
      </c>
      <c r="H657" s="213" t="s">
        <v>644</v>
      </c>
      <c r="I657" s="213"/>
      <c r="J657" s="213"/>
      <c r="K657" s="213"/>
      <c r="L657" s="213"/>
      <c r="M657" s="213"/>
      <c r="N657" s="213"/>
      <c r="O657" s="213"/>
      <c r="P657" s="213"/>
      <c r="Q657" s="213"/>
      <c r="R657" s="213"/>
      <c r="S657" s="213"/>
      <c r="T657" s="213"/>
      <c r="U657" s="213" t="s">
        <v>559</v>
      </c>
      <c r="V657" s="213">
        <v>1</v>
      </c>
      <c r="W657" s="213" t="s">
        <v>560</v>
      </c>
      <c r="X657" s="213" t="s">
        <v>541</v>
      </c>
      <c r="Y657" s="213" t="s">
        <v>541</v>
      </c>
      <c r="Z657" s="212">
        <v>0</v>
      </c>
      <c r="AA657" s="212">
        <v>0</v>
      </c>
      <c r="AB657" s="217">
        <v>3.8535E-2</v>
      </c>
      <c r="AC657" s="217">
        <v>6.2016000000000002E-2</v>
      </c>
      <c r="AD657" s="212">
        <f t="shared" si="10"/>
        <v>0</v>
      </c>
    </row>
    <row r="658" spans="2:30" x14ac:dyDescent="0.15">
      <c r="B658" s="213">
        <v>17031004028</v>
      </c>
      <c r="C658" s="213">
        <v>17031000504</v>
      </c>
      <c r="D658" s="213">
        <v>17031000513</v>
      </c>
      <c r="E658" s="213" t="s">
        <v>533</v>
      </c>
      <c r="F658" s="213" t="s">
        <v>534</v>
      </c>
      <c r="G658" s="213" t="s">
        <v>365</v>
      </c>
      <c r="H658" s="213" t="s">
        <v>590</v>
      </c>
      <c r="I658" s="213"/>
      <c r="J658" s="213"/>
      <c r="K658" s="213"/>
      <c r="L658" s="213"/>
      <c r="M658" s="213"/>
      <c r="N658" s="213"/>
      <c r="O658" s="213"/>
      <c r="P658" s="213"/>
      <c r="Q658" s="213"/>
      <c r="R658" s="213"/>
      <c r="S658" s="213"/>
      <c r="T658" s="213"/>
      <c r="U658" s="213" t="s">
        <v>559</v>
      </c>
      <c r="V658" s="213">
        <v>1</v>
      </c>
      <c r="W658" s="213" t="s">
        <v>560</v>
      </c>
      <c r="X658" s="213" t="s">
        <v>541</v>
      </c>
      <c r="Y658" s="213" t="s">
        <v>541</v>
      </c>
      <c r="Z658" s="212">
        <v>0</v>
      </c>
      <c r="AA658" s="212">
        <v>0</v>
      </c>
      <c r="AB658" s="217">
        <v>0.79222499999999996</v>
      </c>
      <c r="AC658" s="217">
        <v>1.274966</v>
      </c>
      <c r="AD658" s="212">
        <f t="shared" si="10"/>
        <v>0</v>
      </c>
    </row>
    <row r="659" spans="2:30" x14ac:dyDescent="0.15">
      <c r="B659" s="213">
        <v>17031004040</v>
      </c>
      <c r="C659" s="213">
        <v>17031000401</v>
      </c>
      <c r="D659" s="213">
        <v>17031000395</v>
      </c>
      <c r="E659" s="213" t="s">
        <v>533</v>
      </c>
      <c r="F659" s="213" t="s">
        <v>534</v>
      </c>
      <c r="G659" s="213" t="s">
        <v>365</v>
      </c>
      <c r="H659" s="213" t="s">
        <v>382</v>
      </c>
      <c r="I659" s="213"/>
      <c r="J659" s="213" t="s">
        <v>547</v>
      </c>
      <c r="K659" s="213"/>
      <c r="L659" s="213"/>
      <c r="M659" s="213"/>
      <c r="N659" s="213"/>
      <c r="O659" s="213"/>
      <c r="P659" s="213"/>
      <c r="Q659" s="213"/>
      <c r="R659" s="213"/>
      <c r="S659" s="213" t="s">
        <v>608</v>
      </c>
      <c r="T659" s="213"/>
      <c r="U659" s="213" t="s">
        <v>538</v>
      </c>
      <c r="V659" s="213">
        <v>3</v>
      </c>
      <c r="W659" s="213" t="s">
        <v>566</v>
      </c>
      <c r="X659" s="213" t="s">
        <v>549</v>
      </c>
      <c r="Y659" s="213" t="s">
        <v>554</v>
      </c>
      <c r="Z659" s="212">
        <v>0</v>
      </c>
      <c r="AA659" s="212">
        <v>0</v>
      </c>
      <c r="AB659" s="217">
        <v>0.99978599999999995</v>
      </c>
      <c r="AC659" s="217">
        <v>1.609003</v>
      </c>
      <c r="AD659" s="212">
        <f t="shared" si="10"/>
        <v>0</v>
      </c>
    </row>
    <row r="660" spans="2:30" x14ac:dyDescent="0.15">
      <c r="B660" s="213">
        <v>17031004041</v>
      </c>
      <c r="C660" s="213">
        <v>17031000403</v>
      </c>
      <c r="D660" s="213">
        <v>17031000402</v>
      </c>
      <c r="E660" s="213" t="s">
        <v>533</v>
      </c>
      <c r="F660" s="213" t="s">
        <v>534</v>
      </c>
      <c r="G660" s="213" t="s">
        <v>365</v>
      </c>
      <c r="H660" s="213" t="s">
        <v>382</v>
      </c>
      <c r="I660" s="213"/>
      <c r="J660" s="213" t="s">
        <v>547</v>
      </c>
      <c r="K660" s="213"/>
      <c r="L660" s="213"/>
      <c r="M660" s="213"/>
      <c r="N660" s="213"/>
      <c r="O660" s="213"/>
      <c r="P660" s="213"/>
      <c r="Q660" s="213"/>
      <c r="R660" s="213"/>
      <c r="S660" s="213" t="s">
        <v>608</v>
      </c>
      <c r="T660" s="213"/>
      <c r="U660" s="213" t="s">
        <v>538</v>
      </c>
      <c r="V660" s="213">
        <v>3</v>
      </c>
      <c r="W660" s="213" t="s">
        <v>566</v>
      </c>
      <c r="X660" s="213" t="s">
        <v>540</v>
      </c>
      <c r="Y660" s="213" t="s">
        <v>541</v>
      </c>
      <c r="Z660" s="212">
        <v>0</v>
      </c>
      <c r="AA660" s="212">
        <v>0</v>
      </c>
      <c r="AB660" s="217">
        <v>0.39059199999999999</v>
      </c>
      <c r="AC660" s="217">
        <v>0.62859799999999999</v>
      </c>
      <c r="AD660" s="212">
        <f t="shared" si="10"/>
        <v>0</v>
      </c>
    </row>
    <row r="661" spans="2:30" x14ac:dyDescent="0.15">
      <c r="B661" s="213">
        <v>17031004042</v>
      </c>
      <c r="C661" s="213">
        <v>17031004610</v>
      </c>
      <c r="D661" s="213">
        <v>17031000403</v>
      </c>
      <c r="E661" s="213" t="s">
        <v>533</v>
      </c>
      <c r="F661" s="213" t="s">
        <v>534</v>
      </c>
      <c r="G661" s="213" t="s">
        <v>365</v>
      </c>
      <c r="H661" s="213" t="s">
        <v>382</v>
      </c>
      <c r="I661" s="213"/>
      <c r="J661" s="213" t="s">
        <v>547</v>
      </c>
      <c r="K661" s="213"/>
      <c r="L661" s="213"/>
      <c r="M661" s="213"/>
      <c r="N661" s="213"/>
      <c r="O661" s="213"/>
      <c r="P661" s="213"/>
      <c r="Q661" s="213"/>
      <c r="R661" s="213"/>
      <c r="S661" s="213" t="s">
        <v>608</v>
      </c>
      <c r="T661" s="213"/>
      <c r="U661" s="213" t="s">
        <v>538</v>
      </c>
      <c r="V661" s="213">
        <v>3</v>
      </c>
      <c r="W661" s="213" t="s">
        <v>566</v>
      </c>
      <c r="X661" s="213" t="s">
        <v>540</v>
      </c>
      <c r="Y661" s="213" t="s">
        <v>541</v>
      </c>
      <c r="Z661" s="212">
        <v>0</v>
      </c>
      <c r="AA661" s="212">
        <v>0</v>
      </c>
      <c r="AB661" s="217">
        <v>0.65046400000000004</v>
      </c>
      <c r="AC661" s="217">
        <v>1.0468219999999999</v>
      </c>
      <c r="AD661" s="212">
        <f t="shared" si="10"/>
        <v>0</v>
      </c>
    </row>
    <row r="662" spans="2:30" x14ac:dyDescent="0.15">
      <c r="B662" s="213">
        <v>17031004043</v>
      </c>
      <c r="C662" s="213">
        <v>17031000415</v>
      </c>
      <c r="D662" s="213">
        <v>17031004610</v>
      </c>
      <c r="E662" s="213" t="s">
        <v>533</v>
      </c>
      <c r="F662" s="213" t="s">
        <v>534</v>
      </c>
      <c r="G662" s="213" t="s">
        <v>365</v>
      </c>
      <c r="H662" s="213" t="s">
        <v>382</v>
      </c>
      <c r="I662" s="213"/>
      <c r="J662" s="213" t="s">
        <v>547</v>
      </c>
      <c r="K662" s="213"/>
      <c r="L662" s="213"/>
      <c r="M662" s="213"/>
      <c r="N662" s="213"/>
      <c r="O662" s="213"/>
      <c r="P662" s="213"/>
      <c r="Q662" s="213"/>
      <c r="R662" s="213"/>
      <c r="S662" s="213" t="s">
        <v>608</v>
      </c>
      <c r="T662" s="213"/>
      <c r="U662" s="213" t="s">
        <v>538</v>
      </c>
      <c r="V662" s="213">
        <v>3</v>
      </c>
      <c r="W662" s="213" t="s">
        <v>566</v>
      </c>
      <c r="X662" s="213" t="s">
        <v>540</v>
      </c>
      <c r="Y662" s="213" t="s">
        <v>541</v>
      </c>
      <c r="Z662" s="212">
        <v>0</v>
      </c>
      <c r="AA662" s="212">
        <v>0</v>
      </c>
      <c r="AB662" s="217">
        <v>0.99432399999999999</v>
      </c>
      <c r="AC662" s="217">
        <v>1.6002130000000001</v>
      </c>
      <c r="AD662" s="212">
        <f t="shared" si="10"/>
        <v>0</v>
      </c>
    </row>
    <row r="663" spans="2:30" x14ac:dyDescent="0.15">
      <c r="B663" s="213">
        <v>17031004048</v>
      </c>
      <c r="C663" s="213">
        <v>17031000738</v>
      </c>
      <c r="D663" s="213">
        <v>17031000734</v>
      </c>
      <c r="E663" s="213" t="s">
        <v>533</v>
      </c>
      <c r="F663" s="213" t="s">
        <v>534</v>
      </c>
      <c r="G663" s="213" t="s">
        <v>365</v>
      </c>
      <c r="H663" s="213" t="s">
        <v>535</v>
      </c>
      <c r="I663" s="213"/>
      <c r="J663" s="213"/>
      <c r="K663" s="213"/>
      <c r="L663" s="213"/>
      <c r="M663" s="213"/>
      <c r="N663" s="213"/>
      <c r="O663" s="213"/>
      <c r="P663" s="213"/>
      <c r="Q663" s="213"/>
      <c r="R663" s="213"/>
      <c r="S663" s="213" t="s">
        <v>624</v>
      </c>
      <c r="T663" s="213" t="s">
        <v>625</v>
      </c>
      <c r="U663" s="213" t="s">
        <v>538</v>
      </c>
      <c r="V663" s="213">
        <v>2</v>
      </c>
      <c r="W663" s="213" t="s">
        <v>582</v>
      </c>
      <c r="X663" s="213" t="s">
        <v>554</v>
      </c>
      <c r="Y663" s="213" t="s">
        <v>554</v>
      </c>
      <c r="Z663" s="212">
        <v>0</v>
      </c>
      <c r="AA663" s="212">
        <v>0</v>
      </c>
      <c r="AB663" s="217">
        <v>0.34241199999999999</v>
      </c>
      <c r="AC663" s="217">
        <v>0.55105999999999999</v>
      </c>
      <c r="AD663" s="212">
        <f t="shared" si="10"/>
        <v>0</v>
      </c>
    </row>
    <row r="664" spans="2:30" x14ac:dyDescent="0.15">
      <c r="B664" s="213">
        <v>17031004049</v>
      </c>
      <c r="C664" s="213">
        <v>17031000730</v>
      </c>
      <c r="D664" s="213">
        <v>17031000714</v>
      </c>
      <c r="E664" s="213" t="s">
        <v>533</v>
      </c>
      <c r="F664" s="213" t="s">
        <v>534</v>
      </c>
      <c r="G664" s="213" t="s">
        <v>365</v>
      </c>
      <c r="H664" s="213" t="s">
        <v>535</v>
      </c>
      <c r="I664" s="213"/>
      <c r="J664" s="213" t="s">
        <v>542</v>
      </c>
      <c r="K664" s="213" t="s">
        <v>572</v>
      </c>
      <c r="L664" s="213" t="s">
        <v>547</v>
      </c>
      <c r="M664" s="213" t="s">
        <v>382</v>
      </c>
      <c r="N664" s="213"/>
      <c r="O664" s="213"/>
      <c r="P664" s="213"/>
      <c r="Q664" s="213"/>
      <c r="R664" s="213"/>
      <c r="S664" s="213" t="s">
        <v>624</v>
      </c>
      <c r="T664" s="213"/>
      <c r="U664" s="213" t="s">
        <v>538</v>
      </c>
      <c r="V664" s="213">
        <v>2</v>
      </c>
      <c r="W664" s="213" t="s">
        <v>545</v>
      </c>
      <c r="X664" s="213" t="s">
        <v>554</v>
      </c>
      <c r="Y664" s="213" t="s">
        <v>549</v>
      </c>
      <c r="Z664" s="212">
        <v>2212</v>
      </c>
      <c r="AA664" s="212">
        <v>203360</v>
      </c>
      <c r="AB664" s="217">
        <v>1.1287370000000001</v>
      </c>
      <c r="AC664" s="217">
        <v>1.8165290000000001</v>
      </c>
      <c r="AD664" s="212">
        <f t="shared" si="10"/>
        <v>229539.95632000003</v>
      </c>
    </row>
    <row r="665" spans="2:30" x14ac:dyDescent="0.15">
      <c r="B665" s="213">
        <v>17031004074</v>
      </c>
      <c r="C665" s="213">
        <v>17031001129</v>
      </c>
      <c r="D665" s="213">
        <v>17031001114</v>
      </c>
      <c r="E665" s="213" t="s">
        <v>533</v>
      </c>
      <c r="F665" s="213" t="s">
        <v>534</v>
      </c>
      <c r="G665" s="213" t="s">
        <v>365</v>
      </c>
      <c r="H665" s="213" t="s">
        <v>543</v>
      </c>
      <c r="I665" s="213"/>
      <c r="J665" s="213" t="s">
        <v>542</v>
      </c>
      <c r="K665" s="213"/>
      <c r="L665" s="213"/>
      <c r="M665" s="213"/>
      <c r="N665" s="213"/>
      <c r="O665" s="213"/>
      <c r="P665" s="213"/>
      <c r="Q665" s="213"/>
      <c r="R665" s="213"/>
      <c r="S665" s="213" t="s">
        <v>630</v>
      </c>
      <c r="T665" s="213"/>
      <c r="U665" s="213" t="s">
        <v>538</v>
      </c>
      <c r="V665" s="213">
        <v>4</v>
      </c>
      <c r="W665" s="213" t="s">
        <v>545</v>
      </c>
      <c r="X665" s="213" t="s">
        <v>540</v>
      </c>
      <c r="Y665" s="213" t="s">
        <v>575</v>
      </c>
      <c r="Z665" s="212">
        <v>2463629</v>
      </c>
      <c r="AA665" s="212">
        <v>64091127</v>
      </c>
      <c r="AB665" s="217">
        <v>0.140095</v>
      </c>
      <c r="AC665" s="217">
        <v>0.22546099999999999</v>
      </c>
      <c r="AD665" s="212">
        <f t="shared" si="10"/>
        <v>8978846.4370649997</v>
      </c>
    </row>
    <row r="666" spans="2:30" x14ac:dyDescent="0.15">
      <c r="B666" s="213">
        <v>17031004105</v>
      </c>
      <c r="C666" s="213">
        <v>17031000825</v>
      </c>
      <c r="D666" s="213">
        <v>17031004761</v>
      </c>
      <c r="E666" s="213" t="s">
        <v>533</v>
      </c>
      <c r="F666" s="213" t="s">
        <v>534</v>
      </c>
      <c r="G666" s="213" t="s">
        <v>365</v>
      </c>
      <c r="H666" s="213" t="s">
        <v>547</v>
      </c>
      <c r="I666" s="213"/>
      <c r="J666" s="213" t="s">
        <v>542</v>
      </c>
      <c r="K666" s="213" t="s">
        <v>543</v>
      </c>
      <c r="L666" s="213" t="s">
        <v>382</v>
      </c>
      <c r="M666" s="213"/>
      <c r="N666" s="213"/>
      <c r="O666" s="213"/>
      <c r="P666" s="213"/>
      <c r="Q666" s="213"/>
      <c r="R666" s="213"/>
      <c r="S666" s="213" t="s">
        <v>602</v>
      </c>
      <c r="T666" s="213"/>
      <c r="U666" s="213" t="s">
        <v>538</v>
      </c>
      <c r="V666" s="213">
        <v>2</v>
      </c>
      <c r="W666" s="213" t="s">
        <v>545</v>
      </c>
      <c r="X666" s="213" t="s">
        <v>554</v>
      </c>
      <c r="Y666" s="213" t="s">
        <v>540</v>
      </c>
      <c r="Z666" s="212">
        <v>224110</v>
      </c>
      <c r="AA666" s="212">
        <v>9929890</v>
      </c>
      <c r="AB666" s="217">
        <v>0.56299699999999997</v>
      </c>
      <c r="AC666" s="217">
        <v>0.90605800000000003</v>
      </c>
      <c r="AD666" s="212">
        <f t="shared" si="10"/>
        <v>5590498.2803299995</v>
      </c>
    </row>
    <row r="667" spans="2:30" x14ac:dyDescent="0.15">
      <c r="B667" s="213">
        <v>17031004181</v>
      </c>
      <c r="C667" s="213">
        <v>17031004615</v>
      </c>
      <c r="D667" s="213">
        <v>17031000256</v>
      </c>
      <c r="E667" s="213" t="s">
        <v>533</v>
      </c>
      <c r="F667" s="213" t="s">
        <v>534</v>
      </c>
      <c r="G667" s="213" t="s">
        <v>365</v>
      </c>
      <c r="H667" s="213" t="s">
        <v>552</v>
      </c>
      <c r="I667" s="213"/>
      <c r="J667" s="213" t="s">
        <v>542</v>
      </c>
      <c r="K667" s="213" t="s">
        <v>547</v>
      </c>
      <c r="L667" s="213" t="s">
        <v>563</v>
      </c>
      <c r="M667" s="213" t="s">
        <v>382</v>
      </c>
      <c r="N667" s="213"/>
      <c r="O667" s="213"/>
      <c r="P667" s="213"/>
      <c r="Q667" s="213"/>
      <c r="R667" s="213"/>
      <c r="S667" s="213" t="s">
        <v>564</v>
      </c>
      <c r="T667" s="213"/>
      <c r="U667" s="213" t="s">
        <v>538</v>
      </c>
      <c r="V667" s="213">
        <v>2</v>
      </c>
      <c r="W667" s="213" t="s">
        <v>545</v>
      </c>
      <c r="X667" s="213" t="s">
        <v>549</v>
      </c>
      <c r="Y667" s="213" t="s">
        <v>541</v>
      </c>
      <c r="Z667" s="212">
        <v>27817</v>
      </c>
      <c r="AA667" s="212">
        <v>2593647</v>
      </c>
      <c r="AB667" s="217">
        <v>1.5680620000000001</v>
      </c>
      <c r="AC667" s="217">
        <v>2.5235560000000001</v>
      </c>
      <c r="AD667" s="212">
        <f t="shared" si="10"/>
        <v>4066999.3021140001</v>
      </c>
    </row>
    <row r="668" spans="2:30" x14ac:dyDescent="0.15">
      <c r="B668" s="213">
        <v>17031004196</v>
      </c>
      <c r="C668" s="213">
        <v>17031000402</v>
      </c>
      <c r="D668" s="213">
        <v>17031000401</v>
      </c>
      <c r="E668" s="213" t="s">
        <v>533</v>
      </c>
      <c r="F668" s="213" t="s">
        <v>534</v>
      </c>
      <c r="G668" s="213" t="s">
        <v>365</v>
      </c>
      <c r="H668" s="213" t="s">
        <v>382</v>
      </c>
      <c r="I668" s="213"/>
      <c r="J668" s="213" t="s">
        <v>547</v>
      </c>
      <c r="K668" s="213"/>
      <c r="L668" s="213"/>
      <c r="M668" s="213"/>
      <c r="N668" s="213"/>
      <c r="O668" s="213"/>
      <c r="P668" s="213"/>
      <c r="Q668" s="213"/>
      <c r="R668" s="213"/>
      <c r="S668" s="213" t="s">
        <v>608</v>
      </c>
      <c r="T668" s="213"/>
      <c r="U668" s="213" t="s">
        <v>538</v>
      </c>
      <c r="V668" s="213">
        <v>3</v>
      </c>
      <c r="W668" s="213" t="s">
        <v>566</v>
      </c>
      <c r="X668" s="213" t="s">
        <v>540</v>
      </c>
      <c r="Y668" s="213" t="s">
        <v>541</v>
      </c>
      <c r="Z668" s="212">
        <v>0</v>
      </c>
      <c r="AA668" s="212">
        <v>0</v>
      </c>
      <c r="AB668" s="217">
        <v>4.5303000000000003E-2</v>
      </c>
      <c r="AC668" s="217">
        <v>7.2909000000000002E-2</v>
      </c>
      <c r="AD668" s="212">
        <f t="shared" si="10"/>
        <v>0</v>
      </c>
    </row>
    <row r="669" spans="2:30" x14ac:dyDescent="0.15">
      <c r="B669" s="213">
        <v>17031004198</v>
      </c>
      <c r="C669" s="213">
        <v>17031000315</v>
      </c>
      <c r="D669" s="213">
        <v>17031000326</v>
      </c>
      <c r="E669" s="213" t="s">
        <v>533</v>
      </c>
      <c r="F669" s="213" t="s">
        <v>534</v>
      </c>
      <c r="G669" s="213" t="s">
        <v>365</v>
      </c>
      <c r="H669" s="213" t="s">
        <v>590</v>
      </c>
      <c r="I669" s="213"/>
      <c r="J669" s="213"/>
      <c r="K669" s="213"/>
      <c r="L669" s="213"/>
      <c r="M669" s="213"/>
      <c r="N669" s="213"/>
      <c r="O669" s="213"/>
      <c r="P669" s="213"/>
      <c r="Q669" s="213"/>
      <c r="R669" s="213"/>
      <c r="S669" s="213"/>
      <c r="T669" s="213"/>
      <c r="U669" s="213" t="s">
        <v>559</v>
      </c>
      <c r="V669" s="213">
        <v>1</v>
      </c>
      <c r="W669" s="213" t="s">
        <v>560</v>
      </c>
      <c r="X669" s="213" t="s">
        <v>541</v>
      </c>
      <c r="Y669" s="213" t="s">
        <v>541</v>
      </c>
      <c r="Z669" s="212">
        <v>0</v>
      </c>
      <c r="AA669" s="212">
        <v>0</v>
      </c>
      <c r="AB669" s="217">
        <v>1.067045</v>
      </c>
      <c r="AC669" s="217">
        <v>1.7172460000000001</v>
      </c>
      <c r="AD669" s="212">
        <f t="shared" si="10"/>
        <v>0</v>
      </c>
    </row>
    <row r="670" spans="2:30" x14ac:dyDescent="0.15">
      <c r="B670" s="213">
        <v>17031004200</v>
      </c>
      <c r="C670" s="213">
        <v>17031000329</v>
      </c>
      <c r="D670" s="213">
        <v>17031000332</v>
      </c>
      <c r="E670" s="213" t="s">
        <v>533</v>
      </c>
      <c r="F670" s="213" t="s">
        <v>534</v>
      </c>
      <c r="G670" s="213" t="s">
        <v>365</v>
      </c>
      <c r="H670" s="213" t="s">
        <v>590</v>
      </c>
      <c r="I670" s="213"/>
      <c r="J670" s="213"/>
      <c r="K670" s="213"/>
      <c r="L670" s="213"/>
      <c r="M670" s="213"/>
      <c r="N670" s="213"/>
      <c r="O670" s="213"/>
      <c r="P670" s="213"/>
      <c r="Q670" s="213"/>
      <c r="R670" s="213"/>
      <c r="S670" s="213"/>
      <c r="T670" s="213"/>
      <c r="U670" s="213" t="s">
        <v>559</v>
      </c>
      <c r="V670" s="213">
        <v>1</v>
      </c>
      <c r="W670" s="213" t="s">
        <v>560</v>
      </c>
      <c r="X670" s="213" t="s">
        <v>541</v>
      </c>
      <c r="Y670" s="213" t="s">
        <v>541</v>
      </c>
      <c r="Z670" s="212">
        <v>0</v>
      </c>
      <c r="AA670" s="212">
        <v>0</v>
      </c>
      <c r="AB670" s="217">
        <v>0.78686800000000001</v>
      </c>
      <c r="AC670" s="217">
        <v>1.2663450000000001</v>
      </c>
      <c r="AD670" s="212">
        <f t="shared" si="10"/>
        <v>0</v>
      </c>
    </row>
    <row r="671" spans="2:30" x14ac:dyDescent="0.15">
      <c r="B671" s="213">
        <v>17031004208</v>
      </c>
      <c r="C671" s="213">
        <v>17031000352</v>
      </c>
      <c r="D671" s="213">
        <v>17031007557</v>
      </c>
      <c r="E671" s="213" t="s">
        <v>533</v>
      </c>
      <c r="F671" s="213" t="s">
        <v>534</v>
      </c>
      <c r="G671" s="213" t="s">
        <v>365</v>
      </c>
      <c r="H671" s="213" t="s">
        <v>590</v>
      </c>
      <c r="I671" s="213"/>
      <c r="J671" s="213"/>
      <c r="K671" s="213"/>
      <c r="L671" s="213"/>
      <c r="M671" s="213"/>
      <c r="N671" s="213"/>
      <c r="O671" s="213"/>
      <c r="P671" s="213"/>
      <c r="Q671" s="213"/>
      <c r="R671" s="213"/>
      <c r="S671" s="213"/>
      <c r="T671" s="213"/>
      <c r="U671" s="213" t="s">
        <v>559</v>
      </c>
      <c r="V671" s="213">
        <v>1</v>
      </c>
      <c r="W671" s="213" t="s">
        <v>560</v>
      </c>
      <c r="X671" s="213" t="s">
        <v>541</v>
      </c>
      <c r="Y671" s="213" t="s">
        <v>541</v>
      </c>
      <c r="Z671" s="212">
        <v>0</v>
      </c>
      <c r="AA671" s="212">
        <v>0</v>
      </c>
      <c r="AB671" s="217">
        <v>0.68821500000000002</v>
      </c>
      <c r="AC671" s="217">
        <v>1.107577</v>
      </c>
      <c r="AD671" s="212">
        <f t="shared" si="10"/>
        <v>0</v>
      </c>
    </row>
    <row r="672" spans="2:30" x14ac:dyDescent="0.15">
      <c r="B672" s="213">
        <v>17031004209</v>
      </c>
      <c r="C672" s="213">
        <v>17031000347</v>
      </c>
      <c r="D672" s="213">
        <v>17031000352</v>
      </c>
      <c r="E672" s="213" t="s">
        <v>533</v>
      </c>
      <c r="F672" s="213" t="s">
        <v>534</v>
      </c>
      <c r="G672" s="213" t="s">
        <v>365</v>
      </c>
      <c r="H672" s="213" t="s">
        <v>590</v>
      </c>
      <c r="I672" s="213"/>
      <c r="J672" s="213"/>
      <c r="K672" s="213"/>
      <c r="L672" s="213"/>
      <c r="M672" s="213"/>
      <c r="N672" s="213"/>
      <c r="O672" s="213"/>
      <c r="P672" s="213"/>
      <c r="Q672" s="213"/>
      <c r="R672" s="213"/>
      <c r="S672" s="213"/>
      <c r="T672" s="213"/>
      <c r="U672" s="213" t="s">
        <v>559</v>
      </c>
      <c r="V672" s="213">
        <v>1</v>
      </c>
      <c r="W672" s="213" t="s">
        <v>560</v>
      </c>
      <c r="X672" s="213" t="s">
        <v>541</v>
      </c>
      <c r="Y672" s="213" t="s">
        <v>541</v>
      </c>
      <c r="Z672" s="212">
        <v>0</v>
      </c>
      <c r="AA672" s="212">
        <v>0</v>
      </c>
      <c r="AB672" s="217">
        <v>1.017066</v>
      </c>
      <c r="AC672" s="217">
        <v>1.6368130000000001</v>
      </c>
      <c r="AD672" s="212">
        <f t="shared" si="10"/>
        <v>0</v>
      </c>
    </row>
    <row r="673" spans="2:30" x14ac:dyDescent="0.15">
      <c r="B673" s="213">
        <v>17031004211</v>
      </c>
      <c r="C673" s="213">
        <v>17031000334</v>
      </c>
      <c r="D673" s="213">
        <v>17031000347</v>
      </c>
      <c r="E673" s="213" t="s">
        <v>533</v>
      </c>
      <c r="F673" s="213" t="s">
        <v>534</v>
      </c>
      <c r="G673" s="213" t="s">
        <v>365</v>
      </c>
      <c r="H673" s="213" t="s">
        <v>590</v>
      </c>
      <c r="I673" s="213"/>
      <c r="J673" s="213"/>
      <c r="K673" s="213"/>
      <c r="L673" s="213"/>
      <c r="M673" s="213"/>
      <c r="N673" s="213"/>
      <c r="O673" s="213"/>
      <c r="P673" s="213"/>
      <c r="Q673" s="213"/>
      <c r="R673" s="213"/>
      <c r="S673" s="213"/>
      <c r="T673" s="213"/>
      <c r="U673" s="213" t="s">
        <v>559</v>
      </c>
      <c r="V673" s="213">
        <v>1</v>
      </c>
      <c r="W673" s="213" t="s">
        <v>560</v>
      </c>
      <c r="X673" s="213" t="s">
        <v>541</v>
      </c>
      <c r="Y673" s="213" t="s">
        <v>541</v>
      </c>
      <c r="Z673" s="212">
        <v>0</v>
      </c>
      <c r="AA673" s="212">
        <v>0</v>
      </c>
      <c r="AB673" s="217">
        <v>0.123721</v>
      </c>
      <c r="AC673" s="217">
        <v>0.19911000000000001</v>
      </c>
      <c r="AD673" s="212">
        <f t="shared" si="10"/>
        <v>0</v>
      </c>
    </row>
    <row r="674" spans="2:30" x14ac:dyDescent="0.15">
      <c r="B674" s="213">
        <v>17031004212</v>
      </c>
      <c r="C674" s="213">
        <v>17031000334</v>
      </c>
      <c r="D674" s="213">
        <v>17031000330</v>
      </c>
      <c r="E674" s="213" t="s">
        <v>533</v>
      </c>
      <c r="F674" s="213" t="s">
        <v>534</v>
      </c>
      <c r="G674" s="213" t="s">
        <v>365</v>
      </c>
      <c r="H674" s="213" t="s">
        <v>590</v>
      </c>
      <c r="I674" s="213"/>
      <c r="J674" s="213"/>
      <c r="K674" s="213"/>
      <c r="L674" s="213"/>
      <c r="M674" s="213"/>
      <c r="N674" s="213"/>
      <c r="O674" s="213"/>
      <c r="P674" s="213"/>
      <c r="Q674" s="213"/>
      <c r="R674" s="213"/>
      <c r="S674" s="213"/>
      <c r="T674" s="213"/>
      <c r="U674" s="213" t="s">
        <v>559</v>
      </c>
      <c r="V674" s="213">
        <v>1</v>
      </c>
      <c r="W674" s="213" t="s">
        <v>560</v>
      </c>
      <c r="X674" s="213" t="s">
        <v>541</v>
      </c>
      <c r="Y674" s="213" t="s">
        <v>541</v>
      </c>
      <c r="Z674" s="212">
        <v>0</v>
      </c>
      <c r="AA674" s="212">
        <v>0</v>
      </c>
      <c r="AB674" s="217">
        <v>0.80620700000000001</v>
      </c>
      <c r="AC674" s="217">
        <v>1.2974680000000001</v>
      </c>
      <c r="AD674" s="212">
        <f t="shared" si="10"/>
        <v>0</v>
      </c>
    </row>
    <row r="675" spans="2:30" x14ac:dyDescent="0.15">
      <c r="B675" s="213">
        <v>17031004216</v>
      </c>
      <c r="C675" s="213">
        <v>17031000319</v>
      </c>
      <c r="D675" s="213">
        <v>17031000316</v>
      </c>
      <c r="E675" s="213" t="s">
        <v>533</v>
      </c>
      <c r="F675" s="213" t="s">
        <v>534</v>
      </c>
      <c r="G675" s="213" t="s">
        <v>365</v>
      </c>
      <c r="H675" s="213" t="s">
        <v>590</v>
      </c>
      <c r="I675" s="213"/>
      <c r="J675" s="213"/>
      <c r="K675" s="213"/>
      <c r="L675" s="213"/>
      <c r="M675" s="213"/>
      <c r="N675" s="213"/>
      <c r="O675" s="213"/>
      <c r="P675" s="213"/>
      <c r="Q675" s="213"/>
      <c r="R675" s="213"/>
      <c r="S675" s="213"/>
      <c r="T675" s="213"/>
      <c r="U675" s="213" t="s">
        <v>559</v>
      </c>
      <c r="V675" s="213">
        <v>1</v>
      </c>
      <c r="W675" s="213" t="s">
        <v>560</v>
      </c>
      <c r="X675" s="213" t="s">
        <v>541</v>
      </c>
      <c r="Y675" s="213" t="s">
        <v>541</v>
      </c>
      <c r="Z675" s="212">
        <v>0</v>
      </c>
      <c r="AA675" s="212">
        <v>0</v>
      </c>
      <c r="AB675" s="217">
        <v>0.74157399999999996</v>
      </c>
      <c r="AC675" s="217">
        <v>1.1934499999999999</v>
      </c>
      <c r="AD675" s="212">
        <f t="shared" si="10"/>
        <v>0</v>
      </c>
    </row>
    <row r="676" spans="2:30" x14ac:dyDescent="0.15">
      <c r="B676" s="213">
        <v>17031004217</v>
      </c>
      <c r="C676" s="213">
        <v>17031000313</v>
      </c>
      <c r="D676" s="213">
        <v>17031000312</v>
      </c>
      <c r="E676" s="213" t="s">
        <v>533</v>
      </c>
      <c r="F676" s="213" t="s">
        <v>534</v>
      </c>
      <c r="G676" s="213" t="s">
        <v>365</v>
      </c>
      <c r="H676" s="213" t="s">
        <v>590</v>
      </c>
      <c r="I676" s="213"/>
      <c r="J676" s="213"/>
      <c r="K676" s="213"/>
      <c r="L676" s="213"/>
      <c r="M676" s="213"/>
      <c r="N676" s="213"/>
      <c r="O676" s="213"/>
      <c r="P676" s="213"/>
      <c r="Q676" s="213"/>
      <c r="R676" s="213"/>
      <c r="S676" s="213"/>
      <c r="T676" s="213"/>
      <c r="U676" s="213" t="s">
        <v>559</v>
      </c>
      <c r="V676" s="213">
        <v>1</v>
      </c>
      <c r="W676" s="213" t="s">
        <v>560</v>
      </c>
      <c r="X676" s="213" t="s">
        <v>541</v>
      </c>
      <c r="Y676" s="213" t="s">
        <v>541</v>
      </c>
      <c r="Z676" s="212">
        <v>0</v>
      </c>
      <c r="AA676" s="212">
        <v>0</v>
      </c>
      <c r="AB676" s="217">
        <v>0.48008099999999998</v>
      </c>
      <c r="AC676" s="217">
        <v>0.772617</v>
      </c>
      <c r="AD676" s="212">
        <f t="shared" si="10"/>
        <v>0</v>
      </c>
    </row>
    <row r="677" spans="2:30" x14ac:dyDescent="0.15">
      <c r="B677" s="213">
        <v>17031004218</v>
      </c>
      <c r="C677" s="213">
        <v>17031000308</v>
      </c>
      <c r="D677" s="213">
        <v>17031000313</v>
      </c>
      <c r="E677" s="213" t="s">
        <v>533</v>
      </c>
      <c r="F677" s="213" t="s">
        <v>534</v>
      </c>
      <c r="G677" s="213" t="s">
        <v>365</v>
      </c>
      <c r="H677" s="213" t="s">
        <v>590</v>
      </c>
      <c r="I677" s="213"/>
      <c r="J677" s="213"/>
      <c r="K677" s="213"/>
      <c r="L677" s="213"/>
      <c r="M677" s="213"/>
      <c r="N677" s="213"/>
      <c r="O677" s="213"/>
      <c r="P677" s="213"/>
      <c r="Q677" s="213"/>
      <c r="R677" s="213"/>
      <c r="S677" s="213"/>
      <c r="T677" s="213"/>
      <c r="U677" s="213" t="s">
        <v>559</v>
      </c>
      <c r="V677" s="213">
        <v>1</v>
      </c>
      <c r="W677" s="213" t="s">
        <v>560</v>
      </c>
      <c r="X677" s="213" t="s">
        <v>541</v>
      </c>
      <c r="Y677" s="213" t="s">
        <v>541</v>
      </c>
      <c r="Z677" s="212">
        <v>0</v>
      </c>
      <c r="AA677" s="212">
        <v>0</v>
      </c>
      <c r="AB677" s="217">
        <v>9.6308000000000005E-2</v>
      </c>
      <c r="AC677" s="217">
        <v>0.15499299999999999</v>
      </c>
      <c r="AD677" s="212">
        <f t="shared" si="10"/>
        <v>0</v>
      </c>
    </row>
    <row r="678" spans="2:30" x14ac:dyDescent="0.15">
      <c r="B678" s="213">
        <v>17031004227</v>
      </c>
      <c r="C678" s="213">
        <v>17031000901</v>
      </c>
      <c r="D678" s="213">
        <v>17031000880</v>
      </c>
      <c r="E678" s="213" t="s">
        <v>533</v>
      </c>
      <c r="F678" s="213" t="s">
        <v>534</v>
      </c>
      <c r="G678" s="213" t="s">
        <v>365</v>
      </c>
      <c r="H678" s="213" t="s">
        <v>381</v>
      </c>
      <c r="I678" s="213"/>
      <c r="J678" s="213" t="s">
        <v>382</v>
      </c>
      <c r="K678" s="213"/>
      <c r="L678" s="213"/>
      <c r="M678" s="213"/>
      <c r="N678" s="213"/>
      <c r="O678" s="213"/>
      <c r="P678" s="213"/>
      <c r="Q678" s="213"/>
      <c r="R678" s="213"/>
      <c r="S678" s="213" t="s">
        <v>647</v>
      </c>
      <c r="T678" s="213"/>
      <c r="U678" s="213" t="s">
        <v>538</v>
      </c>
      <c r="V678" s="213">
        <v>2</v>
      </c>
      <c r="W678" s="213" t="s">
        <v>545</v>
      </c>
      <c r="X678" s="213" t="s">
        <v>540</v>
      </c>
      <c r="Y678" s="213" t="s">
        <v>580</v>
      </c>
      <c r="Z678" s="212">
        <v>22516</v>
      </c>
      <c r="AA678" s="212">
        <v>1290368</v>
      </c>
      <c r="AB678" s="217">
        <v>0.297344</v>
      </c>
      <c r="AC678" s="217">
        <v>0.47852899999999998</v>
      </c>
      <c r="AD678" s="212">
        <f t="shared" si="10"/>
        <v>383683.182592</v>
      </c>
    </row>
    <row r="679" spans="2:30" x14ac:dyDescent="0.15">
      <c r="B679" s="213">
        <v>17031004229</v>
      </c>
      <c r="C679" s="213">
        <v>17031001102</v>
      </c>
      <c r="D679" s="213">
        <v>17031001094</v>
      </c>
      <c r="E679" s="213" t="s">
        <v>533</v>
      </c>
      <c r="F679" s="213" t="s">
        <v>534</v>
      </c>
      <c r="G679" s="213" t="s">
        <v>365</v>
      </c>
      <c r="H679" s="213" t="s">
        <v>577</v>
      </c>
      <c r="I679" s="213"/>
      <c r="J679" s="213"/>
      <c r="K679" s="213"/>
      <c r="L679" s="213"/>
      <c r="M679" s="213"/>
      <c r="N679" s="213"/>
      <c r="O679" s="213"/>
      <c r="P679" s="213"/>
      <c r="Q679" s="213"/>
      <c r="R679" s="213"/>
      <c r="S679" s="213"/>
      <c r="T679" s="213"/>
      <c r="U679" s="213" t="s">
        <v>538</v>
      </c>
      <c r="V679" s="213">
        <v>1</v>
      </c>
      <c r="W679" s="213" t="s">
        <v>560</v>
      </c>
      <c r="X679" s="213" t="s">
        <v>541</v>
      </c>
      <c r="Y679" s="213" t="s">
        <v>541</v>
      </c>
      <c r="Z679" s="212">
        <v>0</v>
      </c>
      <c r="AA679" s="212">
        <v>0</v>
      </c>
      <c r="AB679" s="217">
        <v>0.22141</v>
      </c>
      <c r="AC679" s="217">
        <v>0.356325</v>
      </c>
      <c r="AD679" s="212">
        <f t="shared" si="10"/>
        <v>0</v>
      </c>
    </row>
    <row r="680" spans="2:30" x14ac:dyDescent="0.15">
      <c r="B680" s="213">
        <v>17031004238</v>
      </c>
      <c r="C680" s="213">
        <v>17031001577</v>
      </c>
      <c r="D680" s="213">
        <v>17031001576</v>
      </c>
      <c r="E680" s="213" t="s">
        <v>533</v>
      </c>
      <c r="F680" s="213" t="s">
        <v>534</v>
      </c>
      <c r="G680" s="213" t="s">
        <v>365</v>
      </c>
      <c r="H680" s="213" t="s">
        <v>382</v>
      </c>
      <c r="I680" s="213"/>
      <c r="J680" s="213"/>
      <c r="K680" s="213"/>
      <c r="L680" s="213"/>
      <c r="M680" s="213"/>
      <c r="N680" s="213"/>
      <c r="O680" s="213"/>
      <c r="P680" s="213"/>
      <c r="Q680" s="213"/>
      <c r="R680" s="213"/>
      <c r="S680" s="213" t="s">
        <v>576</v>
      </c>
      <c r="T680" s="213"/>
      <c r="U680" s="213" t="s">
        <v>559</v>
      </c>
      <c r="V680" s="213">
        <v>1</v>
      </c>
      <c r="W680" s="213" t="s">
        <v>560</v>
      </c>
      <c r="X680" s="213" t="s">
        <v>541</v>
      </c>
      <c r="Y680" s="213" t="s">
        <v>541</v>
      </c>
      <c r="Z680" s="212">
        <v>0</v>
      </c>
      <c r="AA680" s="212">
        <v>0</v>
      </c>
      <c r="AB680" s="217">
        <v>0.58224900000000002</v>
      </c>
      <c r="AC680" s="217">
        <v>0.93704100000000001</v>
      </c>
      <c r="AD680" s="212">
        <f t="shared" si="10"/>
        <v>0</v>
      </c>
    </row>
    <row r="681" spans="2:30" x14ac:dyDescent="0.15">
      <c r="B681" s="213">
        <v>17031004247</v>
      </c>
      <c r="C681" s="213">
        <v>17031001576</v>
      </c>
      <c r="D681" s="213">
        <v>17031001583</v>
      </c>
      <c r="E681" s="213" t="s">
        <v>533</v>
      </c>
      <c r="F681" s="213" t="s">
        <v>534</v>
      </c>
      <c r="G681" s="213" t="s">
        <v>365</v>
      </c>
      <c r="H681" s="213" t="s">
        <v>382</v>
      </c>
      <c r="I681" s="213"/>
      <c r="J681" s="213"/>
      <c r="K681" s="213"/>
      <c r="L681" s="213"/>
      <c r="M681" s="213"/>
      <c r="N681" s="213"/>
      <c r="O681" s="213"/>
      <c r="P681" s="213"/>
      <c r="Q681" s="213"/>
      <c r="R681" s="213"/>
      <c r="S681" s="213" t="s">
        <v>576</v>
      </c>
      <c r="T681" s="213"/>
      <c r="U681" s="213" t="s">
        <v>559</v>
      </c>
      <c r="V681" s="213">
        <v>1</v>
      </c>
      <c r="W681" s="213" t="s">
        <v>560</v>
      </c>
      <c r="X681" s="213" t="s">
        <v>541</v>
      </c>
      <c r="Y681" s="213" t="s">
        <v>541</v>
      </c>
      <c r="Z681" s="212">
        <v>0</v>
      </c>
      <c r="AA681" s="212">
        <v>0</v>
      </c>
      <c r="AB681" s="217">
        <v>1.237946</v>
      </c>
      <c r="AC681" s="217">
        <v>1.9922850000000001</v>
      </c>
      <c r="AD681" s="212">
        <f t="shared" si="10"/>
        <v>0</v>
      </c>
    </row>
    <row r="682" spans="2:30" x14ac:dyDescent="0.15">
      <c r="B682" s="213">
        <v>17031004259</v>
      </c>
      <c r="C682" s="213">
        <v>17031004617</v>
      </c>
      <c r="D682" s="213">
        <v>17031000302</v>
      </c>
      <c r="E682" s="213" t="s">
        <v>533</v>
      </c>
      <c r="F682" s="213" t="s">
        <v>534</v>
      </c>
      <c r="G682" s="213" t="s">
        <v>365</v>
      </c>
      <c r="H682" s="213" t="s">
        <v>552</v>
      </c>
      <c r="I682" s="213"/>
      <c r="J682" s="213" t="s">
        <v>542</v>
      </c>
      <c r="K682" s="213" t="s">
        <v>547</v>
      </c>
      <c r="L682" s="213" t="s">
        <v>563</v>
      </c>
      <c r="M682" s="213"/>
      <c r="N682" s="213"/>
      <c r="O682" s="213"/>
      <c r="P682" s="213"/>
      <c r="Q682" s="213"/>
      <c r="R682" s="213"/>
      <c r="S682" s="213" t="s">
        <v>564</v>
      </c>
      <c r="T682" s="213"/>
      <c r="U682" s="213" t="s">
        <v>538</v>
      </c>
      <c r="V682" s="213">
        <v>2</v>
      </c>
      <c r="W682" s="213" t="s">
        <v>545</v>
      </c>
      <c r="X682" s="213" t="s">
        <v>549</v>
      </c>
      <c r="Y682" s="213" t="s">
        <v>541</v>
      </c>
      <c r="Z682" s="212">
        <v>27817</v>
      </c>
      <c r="AA682" s="212">
        <v>2593647</v>
      </c>
      <c r="AB682" s="217">
        <v>1.169065</v>
      </c>
      <c r="AC682" s="217">
        <v>1.8814310000000001</v>
      </c>
      <c r="AD682" s="212">
        <f t="shared" si="10"/>
        <v>3032141.9300549999</v>
      </c>
    </row>
    <row r="683" spans="2:30" x14ac:dyDescent="0.15">
      <c r="B683" s="213">
        <v>17031004261</v>
      </c>
      <c r="C683" s="213">
        <v>17031004616</v>
      </c>
      <c r="D683" s="213">
        <v>17031000286</v>
      </c>
      <c r="E683" s="213" t="s">
        <v>533</v>
      </c>
      <c r="F683" s="213" t="s">
        <v>534</v>
      </c>
      <c r="G683" s="213" t="s">
        <v>365</v>
      </c>
      <c r="H683" s="213" t="s">
        <v>552</v>
      </c>
      <c r="I683" s="213"/>
      <c r="J683" s="213" t="s">
        <v>542</v>
      </c>
      <c r="K683" s="213" t="s">
        <v>547</v>
      </c>
      <c r="L683" s="213" t="s">
        <v>563</v>
      </c>
      <c r="M683" s="213"/>
      <c r="N683" s="213"/>
      <c r="O683" s="213"/>
      <c r="P683" s="213"/>
      <c r="Q683" s="213"/>
      <c r="R683" s="213"/>
      <c r="S683" s="213" t="s">
        <v>564</v>
      </c>
      <c r="T683" s="213"/>
      <c r="U683" s="213" t="s">
        <v>538</v>
      </c>
      <c r="V683" s="213">
        <v>2</v>
      </c>
      <c r="W683" s="213" t="s">
        <v>545</v>
      </c>
      <c r="X683" s="213" t="s">
        <v>549</v>
      </c>
      <c r="Y683" s="213" t="s">
        <v>541</v>
      </c>
      <c r="Z683" s="212">
        <v>27817</v>
      </c>
      <c r="AA683" s="212">
        <v>2593647</v>
      </c>
      <c r="AB683" s="217">
        <v>1.2281979999999999</v>
      </c>
      <c r="AC683" s="217">
        <v>1.9765980000000001</v>
      </c>
      <c r="AD683" s="212">
        <f t="shared" si="10"/>
        <v>3185512.0581059996</v>
      </c>
    </row>
    <row r="684" spans="2:30" x14ac:dyDescent="0.15">
      <c r="B684" s="213">
        <v>17031004273</v>
      </c>
      <c r="C684" s="213">
        <v>17031000843</v>
      </c>
      <c r="D684" s="213">
        <v>17031000825</v>
      </c>
      <c r="E684" s="213" t="s">
        <v>533</v>
      </c>
      <c r="F684" s="213" t="s">
        <v>534</v>
      </c>
      <c r="G684" s="213" t="s">
        <v>365</v>
      </c>
      <c r="H684" s="213" t="s">
        <v>547</v>
      </c>
      <c r="I684" s="213"/>
      <c r="J684" s="213" t="s">
        <v>542</v>
      </c>
      <c r="K684" s="213" t="s">
        <v>543</v>
      </c>
      <c r="L684" s="213" t="s">
        <v>382</v>
      </c>
      <c r="M684" s="213"/>
      <c r="N684" s="213"/>
      <c r="O684" s="213"/>
      <c r="P684" s="213"/>
      <c r="Q684" s="213"/>
      <c r="R684" s="213"/>
      <c r="S684" s="213" t="s">
        <v>602</v>
      </c>
      <c r="T684" s="213" t="s">
        <v>659</v>
      </c>
      <c r="U684" s="213" t="s">
        <v>538</v>
      </c>
      <c r="V684" s="213">
        <v>2</v>
      </c>
      <c r="W684" s="213" t="s">
        <v>545</v>
      </c>
      <c r="X684" s="213" t="s">
        <v>554</v>
      </c>
      <c r="Y684" s="213" t="s">
        <v>540</v>
      </c>
      <c r="Z684" s="212">
        <v>224110</v>
      </c>
      <c r="AA684" s="212">
        <v>9929890</v>
      </c>
      <c r="AB684" s="217">
        <v>0.30379499999999998</v>
      </c>
      <c r="AC684" s="217">
        <v>0.48891099999999998</v>
      </c>
      <c r="AD684" s="212">
        <f t="shared" si="10"/>
        <v>3016650.93255</v>
      </c>
    </row>
    <row r="685" spans="2:30" x14ac:dyDescent="0.15">
      <c r="B685" s="213">
        <v>17031004280</v>
      </c>
      <c r="C685" s="213">
        <v>17031000849</v>
      </c>
      <c r="D685" s="213">
        <v>17031000840</v>
      </c>
      <c r="E685" s="213" t="s">
        <v>533</v>
      </c>
      <c r="F685" s="213" t="s">
        <v>534</v>
      </c>
      <c r="G685" s="213" t="s">
        <v>365</v>
      </c>
      <c r="H685" s="213" t="s">
        <v>571</v>
      </c>
      <c r="I685" s="213"/>
      <c r="J685" s="213" t="s">
        <v>535</v>
      </c>
      <c r="K685" s="213" t="s">
        <v>543</v>
      </c>
      <c r="L685" s="213"/>
      <c r="M685" s="213"/>
      <c r="N685" s="213"/>
      <c r="O685" s="213"/>
      <c r="P685" s="213"/>
      <c r="Q685" s="213"/>
      <c r="R685" s="213"/>
      <c r="S685" s="213"/>
      <c r="T685" s="213"/>
      <c r="U685" s="213" t="s">
        <v>559</v>
      </c>
      <c r="V685" s="213">
        <v>1</v>
      </c>
      <c r="W685" s="213" t="s">
        <v>560</v>
      </c>
      <c r="X685" s="213" t="s">
        <v>541</v>
      </c>
      <c r="Y685" s="213" t="s">
        <v>541</v>
      </c>
      <c r="Z685" s="212">
        <v>72673</v>
      </c>
      <c r="AA685" s="212">
        <v>3647669</v>
      </c>
      <c r="AB685" s="217">
        <v>0.264069</v>
      </c>
      <c r="AC685" s="217">
        <v>0.424979</v>
      </c>
      <c r="AD685" s="212">
        <f t="shared" si="10"/>
        <v>963236.305161</v>
      </c>
    </row>
    <row r="686" spans="2:30" x14ac:dyDescent="0.15">
      <c r="B686" s="213">
        <v>17031004286</v>
      </c>
      <c r="C686" s="213">
        <v>17031000703</v>
      </c>
      <c r="D686" s="213">
        <v>17031000720</v>
      </c>
      <c r="E686" s="213" t="s">
        <v>533</v>
      </c>
      <c r="F686" s="213" t="s">
        <v>534</v>
      </c>
      <c r="G686" s="213" t="s">
        <v>365</v>
      </c>
      <c r="H686" s="213" t="s">
        <v>571</v>
      </c>
      <c r="I686" s="213"/>
      <c r="J686" s="213" t="s">
        <v>535</v>
      </c>
      <c r="K686" s="213" t="s">
        <v>552</v>
      </c>
      <c r="L686" s="213" t="s">
        <v>551</v>
      </c>
      <c r="M686" s="213" t="s">
        <v>563</v>
      </c>
      <c r="N686" s="213" t="s">
        <v>543</v>
      </c>
      <c r="O686" s="213"/>
      <c r="P686" s="213"/>
      <c r="Q686" s="213"/>
      <c r="R686" s="213"/>
      <c r="S686" s="213" t="s">
        <v>573</v>
      </c>
      <c r="T686" s="213"/>
      <c r="U686" s="213" t="s">
        <v>538</v>
      </c>
      <c r="V686" s="213">
        <v>2</v>
      </c>
      <c r="W686" s="213" t="s">
        <v>545</v>
      </c>
      <c r="X686" s="213" t="s">
        <v>554</v>
      </c>
      <c r="Y686" s="213" t="s">
        <v>580</v>
      </c>
      <c r="Z686" s="212">
        <v>62896</v>
      </c>
      <c r="AA686" s="212">
        <v>3756164</v>
      </c>
      <c r="AB686" s="217">
        <v>1.0305260000000001</v>
      </c>
      <c r="AC686" s="217">
        <v>1.6584749999999999</v>
      </c>
      <c r="AD686" s="212">
        <f t="shared" si="10"/>
        <v>3870824.6622640002</v>
      </c>
    </row>
    <row r="687" spans="2:30" x14ac:dyDescent="0.15">
      <c r="B687" s="213">
        <v>17031004288</v>
      </c>
      <c r="C687" s="213">
        <v>17031000759</v>
      </c>
      <c r="D687" s="213">
        <v>17031000795</v>
      </c>
      <c r="E687" s="213" t="s">
        <v>533</v>
      </c>
      <c r="F687" s="213" t="s">
        <v>534</v>
      </c>
      <c r="G687" s="213" t="s">
        <v>365</v>
      </c>
      <c r="H687" s="213" t="s">
        <v>571</v>
      </c>
      <c r="I687" s="213"/>
      <c r="J687" s="213" t="s">
        <v>381</v>
      </c>
      <c r="K687" s="213" t="s">
        <v>535</v>
      </c>
      <c r="L687" s="213" t="s">
        <v>552</v>
      </c>
      <c r="M687" s="213" t="s">
        <v>551</v>
      </c>
      <c r="N687" s="213" t="s">
        <v>563</v>
      </c>
      <c r="O687" s="213" t="s">
        <v>543</v>
      </c>
      <c r="P687" s="213"/>
      <c r="Q687" s="213"/>
      <c r="R687" s="213"/>
      <c r="S687" s="213" t="s">
        <v>573</v>
      </c>
      <c r="T687" s="213"/>
      <c r="U687" s="213" t="s">
        <v>538</v>
      </c>
      <c r="V687" s="213">
        <v>2</v>
      </c>
      <c r="W687" s="213" t="s">
        <v>545</v>
      </c>
      <c r="X687" s="213" t="s">
        <v>554</v>
      </c>
      <c r="Y687" s="213" t="s">
        <v>580</v>
      </c>
      <c r="Z687" s="212">
        <v>88172</v>
      </c>
      <c r="AA687" s="212">
        <v>5318772</v>
      </c>
      <c r="AB687" s="217">
        <v>0.81266799999999995</v>
      </c>
      <c r="AC687" s="217">
        <v>1.3078650000000001</v>
      </c>
      <c r="AD687" s="212">
        <f t="shared" si="10"/>
        <v>4322395.803696</v>
      </c>
    </row>
    <row r="688" spans="2:30" x14ac:dyDescent="0.15">
      <c r="B688" s="213">
        <v>17031004289</v>
      </c>
      <c r="C688" s="213">
        <v>17031000795</v>
      </c>
      <c r="D688" s="213">
        <v>17031000813</v>
      </c>
      <c r="E688" s="213" t="s">
        <v>533</v>
      </c>
      <c r="F688" s="213" t="s">
        <v>534</v>
      </c>
      <c r="G688" s="213" t="s">
        <v>365</v>
      </c>
      <c r="H688" s="213" t="s">
        <v>571</v>
      </c>
      <c r="I688" s="213"/>
      <c r="J688" s="213" t="s">
        <v>381</v>
      </c>
      <c r="K688" s="213" t="s">
        <v>535</v>
      </c>
      <c r="L688" s="213" t="s">
        <v>552</v>
      </c>
      <c r="M688" s="213" t="s">
        <v>551</v>
      </c>
      <c r="N688" s="213" t="s">
        <v>382</v>
      </c>
      <c r="O688" s="213" t="s">
        <v>563</v>
      </c>
      <c r="P688" s="213" t="s">
        <v>543</v>
      </c>
      <c r="Q688" s="213"/>
      <c r="R688" s="213"/>
      <c r="S688" s="213" t="s">
        <v>573</v>
      </c>
      <c r="T688" s="213"/>
      <c r="U688" s="213" t="s">
        <v>538</v>
      </c>
      <c r="V688" s="213">
        <v>2</v>
      </c>
      <c r="W688" s="213" t="s">
        <v>545</v>
      </c>
      <c r="X688" s="213" t="s">
        <v>554</v>
      </c>
      <c r="Y688" s="213" t="s">
        <v>580</v>
      </c>
      <c r="Z688" s="212">
        <v>67216</v>
      </c>
      <c r="AA688" s="212">
        <v>4171404</v>
      </c>
      <c r="AB688" s="217">
        <v>0.13969699999999999</v>
      </c>
      <c r="AC688" s="217">
        <v>0.22482199999999999</v>
      </c>
      <c r="AD688" s="212">
        <f t="shared" si="10"/>
        <v>582732.62458800001</v>
      </c>
    </row>
    <row r="689" spans="2:30" x14ac:dyDescent="0.15">
      <c r="B689" s="213">
        <v>17031004290</v>
      </c>
      <c r="C689" s="213">
        <v>17031000813</v>
      </c>
      <c r="D689" s="213">
        <v>17031000866</v>
      </c>
      <c r="E689" s="213" t="s">
        <v>533</v>
      </c>
      <c r="F689" s="213" t="s">
        <v>534</v>
      </c>
      <c r="G689" s="213" t="s">
        <v>365</v>
      </c>
      <c r="H689" s="213" t="s">
        <v>571</v>
      </c>
      <c r="I689" s="213"/>
      <c r="J689" s="213" t="s">
        <v>381</v>
      </c>
      <c r="K689" s="213" t="s">
        <v>535</v>
      </c>
      <c r="L689" s="213" t="s">
        <v>552</v>
      </c>
      <c r="M689" s="213" t="s">
        <v>551</v>
      </c>
      <c r="N689" s="213" t="s">
        <v>382</v>
      </c>
      <c r="O689" s="213" t="s">
        <v>563</v>
      </c>
      <c r="P689" s="213" t="s">
        <v>543</v>
      </c>
      <c r="Q689" s="213"/>
      <c r="R689" s="213"/>
      <c r="S689" s="213" t="s">
        <v>573</v>
      </c>
      <c r="T689" s="213"/>
      <c r="U689" s="213" t="s">
        <v>538</v>
      </c>
      <c r="V689" s="213">
        <v>2</v>
      </c>
      <c r="W689" s="213" t="s">
        <v>545</v>
      </c>
      <c r="X689" s="213" t="s">
        <v>554</v>
      </c>
      <c r="Y689" s="213" t="s">
        <v>580</v>
      </c>
      <c r="Z689" s="212">
        <v>137157</v>
      </c>
      <c r="AA689" s="212">
        <v>7586353</v>
      </c>
      <c r="AB689" s="217">
        <v>1.2698590000000001</v>
      </c>
      <c r="AC689" s="217">
        <v>2.043644</v>
      </c>
      <c r="AD689" s="212">
        <f t="shared" si="10"/>
        <v>9633598.6342270002</v>
      </c>
    </row>
    <row r="690" spans="2:30" x14ac:dyDescent="0.15">
      <c r="B690" s="213">
        <v>17031004537</v>
      </c>
      <c r="C690" s="213">
        <v>17031001013</v>
      </c>
      <c r="D690" s="213">
        <v>17031001037</v>
      </c>
      <c r="E690" s="213" t="s">
        <v>533</v>
      </c>
      <c r="F690" s="213" t="s">
        <v>534</v>
      </c>
      <c r="G690" s="213" t="s">
        <v>365</v>
      </c>
      <c r="H690" s="213" t="s">
        <v>551</v>
      </c>
      <c r="I690" s="213" t="s">
        <v>535</v>
      </c>
      <c r="J690" s="213"/>
      <c r="K690" s="213"/>
      <c r="L690" s="213"/>
      <c r="M690" s="213"/>
      <c r="N690" s="213"/>
      <c r="O690" s="213"/>
      <c r="P690" s="213"/>
      <c r="Q690" s="213"/>
      <c r="R690" s="213"/>
      <c r="S690" s="213" t="s">
        <v>553</v>
      </c>
      <c r="T690" s="213"/>
      <c r="U690" s="213" t="s">
        <v>538</v>
      </c>
      <c r="V690" s="213">
        <v>2</v>
      </c>
      <c r="W690" s="213" t="s">
        <v>582</v>
      </c>
      <c r="X690" s="213" t="s">
        <v>554</v>
      </c>
      <c r="Y690" s="213" t="s">
        <v>554</v>
      </c>
      <c r="Z690" s="212">
        <v>0</v>
      </c>
      <c r="AA690" s="212">
        <v>0</v>
      </c>
      <c r="AB690" s="217">
        <v>0.12667600000000001</v>
      </c>
      <c r="AC690" s="217">
        <v>0.20386499999999999</v>
      </c>
      <c r="AD690" s="212">
        <f t="shared" si="10"/>
        <v>0</v>
      </c>
    </row>
    <row r="691" spans="2:30" x14ac:dyDescent="0.15">
      <c r="B691" s="213">
        <v>17031004542</v>
      </c>
      <c r="C691" s="213">
        <v>17999024401</v>
      </c>
      <c r="D691" s="213">
        <v>17031004709</v>
      </c>
      <c r="E691" s="213" t="s">
        <v>533</v>
      </c>
      <c r="F691" s="213" t="s">
        <v>534</v>
      </c>
      <c r="G691" s="213" t="s">
        <v>365</v>
      </c>
      <c r="H691" s="213" t="s">
        <v>382</v>
      </c>
      <c r="I691" s="213"/>
      <c r="J691" s="213" t="s">
        <v>551</v>
      </c>
      <c r="K691" s="213" t="s">
        <v>555</v>
      </c>
      <c r="L691" s="213"/>
      <c r="M691" s="213"/>
      <c r="N691" s="213"/>
      <c r="O691" s="213"/>
      <c r="P691" s="213"/>
      <c r="Q691" s="213"/>
      <c r="R691" s="213"/>
      <c r="S691" s="213" t="s">
        <v>556</v>
      </c>
      <c r="T691" s="213"/>
      <c r="U691" s="213" t="s">
        <v>538</v>
      </c>
      <c r="V691" s="213">
        <v>2</v>
      </c>
      <c r="W691" s="213" t="s">
        <v>545</v>
      </c>
      <c r="X691" s="213" t="s">
        <v>540</v>
      </c>
      <c r="Y691" s="213" t="s">
        <v>580</v>
      </c>
      <c r="Z691" s="212">
        <v>846321</v>
      </c>
      <c r="AA691" s="212">
        <v>33452495</v>
      </c>
      <c r="AB691" s="217">
        <v>4.1378999999999999E-2</v>
      </c>
      <c r="AC691" s="217">
        <v>6.6592999999999999E-2</v>
      </c>
      <c r="AD691" s="212">
        <f t="shared" si="10"/>
        <v>1384230.790605</v>
      </c>
    </row>
    <row r="692" spans="2:30" x14ac:dyDescent="0.15">
      <c r="B692" s="213">
        <v>17031004582</v>
      </c>
      <c r="C692" s="213">
        <v>17031001207</v>
      </c>
      <c r="D692" s="213">
        <v>17031001205</v>
      </c>
      <c r="E692" s="213" t="s">
        <v>533</v>
      </c>
      <c r="F692" s="213" t="s">
        <v>534</v>
      </c>
      <c r="G692" s="213" t="s">
        <v>365</v>
      </c>
      <c r="H692" s="213" t="s">
        <v>577</v>
      </c>
      <c r="I692" s="213"/>
      <c r="J692" s="213"/>
      <c r="K692" s="213"/>
      <c r="L692" s="213"/>
      <c r="M692" s="213"/>
      <c r="N692" s="213"/>
      <c r="O692" s="213"/>
      <c r="P692" s="213"/>
      <c r="Q692" s="213"/>
      <c r="R692" s="213"/>
      <c r="S692" s="213"/>
      <c r="T692" s="213"/>
      <c r="U692" s="213" t="s">
        <v>538</v>
      </c>
      <c r="V692" s="213">
        <v>1</v>
      </c>
      <c r="W692" s="213" t="s">
        <v>560</v>
      </c>
      <c r="X692" s="213" t="s">
        <v>541</v>
      </c>
      <c r="Y692" s="213" t="s">
        <v>541</v>
      </c>
      <c r="Z692" s="212">
        <v>0</v>
      </c>
      <c r="AA692" s="212">
        <v>0</v>
      </c>
      <c r="AB692" s="217">
        <v>6.0274000000000001E-2</v>
      </c>
      <c r="AC692" s="217">
        <v>9.7002000000000005E-2</v>
      </c>
      <c r="AD692" s="212">
        <f t="shared" si="10"/>
        <v>0</v>
      </c>
    </row>
    <row r="693" spans="2:30" x14ac:dyDescent="0.15">
      <c r="B693" s="213">
        <v>17031004662</v>
      </c>
      <c r="C693" s="213">
        <v>17031000649</v>
      </c>
      <c r="D693" s="213">
        <v>17031000618</v>
      </c>
      <c r="E693" s="213" t="s">
        <v>533</v>
      </c>
      <c r="F693" s="213" t="s">
        <v>534</v>
      </c>
      <c r="G693" s="213" t="s">
        <v>365</v>
      </c>
      <c r="H693" s="213" t="s">
        <v>543</v>
      </c>
      <c r="I693" s="213"/>
      <c r="J693" s="213" t="s">
        <v>542</v>
      </c>
      <c r="K693" s="213" t="s">
        <v>547</v>
      </c>
      <c r="L693" s="213"/>
      <c r="M693" s="213"/>
      <c r="N693" s="213"/>
      <c r="O693" s="213"/>
      <c r="P693" s="213"/>
      <c r="Q693" s="213"/>
      <c r="R693" s="213"/>
      <c r="S693" s="213" t="s">
        <v>630</v>
      </c>
      <c r="T693" s="213" t="s">
        <v>700</v>
      </c>
      <c r="U693" s="213" t="s">
        <v>538</v>
      </c>
      <c r="V693" s="213">
        <v>2</v>
      </c>
      <c r="W693" s="213" t="s">
        <v>545</v>
      </c>
      <c r="X693" s="213" t="s">
        <v>541</v>
      </c>
      <c r="Y693" s="213" t="s">
        <v>541</v>
      </c>
      <c r="Z693" s="212">
        <v>173950</v>
      </c>
      <c r="AA693" s="212">
        <v>12511548</v>
      </c>
      <c r="AB693" s="217">
        <v>0.69225899999999996</v>
      </c>
      <c r="AC693" s="217">
        <v>1.114085</v>
      </c>
      <c r="AD693" s="212">
        <f t="shared" si="10"/>
        <v>8661231.706931999</v>
      </c>
    </row>
    <row r="694" spans="2:30" x14ac:dyDescent="0.15">
      <c r="B694" s="213">
        <v>17031004669</v>
      </c>
      <c r="C694" s="213">
        <v>17031001132</v>
      </c>
      <c r="D694" s="213">
        <v>17031001128</v>
      </c>
      <c r="E694" s="213" t="s">
        <v>533</v>
      </c>
      <c r="F694" s="213" t="s">
        <v>534</v>
      </c>
      <c r="G694" s="213" t="s">
        <v>365</v>
      </c>
      <c r="H694" s="213" t="s">
        <v>543</v>
      </c>
      <c r="I694" s="213"/>
      <c r="J694" s="213" t="s">
        <v>577</v>
      </c>
      <c r="K694" s="213"/>
      <c r="L694" s="213"/>
      <c r="M694" s="213"/>
      <c r="N694" s="213"/>
      <c r="O694" s="213"/>
      <c r="P694" s="213"/>
      <c r="Q694" s="213"/>
      <c r="R694" s="213"/>
      <c r="S694" s="213" t="s">
        <v>656</v>
      </c>
      <c r="T694" s="213"/>
      <c r="U694" s="213" t="s">
        <v>559</v>
      </c>
      <c r="V694" s="213">
        <v>1</v>
      </c>
      <c r="W694" s="213" t="s">
        <v>560</v>
      </c>
      <c r="X694" s="213" t="s">
        <v>541</v>
      </c>
      <c r="Y694" s="213" t="s">
        <v>541</v>
      </c>
      <c r="Z694" s="212">
        <v>0</v>
      </c>
      <c r="AA694" s="212">
        <v>0</v>
      </c>
      <c r="AB694" s="217">
        <v>0.52064299999999997</v>
      </c>
      <c r="AC694" s="217">
        <v>0.83789499999999995</v>
      </c>
      <c r="AD694" s="212">
        <f t="shared" si="10"/>
        <v>0</v>
      </c>
    </row>
    <row r="695" spans="2:30" x14ac:dyDescent="0.15">
      <c r="B695" s="213">
        <v>17031004680</v>
      </c>
      <c r="C695" s="213">
        <v>17031001172</v>
      </c>
      <c r="D695" s="213">
        <v>17031001167</v>
      </c>
      <c r="E695" s="213" t="s">
        <v>533</v>
      </c>
      <c r="F695" s="213" t="s">
        <v>534</v>
      </c>
      <c r="G695" s="213" t="s">
        <v>365</v>
      </c>
      <c r="H695" s="213" t="s">
        <v>547</v>
      </c>
      <c r="I695" s="213"/>
      <c r="J695" s="213"/>
      <c r="K695" s="213"/>
      <c r="L695" s="213"/>
      <c r="M695" s="213"/>
      <c r="N695" s="213"/>
      <c r="O695" s="213"/>
      <c r="P695" s="213"/>
      <c r="Q695" s="213"/>
      <c r="R695" s="213"/>
      <c r="S695" s="213"/>
      <c r="T695" s="213"/>
      <c r="U695" s="213" t="s">
        <v>538</v>
      </c>
      <c r="V695" s="213">
        <v>4</v>
      </c>
      <c r="W695" s="213" t="s">
        <v>545</v>
      </c>
      <c r="X695" s="213" t="s">
        <v>540</v>
      </c>
      <c r="Y695" s="213" t="s">
        <v>541</v>
      </c>
      <c r="Z695" s="212">
        <v>0</v>
      </c>
      <c r="AA695" s="212">
        <v>0</v>
      </c>
      <c r="AB695" s="217">
        <v>0.58590500000000001</v>
      </c>
      <c r="AC695" s="217">
        <v>0.94292399999999998</v>
      </c>
      <c r="AD695" s="212">
        <f t="shared" si="10"/>
        <v>0</v>
      </c>
    </row>
    <row r="696" spans="2:30" x14ac:dyDescent="0.15">
      <c r="B696" s="213">
        <v>17031004857</v>
      </c>
      <c r="C696" s="213">
        <v>17031007795</v>
      </c>
      <c r="D696" s="213">
        <v>17031001396</v>
      </c>
      <c r="E696" s="213" t="s">
        <v>533</v>
      </c>
      <c r="F696" s="213" t="s">
        <v>534</v>
      </c>
      <c r="G696" s="213" t="s">
        <v>365</v>
      </c>
      <c r="H696" s="213" t="s">
        <v>551</v>
      </c>
      <c r="I696" s="213"/>
      <c r="J696" s="213"/>
      <c r="K696" s="213"/>
      <c r="L696" s="213"/>
      <c r="M696" s="213"/>
      <c r="N696" s="213"/>
      <c r="O696" s="213"/>
      <c r="P696" s="213"/>
      <c r="Q696" s="213"/>
      <c r="R696" s="213"/>
      <c r="S696" s="213" t="s">
        <v>603</v>
      </c>
      <c r="T696" s="213"/>
      <c r="U696" s="213" t="s">
        <v>538</v>
      </c>
      <c r="V696" s="213">
        <v>2</v>
      </c>
      <c r="W696" s="213" t="s">
        <v>545</v>
      </c>
      <c r="X696" s="213" t="s">
        <v>540</v>
      </c>
      <c r="Y696" s="213" t="s">
        <v>575</v>
      </c>
      <c r="Z696" s="212">
        <v>1671878</v>
      </c>
      <c r="AA696" s="212">
        <v>66618044</v>
      </c>
      <c r="AB696" s="217">
        <v>2.8762750000000001</v>
      </c>
      <c r="AC696" s="217">
        <v>4.6289249999999997</v>
      </c>
      <c r="AD696" s="212">
        <f t="shared" si="10"/>
        <v>191611814.5061</v>
      </c>
    </row>
    <row r="697" spans="2:30" x14ac:dyDescent="0.15">
      <c r="B697" s="213">
        <v>17031004858</v>
      </c>
      <c r="C697" s="213">
        <v>17031001396</v>
      </c>
      <c r="D697" s="213">
        <v>17031001386</v>
      </c>
      <c r="E697" s="213" t="s">
        <v>533</v>
      </c>
      <c r="F697" s="213" t="s">
        <v>534</v>
      </c>
      <c r="G697" s="213" t="s">
        <v>365</v>
      </c>
      <c r="H697" s="213" t="s">
        <v>551</v>
      </c>
      <c r="I697" s="213"/>
      <c r="J697" s="213"/>
      <c r="K697" s="213"/>
      <c r="L697" s="213"/>
      <c r="M697" s="213"/>
      <c r="N697" s="213"/>
      <c r="O697" s="213"/>
      <c r="P697" s="213"/>
      <c r="Q697" s="213"/>
      <c r="R697" s="213"/>
      <c r="S697" s="213" t="s">
        <v>603</v>
      </c>
      <c r="T697" s="213"/>
      <c r="U697" s="213" t="s">
        <v>538</v>
      </c>
      <c r="V697" s="213">
        <v>1</v>
      </c>
      <c r="W697" s="213" t="s">
        <v>545</v>
      </c>
      <c r="X697" s="213" t="s">
        <v>554</v>
      </c>
      <c r="Y697" s="213" t="s">
        <v>575</v>
      </c>
      <c r="Z697" s="212">
        <v>0</v>
      </c>
      <c r="AA697" s="212">
        <v>0</v>
      </c>
      <c r="AB697" s="217">
        <v>8.2820000000000005E-2</v>
      </c>
      <c r="AC697" s="217">
        <v>0.13328599999999999</v>
      </c>
      <c r="AD697" s="212">
        <f t="shared" si="10"/>
        <v>0</v>
      </c>
    </row>
    <row r="698" spans="2:30" x14ac:dyDescent="0.15">
      <c r="B698" s="213">
        <v>17031004881</v>
      </c>
      <c r="C698" s="213">
        <v>17031001208</v>
      </c>
      <c r="D698" s="213">
        <v>17031001253</v>
      </c>
      <c r="E698" s="213" t="s">
        <v>533</v>
      </c>
      <c r="F698" s="213" t="s">
        <v>534</v>
      </c>
      <c r="G698" s="213" t="s">
        <v>365</v>
      </c>
      <c r="H698" s="213" t="s">
        <v>627</v>
      </c>
      <c r="I698" s="213"/>
      <c r="J698" s="213" t="s">
        <v>572</v>
      </c>
      <c r="K698" s="213"/>
      <c r="L698" s="213"/>
      <c r="M698" s="213"/>
      <c r="N698" s="213"/>
      <c r="O698" s="213"/>
      <c r="P698" s="213"/>
      <c r="Q698" s="213"/>
      <c r="R698" s="213"/>
      <c r="S698" s="213"/>
      <c r="T698" s="213"/>
      <c r="U698" s="213" t="s">
        <v>538</v>
      </c>
      <c r="V698" s="213">
        <v>2</v>
      </c>
      <c r="W698" s="213" t="s">
        <v>545</v>
      </c>
      <c r="X698" s="213" t="s">
        <v>540</v>
      </c>
      <c r="Y698" s="213" t="s">
        <v>541</v>
      </c>
      <c r="Z698" s="212">
        <v>14702</v>
      </c>
      <c r="AA698" s="212">
        <v>1326476</v>
      </c>
      <c r="AB698" s="217">
        <v>1.1512849999999999</v>
      </c>
      <c r="AC698" s="217">
        <v>1.8528169999999999</v>
      </c>
      <c r="AD698" s="212">
        <f t="shared" si="10"/>
        <v>1527151.9216599998</v>
      </c>
    </row>
    <row r="699" spans="2:30" x14ac:dyDescent="0.15">
      <c r="B699" s="213">
        <v>17031004882</v>
      </c>
      <c r="C699" s="213">
        <v>17031001253</v>
      </c>
      <c r="D699" s="213">
        <v>17031001279</v>
      </c>
      <c r="E699" s="213" t="s">
        <v>533</v>
      </c>
      <c r="F699" s="213" t="s">
        <v>534</v>
      </c>
      <c r="G699" s="213" t="s">
        <v>365</v>
      </c>
      <c r="H699" s="213" t="s">
        <v>627</v>
      </c>
      <c r="I699" s="213"/>
      <c r="J699" s="213" t="s">
        <v>572</v>
      </c>
      <c r="K699" s="213"/>
      <c r="L699" s="213"/>
      <c r="M699" s="213"/>
      <c r="N699" s="213"/>
      <c r="O699" s="213"/>
      <c r="P699" s="213"/>
      <c r="Q699" s="213"/>
      <c r="R699" s="213"/>
      <c r="S699" s="213"/>
      <c r="T699" s="213"/>
      <c r="U699" s="213" t="s">
        <v>538</v>
      </c>
      <c r="V699" s="213">
        <v>2</v>
      </c>
      <c r="W699" s="213" t="s">
        <v>545</v>
      </c>
      <c r="X699" s="213" t="s">
        <v>540</v>
      </c>
      <c r="Y699" s="213" t="s">
        <v>541</v>
      </c>
      <c r="Z699" s="212">
        <v>14702</v>
      </c>
      <c r="AA699" s="212">
        <v>1326476</v>
      </c>
      <c r="AB699" s="217">
        <v>1.2500329999999999</v>
      </c>
      <c r="AC699" s="217">
        <v>2.011736</v>
      </c>
      <c r="AD699" s="212">
        <f t="shared" si="10"/>
        <v>1658138.7737079998</v>
      </c>
    </row>
    <row r="700" spans="2:30" x14ac:dyDescent="0.15">
      <c r="B700" s="213">
        <v>17031004884</v>
      </c>
      <c r="C700" s="213">
        <v>17031001221</v>
      </c>
      <c r="D700" s="213">
        <v>17031001257</v>
      </c>
      <c r="E700" s="213" t="s">
        <v>533</v>
      </c>
      <c r="F700" s="213" t="s">
        <v>534</v>
      </c>
      <c r="G700" s="213" t="s">
        <v>365</v>
      </c>
      <c r="H700" s="213" t="s">
        <v>543</v>
      </c>
      <c r="I700" s="213"/>
      <c r="J700" s="213" t="s">
        <v>577</v>
      </c>
      <c r="K700" s="213"/>
      <c r="L700" s="213"/>
      <c r="M700" s="213"/>
      <c r="N700" s="213"/>
      <c r="O700" s="213"/>
      <c r="P700" s="213"/>
      <c r="Q700" s="213"/>
      <c r="R700" s="213"/>
      <c r="S700" s="213" t="s">
        <v>656</v>
      </c>
      <c r="T700" s="213"/>
      <c r="U700" s="213" t="s">
        <v>559</v>
      </c>
      <c r="V700" s="213">
        <v>1</v>
      </c>
      <c r="W700" s="213" t="s">
        <v>560</v>
      </c>
      <c r="X700" s="213" t="s">
        <v>541</v>
      </c>
      <c r="Y700" s="213" t="s">
        <v>541</v>
      </c>
      <c r="Z700" s="212">
        <v>0</v>
      </c>
      <c r="AA700" s="212">
        <v>0</v>
      </c>
      <c r="AB700" s="217">
        <v>0.81973700000000005</v>
      </c>
      <c r="AC700" s="217">
        <v>1.319242</v>
      </c>
      <c r="AD700" s="212">
        <f t="shared" si="10"/>
        <v>0</v>
      </c>
    </row>
    <row r="701" spans="2:30" x14ac:dyDescent="0.15">
      <c r="B701" s="213">
        <v>17031004885</v>
      </c>
      <c r="C701" s="213">
        <v>17031001267</v>
      </c>
      <c r="D701" s="213">
        <v>17031001257</v>
      </c>
      <c r="E701" s="213" t="s">
        <v>533</v>
      </c>
      <c r="F701" s="213" t="s">
        <v>534</v>
      </c>
      <c r="G701" s="213" t="s">
        <v>365</v>
      </c>
      <c r="H701" s="213" t="s">
        <v>613</v>
      </c>
      <c r="I701" s="213"/>
      <c r="J701" s="213" t="s">
        <v>577</v>
      </c>
      <c r="K701" s="213" t="s">
        <v>572</v>
      </c>
      <c r="L701" s="213"/>
      <c r="M701" s="213"/>
      <c r="N701" s="213"/>
      <c r="O701" s="213"/>
      <c r="P701" s="213"/>
      <c r="Q701" s="213"/>
      <c r="R701" s="213"/>
      <c r="S701" s="213"/>
      <c r="T701" s="213"/>
      <c r="U701" s="213" t="s">
        <v>559</v>
      </c>
      <c r="V701" s="213">
        <v>1</v>
      </c>
      <c r="W701" s="213" t="s">
        <v>560</v>
      </c>
      <c r="X701" s="213" t="s">
        <v>541</v>
      </c>
      <c r="Y701" s="213" t="s">
        <v>541</v>
      </c>
      <c r="Z701" s="212">
        <v>0</v>
      </c>
      <c r="AA701" s="212">
        <v>0</v>
      </c>
      <c r="AB701" s="217">
        <v>1.0982050000000001</v>
      </c>
      <c r="AC701" s="217">
        <v>1.767393</v>
      </c>
      <c r="AD701" s="212">
        <f t="shared" si="10"/>
        <v>0</v>
      </c>
    </row>
    <row r="702" spans="2:30" x14ac:dyDescent="0.15">
      <c r="B702" s="213">
        <v>17031004987</v>
      </c>
      <c r="C702" s="213">
        <v>17031007031</v>
      </c>
      <c r="D702" s="213">
        <v>17031007030</v>
      </c>
      <c r="E702" s="213" t="s">
        <v>533</v>
      </c>
      <c r="F702" s="213" t="s">
        <v>534</v>
      </c>
      <c r="G702" s="213" t="s">
        <v>365</v>
      </c>
      <c r="H702" s="213" t="s">
        <v>627</v>
      </c>
      <c r="I702" s="213"/>
      <c r="J702" s="213" t="s">
        <v>572</v>
      </c>
      <c r="K702" s="213"/>
      <c r="L702" s="213"/>
      <c r="M702" s="213"/>
      <c r="N702" s="213"/>
      <c r="O702" s="213"/>
      <c r="P702" s="213"/>
      <c r="Q702" s="213"/>
      <c r="R702" s="213"/>
      <c r="S702" s="213"/>
      <c r="T702" s="213"/>
      <c r="U702" s="213" t="s">
        <v>538</v>
      </c>
      <c r="V702" s="213">
        <v>2</v>
      </c>
      <c r="W702" s="213" t="s">
        <v>545</v>
      </c>
      <c r="X702" s="213" t="s">
        <v>540</v>
      </c>
      <c r="Y702" s="213" t="s">
        <v>541</v>
      </c>
      <c r="Z702" s="212">
        <v>14702</v>
      </c>
      <c r="AA702" s="212">
        <v>1326476</v>
      </c>
      <c r="AB702" s="217">
        <v>0.65910400000000002</v>
      </c>
      <c r="AC702" s="217">
        <v>1.060727</v>
      </c>
      <c r="AD702" s="212">
        <f t="shared" si="10"/>
        <v>874285.63750399998</v>
      </c>
    </row>
    <row r="703" spans="2:30" x14ac:dyDescent="0.15">
      <c r="B703" s="213">
        <v>17031004988</v>
      </c>
      <c r="C703" s="213">
        <v>17031001385</v>
      </c>
      <c r="D703" s="213">
        <v>99999022889</v>
      </c>
      <c r="E703" s="213" t="s">
        <v>533</v>
      </c>
      <c r="F703" s="213" t="s">
        <v>534</v>
      </c>
      <c r="G703" s="213" t="s">
        <v>365</v>
      </c>
      <c r="H703" s="213" t="s">
        <v>627</v>
      </c>
      <c r="I703" s="213"/>
      <c r="J703" s="213" t="s">
        <v>572</v>
      </c>
      <c r="K703" s="213"/>
      <c r="L703" s="213"/>
      <c r="M703" s="213"/>
      <c r="N703" s="213"/>
      <c r="O703" s="213"/>
      <c r="P703" s="213"/>
      <c r="Q703" s="213"/>
      <c r="R703" s="213"/>
      <c r="S703" s="213"/>
      <c r="T703" s="213"/>
      <c r="U703" s="213" t="s">
        <v>538</v>
      </c>
      <c r="V703" s="213">
        <v>2</v>
      </c>
      <c r="W703" s="213" t="s">
        <v>545</v>
      </c>
      <c r="X703" s="213" t="s">
        <v>540</v>
      </c>
      <c r="Y703" s="213" t="s">
        <v>541</v>
      </c>
      <c r="Z703" s="212">
        <v>14926</v>
      </c>
      <c r="AA703" s="212">
        <v>1326556</v>
      </c>
      <c r="AB703" s="217">
        <v>0.14540900000000001</v>
      </c>
      <c r="AC703" s="217">
        <v>0.234013</v>
      </c>
      <c r="AD703" s="212">
        <f t="shared" si="10"/>
        <v>192893.181404</v>
      </c>
    </row>
    <row r="704" spans="2:30" x14ac:dyDescent="0.15">
      <c r="B704" s="213">
        <v>17031005056</v>
      </c>
      <c r="C704" s="213">
        <v>17031001549</v>
      </c>
      <c r="D704" s="213">
        <v>17031001551</v>
      </c>
      <c r="E704" s="213" t="s">
        <v>533</v>
      </c>
      <c r="F704" s="213" t="s">
        <v>534</v>
      </c>
      <c r="G704" s="213" t="s">
        <v>365</v>
      </c>
      <c r="H704" s="213" t="s">
        <v>382</v>
      </c>
      <c r="I704" s="213"/>
      <c r="J704" s="213"/>
      <c r="K704" s="213"/>
      <c r="L704" s="213"/>
      <c r="M704" s="213"/>
      <c r="N704" s="213"/>
      <c r="O704" s="213"/>
      <c r="P704" s="213"/>
      <c r="Q704" s="213"/>
      <c r="R704" s="213"/>
      <c r="S704" s="213" t="s">
        <v>576</v>
      </c>
      <c r="T704" s="213"/>
      <c r="U704" s="213" t="s">
        <v>559</v>
      </c>
      <c r="V704" s="213">
        <v>1</v>
      </c>
      <c r="W704" s="213" t="s">
        <v>560</v>
      </c>
      <c r="X704" s="213" t="s">
        <v>541</v>
      </c>
      <c r="Y704" s="213" t="s">
        <v>541</v>
      </c>
      <c r="Z704" s="212">
        <v>0</v>
      </c>
      <c r="AA704" s="212">
        <v>0</v>
      </c>
      <c r="AB704" s="217">
        <v>0.183806</v>
      </c>
      <c r="AC704" s="217">
        <v>0.29580699999999999</v>
      </c>
      <c r="AD704" s="212">
        <f t="shared" si="10"/>
        <v>0</v>
      </c>
    </row>
    <row r="705" spans="2:30" x14ac:dyDescent="0.15">
      <c r="B705" s="213">
        <v>17031005066</v>
      </c>
      <c r="C705" s="213">
        <v>17031001409</v>
      </c>
      <c r="D705" s="213">
        <v>17031001408</v>
      </c>
      <c r="E705" s="213" t="s">
        <v>533</v>
      </c>
      <c r="F705" s="213" t="s">
        <v>534</v>
      </c>
      <c r="G705" s="213" t="s">
        <v>365</v>
      </c>
      <c r="H705" s="213" t="s">
        <v>382</v>
      </c>
      <c r="I705" s="213"/>
      <c r="J705" s="213" t="s">
        <v>542</v>
      </c>
      <c r="K705" s="213" t="s">
        <v>551</v>
      </c>
      <c r="L705" s="213" t="s">
        <v>555</v>
      </c>
      <c r="M705" s="213" t="s">
        <v>552</v>
      </c>
      <c r="N705" s="213"/>
      <c r="O705" s="213"/>
      <c r="P705" s="213"/>
      <c r="Q705" s="213"/>
      <c r="R705" s="213"/>
      <c r="S705" s="213" t="s">
        <v>556</v>
      </c>
      <c r="T705" s="213" t="s">
        <v>631</v>
      </c>
      <c r="U705" s="213" t="s">
        <v>538</v>
      </c>
      <c r="V705" s="213">
        <v>2</v>
      </c>
      <c r="W705" s="213" t="s">
        <v>545</v>
      </c>
      <c r="X705" s="213" t="s">
        <v>554</v>
      </c>
      <c r="Y705" s="213" t="s">
        <v>580</v>
      </c>
      <c r="Z705" s="212">
        <v>679825</v>
      </c>
      <c r="AA705" s="212">
        <v>32130584</v>
      </c>
      <c r="AB705" s="217">
        <v>0.44153500000000001</v>
      </c>
      <c r="AC705" s="217">
        <v>0.71058299999999996</v>
      </c>
      <c r="AD705" s="212">
        <f t="shared" si="10"/>
        <v>14186777.406440001</v>
      </c>
    </row>
    <row r="706" spans="2:30" x14ac:dyDescent="0.15">
      <c r="B706" s="213">
        <v>17031005083</v>
      </c>
      <c r="C706" s="213">
        <v>17031001324</v>
      </c>
      <c r="D706" s="213">
        <v>17031001349</v>
      </c>
      <c r="E706" s="213" t="s">
        <v>533</v>
      </c>
      <c r="F706" s="213" t="s">
        <v>534</v>
      </c>
      <c r="G706" s="213" t="s">
        <v>365</v>
      </c>
      <c r="H706" s="213" t="s">
        <v>543</v>
      </c>
      <c r="I706" s="213"/>
      <c r="J706" s="213"/>
      <c r="K706" s="213"/>
      <c r="L706" s="213"/>
      <c r="M706" s="213"/>
      <c r="N706" s="213"/>
      <c r="O706" s="213"/>
      <c r="P706" s="213"/>
      <c r="Q706" s="213"/>
      <c r="R706" s="213"/>
      <c r="S706" s="213"/>
      <c r="T706" s="213"/>
      <c r="U706" s="213" t="s">
        <v>559</v>
      </c>
      <c r="V706" s="213">
        <v>1</v>
      </c>
      <c r="W706" s="213" t="s">
        <v>560</v>
      </c>
      <c r="X706" s="213" t="s">
        <v>541</v>
      </c>
      <c r="Y706" s="213" t="s">
        <v>541</v>
      </c>
      <c r="Z706" s="212">
        <v>0</v>
      </c>
      <c r="AA706" s="212">
        <v>0</v>
      </c>
      <c r="AB706" s="217">
        <v>0.33901999999999999</v>
      </c>
      <c r="AC706" s="217">
        <v>0.54560200000000003</v>
      </c>
      <c r="AD706" s="212">
        <f t="shared" si="10"/>
        <v>0</v>
      </c>
    </row>
    <row r="707" spans="2:30" x14ac:dyDescent="0.15">
      <c r="B707" s="213">
        <v>17031005328</v>
      </c>
      <c r="C707" s="213">
        <v>17031000343</v>
      </c>
      <c r="D707" s="213">
        <v>17031007546</v>
      </c>
      <c r="E707" s="213" t="s">
        <v>533</v>
      </c>
      <c r="F707" s="213" t="s">
        <v>534</v>
      </c>
      <c r="G707" s="213" t="s">
        <v>365</v>
      </c>
      <c r="H707" s="213" t="s">
        <v>552</v>
      </c>
      <c r="I707" s="213"/>
      <c r="J707" s="213"/>
      <c r="K707" s="213"/>
      <c r="L707" s="213"/>
      <c r="M707" s="213"/>
      <c r="N707" s="213"/>
      <c r="O707" s="213"/>
      <c r="P707" s="213"/>
      <c r="Q707" s="213"/>
      <c r="R707" s="213"/>
      <c r="S707" s="213" t="s">
        <v>589</v>
      </c>
      <c r="T707" s="213"/>
      <c r="U707" s="213" t="s">
        <v>538</v>
      </c>
      <c r="V707" s="213">
        <v>1</v>
      </c>
      <c r="W707" s="213" t="s">
        <v>560</v>
      </c>
      <c r="X707" s="213" t="s">
        <v>541</v>
      </c>
      <c r="Y707" s="213" t="s">
        <v>541</v>
      </c>
      <c r="Z707" s="212">
        <v>0</v>
      </c>
      <c r="AA707" s="212">
        <v>0</v>
      </c>
      <c r="AB707" s="217">
        <v>0.20066700000000001</v>
      </c>
      <c r="AC707" s="217">
        <v>0.32294299999999998</v>
      </c>
      <c r="AD707" s="212">
        <f t="shared" si="10"/>
        <v>0</v>
      </c>
    </row>
    <row r="708" spans="2:30" x14ac:dyDescent="0.15">
      <c r="B708" s="213">
        <v>17031005332</v>
      </c>
      <c r="C708" s="213">
        <v>17031001553</v>
      </c>
      <c r="D708" s="213">
        <v>17031001552</v>
      </c>
      <c r="E708" s="213" t="s">
        <v>533</v>
      </c>
      <c r="F708" s="213" t="s">
        <v>534</v>
      </c>
      <c r="G708" s="213" t="s">
        <v>365</v>
      </c>
      <c r="H708" s="213" t="s">
        <v>382</v>
      </c>
      <c r="I708" s="213"/>
      <c r="J708" s="213"/>
      <c r="K708" s="213"/>
      <c r="L708" s="213"/>
      <c r="M708" s="213"/>
      <c r="N708" s="213"/>
      <c r="O708" s="213"/>
      <c r="P708" s="213"/>
      <c r="Q708" s="213"/>
      <c r="R708" s="213"/>
      <c r="S708" s="213" t="s">
        <v>576</v>
      </c>
      <c r="T708" s="213"/>
      <c r="U708" s="213" t="s">
        <v>559</v>
      </c>
      <c r="V708" s="213">
        <v>1</v>
      </c>
      <c r="W708" s="213" t="s">
        <v>560</v>
      </c>
      <c r="X708" s="213" t="s">
        <v>541</v>
      </c>
      <c r="Y708" s="213" t="s">
        <v>541</v>
      </c>
      <c r="Z708" s="212">
        <v>0</v>
      </c>
      <c r="AA708" s="212">
        <v>0</v>
      </c>
      <c r="AB708" s="217">
        <v>5.4078000000000001E-2</v>
      </c>
      <c r="AC708" s="217">
        <v>8.7030999999999997E-2</v>
      </c>
      <c r="AD708" s="212">
        <f t="shared" si="10"/>
        <v>0</v>
      </c>
    </row>
    <row r="709" spans="2:30" x14ac:dyDescent="0.15">
      <c r="B709" s="213">
        <v>17031005339</v>
      </c>
      <c r="C709" s="213">
        <v>17031000325</v>
      </c>
      <c r="D709" s="213">
        <v>17031000324</v>
      </c>
      <c r="E709" s="213" t="s">
        <v>533</v>
      </c>
      <c r="F709" s="213" t="s">
        <v>534</v>
      </c>
      <c r="G709" s="213" t="s">
        <v>365</v>
      </c>
      <c r="H709" s="213" t="s">
        <v>590</v>
      </c>
      <c r="I709" s="213"/>
      <c r="J709" s="213"/>
      <c r="K709" s="213"/>
      <c r="L709" s="213"/>
      <c r="M709" s="213"/>
      <c r="N709" s="213"/>
      <c r="O709" s="213"/>
      <c r="P709" s="213"/>
      <c r="Q709" s="213"/>
      <c r="R709" s="213"/>
      <c r="S709" s="213"/>
      <c r="T709" s="213"/>
      <c r="U709" s="213" t="s">
        <v>559</v>
      </c>
      <c r="V709" s="213">
        <v>1</v>
      </c>
      <c r="W709" s="213" t="s">
        <v>560</v>
      </c>
      <c r="X709" s="213" t="s">
        <v>541</v>
      </c>
      <c r="Y709" s="213" t="s">
        <v>541</v>
      </c>
      <c r="Z709" s="212">
        <v>0</v>
      </c>
      <c r="AA709" s="212">
        <v>0</v>
      </c>
      <c r="AB709" s="217">
        <v>0.62514499999999995</v>
      </c>
      <c r="AC709" s="217">
        <v>1.006076</v>
      </c>
      <c r="AD709" s="212">
        <f t="shared" si="10"/>
        <v>0</v>
      </c>
    </row>
    <row r="710" spans="2:30" x14ac:dyDescent="0.15">
      <c r="B710" s="213">
        <v>17031005365</v>
      </c>
      <c r="C710" s="213">
        <v>17031001184</v>
      </c>
      <c r="D710" s="213">
        <v>17031001190</v>
      </c>
      <c r="E710" s="213" t="s">
        <v>533</v>
      </c>
      <c r="F710" s="213" t="s">
        <v>534</v>
      </c>
      <c r="G710" s="213" t="s">
        <v>365</v>
      </c>
      <c r="H710" s="213" t="s">
        <v>543</v>
      </c>
      <c r="I710" s="213"/>
      <c r="J710" s="213"/>
      <c r="K710" s="213"/>
      <c r="L710" s="213"/>
      <c r="M710" s="213"/>
      <c r="N710" s="213"/>
      <c r="O710" s="213"/>
      <c r="P710" s="213"/>
      <c r="Q710" s="213"/>
      <c r="R710" s="213"/>
      <c r="S710" s="213" t="s">
        <v>604</v>
      </c>
      <c r="T710" s="213" t="s">
        <v>623</v>
      </c>
      <c r="U710" s="213" t="s">
        <v>538</v>
      </c>
      <c r="V710" s="213">
        <v>1</v>
      </c>
      <c r="W710" s="213" t="s">
        <v>545</v>
      </c>
      <c r="X710" s="213" t="s">
        <v>554</v>
      </c>
      <c r="Y710" s="213" t="s">
        <v>546</v>
      </c>
      <c r="Z710" s="212">
        <v>6400</v>
      </c>
      <c r="AA710" s="212">
        <v>597639</v>
      </c>
      <c r="AB710" s="217">
        <v>0.18354400000000001</v>
      </c>
      <c r="AC710" s="217">
        <v>0.29538599999999998</v>
      </c>
      <c r="AD710" s="212">
        <f t="shared" ref="AD710:AD773" si="11">AA710*AB710</f>
        <v>109693.052616</v>
      </c>
    </row>
    <row r="711" spans="2:30" x14ac:dyDescent="0.15">
      <c r="B711" s="213">
        <v>17031005367</v>
      </c>
      <c r="C711" s="213">
        <v>99999022913</v>
      </c>
      <c r="D711" s="213">
        <v>17031001388</v>
      </c>
      <c r="E711" s="213" t="s">
        <v>533</v>
      </c>
      <c r="F711" s="213" t="s">
        <v>534</v>
      </c>
      <c r="G711" s="213" t="s">
        <v>365</v>
      </c>
      <c r="H711" s="213" t="s">
        <v>543</v>
      </c>
      <c r="I711" s="213"/>
      <c r="J711" s="213"/>
      <c r="K711" s="213"/>
      <c r="L711" s="213"/>
      <c r="M711" s="213"/>
      <c r="N711" s="213"/>
      <c r="O711" s="213"/>
      <c r="P711" s="213"/>
      <c r="Q711" s="213"/>
      <c r="R711" s="213"/>
      <c r="S711" s="213" t="s">
        <v>604</v>
      </c>
      <c r="T711" s="213"/>
      <c r="U711" s="213" t="s">
        <v>538</v>
      </c>
      <c r="V711" s="213">
        <v>2</v>
      </c>
      <c r="W711" s="213" t="s">
        <v>582</v>
      </c>
      <c r="X711" s="213" t="s">
        <v>554</v>
      </c>
      <c r="Y711" s="213" t="s">
        <v>546</v>
      </c>
      <c r="Z711" s="212">
        <v>7400</v>
      </c>
      <c r="AA711" s="212">
        <v>692019</v>
      </c>
      <c r="AB711" s="217">
        <v>8.6748000000000006E-2</v>
      </c>
      <c r="AC711" s="217">
        <v>0.13960700000000001</v>
      </c>
      <c r="AD711" s="212">
        <f t="shared" si="11"/>
        <v>60031.264212000002</v>
      </c>
    </row>
    <row r="712" spans="2:30" x14ac:dyDescent="0.15">
      <c r="B712" s="213">
        <v>17031005368</v>
      </c>
      <c r="C712" s="213">
        <v>17031007018</v>
      </c>
      <c r="D712" s="213">
        <v>17031001383</v>
      </c>
      <c r="E712" s="213" t="s">
        <v>533</v>
      </c>
      <c r="F712" s="213" t="s">
        <v>534</v>
      </c>
      <c r="G712" s="213" t="s">
        <v>365</v>
      </c>
      <c r="H712" s="213" t="s">
        <v>543</v>
      </c>
      <c r="I712" s="213"/>
      <c r="J712" s="213"/>
      <c r="K712" s="213"/>
      <c r="L712" s="213"/>
      <c r="M712" s="213"/>
      <c r="N712" s="213"/>
      <c r="O712" s="213"/>
      <c r="P712" s="213"/>
      <c r="Q712" s="213"/>
      <c r="R712" s="213"/>
      <c r="S712" s="213" t="s">
        <v>604</v>
      </c>
      <c r="T712" s="213"/>
      <c r="U712" s="213" t="s">
        <v>538</v>
      </c>
      <c r="V712" s="213">
        <v>2</v>
      </c>
      <c r="W712" s="213" t="s">
        <v>545</v>
      </c>
      <c r="X712" s="213" t="s">
        <v>554</v>
      </c>
      <c r="Y712" s="213" t="s">
        <v>546</v>
      </c>
      <c r="Z712" s="212">
        <v>6440</v>
      </c>
      <c r="AA712" s="212">
        <v>601439</v>
      </c>
      <c r="AB712" s="217">
        <v>0.423398</v>
      </c>
      <c r="AC712" s="217">
        <v>0.68139499999999997</v>
      </c>
      <c r="AD712" s="212">
        <f t="shared" si="11"/>
        <v>254648.06972199999</v>
      </c>
    </row>
    <row r="713" spans="2:30" x14ac:dyDescent="0.15">
      <c r="B713" s="213">
        <v>17031005371</v>
      </c>
      <c r="C713" s="213">
        <v>17031001223</v>
      </c>
      <c r="D713" s="213">
        <v>17031001234</v>
      </c>
      <c r="E713" s="213" t="s">
        <v>533</v>
      </c>
      <c r="F713" s="213" t="s">
        <v>534</v>
      </c>
      <c r="G713" s="213" t="s">
        <v>365</v>
      </c>
      <c r="H713" s="213" t="s">
        <v>543</v>
      </c>
      <c r="I713" s="213"/>
      <c r="J713" s="213"/>
      <c r="K713" s="213"/>
      <c r="L713" s="213"/>
      <c r="M713" s="213"/>
      <c r="N713" s="213"/>
      <c r="O713" s="213"/>
      <c r="P713" s="213"/>
      <c r="Q713" s="213"/>
      <c r="R713" s="213"/>
      <c r="S713" s="213"/>
      <c r="T713" s="213"/>
      <c r="U713" s="213" t="s">
        <v>559</v>
      </c>
      <c r="V713" s="213">
        <v>1</v>
      </c>
      <c r="W713" s="213" t="s">
        <v>560</v>
      </c>
      <c r="X713" s="213" t="s">
        <v>541</v>
      </c>
      <c r="Y713" s="213" t="s">
        <v>541</v>
      </c>
      <c r="Z713" s="212">
        <v>0</v>
      </c>
      <c r="AA713" s="212">
        <v>0</v>
      </c>
      <c r="AB713" s="217">
        <v>0.30845499999999998</v>
      </c>
      <c r="AC713" s="217">
        <v>0.49641099999999999</v>
      </c>
      <c r="AD713" s="212">
        <f t="shared" si="11"/>
        <v>0</v>
      </c>
    </row>
    <row r="714" spans="2:30" x14ac:dyDescent="0.15">
      <c r="B714" s="213">
        <v>17031005373</v>
      </c>
      <c r="C714" s="213">
        <v>17031001234</v>
      </c>
      <c r="D714" s="213">
        <v>17031001249</v>
      </c>
      <c r="E714" s="213" t="s">
        <v>533</v>
      </c>
      <c r="F714" s="213" t="s">
        <v>534</v>
      </c>
      <c r="G714" s="213" t="s">
        <v>365</v>
      </c>
      <c r="H714" s="213" t="s">
        <v>543</v>
      </c>
      <c r="I714" s="213"/>
      <c r="J714" s="213"/>
      <c r="K714" s="213"/>
      <c r="L714" s="213"/>
      <c r="M714" s="213"/>
      <c r="N714" s="213"/>
      <c r="O714" s="213"/>
      <c r="P714" s="213"/>
      <c r="Q714" s="213"/>
      <c r="R714" s="213"/>
      <c r="S714" s="213"/>
      <c r="T714" s="213"/>
      <c r="U714" s="213" t="s">
        <v>559</v>
      </c>
      <c r="V714" s="213">
        <v>1</v>
      </c>
      <c r="W714" s="213" t="s">
        <v>560</v>
      </c>
      <c r="X714" s="213" t="s">
        <v>541</v>
      </c>
      <c r="Y714" s="213" t="s">
        <v>541</v>
      </c>
      <c r="Z714" s="212">
        <v>0</v>
      </c>
      <c r="AA714" s="212">
        <v>0</v>
      </c>
      <c r="AB714" s="217">
        <v>0.28068599999999999</v>
      </c>
      <c r="AC714" s="217">
        <v>0.45172099999999998</v>
      </c>
      <c r="AD714" s="212">
        <f t="shared" si="11"/>
        <v>0</v>
      </c>
    </row>
    <row r="715" spans="2:30" x14ac:dyDescent="0.15">
      <c r="B715" s="213">
        <v>17031005479</v>
      </c>
      <c r="C715" s="213">
        <v>17031000994</v>
      </c>
      <c r="D715" s="213">
        <v>17031004732</v>
      </c>
      <c r="E715" s="213" t="s">
        <v>533</v>
      </c>
      <c r="F715" s="213" t="s">
        <v>534</v>
      </c>
      <c r="G715" s="213" t="s">
        <v>365</v>
      </c>
      <c r="H715" s="213" t="s">
        <v>571</v>
      </c>
      <c r="I715" s="213"/>
      <c r="J715" s="213"/>
      <c r="K715" s="213"/>
      <c r="L715" s="213"/>
      <c r="M715" s="213"/>
      <c r="N715" s="213"/>
      <c r="O715" s="213"/>
      <c r="P715" s="213"/>
      <c r="Q715" s="213"/>
      <c r="R715" s="213"/>
      <c r="S715" s="213"/>
      <c r="T715" s="213"/>
      <c r="U715" s="213" t="s">
        <v>559</v>
      </c>
      <c r="V715" s="213">
        <v>1</v>
      </c>
      <c r="W715" s="213" t="s">
        <v>560</v>
      </c>
      <c r="X715" s="213" t="s">
        <v>541</v>
      </c>
      <c r="Y715" s="213" t="s">
        <v>541</v>
      </c>
      <c r="Z715" s="212">
        <v>0</v>
      </c>
      <c r="AA715" s="212">
        <v>0</v>
      </c>
      <c r="AB715" s="217">
        <v>9.0153999999999998E-2</v>
      </c>
      <c r="AC715" s="217">
        <v>0.14509</v>
      </c>
      <c r="AD715" s="212">
        <f t="shared" si="11"/>
        <v>0</v>
      </c>
    </row>
    <row r="716" spans="2:30" x14ac:dyDescent="0.15">
      <c r="B716" s="213">
        <v>17031005481</v>
      </c>
      <c r="C716" s="213">
        <v>17031007122</v>
      </c>
      <c r="D716" s="213">
        <v>17031007120</v>
      </c>
      <c r="E716" s="213" t="s">
        <v>533</v>
      </c>
      <c r="F716" s="213" t="s">
        <v>534</v>
      </c>
      <c r="G716" s="213" t="s">
        <v>365</v>
      </c>
      <c r="H716" s="213" t="s">
        <v>571</v>
      </c>
      <c r="I716" s="213"/>
      <c r="J716" s="213" t="s">
        <v>381</v>
      </c>
      <c r="K716" s="213" t="s">
        <v>535</v>
      </c>
      <c r="L716" s="213" t="s">
        <v>552</v>
      </c>
      <c r="M716" s="213" t="s">
        <v>551</v>
      </c>
      <c r="N716" s="213" t="s">
        <v>382</v>
      </c>
      <c r="O716" s="213"/>
      <c r="P716" s="213"/>
      <c r="Q716" s="213"/>
      <c r="R716" s="213"/>
      <c r="S716" s="213"/>
      <c r="T716" s="213" t="s">
        <v>574</v>
      </c>
      <c r="U716" s="213" t="s">
        <v>559</v>
      </c>
      <c r="V716" s="213">
        <v>1</v>
      </c>
      <c r="W716" s="213" t="s">
        <v>560</v>
      </c>
      <c r="X716" s="213" t="s">
        <v>541</v>
      </c>
      <c r="Y716" s="213" t="s">
        <v>541</v>
      </c>
      <c r="Z716" s="212">
        <v>0</v>
      </c>
      <c r="AA716" s="212">
        <v>0</v>
      </c>
      <c r="AB716" s="217">
        <v>0.72002299999999997</v>
      </c>
      <c r="AC716" s="217">
        <v>1.1587670000000001</v>
      </c>
      <c r="AD716" s="212">
        <f t="shared" si="11"/>
        <v>0</v>
      </c>
    </row>
    <row r="717" spans="2:30" x14ac:dyDescent="0.15">
      <c r="B717" s="213">
        <v>17031005513</v>
      </c>
      <c r="C717" s="213">
        <v>17031000616</v>
      </c>
      <c r="D717" s="213">
        <v>17031000613</v>
      </c>
      <c r="E717" s="213" t="s">
        <v>533</v>
      </c>
      <c r="F717" s="213" t="s">
        <v>534</v>
      </c>
      <c r="G717" s="213" t="s">
        <v>365</v>
      </c>
      <c r="H717" s="213" t="s">
        <v>547</v>
      </c>
      <c r="I717" s="213"/>
      <c r="J717" s="213" t="s">
        <v>627</v>
      </c>
      <c r="K717" s="213"/>
      <c r="L717" s="213"/>
      <c r="M717" s="213"/>
      <c r="N717" s="213"/>
      <c r="O717" s="213"/>
      <c r="P717" s="213"/>
      <c r="Q717" s="213"/>
      <c r="R717" s="213"/>
      <c r="S717" s="213"/>
      <c r="T717" s="213"/>
      <c r="U717" s="213" t="s">
        <v>538</v>
      </c>
      <c r="V717" s="213">
        <v>4</v>
      </c>
      <c r="W717" s="213" t="s">
        <v>545</v>
      </c>
      <c r="X717" s="213" t="s">
        <v>554</v>
      </c>
      <c r="Y717" s="213" t="s">
        <v>541</v>
      </c>
      <c r="Z717" s="212">
        <v>0</v>
      </c>
      <c r="AA717" s="212">
        <v>0</v>
      </c>
      <c r="AB717" s="217">
        <v>5.3345999999999998E-2</v>
      </c>
      <c r="AC717" s="217">
        <v>8.5851999999999998E-2</v>
      </c>
      <c r="AD717" s="212">
        <f t="shared" si="11"/>
        <v>0</v>
      </c>
    </row>
    <row r="718" spans="2:30" x14ac:dyDescent="0.15">
      <c r="B718" s="213">
        <v>17031005527</v>
      </c>
      <c r="C718" s="213">
        <v>17031000674</v>
      </c>
      <c r="D718" s="213">
        <v>17031000672</v>
      </c>
      <c r="E718" s="213" t="s">
        <v>533</v>
      </c>
      <c r="F718" s="213" t="s">
        <v>534</v>
      </c>
      <c r="G718" s="213" t="s">
        <v>365</v>
      </c>
      <c r="H718" s="213" t="s">
        <v>381</v>
      </c>
      <c r="I718" s="213"/>
      <c r="J718" s="213" t="s">
        <v>542</v>
      </c>
      <c r="K718" s="213" t="s">
        <v>577</v>
      </c>
      <c r="L718" s="213" t="s">
        <v>572</v>
      </c>
      <c r="M718" s="213" t="s">
        <v>547</v>
      </c>
      <c r="N718" s="213" t="s">
        <v>382</v>
      </c>
      <c r="O718" s="213"/>
      <c r="P718" s="213"/>
      <c r="Q718" s="213"/>
      <c r="R718" s="213"/>
      <c r="S718" s="213" t="s">
        <v>579</v>
      </c>
      <c r="T718" s="213" t="s">
        <v>640</v>
      </c>
      <c r="U718" s="213" t="s">
        <v>538</v>
      </c>
      <c r="V718" s="213">
        <v>4</v>
      </c>
      <c r="W718" s="213" t="s">
        <v>545</v>
      </c>
      <c r="X718" s="213" t="s">
        <v>540</v>
      </c>
      <c r="Y718" s="213" t="s">
        <v>549</v>
      </c>
      <c r="Z718" s="212">
        <v>2437713</v>
      </c>
      <c r="AA718" s="212">
        <v>67580400</v>
      </c>
      <c r="AB718" s="217">
        <v>5.3650000000000003E-2</v>
      </c>
      <c r="AC718" s="217">
        <v>8.6342000000000002E-2</v>
      </c>
      <c r="AD718" s="212">
        <f t="shared" si="11"/>
        <v>3625688.4600000004</v>
      </c>
    </row>
    <row r="719" spans="2:30" x14ac:dyDescent="0.15">
      <c r="B719" s="213">
        <v>17031005648</v>
      </c>
      <c r="C719" s="213">
        <v>17031001165</v>
      </c>
      <c r="D719" s="213">
        <v>17031001163</v>
      </c>
      <c r="E719" s="213" t="s">
        <v>533</v>
      </c>
      <c r="F719" s="213" t="s">
        <v>534</v>
      </c>
      <c r="G719" s="213" t="s">
        <v>365</v>
      </c>
      <c r="H719" s="213" t="s">
        <v>571</v>
      </c>
      <c r="I719" s="213"/>
      <c r="J719" s="213"/>
      <c r="K719" s="213"/>
      <c r="L719" s="213"/>
      <c r="M719" s="213"/>
      <c r="N719" s="213"/>
      <c r="O719" s="213"/>
      <c r="P719" s="213"/>
      <c r="Q719" s="213"/>
      <c r="R719" s="213"/>
      <c r="S719" s="213" t="s">
        <v>573</v>
      </c>
      <c r="T719" s="213"/>
      <c r="U719" s="213" t="s">
        <v>538</v>
      </c>
      <c r="V719" s="213">
        <v>1</v>
      </c>
      <c r="W719" s="213" t="s">
        <v>545</v>
      </c>
      <c r="X719" s="213" t="s">
        <v>541</v>
      </c>
      <c r="Y719" s="213" t="s">
        <v>554</v>
      </c>
      <c r="Z719" s="212">
        <v>0</v>
      </c>
      <c r="AA719" s="212">
        <v>0</v>
      </c>
      <c r="AB719" s="217">
        <v>0.115801</v>
      </c>
      <c r="AC719" s="217">
        <v>0.186364</v>
      </c>
      <c r="AD719" s="212">
        <f t="shared" si="11"/>
        <v>0</v>
      </c>
    </row>
    <row r="720" spans="2:30" x14ac:dyDescent="0.15">
      <c r="B720" s="213">
        <v>17031005651</v>
      </c>
      <c r="C720" s="213">
        <v>17031000669</v>
      </c>
      <c r="D720" s="213">
        <v>17031000682</v>
      </c>
      <c r="E720" s="213" t="s">
        <v>533</v>
      </c>
      <c r="F720" s="213" t="s">
        <v>534</v>
      </c>
      <c r="G720" s="213" t="s">
        <v>365</v>
      </c>
      <c r="H720" s="213" t="s">
        <v>644</v>
      </c>
      <c r="I720" s="213"/>
      <c r="J720" s="213"/>
      <c r="K720" s="213"/>
      <c r="L720" s="213"/>
      <c r="M720" s="213"/>
      <c r="N720" s="213"/>
      <c r="O720" s="213"/>
      <c r="P720" s="213"/>
      <c r="Q720" s="213"/>
      <c r="R720" s="213"/>
      <c r="S720" s="213"/>
      <c r="T720" s="213"/>
      <c r="U720" s="213" t="s">
        <v>559</v>
      </c>
      <c r="V720" s="213">
        <v>1</v>
      </c>
      <c r="W720" s="213" t="s">
        <v>560</v>
      </c>
      <c r="X720" s="213" t="s">
        <v>541</v>
      </c>
      <c r="Y720" s="213" t="s">
        <v>541</v>
      </c>
      <c r="Z720" s="212">
        <v>0</v>
      </c>
      <c r="AA720" s="212">
        <v>0</v>
      </c>
      <c r="AB720" s="217">
        <v>1.019398</v>
      </c>
      <c r="AC720" s="217">
        <v>1.640566</v>
      </c>
      <c r="AD720" s="212">
        <f t="shared" si="11"/>
        <v>0</v>
      </c>
    </row>
    <row r="721" spans="2:30" x14ac:dyDescent="0.15">
      <c r="B721" s="213">
        <v>17031005657</v>
      </c>
      <c r="C721" s="213">
        <v>17031000535</v>
      </c>
      <c r="D721" s="213">
        <v>17031000542</v>
      </c>
      <c r="E721" s="213" t="s">
        <v>533</v>
      </c>
      <c r="F721" s="213" t="s">
        <v>534</v>
      </c>
      <c r="G721" s="213" t="s">
        <v>365</v>
      </c>
      <c r="H721" s="213" t="s">
        <v>382</v>
      </c>
      <c r="I721" s="213"/>
      <c r="J721" s="213"/>
      <c r="K721" s="213"/>
      <c r="L721" s="213"/>
      <c r="M721" s="213"/>
      <c r="N721" s="213"/>
      <c r="O721" s="213"/>
      <c r="P721" s="213"/>
      <c r="Q721" s="213"/>
      <c r="R721" s="213"/>
      <c r="S721" s="213" t="s">
        <v>646</v>
      </c>
      <c r="T721" s="213"/>
      <c r="U721" s="213" t="s">
        <v>559</v>
      </c>
      <c r="V721" s="213">
        <v>1</v>
      </c>
      <c r="W721" s="213" t="s">
        <v>560</v>
      </c>
      <c r="X721" s="213" t="s">
        <v>541</v>
      </c>
      <c r="Y721" s="213" t="s">
        <v>541</v>
      </c>
      <c r="Z721" s="212">
        <v>0</v>
      </c>
      <c r="AA721" s="212">
        <v>0</v>
      </c>
      <c r="AB721" s="217">
        <v>0.17304900000000001</v>
      </c>
      <c r="AC721" s="217">
        <v>0.27849499999999999</v>
      </c>
      <c r="AD721" s="212">
        <f t="shared" si="11"/>
        <v>0</v>
      </c>
    </row>
    <row r="722" spans="2:30" x14ac:dyDescent="0.15">
      <c r="B722" s="213">
        <v>17031005679</v>
      </c>
      <c r="C722" s="213">
        <v>17031004745</v>
      </c>
      <c r="D722" s="213">
        <v>17031001391</v>
      </c>
      <c r="E722" s="213" t="s">
        <v>533</v>
      </c>
      <c r="F722" s="213" t="s">
        <v>534</v>
      </c>
      <c r="G722" s="213" t="s">
        <v>365</v>
      </c>
      <c r="H722" s="213" t="s">
        <v>557</v>
      </c>
      <c r="I722" s="213"/>
      <c r="J722" s="213" t="s">
        <v>569</v>
      </c>
      <c r="K722" s="213" t="s">
        <v>551</v>
      </c>
      <c r="L722" s="213" t="s">
        <v>543</v>
      </c>
      <c r="M722" s="213" t="s">
        <v>552</v>
      </c>
      <c r="N722" s="213"/>
      <c r="O722" s="213"/>
      <c r="P722" s="213"/>
      <c r="Q722" s="213"/>
      <c r="R722" s="213"/>
      <c r="S722" s="213" t="s">
        <v>570</v>
      </c>
      <c r="T722" s="213"/>
      <c r="U722" s="213" t="s">
        <v>538</v>
      </c>
      <c r="V722" s="213">
        <v>2</v>
      </c>
      <c r="W722" s="213" t="s">
        <v>545</v>
      </c>
      <c r="X722" s="213" t="s">
        <v>540</v>
      </c>
      <c r="Y722" s="213" t="s">
        <v>540</v>
      </c>
      <c r="Z722" s="212">
        <v>17948</v>
      </c>
      <c r="AA722" s="212">
        <v>1466188</v>
      </c>
      <c r="AB722" s="217">
        <v>2.8323239999999998</v>
      </c>
      <c r="AC722" s="217">
        <v>4.5581930000000002</v>
      </c>
      <c r="AD722" s="212">
        <f t="shared" si="11"/>
        <v>4152719.4609119999</v>
      </c>
    </row>
    <row r="723" spans="2:30" x14ac:dyDescent="0.15">
      <c r="B723" s="213">
        <v>17031005686</v>
      </c>
      <c r="C723" s="213">
        <v>17031001526</v>
      </c>
      <c r="D723" s="213">
        <v>17031001547</v>
      </c>
      <c r="E723" s="213" t="s">
        <v>533</v>
      </c>
      <c r="F723" s="213" t="s">
        <v>534</v>
      </c>
      <c r="G723" s="213" t="s">
        <v>365</v>
      </c>
      <c r="H723" s="213" t="s">
        <v>382</v>
      </c>
      <c r="I723" s="213"/>
      <c r="J723" s="213"/>
      <c r="K723" s="213"/>
      <c r="L723" s="213"/>
      <c r="M723" s="213"/>
      <c r="N723" s="213"/>
      <c r="O723" s="213"/>
      <c r="P723" s="213"/>
      <c r="Q723" s="213"/>
      <c r="R723" s="213"/>
      <c r="S723" s="213" t="s">
        <v>576</v>
      </c>
      <c r="T723" s="213"/>
      <c r="U723" s="213" t="s">
        <v>559</v>
      </c>
      <c r="V723" s="213">
        <v>1</v>
      </c>
      <c r="W723" s="213" t="s">
        <v>560</v>
      </c>
      <c r="X723" s="213" t="s">
        <v>541</v>
      </c>
      <c r="Y723" s="213" t="s">
        <v>541</v>
      </c>
      <c r="Z723" s="212">
        <v>0</v>
      </c>
      <c r="AA723" s="212">
        <v>0</v>
      </c>
      <c r="AB723" s="217">
        <v>0.96380100000000002</v>
      </c>
      <c r="AC723" s="217">
        <v>1.551091</v>
      </c>
      <c r="AD723" s="212">
        <f t="shared" si="11"/>
        <v>0</v>
      </c>
    </row>
    <row r="724" spans="2:30" x14ac:dyDescent="0.15">
      <c r="B724" s="213">
        <v>17031005687</v>
      </c>
      <c r="C724" s="213">
        <v>17031001554</v>
      </c>
      <c r="D724" s="213">
        <v>17031001557</v>
      </c>
      <c r="E724" s="213" t="s">
        <v>533</v>
      </c>
      <c r="F724" s="213" t="s">
        <v>534</v>
      </c>
      <c r="G724" s="213" t="s">
        <v>365</v>
      </c>
      <c r="H724" s="213" t="s">
        <v>543</v>
      </c>
      <c r="I724" s="213"/>
      <c r="J724" s="213"/>
      <c r="K724" s="213"/>
      <c r="L724" s="213"/>
      <c r="M724" s="213"/>
      <c r="N724" s="213"/>
      <c r="O724" s="213"/>
      <c r="P724" s="213"/>
      <c r="Q724" s="213"/>
      <c r="R724" s="213"/>
      <c r="S724" s="213" t="s">
        <v>670</v>
      </c>
      <c r="T724" s="213"/>
      <c r="U724" s="213" t="s">
        <v>559</v>
      </c>
      <c r="V724" s="213">
        <v>1</v>
      </c>
      <c r="W724" s="213" t="s">
        <v>560</v>
      </c>
      <c r="X724" s="213" t="s">
        <v>541</v>
      </c>
      <c r="Y724" s="213" t="s">
        <v>541</v>
      </c>
      <c r="Z724" s="212">
        <v>40</v>
      </c>
      <c r="AA724" s="212">
        <v>3520</v>
      </c>
      <c r="AB724" s="217">
        <v>0.48374099999999998</v>
      </c>
      <c r="AC724" s="217">
        <v>0.77850799999999998</v>
      </c>
      <c r="AD724" s="212">
        <f t="shared" si="11"/>
        <v>1702.7683199999999</v>
      </c>
    </row>
    <row r="725" spans="2:30" x14ac:dyDescent="0.15">
      <c r="B725" s="213">
        <v>17031005739</v>
      </c>
      <c r="C725" s="213">
        <v>17031001589</v>
      </c>
      <c r="D725" s="213">
        <v>17031001564</v>
      </c>
      <c r="E725" s="213" t="s">
        <v>533</v>
      </c>
      <c r="F725" s="213" t="s">
        <v>534</v>
      </c>
      <c r="G725" s="213" t="s">
        <v>365</v>
      </c>
      <c r="H725" s="213" t="s">
        <v>535</v>
      </c>
      <c r="I725" s="213"/>
      <c r="J725" s="213" t="s">
        <v>382</v>
      </c>
      <c r="K725" s="213"/>
      <c r="L725" s="213"/>
      <c r="M725" s="213"/>
      <c r="N725" s="213"/>
      <c r="O725" s="213"/>
      <c r="P725" s="213"/>
      <c r="Q725" s="213"/>
      <c r="R725" s="213"/>
      <c r="S725" s="213"/>
      <c r="T725" s="213"/>
      <c r="U725" s="213" t="s">
        <v>538</v>
      </c>
      <c r="V725" s="213">
        <v>1</v>
      </c>
      <c r="W725" s="213" t="s">
        <v>582</v>
      </c>
      <c r="X725" s="213" t="s">
        <v>541</v>
      </c>
      <c r="Y725" s="213" t="s">
        <v>540</v>
      </c>
      <c r="Z725" s="212">
        <v>20265</v>
      </c>
      <c r="AA725" s="212">
        <v>1875368</v>
      </c>
      <c r="AB725" s="217">
        <v>0.86437699999999995</v>
      </c>
      <c r="AC725" s="217">
        <v>1.3910830000000001</v>
      </c>
      <c r="AD725" s="212">
        <f t="shared" si="11"/>
        <v>1621024.9657359999</v>
      </c>
    </row>
    <row r="726" spans="2:30" x14ac:dyDescent="0.15">
      <c r="B726" s="213">
        <v>17031005741</v>
      </c>
      <c r="C726" s="213">
        <v>17031001274</v>
      </c>
      <c r="D726" s="213">
        <v>17031001268</v>
      </c>
      <c r="E726" s="213" t="s">
        <v>533</v>
      </c>
      <c r="F726" s="213" t="s">
        <v>534</v>
      </c>
      <c r="G726" s="213" t="s">
        <v>365</v>
      </c>
      <c r="H726" s="213" t="s">
        <v>613</v>
      </c>
      <c r="I726" s="213"/>
      <c r="J726" s="213" t="s">
        <v>577</v>
      </c>
      <c r="K726" s="213" t="s">
        <v>572</v>
      </c>
      <c r="L726" s="213"/>
      <c r="M726" s="213"/>
      <c r="N726" s="213"/>
      <c r="O726" s="213"/>
      <c r="P726" s="213"/>
      <c r="Q726" s="213"/>
      <c r="R726" s="213"/>
      <c r="S726" s="213"/>
      <c r="T726" s="213"/>
      <c r="U726" s="213" t="s">
        <v>559</v>
      </c>
      <c r="V726" s="213">
        <v>1</v>
      </c>
      <c r="W726" s="213" t="s">
        <v>560</v>
      </c>
      <c r="X726" s="213" t="s">
        <v>541</v>
      </c>
      <c r="Y726" s="213" t="s">
        <v>541</v>
      </c>
      <c r="Z726" s="212">
        <v>0</v>
      </c>
      <c r="AA726" s="212">
        <v>0</v>
      </c>
      <c r="AB726" s="217">
        <v>0.92963700000000005</v>
      </c>
      <c r="AC726" s="217">
        <v>1.4961089999999999</v>
      </c>
      <c r="AD726" s="212">
        <f t="shared" si="11"/>
        <v>0</v>
      </c>
    </row>
    <row r="727" spans="2:30" x14ac:dyDescent="0.15">
      <c r="B727" s="213">
        <v>17031005743</v>
      </c>
      <c r="C727" s="213">
        <v>17031001279</v>
      </c>
      <c r="D727" s="213">
        <v>17031001273</v>
      </c>
      <c r="E727" s="213" t="s">
        <v>533</v>
      </c>
      <c r="F727" s="213" t="s">
        <v>534</v>
      </c>
      <c r="G727" s="213" t="s">
        <v>365</v>
      </c>
      <c r="H727" s="213" t="s">
        <v>613</v>
      </c>
      <c r="I727" s="213"/>
      <c r="J727" s="213" t="s">
        <v>572</v>
      </c>
      <c r="K727" s="213"/>
      <c r="L727" s="213"/>
      <c r="M727" s="213"/>
      <c r="N727" s="213"/>
      <c r="O727" s="213"/>
      <c r="P727" s="213"/>
      <c r="Q727" s="213"/>
      <c r="R727" s="213"/>
      <c r="S727" s="213"/>
      <c r="T727" s="213"/>
      <c r="U727" s="213" t="s">
        <v>559</v>
      </c>
      <c r="V727" s="213">
        <v>1</v>
      </c>
      <c r="W727" s="213" t="s">
        <v>560</v>
      </c>
      <c r="X727" s="213" t="s">
        <v>541</v>
      </c>
      <c r="Y727" s="213" t="s">
        <v>541</v>
      </c>
      <c r="Z727" s="212">
        <v>0</v>
      </c>
      <c r="AA727" s="212">
        <v>0</v>
      </c>
      <c r="AB727" s="217">
        <v>0.74407100000000004</v>
      </c>
      <c r="AC727" s="217">
        <v>1.197468</v>
      </c>
      <c r="AD727" s="212">
        <f t="shared" si="11"/>
        <v>0</v>
      </c>
    </row>
    <row r="728" spans="2:30" x14ac:dyDescent="0.15">
      <c r="B728" s="213">
        <v>17031005763</v>
      </c>
      <c r="C728" s="213">
        <v>17031001179</v>
      </c>
      <c r="D728" s="213">
        <v>17031001191</v>
      </c>
      <c r="E728" s="213" t="s">
        <v>533</v>
      </c>
      <c r="F728" s="213" t="s">
        <v>534</v>
      </c>
      <c r="G728" s="213" t="s">
        <v>365</v>
      </c>
      <c r="H728" s="213" t="s">
        <v>571</v>
      </c>
      <c r="I728" s="213"/>
      <c r="J728" s="213" t="s">
        <v>577</v>
      </c>
      <c r="K728" s="213"/>
      <c r="L728" s="213"/>
      <c r="M728" s="213"/>
      <c r="N728" s="213"/>
      <c r="O728" s="213"/>
      <c r="P728" s="213"/>
      <c r="Q728" s="213"/>
      <c r="R728" s="213"/>
      <c r="S728" s="213" t="s">
        <v>573</v>
      </c>
      <c r="T728" s="213"/>
      <c r="U728" s="213" t="s">
        <v>538</v>
      </c>
      <c r="V728" s="213">
        <v>1</v>
      </c>
      <c r="W728" s="213" t="s">
        <v>545</v>
      </c>
      <c r="X728" s="213" t="s">
        <v>541</v>
      </c>
      <c r="Y728" s="213" t="s">
        <v>541</v>
      </c>
      <c r="Z728" s="212">
        <v>0</v>
      </c>
      <c r="AA728" s="212">
        <v>0</v>
      </c>
      <c r="AB728" s="217">
        <v>0.693963</v>
      </c>
      <c r="AC728" s="217">
        <v>1.116827</v>
      </c>
      <c r="AD728" s="212">
        <f t="shared" si="11"/>
        <v>0</v>
      </c>
    </row>
    <row r="729" spans="2:30" x14ac:dyDescent="0.15">
      <c r="B729" s="213">
        <v>17031005850</v>
      </c>
      <c r="C729" s="213">
        <v>17031000698</v>
      </c>
      <c r="D729" s="213">
        <v>17031000689</v>
      </c>
      <c r="E729" s="213" t="s">
        <v>533</v>
      </c>
      <c r="F729" s="213" t="s">
        <v>534</v>
      </c>
      <c r="G729" s="213" t="s">
        <v>365</v>
      </c>
      <c r="H729" s="213" t="s">
        <v>535</v>
      </c>
      <c r="I729" s="213"/>
      <c r="J729" s="213" t="s">
        <v>542</v>
      </c>
      <c r="K729" s="213" t="s">
        <v>547</v>
      </c>
      <c r="L729" s="213" t="s">
        <v>382</v>
      </c>
      <c r="M729" s="213"/>
      <c r="N729" s="213"/>
      <c r="O729" s="213"/>
      <c r="P729" s="213"/>
      <c r="Q729" s="213"/>
      <c r="R729" s="213"/>
      <c r="S729" s="213"/>
      <c r="T729" s="213"/>
      <c r="U729" s="213" t="s">
        <v>538</v>
      </c>
      <c r="V729" s="213">
        <v>2</v>
      </c>
      <c r="W729" s="213" t="s">
        <v>545</v>
      </c>
      <c r="X729" s="213" t="s">
        <v>541</v>
      </c>
      <c r="Y729" s="213" t="s">
        <v>541</v>
      </c>
      <c r="Z729" s="212">
        <v>1440</v>
      </c>
      <c r="AA729" s="212">
        <v>128560</v>
      </c>
      <c r="AB729" s="217">
        <v>0.271534</v>
      </c>
      <c r="AC729" s="217">
        <v>0.43699300000000002</v>
      </c>
      <c r="AD729" s="212">
        <f t="shared" si="11"/>
        <v>34908.411039999999</v>
      </c>
    </row>
    <row r="730" spans="2:30" x14ac:dyDescent="0.15">
      <c r="B730" s="213">
        <v>17031005954</v>
      </c>
      <c r="C730" s="213">
        <v>17031000557</v>
      </c>
      <c r="D730" s="213">
        <v>17031000561</v>
      </c>
      <c r="E730" s="213" t="s">
        <v>533</v>
      </c>
      <c r="F730" s="213" t="s">
        <v>534</v>
      </c>
      <c r="G730" s="213" t="s">
        <v>365</v>
      </c>
      <c r="H730" s="213" t="s">
        <v>382</v>
      </c>
      <c r="I730" s="213"/>
      <c r="J730" s="213" t="s">
        <v>547</v>
      </c>
      <c r="K730" s="213"/>
      <c r="L730" s="213"/>
      <c r="M730" s="213"/>
      <c r="N730" s="213"/>
      <c r="O730" s="213"/>
      <c r="P730" s="213"/>
      <c r="Q730" s="213"/>
      <c r="R730" s="213"/>
      <c r="S730" s="213" t="s">
        <v>583</v>
      </c>
      <c r="T730" s="213"/>
      <c r="U730" s="213" t="s">
        <v>538</v>
      </c>
      <c r="V730" s="213">
        <v>4</v>
      </c>
      <c r="W730" s="213" t="s">
        <v>545</v>
      </c>
      <c r="X730" s="213" t="s">
        <v>554</v>
      </c>
      <c r="Y730" s="213" t="s">
        <v>541</v>
      </c>
      <c r="Z730" s="212">
        <v>0</v>
      </c>
      <c r="AA730" s="212">
        <v>0</v>
      </c>
      <c r="AB730" s="217">
        <v>8.4928000000000003E-2</v>
      </c>
      <c r="AC730" s="217">
        <v>0.13667899999999999</v>
      </c>
      <c r="AD730" s="212">
        <f t="shared" si="11"/>
        <v>0</v>
      </c>
    </row>
    <row r="731" spans="2:30" x14ac:dyDescent="0.15">
      <c r="B731" s="213">
        <v>17031005970</v>
      </c>
      <c r="C731" s="213">
        <v>17031001352</v>
      </c>
      <c r="D731" s="213">
        <v>17031004749</v>
      </c>
      <c r="E731" s="213" t="s">
        <v>533</v>
      </c>
      <c r="F731" s="213" t="s">
        <v>534</v>
      </c>
      <c r="G731" s="213" t="s">
        <v>365</v>
      </c>
      <c r="H731" s="213" t="s">
        <v>551</v>
      </c>
      <c r="I731" s="213"/>
      <c r="J731" s="213"/>
      <c r="K731" s="213"/>
      <c r="L731" s="213"/>
      <c r="M731" s="213"/>
      <c r="N731" s="213"/>
      <c r="O731" s="213"/>
      <c r="P731" s="213"/>
      <c r="Q731" s="213"/>
      <c r="R731" s="213"/>
      <c r="S731" s="213" t="s">
        <v>686</v>
      </c>
      <c r="T731" s="213"/>
      <c r="U731" s="213" t="s">
        <v>559</v>
      </c>
      <c r="V731" s="213">
        <v>1</v>
      </c>
      <c r="W731" s="213" t="s">
        <v>560</v>
      </c>
      <c r="X731" s="213" t="s">
        <v>541</v>
      </c>
      <c r="Y731" s="213" t="s">
        <v>541</v>
      </c>
      <c r="Z731" s="212">
        <v>0</v>
      </c>
      <c r="AA731" s="212">
        <v>0</v>
      </c>
      <c r="AB731" s="217">
        <v>1.0710770000000001</v>
      </c>
      <c r="AC731" s="217">
        <v>1.723735</v>
      </c>
      <c r="AD731" s="212">
        <f t="shared" si="11"/>
        <v>0</v>
      </c>
    </row>
    <row r="732" spans="2:30" x14ac:dyDescent="0.15">
      <c r="B732" s="213">
        <v>17031006135</v>
      </c>
      <c r="C732" s="213">
        <v>17031000657</v>
      </c>
      <c r="D732" s="213">
        <v>17031000658</v>
      </c>
      <c r="E732" s="213" t="s">
        <v>533</v>
      </c>
      <c r="F732" s="213" t="s">
        <v>534</v>
      </c>
      <c r="G732" s="213" t="s">
        <v>365</v>
      </c>
      <c r="H732" s="213" t="s">
        <v>382</v>
      </c>
      <c r="I732" s="213"/>
      <c r="J732" s="213" t="s">
        <v>572</v>
      </c>
      <c r="K732" s="213"/>
      <c r="L732" s="213"/>
      <c r="M732" s="213"/>
      <c r="N732" s="213"/>
      <c r="O732" s="213"/>
      <c r="P732" s="213"/>
      <c r="Q732" s="213"/>
      <c r="R732" s="213"/>
      <c r="S732" s="213" t="s">
        <v>609</v>
      </c>
      <c r="T732" s="213"/>
      <c r="U732" s="213" t="s">
        <v>538</v>
      </c>
      <c r="V732" s="213">
        <v>1</v>
      </c>
      <c r="W732" s="213" t="s">
        <v>539</v>
      </c>
      <c r="X732" s="213" t="s">
        <v>541</v>
      </c>
      <c r="Y732" s="213" t="s">
        <v>554</v>
      </c>
      <c r="Z732" s="212">
        <v>5068</v>
      </c>
      <c r="AA732" s="212">
        <v>394192</v>
      </c>
      <c r="AB732" s="217">
        <v>0.14497199999999999</v>
      </c>
      <c r="AC732" s="217">
        <v>0.23330999999999999</v>
      </c>
      <c r="AD732" s="212">
        <f t="shared" si="11"/>
        <v>57146.802623999996</v>
      </c>
    </row>
    <row r="733" spans="2:30" x14ac:dyDescent="0.15">
      <c r="B733" s="213">
        <v>17031006136</v>
      </c>
      <c r="C733" s="213">
        <v>17031000694</v>
      </c>
      <c r="D733" s="213">
        <v>17031000686</v>
      </c>
      <c r="E733" s="213" t="s">
        <v>533</v>
      </c>
      <c r="F733" s="213" t="s">
        <v>534</v>
      </c>
      <c r="G733" s="213" t="s">
        <v>365</v>
      </c>
      <c r="H733" s="213" t="s">
        <v>381</v>
      </c>
      <c r="I733" s="213"/>
      <c r="J733" s="213" t="s">
        <v>551</v>
      </c>
      <c r="K733" s="213"/>
      <c r="L733" s="213"/>
      <c r="M733" s="213"/>
      <c r="N733" s="213"/>
      <c r="O733" s="213"/>
      <c r="P733" s="213"/>
      <c r="Q733" s="213"/>
      <c r="R733" s="213"/>
      <c r="S733" s="213"/>
      <c r="T733" s="213"/>
      <c r="U733" s="213" t="s">
        <v>538</v>
      </c>
      <c r="V733" s="213">
        <v>1</v>
      </c>
      <c r="W733" s="213" t="s">
        <v>560</v>
      </c>
      <c r="X733" s="213" t="s">
        <v>541</v>
      </c>
      <c r="Y733" s="213" t="s">
        <v>541</v>
      </c>
      <c r="Z733" s="212">
        <v>0</v>
      </c>
      <c r="AA733" s="212">
        <v>0</v>
      </c>
      <c r="AB733" s="217">
        <v>0.38571100000000003</v>
      </c>
      <c r="AC733" s="217">
        <v>0.62074200000000002</v>
      </c>
      <c r="AD733" s="212">
        <f t="shared" si="11"/>
        <v>0</v>
      </c>
    </row>
    <row r="734" spans="2:30" x14ac:dyDescent="0.15">
      <c r="B734" s="213">
        <v>17031006144</v>
      </c>
      <c r="C734" s="213">
        <v>17031000692</v>
      </c>
      <c r="D734" s="213">
        <v>17031000774</v>
      </c>
      <c r="E734" s="213" t="s">
        <v>533</v>
      </c>
      <c r="F734" s="213" t="s">
        <v>534</v>
      </c>
      <c r="G734" s="213" t="s">
        <v>365</v>
      </c>
      <c r="H734" s="213" t="s">
        <v>543</v>
      </c>
      <c r="I734" s="213"/>
      <c r="J734" s="213"/>
      <c r="K734" s="213"/>
      <c r="L734" s="213"/>
      <c r="M734" s="213"/>
      <c r="N734" s="213"/>
      <c r="O734" s="213"/>
      <c r="P734" s="213"/>
      <c r="Q734" s="213"/>
      <c r="R734" s="213"/>
      <c r="S734" s="213" t="s">
        <v>639</v>
      </c>
      <c r="T734" s="213"/>
      <c r="U734" s="213" t="s">
        <v>538</v>
      </c>
      <c r="V734" s="213">
        <v>2</v>
      </c>
      <c r="W734" s="213" t="s">
        <v>560</v>
      </c>
      <c r="X734" s="213" t="s">
        <v>541</v>
      </c>
      <c r="Y734" s="213" t="s">
        <v>541</v>
      </c>
      <c r="Z734" s="212">
        <v>2077130</v>
      </c>
      <c r="AA734" s="212">
        <v>42495942</v>
      </c>
      <c r="AB734" s="217">
        <v>1.8291550000000001</v>
      </c>
      <c r="AC734" s="217">
        <v>2.943746</v>
      </c>
      <c r="AD734" s="212">
        <f t="shared" si="11"/>
        <v>77731664.789010003</v>
      </c>
    </row>
    <row r="735" spans="2:30" x14ac:dyDescent="0.15">
      <c r="B735" s="213">
        <v>17031006146</v>
      </c>
      <c r="C735" s="213">
        <v>17031000694</v>
      </c>
      <c r="D735" s="213">
        <v>17031000746</v>
      </c>
      <c r="E735" s="213" t="s">
        <v>533</v>
      </c>
      <c r="F735" s="213" t="s">
        <v>534</v>
      </c>
      <c r="G735" s="213" t="s">
        <v>365</v>
      </c>
      <c r="H735" s="213" t="s">
        <v>551</v>
      </c>
      <c r="I735" s="213"/>
      <c r="J735" s="213" t="s">
        <v>381</v>
      </c>
      <c r="K735" s="213"/>
      <c r="L735" s="213"/>
      <c r="M735" s="213"/>
      <c r="N735" s="213"/>
      <c r="O735" s="213"/>
      <c r="P735" s="213"/>
      <c r="Q735" s="213"/>
      <c r="R735" s="213"/>
      <c r="S735" s="213" t="s">
        <v>600</v>
      </c>
      <c r="T735" s="213"/>
      <c r="U735" s="213" t="s">
        <v>538</v>
      </c>
      <c r="V735" s="213">
        <v>2</v>
      </c>
      <c r="W735" s="213" t="s">
        <v>582</v>
      </c>
      <c r="X735" s="213" t="s">
        <v>554</v>
      </c>
      <c r="Y735" s="213" t="s">
        <v>549</v>
      </c>
      <c r="Z735" s="212">
        <v>192774</v>
      </c>
      <c r="AA735" s="212">
        <v>6267418</v>
      </c>
      <c r="AB735" s="217">
        <v>1.394226</v>
      </c>
      <c r="AC735" s="217">
        <v>2.2437939999999998</v>
      </c>
      <c r="AD735" s="212">
        <f t="shared" si="11"/>
        <v>8738197.1284679994</v>
      </c>
    </row>
    <row r="736" spans="2:30" x14ac:dyDescent="0.15">
      <c r="B736" s="213">
        <v>17031006184</v>
      </c>
      <c r="C736" s="213">
        <v>17031000755</v>
      </c>
      <c r="D736" s="213">
        <v>17031007086</v>
      </c>
      <c r="E736" s="213" t="s">
        <v>533</v>
      </c>
      <c r="F736" s="213" t="s">
        <v>534</v>
      </c>
      <c r="G736" s="213" t="s">
        <v>365</v>
      </c>
      <c r="H736" s="213" t="s">
        <v>535</v>
      </c>
      <c r="I736" s="213"/>
      <c r="J736" s="213" t="s">
        <v>571</v>
      </c>
      <c r="K736" s="213"/>
      <c r="L736" s="213"/>
      <c r="M736" s="213"/>
      <c r="N736" s="213"/>
      <c r="O736" s="213"/>
      <c r="P736" s="213"/>
      <c r="Q736" s="213"/>
      <c r="R736" s="213"/>
      <c r="S736" s="213"/>
      <c r="T736" s="213"/>
      <c r="U736" s="213" t="s">
        <v>559</v>
      </c>
      <c r="V736" s="213">
        <v>1</v>
      </c>
      <c r="W736" s="213" t="s">
        <v>560</v>
      </c>
      <c r="X736" s="213" t="s">
        <v>541</v>
      </c>
      <c r="Y736" s="213" t="s">
        <v>541</v>
      </c>
      <c r="Z736" s="212">
        <v>0</v>
      </c>
      <c r="AA736" s="212">
        <v>0</v>
      </c>
      <c r="AB736" s="217">
        <v>8.1667000000000003E-2</v>
      </c>
      <c r="AC736" s="217">
        <v>0.13143099999999999</v>
      </c>
      <c r="AD736" s="212">
        <f t="shared" si="11"/>
        <v>0</v>
      </c>
    </row>
    <row r="737" spans="2:30" x14ac:dyDescent="0.15">
      <c r="B737" s="213">
        <v>17031006227</v>
      </c>
      <c r="C737" s="213">
        <v>17031001397</v>
      </c>
      <c r="D737" s="213">
        <v>17031001393</v>
      </c>
      <c r="E737" s="213" t="s">
        <v>533</v>
      </c>
      <c r="F737" s="213" t="s">
        <v>534</v>
      </c>
      <c r="G737" s="213" t="s">
        <v>365</v>
      </c>
      <c r="H737" s="213" t="s">
        <v>551</v>
      </c>
      <c r="I737" s="213"/>
      <c r="J737" s="213" t="s">
        <v>557</v>
      </c>
      <c r="K737" s="213"/>
      <c r="L737" s="213"/>
      <c r="M737" s="213"/>
      <c r="N737" s="213"/>
      <c r="O737" s="213"/>
      <c r="P737" s="213"/>
      <c r="Q737" s="213"/>
      <c r="R737" s="213"/>
      <c r="S737" s="213" t="s">
        <v>603</v>
      </c>
      <c r="T737" s="213"/>
      <c r="U737" s="213" t="s">
        <v>538</v>
      </c>
      <c r="V737" s="213">
        <v>1</v>
      </c>
      <c r="W737" s="213" t="s">
        <v>545</v>
      </c>
      <c r="X737" s="213" t="s">
        <v>554</v>
      </c>
      <c r="Y737" s="213" t="s">
        <v>575</v>
      </c>
      <c r="Z737" s="212">
        <v>0</v>
      </c>
      <c r="AA737" s="212">
        <v>0</v>
      </c>
      <c r="AB737" s="217">
        <v>5.5682000000000002E-2</v>
      </c>
      <c r="AC737" s="217">
        <v>8.9611999999999997E-2</v>
      </c>
      <c r="AD737" s="212">
        <f t="shared" si="11"/>
        <v>0</v>
      </c>
    </row>
    <row r="738" spans="2:30" x14ac:dyDescent="0.15">
      <c r="B738" s="213">
        <v>17031006240</v>
      </c>
      <c r="C738" s="213">
        <v>17031001354</v>
      </c>
      <c r="D738" s="213">
        <v>17031001361</v>
      </c>
      <c r="E738" s="213" t="s">
        <v>533</v>
      </c>
      <c r="F738" s="213" t="s">
        <v>534</v>
      </c>
      <c r="G738" s="213" t="s">
        <v>365</v>
      </c>
      <c r="H738" s="213" t="s">
        <v>551</v>
      </c>
      <c r="I738" s="213"/>
      <c r="J738" s="213"/>
      <c r="K738" s="213"/>
      <c r="L738" s="213"/>
      <c r="M738" s="213"/>
      <c r="N738" s="213"/>
      <c r="O738" s="213"/>
      <c r="P738" s="213"/>
      <c r="Q738" s="213"/>
      <c r="R738" s="213"/>
      <c r="S738" s="213"/>
      <c r="T738" s="213"/>
      <c r="U738" s="213" t="s">
        <v>538</v>
      </c>
      <c r="V738" s="213">
        <v>1</v>
      </c>
      <c r="W738" s="213" t="s">
        <v>560</v>
      </c>
      <c r="X738" s="213" t="s">
        <v>541</v>
      </c>
      <c r="Y738" s="213" t="s">
        <v>541</v>
      </c>
      <c r="Z738" s="212">
        <v>0</v>
      </c>
      <c r="AA738" s="212">
        <v>0</v>
      </c>
      <c r="AB738" s="217">
        <v>0.29633300000000001</v>
      </c>
      <c r="AC738" s="217">
        <v>0.47690300000000002</v>
      </c>
      <c r="AD738" s="212">
        <f t="shared" si="11"/>
        <v>0</v>
      </c>
    </row>
    <row r="739" spans="2:30" x14ac:dyDescent="0.15">
      <c r="B739" s="213">
        <v>17031006263</v>
      </c>
      <c r="C739" s="213">
        <v>17031000688</v>
      </c>
      <c r="D739" s="213">
        <v>17031000691</v>
      </c>
      <c r="E739" s="213" t="s">
        <v>533</v>
      </c>
      <c r="F739" s="213" t="s">
        <v>534</v>
      </c>
      <c r="G739" s="213" t="s">
        <v>365</v>
      </c>
      <c r="H739" s="213" t="s">
        <v>381</v>
      </c>
      <c r="I739" s="213"/>
      <c r="J739" s="213"/>
      <c r="K739" s="213"/>
      <c r="L739" s="213"/>
      <c r="M739" s="213"/>
      <c r="N739" s="213"/>
      <c r="O739" s="213"/>
      <c r="P739" s="213"/>
      <c r="Q739" s="213"/>
      <c r="R739" s="213"/>
      <c r="S739" s="213"/>
      <c r="T739" s="213"/>
      <c r="U739" s="213" t="s">
        <v>559</v>
      </c>
      <c r="V739" s="213">
        <v>1</v>
      </c>
      <c r="W739" s="213" t="s">
        <v>560</v>
      </c>
      <c r="X739" s="213" t="s">
        <v>541</v>
      </c>
      <c r="Y739" s="213" t="s">
        <v>541</v>
      </c>
      <c r="Z739" s="212">
        <v>0</v>
      </c>
      <c r="AA739" s="212">
        <v>0</v>
      </c>
      <c r="AB739" s="217">
        <v>0.27946100000000001</v>
      </c>
      <c r="AC739" s="217">
        <v>0.44974999999999998</v>
      </c>
      <c r="AD739" s="212">
        <f t="shared" si="11"/>
        <v>0</v>
      </c>
    </row>
    <row r="740" spans="2:30" x14ac:dyDescent="0.15">
      <c r="B740" s="213">
        <v>17031006265</v>
      </c>
      <c r="C740" s="213">
        <v>17031001109</v>
      </c>
      <c r="D740" s="213">
        <v>17031001088</v>
      </c>
      <c r="E740" s="213" t="s">
        <v>533</v>
      </c>
      <c r="F740" s="213" t="s">
        <v>534</v>
      </c>
      <c r="G740" s="213" t="s">
        <v>365</v>
      </c>
      <c r="H740" s="213" t="s">
        <v>661</v>
      </c>
      <c r="I740" s="213"/>
      <c r="J740" s="213"/>
      <c r="K740" s="213"/>
      <c r="L740" s="213"/>
      <c r="M740" s="213"/>
      <c r="N740" s="213"/>
      <c r="O740" s="213"/>
      <c r="P740" s="213"/>
      <c r="Q740" s="213"/>
      <c r="R740" s="213"/>
      <c r="S740" s="213"/>
      <c r="T740" s="213"/>
      <c r="U740" s="213" t="s">
        <v>538</v>
      </c>
      <c r="V740" s="213">
        <v>1</v>
      </c>
      <c r="W740" s="213" t="s">
        <v>560</v>
      </c>
      <c r="X740" s="213" t="s">
        <v>541</v>
      </c>
      <c r="Y740" s="213" t="s">
        <v>541</v>
      </c>
      <c r="Z740" s="212">
        <v>0</v>
      </c>
      <c r="AA740" s="212">
        <v>0</v>
      </c>
      <c r="AB740" s="217">
        <v>4.2896999999999998E-2</v>
      </c>
      <c r="AC740" s="217">
        <v>6.9037000000000001E-2</v>
      </c>
      <c r="AD740" s="212">
        <f t="shared" si="11"/>
        <v>0</v>
      </c>
    </row>
    <row r="741" spans="2:30" x14ac:dyDescent="0.15">
      <c r="B741" s="213">
        <v>17031006278</v>
      </c>
      <c r="C741" s="213">
        <v>17031001104</v>
      </c>
      <c r="D741" s="213">
        <v>17031001094</v>
      </c>
      <c r="E741" s="213" t="s">
        <v>533</v>
      </c>
      <c r="F741" s="213" t="s">
        <v>534</v>
      </c>
      <c r="G741" s="213" t="s">
        <v>365</v>
      </c>
      <c r="H741" s="213" t="s">
        <v>571</v>
      </c>
      <c r="I741" s="213"/>
      <c r="J741" s="213" t="s">
        <v>552</v>
      </c>
      <c r="K741" s="213" t="s">
        <v>543</v>
      </c>
      <c r="L741" s="213"/>
      <c r="M741" s="213"/>
      <c r="N741" s="213"/>
      <c r="O741" s="213"/>
      <c r="P741" s="213"/>
      <c r="Q741" s="213"/>
      <c r="R741" s="213"/>
      <c r="S741" s="213" t="s">
        <v>573</v>
      </c>
      <c r="T741" s="213" t="s">
        <v>679</v>
      </c>
      <c r="U741" s="213" t="s">
        <v>538</v>
      </c>
      <c r="V741" s="213">
        <v>2</v>
      </c>
      <c r="W741" s="213" t="s">
        <v>545</v>
      </c>
      <c r="X741" s="213" t="s">
        <v>554</v>
      </c>
      <c r="Y741" s="213" t="s">
        <v>580</v>
      </c>
      <c r="Z741" s="212">
        <v>200894</v>
      </c>
      <c r="AA741" s="212">
        <v>10762925</v>
      </c>
      <c r="AB741" s="217">
        <v>0.93725599999999998</v>
      </c>
      <c r="AC741" s="217">
        <v>1.5083709999999999</v>
      </c>
      <c r="AD741" s="212">
        <f t="shared" si="11"/>
        <v>10087616.0338</v>
      </c>
    </row>
    <row r="742" spans="2:30" x14ac:dyDescent="0.15">
      <c r="B742" s="213">
        <v>17031006294</v>
      </c>
      <c r="C742" s="213">
        <v>17031004508</v>
      </c>
      <c r="D742" s="213">
        <v>17031001413</v>
      </c>
      <c r="E742" s="213" t="s">
        <v>533</v>
      </c>
      <c r="F742" s="213" t="s">
        <v>534</v>
      </c>
      <c r="G742" s="213" t="s">
        <v>365</v>
      </c>
      <c r="H742" s="213" t="s">
        <v>551</v>
      </c>
      <c r="I742" s="213" t="s">
        <v>535</v>
      </c>
      <c r="J742" s="213" t="s">
        <v>542</v>
      </c>
      <c r="K742" s="213" t="s">
        <v>543</v>
      </c>
      <c r="L742" s="213" t="s">
        <v>382</v>
      </c>
      <c r="M742" s="213"/>
      <c r="N742" s="213"/>
      <c r="O742" s="213"/>
      <c r="P742" s="213"/>
      <c r="Q742" s="213"/>
      <c r="R742" s="213"/>
      <c r="S742" s="213" t="s">
        <v>544</v>
      </c>
      <c r="T742" s="213"/>
      <c r="U742" s="213" t="s">
        <v>538</v>
      </c>
      <c r="V742" s="213">
        <v>2</v>
      </c>
      <c r="W742" s="213" t="s">
        <v>545</v>
      </c>
      <c r="X742" s="213" t="s">
        <v>549</v>
      </c>
      <c r="Y742" s="213" t="s">
        <v>546</v>
      </c>
      <c r="Z742" s="212">
        <v>107041</v>
      </c>
      <c r="AA742" s="212">
        <v>10675078</v>
      </c>
      <c r="AB742" s="217">
        <v>0.60540499999999997</v>
      </c>
      <c r="AC742" s="217">
        <v>0.97430600000000001</v>
      </c>
      <c r="AD742" s="212">
        <f t="shared" si="11"/>
        <v>6462745.5965899993</v>
      </c>
    </row>
    <row r="743" spans="2:30" x14ac:dyDescent="0.15">
      <c r="B743" s="213">
        <v>17031006297</v>
      </c>
      <c r="C743" s="213">
        <v>17031007033</v>
      </c>
      <c r="D743" s="213">
        <v>17031007032</v>
      </c>
      <c r="E743" s="213" t="s">
        <v>533</v>
      </c>
      <c r="F743" s="213" t="s">
        <v>534</v>
      </c>
      <c r="G743" s="213" t="s">
        <v>365</v>
      </c>
      <c r="H743" s="213" t="s">
        <v>557</v>
      </c>
      <c r="I743" s="213"/>
      <c r="J743" s="213"/>
      <c r="K743" s="213"/>
      <c r="L743" s="213"/>
      <c r="M743" s="213"/>
      <c r="N743" s="213"/>
      <c r="O743" s="213"/>
      <c r="P743" s="213"/>
      <c r="Q743" s="213"/>
      <c r="R743" s="213"/>
      <c r="S743" s="213" t="s">
        <v>567</v>
      </c>
      <c r="T743" s="213" t="s">
        <v>568</v>
      </c>
      <c r="U743" s="213" t="s">
        <v>559</v>
      </c>
      <c r="V743" s="213">
        <v>1</v>
      </c>
      <c r="W743" s="213" t="s">
        <v>560</v>
      </c>
      <c r="X743" s="213" t="s">
        <v>541</v>
      </c>
      <c r="Y743" s="213" t="s">
        <v>541</v>
      </c>
      <c r="Z743" s="212">
        <v>280</v>
      </c>
      <c r="AA743" s="212">
        <v>28520</v>
      </c>
      <c r="AB743" s="217">
        <v>0.66000599999999998</v>
      </c>
      <c r="AC743" s="217">
        <v>1.062179</v>
      </c>
      <c r="AD743" s="212">
        <f t="shared" si="11"/>
        <v>18823.37112</v>
      </c>
    </row>
    <row r="744" spans="2:30" x14ac:dyDescent="0.15">
      <c r="B744" s="213">
        <v>17031006307</v>
      </c>
      <c r="C744" s="213">
        <v>17031001427</v>
      </c>
      <c r="D744" s="213">
        <v>17031001432</v>
      </c>
      <c r="E744" s="213" t="s">
        <v>533</v>
      </c>
      <c r="F744" s="213" t="s">
        <v>534</v>
      </c>
      <c r="G744" s="213" t="s">
        <v>365</v>
      </c>
      <c r="H744" s="213" t="s">
        <v>382</v>
      </c>
      <c r="I744" s="213"/>
      <c r="J744" s="213" t="s">
        <v>542</v>
      </c>
      <c r="K744" s="213" t="s">
        <v>551</v>
      </c>
      <c r="L744" s="213" t="s">
        <v>555</v>
      </c>
      <c r="M744" s="213" t="s">
        <v>552</v>
      </c>
      <c r="N744" s="213" t="s">
        <v>535</v>
      </c>
      <c r="O744" s="213"/>
      <c r="P744" s="213"/>
      <c r="Q744" s="213"/>
      <c r="R744" s="213"/>
      <c r="S744" s="213"/>
      <c r="T744" s="213"/>
      <c r="U744" s="213" t="s">
        <v>538</v>
      </c>
      <c r="V744" s="213">
        <v>1</v>
      </c>
      <c r="W744" s="213" t="s">
        <v>545</v>
      </c>
      <c r="X744" s="213" t="s">
        <v>554</v>
      </c>
      <c r="Y744" s="213" t="s">
        <v>554</v>
      </c>
      <c r="Z744" s="212">
        <v>11096</v>
      </c>
      <c r="AA744" s="212">
        <v>731549</v>
      </c>
      <c r="AB744" s="217">
        <v>0.33631299999999997</v>
      </c>
      <c r="AC744" s="217">
        <v>0.54124499999999998</v>
      </c>
      <c r="AD744" s="212">
        <f t="shared" si="11"/>
        <v>246029.43883699999</v>
      </c>
    </row>
    <row r="745" spans="2:30" x14ac:dyDescent="0.15">
      <c r="B745" s="213">
        <v>17031006312</v>
      </c>
      <c r="C745" s="213">
        <v>17031001494</v>
      </c>
      <c r="D745" s="213">
        <v>17031007658</v>
      </c>
      <c r="E745" s="213" t="s">
        <v>533</v>
      </c>
      <c r="F745" s="213" t="s">
        <v>534</v>
      </c>
      <c r="G745" s="213" t="s">
        <v>365</v>
      </c>
      <c r="H745" s="213" t="s">
        <v>382</v>
      </c>
      <c r="I745" s="213"/>
      <c r="J745" s="213"/>
      <c r="K745" s="213"/>
      <c r="L745" s="213"/>
      <c r="M745" s="213"/>
      <c r="N745" s="213"/>
      <c r="O745" s="213"/>
      <c r="P745" s="213"/>
      <c r="Q745" s="213"/>
      <c r="R745" s="213"/>
      <c r="S745" s="213" t="s">
        <v>576</v>
      </c>
      <c r="T745" s="213"/>
      <c r="U745" s="213" t="s">
        <v>559</v>
      </c>
      <c r="V745" s="213">
        <v>1</v>
      </c>
      <c r="W745" s="213" t="s">
        <v>560</v>
      </c>
      <c r="X745" s="213" t="s">
        <v>541</v>
      </c>
      <c r="Y745" s="213" t="s">
        <v>541</v>
      </c>
      <c r="Z745" s="212">
        <v>0</v>
      </c>
      <c r="AA745" s="212">
        <v>0</v>
      </c>
      <c r="AB745" s="217">
        <v>0.25278800000000001</v>
      </c>
      <c r="AC745" s="217">
        <v>0.40682400000000002</v>
      </c>
      <c r="AD745" s="212">
        <f t="shared" si="11"/>
        <v>0</v>
      </c>
    </row>
    <row r="746" spans="2:30" x14ac:dyDescent="0.15">
      <c r="B746" s="213">
        <v>17031006338</v>
      </c>
      <c r="C746" s="213">
        <v>17031004587</v>
      </c>
      <c r="D746" s="213">
        <v>17031000370</v>
      </c>
      <c r="E746" s="213" t="s">
        <v>533</v>
      </c>
      <c r="F746" s="213" t="s">
        <v>534</v>
      </c>
      <c r="G746" s="213" t="s">
        <v>365</v>
      </c>
      <c r="H746" s="213" t="s">
        <v>382</v>
      </c>
      <c r="I746" s="213"/>
      <c r="J746" s="213"/>
      <c r="K746" s="213"/>
      <c r="L746" s="213"/>
      <c r="M746" s="213"/>
      <c r="N746" s="213"/>
      <c r="O746" s="213"/>
      <c r="P746" s="213"/>
      <c r="Q746" s="213"/>
      <c r="R746" s="213"/>
      <c r="S746" s="213" t="s">
        <v>616</v>
      </c>
      <c r="T746" s="213"/>
      <c r="U746" s="213" t="s">
        <v>559</v>
      </c>
      <c r="V746" s="213">
        <v>1</v>
      </c>
      <c r="W746" s="213" t="s">
        <v>560</v>
      </c>
      <c r="X746" s="213" t="s">
        <v>541</v>
      </c>
      <c r="Y746" s="213" t="s">
        <v>541</v>
      </c>
      <c r="Z746" s="212">
        <v>0</v>
      </c>
      <c r="AA746" s="212">
        <v>0</v>
      </c>
      <c r="AB746" s="217">
        <v>0.28519600000000001</v>
      </c>
      <c r="AC746" s="217">
        <v>0.45898</v>
      </c>
      <c r="AD746" s="212">
        <f t="shared" si="11"/>
        <v>0</v>
      </c>
    </row>
    <row r="747" spans="2:30" x14ac:dyDescent="0.15">
      <c r="B747" s="213">
        <v>17031006340</v>
      </c>
      <c r="C747" s="213">
        <v>17031004613</v>
      </c>
      <c r="D747" s="213">
        <v>17999019042</v>
      </c>
      <c r="E747" s="213" t="s">
        <v>533</v>
      </c>
      <c r="F747" s="213" t="s">
        <v>534</v>
      </c>
      <c r="G747" s="213" t="s">
        <v>365</v>
      </c>
      <c r="H747" s="213" t="s">
        <v>552</v>
      </c>
      <c r="I747" s="213"/>
      <c r="J747" s="213" t="s">
        <v>542</v>
      </c>
      <c r="K747" s="213" t="s">
        <v>547</v>
      </c>
      <c r="L747" s="213" t="s">
        <v>563</v>
      </c>
      <c r="M747" s="213"/>
      <c r="N747" s="213"/>
      <c r="O747" s="213"/>
      <c r="P747" s="213"/>
      <c r="Q747" s="213"/>
      <c r="R747" s="213"/>
      <c r="S747" s="213" t="s">
        <v>564</v>
      </c>
      <c r="T747" s="213"/>
      <c r="U747" s="213" t="s">
        <v>538</v>
      </c>
      <c r="V747" s="213">
        <v>2</v>
      </c>
      <c r="W747" s="213" t="s">
        <v>545</v>
      </c>
      <c r="X747" s="213" t="s">
        <v>549</v>
      </c>
      <c r="Y747" s="213" t="s">
        <v>549</v>
      </c>
      <c r="Z747" s="212">
        <v>500525</v>
      </c>
      <c r="AA747" s="212">
        <v>34229964</v>
      </c>
      <c r="AB747" s="217">
        <v>7.2335999999999998E-2</v>
      </c>
      <c r="AC747" s="217">
        <v>0.116414</v>
      </c>
      <c r="AD747" s="212">
        <f t="shared" si="11"/>
        <v>2476058.6759039997</v>
      </c>
    </row>
    <row r="748" spans="2:30" x14ac:dyDescent="0.15">
      <c r="B748" s="213">
        <v>17031006346</v>
      </c>
      <c r="C748" s="213">
        <v>17031004603</v>
      </c>
      <c r="D748" s="213">
        <v>17031000293</v>
      </c>
      <c r="E748" s="213" t="s">
        <v>533</v>
      </c>
      <c r="F748" s="213" t="s">
        <v>534</v>
      </c>
      <c r="G748" s="213" t="s">
        <v>365</v>
      </c>
      <c r="H748" s="213" t="s">
        <v>382</v>
      </c>
      <c r="I748" s="213"/>
      <c r="J748" s="213" t="s">
        <v>535</v>
      </c>
      <c r="K748" s="213" t="s">
        <v>547</v>
      </c>
      <c r="L748" s="213"/>
      <c r="M748" s="213"/>
      <c r="N748" s="213"/>
      <c r="O748" s="213"/>
      <c r="P748" s="213"/>
      <c r="Q748" s="213"/>
      <c r="R748" s="213"/>
      <c r="S748" s="213" t="s">
        <v>608</v>
      </c>
      <c r="T748" s="213"/>
      <c r="U748" s="213" t="s">
        <v>538</v>
      </c>
      <c r="V748" s="213">
        <v>3</v>
      </c>
      <c r="W748" s="213" t="s">
        <v>566</v>
      </c>
      <c r="X748" s="213" t="s">
        <v>549</v>
      </c>
      <c r="Y748" s="213" t="s">
        <v>554</v>
      </c>
      <c r="Z748" s="212">
        <v>40</v>
      </c>
      <c r="AA748" s="212">
        <v>3920</v>
      </c>
      <c r="AB748" s="217">
        <v>0.231518</v>
      </c>
      <c r="AC748" s="217">
        <v>0.37259199999999998</v>
      </c>
      <c r="AD748" s="212">
        <f t="shared" si="11"/>
        <v>907.55056000000002</v>
      </c>
    </row>
    <row r="749" spans="2:30" x14ac:dyDescent="0.15">
      <c r="B749" s="213">
        <v>17031006350</v>
      </c>
      <c r="C749" s="213">
        <v>17031004627</v>
      </c>
      <c r="D749" s="213">
        <v>17031004593</v>
      </c>
      <c r="E749" s="213" t="s">
        <v>533</v>
      </c>
      <c r="F749" s="213" t="s">
        <v>534</v>
      </c>
      <c r="G749" s="213" t="s">
        <v>365</v>
      </c>
      <c r="H749" s="213" t="s">
        <v>535</v>
      </c>
      <c r="I749" s="213"/>
      <c r="J749" s="213" t="s">
        <v>547</v>
      </c>
      <c r="K749" s="213" t="s">
        <v>551</v>
      </c>
      <c r="L749" s="213"/>
      <c r="M749" s="213"/>
      <c r="N749" s="213"/>
      <c r="O749" s="213"/>
      <c r="P749" s="213"/>
      <c r="Q749" s="213"/>
      <c r="R749" s="213"/>
      <c r="S749" s="213" t="s">
        <v>548</v>
      </c>
      <c r="T749" s="213" t="s">
        <v>671</v>
      </c>
      <c r="U749" s="213" t="s">
        <v>538</v>
      </c>
      <c r="V749" s="213">
        <v>1</v>
      </c>
      <c r="W749" s="213" t="s">
        <v>545</v>
      </c>
      <c r="X749" s="213" t="s">
        <v>554</v>
      </c>
      <c r="Y749" s="213" t="s">
        <v>546</v>
      </c>
      <c r="Z749" s="212">
        <v>662357</v>
      </c>
      <c r="AA749" s="212">
        <v>30359562</v>
      </c>
      <c r="AB749" s="217">
        <v>0.18984599999999999</v>
      </c>
      <c r="AC749" s="217">
        <v>0.305529</v>
      </c>
      <c r="AD749" s="212">
        <f t="shared" si="11"/>
        <v>5763641.4074519994</v>
      </c>
    </row>
    <row r="750" spans="2:30" x14ac:dyDescent="0.15">
      <c r="B750" s="213">
        <v>17031006359</v>
      </c>
      <c r="C750" s="213">
        <v>17031000525</v>
      </c>
      <c r="D750" s="213">
        <v>17999099090</v>
      </c>
      <c r="E750" s="213" t="s">
        <v>533</v>
      </c>
      <c r="F750" s="213" t="s">
        <v>534</v>
      </c>
      <c r="G750" s="213" t="s">
        <v>365</v>
      </c>
      <c r="H750" s="213" t="s">
        <v>382</v>
      </c>
      <c r="I750" s="213"/>
      <c r="J750" s="213"/>
      <c r="K750" s="213"/>
      <c r="L750" s="213"/>
      <c r="M750" s="213"/>
      <c r="N750" s="213"/>
      <c r="O750" s="213"/>
      <c r="P750" s="213"/>
      <c r="Q750" s="213"/>
      <c r="R750" s="213"/>
      <c r="S750" s="213"/>
      <c r="T750" s="213" t="s">
        <v>626</v>
      </c>
      <c r="U750" s="213" t="s">
        <v>559</v>
      </c>
      <c r="V750" s="213">
        <v>1</v>
      </c>
      <c r="W750" s="213" t="s">
        <v>539</v>
      </c>
      <c r="X750" s="213" t="s">
        <v>541</v>
      </c>
      <c r="Y750" s="213" t="s">
        <v>541</v>
      </c>
      <c r="Z750" s="212">
        <v>200200</v>
      </c>
      <c r="AA750" s="212">
        <v>3052640</v>
      </c>
      <c r="AB750" s="217">
        <v>0.174595</v>
      </c>
      <c r="AC750" s="217">
        <v>0.28098400000000001</v>
      </c>
      <c r="AD750" s="212">
        <f t="shared" si="11"/>
        <v>532975.68079999997</v>
      </c>
    </row>
    <row r="751" spans="2:30" x14ac:dyDescent="0.15">
      <c r="B751" s="213">
        <v>17031006360</v>
      </c>
      <c r="C751" s="213">
        <v>17031000546</v>
      </c>
      <c r="D751" s="213">
        <v>17031004646</v>
      </c>
      <c r="E751" s="213" t="s">
        <v>533</v>
      </c>
      <c r="F751" s="213" t="s">
        <v>534</v>
      </c>
      <c r="G751" s="213" t="s">
        <v>365</v>
      </c>
      <c r="H751" s="213" t="s">
        <v>382</v>
      </c>
      <c r="I751" s="213"/>
      <c r="J751" s="213" t="s">
        <v>547</v>
      </c>
      <c r="K751" s="213"/>
      <c r="L751" s="213"/>
      <c r="M751" s="213"/>
      <c r="N751" s="213"/>
      <c r="O751" s="213"/>
      <c r="P751" s="213"/>
      <c r="Q751" s="213"/>
      <c r="R751" s="213"/>
      <c r="S751" s="213" t="s">
        <v>583</v>
      </c>
      <c r="T751" s="213" t="s">
        <v>626</v>
      </c>
      <c r="U751" s="213" t="s">
        <v>538</v>
      </c>
      <c r="V751" s="213">
        <v>3</v>
      </c>
      <c r="W751" s="213" t="s">
        <v>545</v>
      </c>
      <c r="X751" s="213" t="s">
        <v>549</v>
      </c>
      <c r="Y751" s="213" t="s">
        <v>580</v>
      </c>
      <c r="Z751" s="212">
        <v>1570326</v>
      </c>
      <c r="AA751" s="212">
        <v>48077032</v>
      </c>
      <c r="AB751" s="217">
        <v>0.58564799999999995</v>
      </c>
      <c r="AC751" s="217">
        <v>0.94251099999999999</v>
      </c>
      <c r="AD751" s="212">
        <f t="shared" si="11"/>
        <v>28156217.636735998</v>
      </c>
    </row>
    <row r="752" spans="2:30" x14ac:dyDescent="0.15">
      <c r="B752" s="213">
        <v>17031006364</v>
      </c>
      <c r="C752" s="213">
        <v>17031007080</v>
      </c>
      <c r="D752" s="213">
        <v>17031000754</v>
      </c>
      <c r="E752" s="213" t="s">
        <v>533</v>
      </c>
      <c r="F752" s="213" t="s">
        <v>534</v>
      </c>
      <c r="G752" s="213" t="s">
        <v>365</v>
      </c>
      <c r="H752" s="213" t="s">
        <v>535</v>
      </c>
      <c r="I752" s="213"/>
      <c r="J752" s="213" t="s">
        <v>571</v>
      </c>
      <c r="K752" s="213"/>
      <c r="L752" s="213"/>
      <c r="M752" s="213"/>
      <c r="N752" s="213"/>
      <c r="O752" s="213"/>
      <c r="P752" s="213"/>
      <c r="Q752" s="213"/>
      <c r="R752" s="213"/>
      <c r="S752" s="213"/>
      <c r="T752" s="213"/>
      <c r="U752" s="213" t="s">
        <v>559</v>
      </c>
      <c r="V752" s="213">
        <v>1</v>
      </c>
      <c r="W752" s="213" t="s">
        <v>560</v>
      </c>
      <c r="X752" s="213" t="s">
        <v>541</v>
      </c>
      <c r="Y752" s="213" t="s">
        <v>541</v>
      </c>
      <c r="Z752" s="212">
        <v>0</v>
      </c>
      <c r="AA752" s="212">
        <v>0</v>
      </c>
      <c r="AB752" s="217">
        <v>2.0719999999999999E-2</v>
      </c>
      <c r="AC752" s="217">
        <v>3.3346000000000001E-2</v>
      </c>
      <c r="AD752" s="212">
        <f t="shared" si="11"/>
        <v>0</v>
      </c>
    </row>
    <row r="753" spans="2:30" x14ac:dyDescent="0.15">
      <c r="B753" s="213">
        <v>17031006365</v>
      </c>
      <c r="C753" s="213">
        <v>17031000748</v>
      </c>
      <c r="D753" s="213">
        <v>17031000749</v>
      </c>
      <c r="E753" s="213" t="s">
        <v>533</v>
      </c>
      <c r="F753" s="213" t="s">
        <v>534</v>
      </c>
      <c r="G753" s="213" t="s">
        <v>365</v>
      </c>
      <c r="H753" s="213" t="s">
        <v>535</v>
      </c>
      <c r="I753" s="213"/>
      <c r="J753" s="213"/>
      <c r="K753" s="213"/>
      <c r="L753" s="213"/>
      <c r="M753" s="213"/>
      <c r="N753" s="213"/>
      <c r="O753" s="213"/>
      <c r="P753" s="213"/>
      <c r="Q753" s="213"/>
      <c r="R753" s="213"/>
      <c r="S753" s="213" t="s">
        <v>624</v>
      </c>
      <c r="T753" s="213"/>
      <c r="U753" s="213" t="s">
        <v>538</v>
      </c>
      <c r="V753" s="213">
        <v>2</v>
      </c>
      <c r="W753" s="213" t="s">
        <v>582</v>
      </c>
      <c r="X753" s="213" t="s">
        <v>554</v>
      </c>
      <c r="Y753" s="213" t="s">
        <v>554</v>
      </c>
      <c r="Z753" s="212">
        <v>0</v>
      </c>
      <c r="AA753" s="212">
        <v>0</v>
      </c>
      <c r="AB753" s="217">
        <v>0.182613</v>
      </c>
      <c r="AC753" s="217">
        <v>0.29388700000000001</v>
      </c>
      <c r="AD753" s="212">
        <f t="shared" si="11"/>
        <v>0</v>
      </c>
    </row>
    <row r="754" spans="2:30" x14ac:dyDescent="0.15">
      <c r="B754" s="213">
        <v>17031006368</v>
      </c>
      <c r="C754" s="213">
        <v>17031000751</v>
      </c>
      <c r="D754" s="213">
        <v>17031000753</v>
      </c>
      <c r="E754" s="213" t="s">
        <v>533</v>
      </c>
      <c r="F754" s="213" t="s">
        <v>534</v>
      </c>
      <c r="G754" s="213" t="s">
        <v>365</v>
      </c>
      <c r="H754" s="213" t="s">
        <v>535</v>
      </c>
      <c r="I754" s="213"/>
      <c r="J754" s="213"/>
      <c r="K754" s="213"/>
      <c r="L754" s="213"/>
      <c r="M754" s="213"/>
      <c r="N754" s="213"/>
      <c r="O754" s="213"/>
      <c r="P754" s="213"/>
      <c r="Q754" s="213"/>
      <c r="R754" s="213"/>
      <c r="S754" s="213" t="s">
        <v>624</v>
      </c>
      <c r="T754" s="213"/>
      <c r="U754" s="213" t="s">
        <v>538</v>
      </c>
      <c r="V754" s="213">
        <v>2</v>
      </c>
      <c r="W754" s="213" t="s">
        <v>582</v>
      </c>
      <c r="X754" s="213" t="s">
        <v>554</v>
      </c>
      <c r="Y754" s="213" t="s">
        <v>554</v>
      </c>
      <c r="Z754" s="212">
        <v>0</v>
      </c>
      <c r="AA754" s="212">
        <v>0</v>
      </c>
      <c r="AB754" s="217">
        <v>0.22819999999999999</v>
      </c>
      <c r="AC754" s="217">
        <v>0.367253</v>
      </c>
      <c r="AD754" s="212">
        <f t="shared" si="11"/>
        <v>0</v>
      </c>
    </row>
    <row r="755" spans="2:30" x14ac:dyDescent="0.15">
      <c r="B755" s="213">
        <v>17031006372</v>
      </c>
      <c r="C755" s="213">
        <v>17031000720</v>
      </c>
      <c r="D755" s="213">
        <v>17031000721</v>
      </c>
      <c r="E755" s="213" t="s">
        <v>533</v>
      </c>
      <c r="F755" s="213" t="s">
        <v>534</v>
      </c>
      <c r="G755" s="213" t="s">
        <v>365</v>
      </c>
      <c r="H755" s="213" t="s">
        <v>571</v>
      </c>
      <c r="I755" s="213"/>
      <c r="J755" s="213" t="s">
        <v>381</v>
      </c>
      <c r="K755" s="213" t="s">
        <v>535</v>
      </c>
      <c r="L755" s="213" t="s">
        <v>552</v>
      </c>
      <c r="M755" s="213" t="s">
        <v>551</v>
      </c>
      <c r="N755" s="213" t="s">
        <v>563</v>
      </c>
      <c r="O755" s="213" t="s">
        <v>543</v>
      </c>
      <c r="P755" s="213"/>
      <c r="Q755" s="213"/>
      <c r="R755" s="213"/>
      <c r="S755" s="213" t="s">
        <v>573</v>
      </c>
      <c r="T755" s="213"/>
      <c r="U755" s="213" t="s">
        <v>538</v>
      </c>
      <c r="V755" s="213">
        <v>2</v>
      </c>
      <c r="W755" s="213" t="s">
        <v>545</v>
      </c>
      <c r="X755" s="213" t="s">
        <v>554</v>
      </c>
      <c r="Y755" s="213" t="s">
        <v>580</v>
      </c>
      <c r="Z755" s="212">
        <v>86092</v>
      </c>
      <c r="AA755" s="212">
        <v>5124132</v>
      </c>
      <c r="AB755" s="217">
        <v>4.3624999999999997E-2</v>
      </c>
      <c r="AC755" s="217">
        <v>7.0208000000000007E-2</v>
      </c>
      <c r="AD755" s="212">
        <f t="shared" si="11"/>
        <v>223540.2585</v>
      </c>
    </row>
    <row r="756" spans="2:30" x14ac:dyDescent="0.15">
      <c r="B756" s="213">
        <v>17031006373</v>
      </c>
      <c r="C756" s="213">
        <v>17031000686</v>
      </c>
      <c r="D756" s="213">
        <v>17031000691</v>
      </c>
      <c r="E756" s="213" t="s">
        <v>533</v>
      </c>
      <c r="F756" s="213" t="s">
        <v>534</v>
      </c>
      <c r="G756" s="213" t="s">
        <v>365</v>
      </c>
      <c r="H756" s="213" t="s">
        <v>381</v>
      </c>
      <c r="I756" s="213"/>
      <c r="J756" s="213" t="s">
        <v>542</v>
      </c>
      <c r="K756" s="213" t="s">
        <v>572</v>
      </c>
      <c r="L756" s="213" t="s">
        <v>547</v>
      </c>
      <c r="M756" s="213" t="s">
        <v>382</v>
      </c>
      <c r="N756" s="213" t="s">
        <v>551</v>
      </c>
      <c r="O756" s="213"/>
      <c r="P756" s="213"/>
      <c r="Q756" s="213"/>
      <c r="R756" s="213"/>
      <c r="S756" s="213" t="s">
        <v>579</v>
      </c>
      <c r="T756" s="213"/>
      <c r="U756" s="213" t="s">
        <v>538</v>
      </c>
      <c r="V756" s="213">
        <v>4</v>
      </c>
      <c r="W756" s="213" t="s">
        <v>545</v>
      </c>
      <c r="X756" s="213" t="s">
        <v>540</v>
      </c>
      <c r="Y756" s="213" t="s">
        <v>549</v>
      </c>
      <c r="Z756" s="212">
        <v>2437713</v>
      </c>
      <c r="AA756" s="212">
        <v>67580400</v>
      </c>
      <c r="AB756" s="217">
        <v>6.4413999999999999E-2</v>
      </c>
      <c r="AC756" s="217">
        <v>0.10366499999999999</v>
      </c>
      <c r="AD756" s="212">
        <f t="shared" si="11"/>
        <v>4353123.8855999997</v>
      </c>
    </row>
    <row r="757" spans="2:30" x14ac:dyDescent="0.15">
      <c r="B757" s="213">
        <v>17031006382</v>
      </c>
      <c r="C757" s="213">
        <v>17031000617</v>
      </c>
      <c r="D757" s="213">
        <v>17031004671</v>
      </c>
      <c r="E757" s="213" t="s">
        <v>533</v>
      </c>
      <c r="F757" s="213" t="s">
        <v>534</v>
      </c>
      <c r="G757" s="213" t="s">
        <v>365</v>
      </c>
      <c r="H757" s="213" t="s">
        <v>551</v>
      </c>
      <c r="I757" s="213"/>
      <c r="J757" s="213" t="s">
        <v>535</v>
      </c>
      <c r="K757" s="213"/>
      <c r="L757" s="213"/>
      <c r="M757" s="213"/>
      <c r="N757" s="213"/>
      <c r="O757" s="213"/>
      <c r="P757" s="213"/>
      <c r="Q757" s="213"/>
      <c r="R757" s="213"/>
      <c r="S757" s="213" t="s">
        <v>667</v>
      </c>
      <c r="T757" s="213"/>
      <c r="U757" s="213" t="s">
        <v>538</v>
      </c>
      <c r="V757" s="213">
        <v>2</v>
      </c>
      <c r="W757" s="213" t="s">
        <v>582</v>
      </c>
      <c r="X757" s="213" t="s">
        <v>541</v>
      </c>
      <c r="Y757" s="213" t="s">
        <v>541</v>
      </c>
      <c r="Z757" s="212">
        <v>0</v>
      </c>
      <c r="AA757" s="212">
        <v>0</v>
      </c>
      <c r="AB757" s="217">
        <v>0.49148599999999998</v>
      </c>
      <c r="AC757" s="217">
        <v>0.79097099999999998</v>
      </c>
      <c r="AD757" s="212">
        <f t="shared" si="11"/>
        <v>0</v>
      </c>
    </row>
    <row r="758" spans="2:30" x14ac:dyDescent="0.15">
      <c r="B758" s="213">
        <v>17031006383</v>
      </c>
      <c r="C758" s="213">
        <v>17031004672</v>
      </c>
      <c r="D758" s="213">
        <v>17031007606</v>
      </c>
      <c r="E758" s="213" t="s">
        <v>533</v>
      </c>
      <c r="F758" s="213" t="s">
        <v>534</v>
      </c>
      <c r="G758" s="213" t="s">
        <v>365</v>
      </c>
      <c r="H758" s="213" t="s">
        <v>551</v>
      </c>
      <c r="I758" s="213"/>
      <c r="J758" s="213" t="s">
        <v>535</v>
      </c>
      <c r="K758" s="213"/>
      <c r="L758" s="213"/>
      <c r="M758" s="213"/>
      <c r="N758" s="213"/>
      <c r="O758" s="213"/>
      <c r="P758" s="213"/>
      <c r="Q758" s="213"/>
      <c r="R758" s="213"/>
      <c r="S758" s="213" t="s">
        <v>667</v>
      </c>
      <c r="T758" s="213"/>
      <c r="U758" s="213" t="s">
        <v>538</v>
      </c>
      <c r="V758" s="213">
        <v>2</v>
      </c>
      <c r="W758" s="213" t="s">
        <v>582</v>
      </c>
      <c r="X758" s="213" t="s">
        <v>541</v>
      </c>
      <c r="Y758" s="213" t="s">
        <v>541</v>
      </c>
      <c r="Z758" s="212">
        <v>0</v>
      </c>
      <c r="AA758" s="212">
        <v>0</v>
      </c>
      <c r="AB758" s="217">
        <v>0.85231699999999999</v>
      </c>
      <c r="AC758" s="217">
        <v>1.3716740000000001</v>
      </c>
      <c r="AD758" s="212">
        <f t="shared" si="11"/>
        <v>0</v>
      </c>
    </row>
    <row r="759" spans="2:30" x14ac:dyDescent="0.15">
      <c r="B759" s="213">
        <v>17031006389</v>
      </c>
      <c r="C759" s="213">
        <v>17031000659</v>
      </c>
      <c r="D759" s="213">
        <v>17031000662</v>
      </c>
      <c r="E759" s="213" t="s">
        <v>533</v>
      </c>
      <c r="F759" s="213" t="s">
        <v>534</v>
      </c>
      <c r="G759" s="213" t="s">
        <v>365</v>
      </c>
      <c r="H759" s="213" t="s">
        <v>382</v>
      </c>
      <c r="I759" s="213"/>
      <c r="J759" s="213" t="s">
        <v>572</v>
      </c>
      <c r="K759" s="213"/>
      <c r="L759" s="213"/>
      <c r="M759" s="213"/>
      <c r="N759" s="213"/>
      <c r="O759" s="213"/>
      <c r="P759" s="213"/>
      <c r="Q759" s="213"/>
      <c r="R759" s="213"/>
      <c r="S759" s="213" t="s">
        <v>609</v>
      </c>
      <c r="T759" s="213" t="s">
        <v>695</v>
      </c>
      <c r="U759" s="213" t="s">
        <v>538</v>
      </c>
      <c r="V759" s="213">
        <v>1</v>
      </c>
      <c r="W759" s="213" t="s">
        <v>539</v>
      </c>
      <c r="X759" s="213" t="s">
        <v>541</v>
      </c>
      <c r="Y759" s="213" t="s">
        <v>540</v>
      </c>
      <c r="Z759" s="212">
        <v>258148</v>
      </c>
      <c r="AA759" s="212">
        <v>3984112</v>
      </c>
      <c r="AB759" s="217">
        <v>0.13223199999999999</v>
      </c>
      <c r="AC759" s="217">
        <v>0.212807</v>
      </c>
      <c r="AD759" s="212">
        <f t="shared" si="11"/>
        <v>526827.09798399999</v>
      </c>
    </row>
    <row r="760" spans="2:30" x14ac:dyDescent="0.15">
      <c r="B760" s="213">
        <v>17031006395</v>
      </c>
      <c r="C760" s="213">
        <v>17031000649</v>
      </c>
      <c r="D760" s="213">
        <v>17031000679</v>
      </c>
      <c r="E760" s="213" t="s">
        <v>533</v>
      </c>
      <c r="F760" s="213" t="s">
        <v>534</v>
      </c>
      <c r="G760" s="213" t="s">
        <v>365</v>
      </c>
      <c r="H760" s="213" t="s">
        <v>543</v>
      </c>
      <c r="I760" s="213"/>
      <c r="J760" s="213" t="s">
        <v>542</v>
      </c>
      <c r="K760" s="213" t="s">
        <v>547</v>
      </c>
      <c r="L760" s="213"/>
      <c r="M760" s="213"/>
      <c r="N760" s="213"/>
      <c r="O760" s="213"/>
      <c r="P760" s="213"/>
      <c r="Q760" s="213"/>
      <c r="R760" s="213"/>
      <c r="S760" s="213" t="s">
        <v>630</v>
      </c>
      <c r="T760" s="213"/>
      <c r="U760" s="213" t="s">
        <v>538</v>
      </c>
      <c r="V760" s="213">
        <v>2</v>
      </c>
      <c r="W760" s="213" t="s">
        <v>545</v>
      </c>
      <c r="X760" s="213" t="s">
        <v>541</v>
      </c>
      <c r="Y760" s="213" t="s">
        <v>541</v>
      </c>
      <c r="Z760" s="212">
        <v>173950</v>
      </c>
      <c r="AA760" s="212">
        <v>12511548</v>
      </c>
      <c r="AB760" s="217">
        <v>7.1126999999999996E-2</v>
      </c>
      <c r="AC760" s="217">
        <v>0.114467</v>
      </c>
      <c r="AD760" s="212">
        <f t="shared" si="11"/>
        <v>889908.87459599995</v>
      </c>
    </row>
    <row r="761" spans="2:30" x14ac:dyDescent="0.15">
      <c r="B761" s="213">
        <v>17031006402</v>
      </c>
      <c r="C761" s="213">
        <v>17031001045</v>
      </c>
      <c r="D761" s="213">
        <v>17031004690</v>
      </c>
      <c r="E761" s="213" t="s">
        <v>533</v>
      </c>
      <c r="F761" s="213" t="s">
        <v>534</v>
      </c>
      <c r="G761" s="213" t="s">
        <v>365</v>
      </c>
      <c r="H761" s="213" t="s">
        <v>547</v>
      </c>
      <c r="I761" s="213"/>
      <c r="J761" s="213" t="s">
        <v>543</v>
      </c>
      <c r="K761" s="213"/>
      <c r="L761" s="213"/>
      <c r="M761" s="213"/>
      <c r="N761" s="213"/>
      <c r="O761" s="213"/>
      <c r="P761" s="213"/>
      <c r="Q761" s="213"/>
      <c r="R761" s="213"/>
      <c r="S761" s="213" t="s">
        <v>602</v>
      </c>
      <c r="T761" s="213" t="s">
        <v>698</v>
      </c>
      <c r="U761" s="213" t="s">
        <v>538</v>
      </c>
      <c r="V761" s="213">
        <v>1</v>
      </c>
      <c r="W761" s="213" t="s">
        <v>582</v>
      </c>
      <c r="X761" s="213" t="s">
        <v>540</v>
      </c>
      <c r="Y761" s="213" t="s">
        <v>540</v>
      </c>
      <c r="Z761" s="212">
        <v>0</v>
      </c>
      <c r="AA761" s="212">
        <v>0</v>
      </c>
      <c r="AB761" s="217">
        <v>0.23530699999999999</v>
      </c>
      <c r="AC761" s="217">
        <v>0.378691</v>
      </c>
      <c r="AD761" s="212">
        <f t="shared" si="11"/>
        <v>0</v>
      </c>
    </row>
    <row r="762" spans="2:30" x14ac:dyDescent="0.15">
      <c r="B762" s="213">
        <v>17031006413</v>
      </c>
      <c r="C762" s="213">
        <v>17031004707</v>
      </c>
      <c r="D762" s="213">
        <v>17031001078</v>
      </c>
      <c r="E762" s="213" t="s">
        <v>533</v>
      </c>
      <c r="F762" s="213" t="s">
        <v>534</v>
      </c>
      <c r="G762" s="213" t="s">
        <v>365</v>
      </c>
      <c r="H762" s="213" t="s">
        <v>547</v>
      </c>
      <c r="I762" s="213"/>
      <c r="J762" s="213" t="s">
        <v>577</v>
      </c>
      <c r="K762" s="213"/>
      <c r="L762" s="213"/>
      <c r="M762" s="213"/>
      <c r="N762" s="213"/>
      <c r="O762" s="213"/>
      <c r="P762" s="213"/>
      <c r="Q762" s="213"/>
      <c r="R762" s="213"/>
      <c r="S762" s="213" t="s">
        <v>581</v>
      </c>
      <c r="T762" s="213"/>
      <c r="U762" s="213" t="s">
        <v>538</v>
      </c>
      <c r="V762" s="213">
        <v>2</v>
      </c>
      <c r="W762" s="213" t="s">
        <v>582</v>
      </c>
      <c r="X762" s="213" t="s">
        <v>540</v>
      </c>
      <c r="Y762" s="213" t="s">
        <v>541</v>
      </c>
      <c r="Z762" s="212">
        <v>0</v>
      </c>
      <c r="AA762" s="212">
        <v>0</v>
      </c>
      <c r="AB762" s="217">
        <v>0.48847499999999999</v>
      </c>
      <c r="AC762" s="217">
        <v>0.78612599999999999</v>
      </c>
      <c r="AD762" s="212">
        <f t="shared" si="11"/>
        <v>0</v>
      </c>
    </row>
    <row r="763" spans="2:30" x14ac:dyDescent="0.15">
      <c r="B763" s="213">
        <v>17031006415</v>
      </c>
      <c r="C763" s="213">
        <v>17031001559</v>
      </c>
      <c r="D763" s="213">
        <v>17031001562</v>
      </c>
      <c r="E763" s="213" t="s">
        <v>533</v>
      </c>
      <c r="F763" s="213" t="s">
        <v>534</v>
      </c>
      <c r="G763" s="213" t="s">
        <v>365</v>
      </c>
      <c r="H763" s="213" t="s">
        <v>535</v>
      </c>
      <c r="I763" s="213"/>
      <c r="J763" s="213" t="s">
        <v>382</v>
      </c>
      <c r="K763" s="213" t="s">
        <v>536</v>
      </c>
      <c r="L763" s="213"/>
      <c r="M763" s="213"/>
      <c r="N763" s="213"/>
      <c r="O763" s="213"/>
      <c r="P763" s="213"/>
      <c r="Q763" s="213"/>
      <c r="R763" s="213"/>
      <c r="S763" s="213" t="s">
        <v>537</v>
      </c>
      <c r="T763" s="213"/>
      <c r="U763" s="213" t="s">
        <v>538</v>
      </c>
      <c r="V763" s="213">
        <v>2</v>
      </c>
      <c r="W763" s="213" t="s">
        <v>582</v>
      </c>
      <c r="X763" s="213" t="s">
        <v>549</v>
      </c>
      <c r="Y763" s="213" t="s">
        <v>540</v>
      </c>
      <c r="Z763" s="212">
        <v>3276</v>
      </c>
      <c r="AA763" s="212">
        <v>276324</v>
      </c>
      <c r="AB763" s="217">
        <v>0.28319899999999998</v>
      </c>
      <c r="AC763" s="217">
        <v>0.455766</v>
      </c>
      <c r="AD763" s="212">
        <f t="shared" si="11"/>
        <v>78254.680475999994</v>
      </c>
    </row>
    <row r="764" spans="2:30" x14ac:dyDescent="0.15">
      <c r="B764" s="213">
        <v>17031006418</v>
      </c>
      <c r="C764" s="213">
        <v>17031000964</v>
      </c>
      <c r="D764" s="213">
        <v>17031004728</v>
      </c>
      <c r="E764" s="213" t="s">
        <v>533</v>
      </c>
      <c r="F764" s="213" t="s">
        <v>534</v>
      </c>
      <c r="G764" s="213" t="s">
        <v>365</v>
      </c>
      <c r="H764" s="213" t="s">
        <v>571</v>
      </c>
      <c r="I764" s="213"/>
      <c r="J764" s="213" t="s">
        <v>381</v>
      </c>
      <c r="K764" s="213" t="s">
        <v>535</v>
      </c>
      <c r="L764" s="213" t="s">
        <v>552</v>
      </c>
      <c r="M764" s="213" t="s">
        <v>551</v>
      </c>
      <c r="N764" s="213" t="s">
        <v>382</v>
      </c>
      <c r="O764" s="213" t="s">
        <v>563</v>
      </c>
      <c r="P764" s="213"/>
      <c r="Q764" s="213"/>
      <c r="R764" s="213"/>
      <c r="S764" s="213" t="s">
        <v>655</v>
      </c>
      <c r="T764" s="213"/>
      <c r="U764" s="213" t="s">
        <v>538</v>
      </c>
      <c r="V764" s="213">
        <v>2</v>
      </c>
      <c r="W764" s="213" t="s">
        <v>545</v>
      </c>
      <c r="X764" s="213" t="s">
        <v>554</v>
      </c>
      <c r="Y764" s="213" t="s">
        <v>546</v>
      </c>
      <c r="Z764" s="212">
        <v>83041</v>
      </c>
      <c r="AA764" s="212">
        <v>4657881</v>
      </c>
      <c r="AB764" s="217">
        <v>0.21063699999999999</v>
      </c>
      <c r="AC764" s="217">
        <v>0.33898800000000001</v>
      </c>
      <c r="AD764" s="212">
        <f t="shared" si="11"/>
        <v>981122.08019699994</v>
      </c>
    </row>
    <row r="765" spans="2:30" x14ac:dyDescent="0.15">
      <c r="B765" s="213">
        <v>17031006423</v>
      </c>
      <c r="C765" s="213">
        <v>17031004729</v>
      </c>
      <c r="D765" s="213">
        <v>17031004730</v>
      </c>
      <c r="E765" s="213" t="s">
        <v>533</v>
      </c>
      <c r="F765" s="213" t="s">
        <v>534</v>
      </c>
      <c r="G765" s="213" t="s">
        <v>365</v>
      </c>
      <c r="H765" s="213" t="s">
        <v>571</v>
      </c>
      <c r="I765" s="213"/>
      <c r="J765" s="213" t="s">
        <v>381</v>
      </c>
      <c r="K765" s="213" t="s">
        <v>535</v>
      </c>
      <c r="L765" s="213" t="s">
        <v>552</v>
      </c>
      <c r="M765" s="213" t="s">
        <v>572</v>
      </c>
      <c r="N765" s="213" t="s">
        <v>551</v>
      </c>
      <c r="O765" s="213" t="s">
        <v>555</v>
      </c>
      <c r="P765" s="213" t="s">
        <v>543</v>
      </c>
      <c r="Q765" s="213" t="s">
        <v>382</v>
      </c>
      <c r="R765" s="213" t="s">
        <v>563</v>
      </c>
      <c r="S765" s="213" t="s">
        <v>605</v>
      </c>
      <c r="T765" s="213" t="s">
        <v>574</v>
      </c>
      <c r="U765" s="213" t="s">
        <v>538</v>
      </c>
      <c r="V765" s="213">
        <v>2</v>
      </c>
      <c r="W765" s="213" t="s">
        <v>545</v>
      </c>
      <c r="X765" s="213" t="s">
        <v>554</v>
      </c>
      <c r="Y765" s="213" t="s">
        <v>575</v>
      </c>
      <c r="Z765" s="212">
        <v>344239</v>
      </c>
      <c r="AA765" s="212">
        <v>17727348</v>
      </c>
      <c r="AB765" s="217">
        <v>0.356462</v>
      </c>
      <c r="AC765" s="217">
        <v>0.57367100000000004</v>
      </c>
      <c r="AD765" s="212">
        <f t="shared" si="11"/>
        <v>6319125.9227759996</v>
      </c>
    </row>
    <row r="766" spans="2:30" x14ac:dyDescent="0.15">
      <c r="B766" s="213">
        <v>17031006443</v>
      </c>
      <c r="C766" s="213">
        <v>17031001118</v>
      </c>
      <c r="D766" s="213">
        <v>17031001124</v>
      </c>
      <c r="E766" s="213" t="s">
        <v>533</v>
      </c>
      <c r="F766" s="213" t="s">
        <v>534</v>
      </c>
      <c r="G766" s="213" t="s">
        <v>365</v>
      </c>
      <c r="H766" s="213" t="s">
        <v>543</v>
      </c>
      <c r="I766" s="213"/>
      <c r="J766" s="213" t="s">
        <v>542</v>
      </c>
      <c r="K766" s="213" t="s">
        <v>552</v>
      </c>
      <c r="L766" s="213" t="s">
        <v>557</v>
      </c>
      <c r="M766" s="213" t="s">
        <v>661</v>
      </c>
      <c r="N766" s="213"/>
      <c r="O766" s="213"/>
      <c r="P766" s="213"/>
      <c r="Q766" s="213"/>
      <c r="R766" s="213"/>
      <c r="S766" s="213" t="s">
        <v>630</v>
      </c>
      <c r="T766" s="213"/>
      <c r="U766" s="213" t="s">
        <v>538</v>
      </c>
      <c r="V766" s="213">
        <v>2</v>
      </c>
      <c r="W766" s="213" t="s">
        <v>545</v>
      </c>
      <c r="X766" s="213" t="s">
        <v>540</v>
      </c>
      <c r="Y766" s="213" t="s">
        <v>575</v>
      </c>
      <c r="Z766" s="212">
        <v>2658147</v>
      </c>
      <c r="AA766" s="212">
        <v>74296668</v>
      </c>
      <c r="AB766" s="217">
        <v>5.5612000000000002E-2</v>
      </c>
      <c r="AC766" s="217">
        <v>8.9497999999999994E-2</v>
      </c>
      <c r="AD766" s="212">
        <f t="shared" si="11"/>
        <v>4131786.300816</v>
      </c>
    </row>
    <row r="767" spans="2:30" x14ac:dyDescent="0.15">
      <c r="B767" s="213">
        <v>17031006444</v>
      </c>
      <c r="C767" s="213">
        <v>99999099457</v>
      </c>
      <c r="D767" s="213">
        <v>17031004739</v>
      </c>
      <c r="E767" s="213" t="s">
        <v>533</v>
      </c>
      <c r="F767" s="213" t="s">
        <v>534</v>
      </c>
      <c r="G767" s="213" t="s">
        <v>365</v>
      </c>
      <c r="H767" s="213" t="s">
        <v>543</v>
      </c>
      <c r="I767" s="213"/>
      <c r="J767" s="213" t="s">
        <v>557</v>
      </c>
      <c r="K767" s="213"/>
      <c r="L767" s="213"/>
      <c r="M767" s="213"/>
      <c r="N767" s="213"/>
      <c r="O767" s="213"/>
      <c r="P767" s="213"/>
      <c r="Q767" s="213"/>
      <c r="R767" s="213"/>
      <c r="S767" s="213" t="s">
        <v>630</v>
      </c>
      <c r="T767" s="213" t="s">
        <v>683</v>
      </c>
      <c r="U767" s="213" t="s">
        <v>538</v>
      </c>
      <c r="V767" s="213">
        <v>1</v>
      </c>
      <c r="W767" s="213" t="s">
        <v>545</v>
      </c>
      <c r="X767" s="213" t="s">
        <v>540</v>
      </c>
      <c r="Y767" s="213" t="s">
        <v>575</v>
      </c>
      <c r="Z767" s="212">
        <v>2492780</v>
      </c>
      <c r="AA767" s="212">
        <v>66337706</v>
      </c>
      <c r="AB767" s="217">
        <v>3.3730999999999997E-2</v>
      </c>
      <c r="AC767" s="217">
        <v>5.4286000000000001E-2</v>
      </c>
      <c r="AD767" s="212">
        <f t="shared" si="11"/>
        <v>2237637.161086</v>
      </c>
    </row>
    <row r="768" spans="2:30" x14ac:dyDescent="0.15">
      <c r="B768" s="213">
        <v>17031006453</v>
      </c>
      <c r="C768" s="213">
        <v>17031001382</v>
      </c>
      <c r="D768" s="213">
        <v>17031001409</v>
      </c>
      <c r="E768" s="213" t="s">
        <v>533</v>
      </c>
      <c r="F768" s="213" t="s">
        <v>534</v>
      </c>
      <c r="G768" s="213" t="s">
        <v>365</v>
      </c>
      <c r="H768" s="213" t="s">
        <v>382</v>
      </c>
      <c r="I768" s="213"/>
      <c r="J768" s="213" t="s">
        <v>542</v>
      </c>
      <c r="K768" s="213" t="s">
        <v>551</v>
      </c>
      <c r="L768" s="213" t="s">
        <v>555</v>
      </c>
      <c r="M768" s="213" t="s">
        <v>552</v>
      </c>
      <c r="N768" s="213"/>
      <c r="O768" s="213"/>
      <c r="P768" s="213"/>
      <c r="Q768" s="213"/>
      <c r="R768" s="213"/>
      <c r="S768" s="213" t="s">
        <v>556</v>
      </c>
      <c r="T768" s="213" t="s">
        <v>697</v>
      </c>
      <c r="U768" s="213" t="s">
        <v>538</v>
      </c>
      <c r="V768" s="213">
        <v>2</v>
      </c>
      <c r="W768" s="213" t="s">
        <v>545</v>
      </c>
      <c r="X768" s="213" t="s">
        <v>554</v>
      </c>
      <c r="Y768" s="213" t="s">
        <v>580</v>
      </c>
      <c r="Z768" s="212">
        <v>679825</v>
      </c>
      <c r="AA768" s="212">
        <v>32130584</v>
      </c>
      <c r="AB768" s="217">
        <v>0.43574099999999999</v>
      </c>
      <c r="AC768" s="217">
        <v>0.70125800000000005</v>
      </c>
      <c r="AD768" s="212">
        <f t="shared" si="11"/>
        <v>14000612.802743999</v>
      </c>
    </row>
    <row r="769" spans="2:30" x14ac:dyDescent="0.15">
      <c r="B769" s="213">
        <v>17031006455</v>
      </c>
      <c r="C769" s="213">
        <v>17031001423</v>
      </c>
      <c r="D769" s="213">
        <v>17031001358</v>
      </c>
      <c r="E769" s="213" t="s">
        <v>533</v>
      </c>
      <c r="F769" s="213" t="s">
        <v>534</v>
      </c>
      <c r="G769" s="213" t="s">
        <v>365</v>
      </c>
      <c r="H769" s="213" t="s">
        <v>382</v>
      </c>
      <c r="I769" s="213"/>
      <c r="J769" s="213" t="s">
        <v>542</v>
      </c>
      <c r="K769" s="213" t="s">
        <v>551</v>
      </c>
      <c r="L769" s="213" t="s">
        <v>555</v>
      </c>
      <c r="M769" s="213" t="s">
        <v>552</v>
      </c>
      <c r="N769" s="213" t="s">
        <v>535</v>
      </c>
      <c r="O769" s="213"/>
      <c r="P769" s="213"/>
      <c r="Q769" s="213"/>
      <c r="R769" s="213"/>
      <c r="S769" s="213" t="s">
        <v>556</v>
      </c>
      <c r="T769" s="213" t="s">
        <v>631</v>
      </c>
      <c r="U769" s="213" t="s">
        <v>538</v>
      </c>
      <c r="V769" s="213">
        <v>2</v>
      </c>
      <c r="W769" s="213" t="s">
        <v>545</v>
      </c>
      <c r="X769" s="213" t="s">
        <v>554</v>
      </c>
      <c r="Y769" s="213" t="s">
        <v>580</v>
      </c>
      <c r="Z769" s="212">
        <v>858065</v>
      </c>
      <c r="AA769" s="212">
        <v>34243624</v>
      </c>
      <c r="AB769" s="217">
        <v>0.40476499999999999</v>
      </c>
      <c r="AC769" s="217">
        <v>0.65140699999999996</v>
      </c>
      <c r="AD769" s="212">
        <f t="shared" si="11"/>
        <v>13860620.468359999</v>
      </c>
    </row>
    <row r="770" spans="2:30" x14ac:dyDescent="0.15">
      <c r="B770" s="213">
        <v>17031006456</v>
      </c>
      <c r="C770" s="213">
        <v>17031001033</v>
      </c>
      <c r="D770" s="213">
        <v>17031001034</v>
      </c>
      <c r="E770" s="213" t="s">
        <v>533</v>
      </c>
      <c r="F770" s="213" t="s">
        <v>534</v>
      </c>
      <c r="G770" s="213" t="s">
        <v>365</v>
      </c>
      <c r="H770" s="213" t="s">
        <v>571</v>
      </c>
      <c r="I770" s="213"/>
      <c r="J770" s="213" t="s">
        <v>542</v>
      </c>
      <c r="K770" s="213" t="s">
        <v>552</v>
      </c>
      <c r="L770" s="213" t="s">
        <v>572</v>
      </c>
      <c r="M770" s="213" t="s">
        <v>555</v>
      </c>
      <c r="N770" s="213" t="s">
        <v>543</v>
      </c>
      <c r="O770" s="213" t="s">
        <v>382</v>
      </c>
      <c r="P770" s="213"/>
      <c r="Q770" s="213"/>
      <c r="R770" s="213"/>
      <c r="S770" s="213" t="s">
        <v>573</v>
      </c>
      <c r="T770" s="213"/>
      <c r="U770" s="213" t="s">
        <v>538</v>
      </c>
      <c r="V770" s="213">
        <v>3</v>
      </c>
      <c r="W770" s="213" t="s">
        <v>545</v>
      </c>
      <c r="X770" s="213" t="s">
        <v>554</v>
      </c>
      <c r="Y770" s="213" t="s">
        <v>575</v>
      </c>
      <c r="Z770" s="212">
        <v>239597</v>
      </c>
      <c r="AA770" s="212">
        <v>12158790</v>
      </c>
      <c r="AB770" s="217">
        <v>3.4653999999999997E-2</v>
      </c>
      <c r="AC770" s="217">
        <v>5.577E-2</v>
      </c>
      <c r="AD770" s="212">
        <f t="shared" si="11"/>
        <v>421350.70865999995</v>
      </c>
    </row>
    <row r="771" spans="2:30" x14ac:dyDescent="0.15">
      <c r="B771" s="213">
        <v>17031006465</v>
      </c>
      <c r="C771" s="213">
        <v>17031000852</v>
      </c>
      <c r="D771" s="213">
        <v>17031000849</v>
      </c>
      <c r="E771" s="213" t="s">
        <v>533</v>
      </c>
      <c r="F771" s="213" t="s">
        <v>534</v>
      </c>
      <c r="G771" s="213" t="s">
        <v>365</v>
      </c>
      <c r="H771" s="213" t="s">
        <v>571</v>
      </c>
      <c r="I771" s="213"/>
      <c r="J771" s="213" t="s">
        <v>535</v>
      </c>
      <c r="K771" s="213" t="s">
        <v>543</v>
      </c>
      <c r="L771" s="213"/>
      <c r="M771" s="213"/>
      <c r="N771" s="213"/>
      <c r="O771" s="213"/>
      <c r="P771" s="213"/>
      <c r="Q771" s="213"/>
      <c r="R771" s="213"/>
      <c r="S771" s="213"/>
      <c r="T771" s="213"/>
      <c r="U771" s="213" t="s">
        <v>559</v>
      </c>
      <c r="V771" s="213">
        <v>1</v>
      </c>
      <c r="W771" s="213" t="s">
        <v>560</v>
      </c>
      <c r="X771" s="213" t="s">
        <v>541</v>
      </c>
      <c r="Y771" s="213" t="s">
        <v>541</v>
      </c>
      <c r="Z771" s="212">
        <v>72673</v>
      </c>
      <c r="AA771" s="212">
        <v>3647669</v>
      </c>
      <c r="AB771" s="217">
        <v>1.9474000000000002E-2</v>
      </c>
      <c r="AC771" s="217">
        <v>3.1341000000000001E-2</v>
      </c>
      <c r="AD771" s="212">
        <f t="shared" si="11"/>
        <v>71034.706106000012</v>
      </c>
    </row>
    <row r="772" spans="2:30" x14ac:dyDescent="0.15">
      <c r="B772" s="213">
        <v>17031006466</v>
      </c>
      <c r="C772" s="213">
        <v>17031000850</v>
      </c>
      <c r="D772" s="213">
        <v>17031000840</v>
      </c>
      <c r="E772" s="213" t="s">
        <v>533</v>
      </c>
      <c r="F772" s="213" t="s">
        <v>534</v>
      </c>
      <c r="G772" s="213" t="s">
        <v>365</v>
      </c>
      <c r="H772" s="213" t="s">
        <v>571</v>
      </c>
      <c r="I772" s="213"/>
      <c r="J772" s="213" t="s">
        <v>381</v>
      </c>
      <c r="K772" s="213" t="s">
        <v>543</v>
      </c>
      <c r="L772" s="213" t="s">
        <v>382</v>
      </c>
      <c r="M772" s="213" t="s">
        <v>535</v>
      </c>
      <c r="N772" s="213" t="s">
        <v>551</v>
      </c>
      <c r="O772" s="213"/>
      <c r="P772" s="213"/>
      <c r="Q772" s="213"/>
      <c r="R772" s="213"/>
      <c r="S772" s="213" t="s">
        <v>654</v>
      </c>
      <c r="T772" s="213"/>
      <c r="U772" s="213" t="s">
        <v>559</v>
      </c>
      <c r="V772" s="213">
        <v>1</v>
      </c>
      <c r="W772" s="213" t="s">
        <v>560</v>
      </c>
      <c r="X772" s="213" t="s">
        <v>541</v>
      </c>
      <c r="Y772" s="213" t="s">
        <v>541</v>
      </c>
      <c r="Z772" s="212">
        <v>72673</v>
      </c>
      <c r="AA772" s="212">
        <v>3647669</v>
      </c>
      <c r="AB772" s="217">
        <v>5.3379000000000003E-2</v>
      </c>
      <c r="AC772" s="217">
        <v>8.5904999999999995E-2</v>
      </c>
      <c r="AD772" s="212">
        <f t="shared" si="11"/>
        <v>194708.92355100001</v>
      </c>
    </row>
    <row r="773" spans="2:30" x14ac:dyDescent="0.15">
      <c r="B773" s="213">
        <v>17031006471</v>
      </c>
      <c r="C773" s="213">
        <v>17031004718</v>
      </c>
      <c r="D773" s="213">
        <v>17031000897</v>
      </c>
      <c r="E773" s="213" t="s">
        <v>533</v>
      </c>
      <c r="F773" s="213" t="s">
        <v>534</v>
      </c>
      <c r="G773" s="213" t="s">
        <v>365</v>
      </c>
      <c r="H773" s="213" t="s">
        <v>551</v>
      </c>
      <c r="I773" s="213"/>
      <c r="J773" s="213" t="s">
        <v>381</v>
      </c>
      <c r="K773" s="213" t="s">
        <v>535</v>
      </c>
      <c r="L773" s="213" t="s">
        <v>552</v>
      </c>
      <c r="M773" s="213" t="s">
        <v>382</v>
      </c>
      <c r="N773" s="213"/>
      <c r="O773" s="213"/>
      <c r="P773" s="213"/>
      <c r="Q773" s="213"/>
      <c r="R773" s="213"/>
      <c r="S773" s="213" t="s">
        <v>600</v>
      </c>
      <c r="T773" s="213" t="s">
        <v>633</v>
      </c>
      <c r="U773" s="213" t="s">
        <v>538</v>
      </c>
      <c r="V773" s="213">
        <v>3</v>
      </c>
      <c r="W773" s="213" t="s">
        <v>582</v>
      </c>
      <c r="X773" s="213" t="s">
        <v>540</v>
      </c>
      <c r="Y773" s="213" t="s">
        <v>549</v>
      </c>
      <c r="Z773" s="212">
        <v>192774</v>
      </c>
      <c r="AA773" s="212">
        <v>6267418</v>
      </c>
      <c r="AB773" s="217">
        <v>0.24382599999999999</v>
      </c>
      <c r="AC773" s="217">
        <v>0.392401</v>
      </c>
      <c r="AD773" s="212">
        <f t="shared" si="11"/>
        <v>1528159.4612679998</v>
      </c>
    </row>
    <row r="774" spans="2:30" x14ac:dyDescent="0.15">
      <c r="B774" s="213">
        <v>17031006475</v>
      </c>
      <c r="C774" s="213">
        <v>17031001053</v>
      </c>
      <c r="D774" s="213">
        <v>17031004720</v>
      </c>
      <c r="E774" s="213" t="s">
        <v>533</v>
      </c>
      <c r="F774" s="213" t="s">
        <v>534</v>
      </c>
      <c r="G774" s="213" t="s">
        <v>365</v>
      </c>
      <c r="H774" s="213" t="s">
        <v>551</v>
      </c>
      <c r="I774" s="213"/>
      <c r="J774" s="213"/>
      <c r="K774" s="213"/>
      <c r="L774" s="213"/>
      <c r="M774" s="213"/>
      <c r="N774" s="213"/>
      <c r="O774" s="213"/>
      <c r="P774" s="213"/>
      <c r="Q774" s="213"/>
      <c r="R774" s="213"/>
      <c r="S774" s="213" t="s">
        <v>600</v>
      </c>
      <c r="T774" s="213"/>
      <c r="U774" s="213" t="s">
        <v>538</v>
      </c>
      <c r="V774" s="213">
        <v>2</v>
      </c>
      <c r="W774" s="213" t="s">
        <v>582</v>
      </c>
      <c r="X774" s="213" t="s">
        <v>554</v>
      </c>
      <c r="Y774" s="213" t="s">
        <v>575</v>
      </c>
      <c r="Z774" s="212">
        <v>422030</v>
      </c>
      <c r="AA774" s="212">
        <v>9732094</v>
      </c>
      <c r="AB774" s="217">
        <v>1.1197429999999999</v>
      </c>
      <c r="AC774" s="217">
        <v>1.802055</v>
      </c>
      <c r="AD774" s="212">
        <f t="shared" ref="AD774:AD837" si="12">AA774*AB774</f>
        <v>10897444.131841999</v>
      </c>
    </row>
    <row r="775" spans="2:30" x14ac:dyDescent="0.15">
      <c r="B775" s="213">
        <v>17031006479</v>
      </c>
      <c r="C775" s="213">
        <v>17031004744</v>
      </c>
      <c r="D775" s="213">
        <v>17031001403</v>
      </c>
      <c r="E775" s="213" t="s">
        <v>533</v>
      </c>
      <c r="F775" s="213" t="s">
        <v>534</v>
      </c>
      <c r="G775" s="213" t="s">
        <v>365</v>
      </c>
      <c r="H775" s="213" t="s">
        <v>557</v>
      </c>
      <c r="I775" s="213"/>
      <c r="J775" s="213" t="s">
        <v>552</v>
      </c>
      <c r="K775" s="213"/>
      <c r="L775" s="213"/>
      <c r="M775" s="213"/>
      <c r="N775" s="213"/>
      <c r="O775" s="213"/>
      <c r="P775" s="213"/>
      <c r="Q775" s="213"/>
      <c r="R775" s="213"/>
      <c r="S775" s="213" t="s">
        <v>567</v>
      </c>
      <c r="T775" s="213"/>
      <c r="U775" s="213" t="s">
        <v>559</v>
      </c>
      <c r="V775" s="213">
        <v>1</v>
      </c>
      <c r="W775" s="213" t="s">
        <v>560</v>
      </c>
      <c r="X775" s="213" t="s">
        <v>541</v>
      </c>
      <c r="Y775" s="213" t="s">
        <v>541</v>
      </c>
      <c r="Z775" s="212">
        <v>0</v>
      </c>
      <c r="AA775" s="212">
        <v>0</v>
      </c>
      <c r="AB775" s="217">
        <v>0.17177899999999999</v>
      </c>
      <c r="AC775" s="217">
        <v>0.27645199999999998</v>
      </c>
      <c r="AD775" s="212">
        <f t="shared" si="12"/>
        <v>0</v>
      </c>
    </row>
    <row r="776" spans="2:30" x14ac:dyDescent="0.15">
      <c r="B776" s="213">
        <v>17031006482</v>
      </c>
      <c r="C776" s="213">
        <v>17031001402</v>
      </c>
      <c r="D776" s="213">
        <v>17031004743</v>
      </c>
      <c r="E776" s="213" t="s">
        <v>533</v>
      </c>
      <c r="F776" s="213" t="s">
        <v>534</v>
      </c>
      <c r="G776" s="213" t="s">
        <v>365</v>
      </c>
      <c r="H776" s="213" t="s">
        <v>557</v>
      </c>
      <c r="I776" s="213"/>
      <c r="J776" s="213" t="s">
        <v>552</v>
      </c>
      <c r="K776" s="213"/>
      <c r="L776" s="213"/>
      <c r="M776" s="213"/>
      <c r="N776" s="213"/>
      <c r="O776" s="213"/>
      <c r="P776" s="213"/>
      <c r="Q776" s="213"/>
      <c r="R776" s="213"/>
      <c r="S776" s="213" t="s">
        <v>634</v>
      </c>
      <c r="T776" s="213"/>
      <c r="U776" s="213" t="s">
        <v>559</v>
      </c>
      <c r="V776" s="213">
        <v>1</v>
      </c>
      <c r="W776" s="213" t="s">
        <v>560</v>
      </c>
      <c r="X776" s="213" t="s">
        <v>541</v>
      </c>
      <c r="Y776" s="213" t="s">
        <v>541</v>
      </c>
      <c r="Z776" s="212">
        <v>440</v>
      </c>
      <c r="AA776" s="212">
        <v>41160</v>
      </c>
      <c r="AB776" s="217">
        <v>8.7188000000000002E-2</v>
      </c>
      <c r="AC776" s="217">
        <v>0.140315</v>
      </c>
      <c r="AD776" s="212">
        <f t="shared" si="12"/>
        <v>3588.6580800000002</v>
      </c>
    </row>
    <row r="777" spans="2:30" x14ac:dyDescent="0.15">
      <c r="B777" s="213">
        <v>17031006485</v>
      </c>
      <c r="C777" s="213">
        <v>17031001367</v>
      </c>
      <c r="D777" s="213">
        <v>17031004745</v>
      </c>
      <c r="E777" s="213" t="s">
        <v>533</v>
      </c>
      <c r="F777" s="213" t="s">
        <v>534</v>
      </c>
      <c r="G777" s="213" t="s">
        <v>365</v>
      </c>
      <c r="H777" s="213" t="s">
        <v>557</v>
      </c>
      <c r="I777" s="213"/>
      <c r="J777" s="213" t="s">
        <v>569</v>
      </c>
      <c r="K777" s="213" t="s">
        <v>551</v>
      </c>
      <c r="L777" s="213" t="s">
        <v>543</v>
      </c>
      <c r="M777" s="213" t="s">
        <v>552</v>
      </c>
      <c r="N777" s="213"/>
      <c r="O777" s="213"/>
      <c r="P777" s="213"/>
      <c r="Q777" s="213"/>
      <c r="R777" s="213"/>
      <c r="S777" s="213" t="s">
        <v>570</v>
      </c>
      <c r="T777" s="213"/>
      <c r="U777" s="213" t="s">
        <v>538</v>
      </c>
      <c r="V777" s="213">
        <v>2</v>
      </c>
      <c r="W777" s="213" t="s">
        <v>545</v>
      </c>
      <c r="X777" s="213" t="s">
        <v>540</v>
      </c>
      <c r="Y777" s="213" t="s">
        <v>540</v>
      </c>
      <c r="Z777" s="212">
        <v>566648</v>
      </c>
      <c r="AA777" s="212">
        <v>11293384</v>
      </c>
      <c r="AB777" s="217">
        <v>0.54322899999999996</v>
      </c>
      <c r="AC777" s="217">
        <v>0.87424500000000005</v>
      </c>
      <c r="AD777" s="212">
        <f t="shared" si="12"/>
        <v>6134893.6969359992</v>
      </c>
    </row>
    <row r="778" spans="2:30" x14ac:dyDescent="0.15">
      <c r="B778" s="213">
        <v>17031006486</v>
      </c>
      <c r="C778" s="213">
        <v>17031004746</v>
      </c>
      <c r="D778" s="213">
        <v>17031004745</v>
      </c>
      <c r="E778" s="213" t="s">
        <v>533</v>
      </c>
      <c r="F778" s="213" t="s">
        <v>534</v>
      </c>
      <c r="G778" s="213" t="s">
        <v>365</v>
      </c>
      <c r="H778" s="213" t="s">
        <v>551</v>
      </c>
      <c r="I778" s="213"/>
      <c r="J778" s="213"/>
      <c r="K778" s="213"/>
      <c r="L778" s="213"/>
      <c r="M778" s="213"/>
      <c r="N778" s="213"/>
      <c r="O778" s="213"/>
      <c r="P778" s="213"/>
      <c r="Q778" s="213"/>
      <c r="R778" s="213"/>
      <c r="S778" s="213"/>
      <c r="T778" s="213"/>
      <c r="U778" s="213" t="s">
        <v>538</v>
      </c>
      <c r="V778" s="213">
        <v>1</v>
      </c>
      <c r="W778" s="213" t="s">
        <v>545</v>
      </c>
      <c r="X778" s="213" t="s">
        <v>540</v>
      </c>
      <c r="Y778" s="213" t="s">
        <v>541</v>
      </c>
      <c r="Z778" s="212">
        <v>548700</v>
      </c>
      <c r="AA778" s="212">
        <v>9827196</v>
      </c>
      <c r="AB778" s="217">
        <v>0.32526899999999997</v>
      </c>
      <c r="AC778" s="217">
        <v>0.52347100000000002</v>
      </c>
      <c r="AD778" s="212">
        <f t="shared" si="12"/>
        <v>3196482.2157239998</v>
      </c>
    </row>
    <row r="779" spans="2:30" x14ac:dyDescent="0.15">
      <c r="B779" s="213">
        <v>17031006510</v>
      </c>
      <c r="C779" s="213">
        <v>17031001080</v>
      </c>
      <c r="D779" s="213">
        <v>17031001103</v>
      </c>
      <c r="E779" s="213" t="s">
        <v>533</v>
      </c>
      <c r="F779" s="213" t="s">
        <v>534</v>
      </c>
      <c r="G779" s="213" t="s">
        <v>365</v>
      </c>
      <c r="H779" s="213" t="s">
        <v>535</v>
      </c>
      <c r="I779" s="213"/>
      <c r="J779" s="213"/>
      <c r="K779" s="213"/>
      <c r="L779" s="213"/>
      <c r="M779" s="213"/>
      <c r="N779" s="213"/>
      <c r="O779" s="213"/>
      <c r="P779" s="213"/>
      <c r="Q779" s="213"/>
      <c r="R779" s="213"/>
      <c r="S779" s="213" t="s">
        <v>597</v>
      </c>
      <c r="T779" s="213"/>
      <c r="U779" s="213" t="s">
        <v>538</v>
      </c>
      <c r="V779" s="213">
        <v>1</v>
      </c>
      <c r="W779" s="213" t="s">
        <v>539</v>
      </c>
      <c r="X779" s="213" t="s">
        <v>541</v>
      </c>
      <c r="Y779" s="213" t="s">
        <v>541</v>
      </c>
      <c r="Z779" s="212">
        <v>3760</v>
      </c>
      <c r="AA779" s="212">
        <v>353440</v>
      </c>
      <c r="AB779" s="217">
        <v>0.32413399999999998</v>
      </c>
      <c r="AC779" s="217">
        <v>0.52164500000000003</v>
      </c>
      <c r="AD779" s="212">
        <f t="shared" si="12"/>
        <v>114561.92095999999</v>
      </c>
    </row>
    <row r="780" spans="2:30" x14ac:dyDescent="0.15">
      <c r="B780" s="213">
        <v>17031006511</v>
      </c>
      <c r="C780" s="213">
        <v>17031001103</v>
      </c>
      <c r="D780" s="213">
        <v>17031001095</v>
      </c>
      <c r="E780" s="213" t="s">
        <v>533</v>
      </c>
      <c r="F780" s="213" t="s">
        <v>534</v>
      </c>
      <c r="G780" s="213" t="s">
        <v>365</v>
      </c>
      <c r="H780" s="213" t="s">
        <v>535</v>
      </c>
      <c r="I780" s="213"/>
      <c r="J780" s="213"/>
      <c r="K780" s="213"/>
      <c r="L780" s="213"/>
      <c r="M780" s="213"/>
      <c r="N780" s="213"/>
      <c r="O780" s="213"/>
      <c r="P780" s="213"/>
      <c r="Q780" s="213"/>
      <c r="R780" s="213"/>
      <c r="S780" s="213" t="s">
        <v>597</v>
      </c>
      <c r="T780" s="213"/>
      <c r="U780" s="213" t="s">
        <v>538</v>
      </c>
      <c r="V780" s="213">
        <v>1</v>
      </c>
      <c r="W780" s="213" t="s">
        <v>539</v>
      </c>
      <c r="X780" s="213" t="s">
        <v>541</v>
      </c>
      <c r="Y780" s="213" t="s">
        <v>541</v>
      </c>
      <c r="Z780" s="212">
        <v>0</v>
      </c>
      <c r="AA780" s="212">
        <v>0</v>
      </c>
      <c r="AB780" s="217">
        <v>4.3005000000000002E-2</v>
      </c>
      <c r="AC780" s="217">
        <v>6.9209000000000007E-2</v>
      </c>
      <c r="AD780" s="212">
        <f t="shared" si="12"/>
        <v>0</v>
      </c>
    </row>
    <row r="781" spans="2:30" x14ac:dyDescent="0.15">
      <c r="B781" s="213">
        <v>17031006513</v>
      </c>
      <c r="C781" s="213">
        <v>17031001073</v>
      </c>
      <c r="D781" s="213">
        <v>17031001092</v>
      </c>
      <c r="E781" s="213" t="s">
        <v>533</v>
      </c>
      <c r="F781" s="213" t="s">
        <v>534</v>
      </c>
      <c r="G781" s="213" t="s">
        <v>365</v>
      </c>
      <c r="H781" s="213" t="s">
        <v>577</v>
      </c>
      <c r="I781" s="213"/>
      <c r="J781" s="213"/>
      <c r="K781" s="213"/>
      <c r="L781" s="213"/>
      <c r="M781" s="213"/>
      <c r="N781" s="213"/>
      <c r="O781" s="213"/>
      <c r="P781" s="213"/>
      <c r="Q781" s="213"/>
      <c r="R781" s="213"/>
      <c r="S781" s="213"/>
      <c r="T781" s="213"/>
      <c r="U781" s="213" t="s">
        <v>538</v>
      </c>
      <c r="V781" s="213">
        <v>1</v>
      </c>
      <c r="W781" s="213" t="s">
        <v>560</v>
      </c>
      <c r="X781" s="213" t="s">
        <v>541</v>
      </c>
      <c r="Y781" s="213" t="s">
        <v>541</v>
      </c>
      <c r="Z781" s="212">
        <v>0</v>
      </c>
      <c r="AA781" s="212">
        <v>0</v>
      </c>
      <c r="AB781" s="217">
        <v>1.3702000000000001E-2</v>
      </c>
      <c r="AC781" s="217">
        <v>2.2051999999999999E-2</v>
      </c>
      <c r="AD781" s="212">
        <f t="shared" si="12"/>
        <v>0</v>
      </c>
    </row>
    <row r="782" spans="2:30" x14ac:dyDescent="0.15">
      <c r="B782" s="213">
        <v>17031006517</v>
      </c>
      <c r="C782" s="213">
        <v>17031001092</v>
      </c>
      <c r="D782" s="213">
        <v>17031001091</v>
      </c>
      <c r="E782" s="213" t="s">
        <v>533</v>
      </c>
      <c r="F782" s="213" t="s">
        <v>534</v>
      </c>
      <c r="G782" s="213" t="s">
        <v>365</v>
      </c>
      <c r="H782" s="213" t="s">
        <v>577</v>
      </c>
      <c r="I782" s="213"/>
      <c r="J782" s="213"/>
      <c r="K782" s="213"/>
      <c r="L782" s="213"/>
      <c r="M782" s="213"/>
      <c r="N782" s="213"/>
      <c r="O782" s="213"/>
      <c r="P782" s="213"/>
      <c r="Q782" s="213"/>
      <c r="R782" s="213"/>
      <c r="S782" s="213"/>
      <c r="T782" s="213"/>
      <c r="U782" s="213" t="s">
        <v>538</v>
      </c>
      <c r="V782" s="213">
        <v>1</v>
      </c>
      <c r="W782" s="213" t="s">
        <v>560</v>
      </c>
      <c r="X782" s="213" t="s">
        <v>541</v>
      </c>
      <c r="Y782" s="213" t="s">
        <v>541</v>
      </c>
      <c r="Z782" s="212">
        <v>0</v>
      </c>
      <c r="AA782" s="212">
        <v>0</v>
      </c>
      <c r="AB782" s="217">
        <v>0.22804099999999999</v>
      </c>
      <c r="AC782" s="217">
        <v>0.36699599999999999</v>
      </c>
      <c r="AD782" s="212">
        <f t="shared" si="12"/>
        <v>0</v>
      </c>
    </row>
    <row r="783" spans="2:30" x14ac:dyDescent="0.15">
      <c r="B783" s="213">
        <v>17031008292</v>
      </c>
      <c r="C783" s="213">
        <v>17031006632</v>
      </c>
      <c r="D783" s="213">
        <v>17031001577</v>
      </c>
      <c r="E783" s="213" t="s">
        <v>533</v>
      </c>
      <c r="F783" s="213" t="s">
        <v>534</v>
      </c>
      <c r="G783" s="213" t="s">
        <v>365</v>
      </c>
      <c r="H783" s="213" t="s">
        <v>382</v>
      </c>
      <c r="I783" s="213"/>
      <c r="J783" s="213"/>
      <c r="K783" s="213"/>
      <c r="L783" s="213"/>
      <c r="M783" s="213"/>
      <c r="N783" s="213"/>
      <c r="O783" s="213"/>
      <c r="P783" s="213"/>
      <c r="Q783" s="213"/>
      <c r="R783" s="213"/>
      <c r="S783" s="213" t="s">
        <v>576</v>
      </c>
      <c r="T783" s="213" t="s">
        <v>599</v>
      </c>
      <c r="U783" s="213" t="s">
        <v>559</v>
      </c>
      <c r="V783" s="213">
        <v>1</v>
      </c>
      <c r="W783" s="213" t="s">
        <v>560</v>
      </c>
      <c r="X783" s="213" t="s">
        <v>541</v>
      </c>
      <c r="Y783" s="213" t="s">
        <v>541</v>
      </c>
      <c r="Z783" s="212">
        <v>0</v>
      </c>
      <c r="AA783" s="212">
        <v>0</v>
      </c>
      <c r="AB783" s="217">
        <v>2.2890000000000001E-2</v>
      </c>
      <c r="AC783" s="217">
        <v>3.6838999999999997E-2</v>
      </c>
      <c r="AD783" s="212">
        <f t="shared" si="12"/>
        <v>0</v>
      </c>
    </row>
    <row r="784" spans="2:30" x14ac:dyDescent="0.15">
      <c r="B784" s="213">
        <v>17031008361</v>
      </c>
      <c r="C784" s="213">
        <v>17031006666</v>
      </c>
      <c r="D784" s="213">
        <v>17031000539</v>
      </c>
      <c r="E784" s="213" t="s">
        <v>533</v>
      </c>
      <c r="F784" s="213" t="s">
        <v>534</v>
      </c>
      <c r="G784" s="213" t="s">
        <v>365</v>
      </c>
      <c r="H784" s="213" t="s">
        <v>382</v>
      </c>
      <c r="I784" s="213"/>
      <c r="J784" s="213"/>
      <c r="K784" s="213"/>
      <c r="L784" s="213"/>
      <c r="M784" s="213"/>
      <c r="N784" s="213"/>
      <c r="O784" s="213"/>
      <c r="P784" s="213"/>
      <c r="Q784" s="213"/>
      <c r="R784" s="213"/>
      <c r="S784" s="213"/>
      <c r="T784" s="213" t="s">
        <v>626</v>
      </c>
      <c r="U784" s="213" t="s">
        <v>559</v>
      </c>
      <c r="V784" s="213">
        <v>1</v>
      </c>
      <c r="W784" s="213" t="s">
        <v>539</v>
      </c>
      <c r="X784" s="213" t="s">
        <v>541</v>
      </c>
      <c r="Y784" s="213" t="s">
        <v>540</v>
      </c>
      <c r="Z784" s="212">
        <v>0</v>
      </c>
      <c r="AA784" s="212">
        <v>0</v>
      </c>
      <c r="AB784" s="217">
        <v>0.144181</v>
      </c>
      <c r="AC784" s="217">
        <v>0.23203699999999999</v>
      </c>
      <c r="AD784" s="212">
        <f t="shared" si="12"/>
        <v>0</v>
      </c>
    </row>
    <row r="785" spans="2:30" x14ac:dyDescent="0.15">
      <c r="B785" s="213">
        <v>17031008459</v>
      </c>
      <c r="C785" s="213">
        <v>17031006970</v>
      </c>
      <c r="D785" s="213">
        <v>17031004678</v>
      </c>
      <c r="E785" s="213" t="s">
        <v>533</v>
      </c>
      <c r="F785" s="213" t="s">
        <v>534</v>
      </c>
      <c r="G785" s="213" t="s">
        <v>365</v>
      </c>
      <c r="H785" s="213" t="s">
        <v>381</v>
      </c>
      <c r="I785" s="213"/>
      <c r="J785" s="213" t="s">
        <v>382</v>
      </c>
      <c r="K785" s="213" t="s">
        <v>535</v>
      </c>
      <c r="L785" s="213" t="s">
        <v>543</v>
      </c>
      <c r="M785" s="213"/>
      <c r="N785" s="213"/>
      <c r="O785" s="213"/>
      <c r="P785" s="213"/>
      <c r="Q785" s="213"/>
      <c r="R785" s="213"/>
      <c r="S785" s="213" t="s">
        <v>647</v>
      </c>
      <c r="T785" s="213" t="s">
        <v>668</v>
      </c>
      <c r="U785" s="213" t="s">
        <v>538</v>
      </c>
      <c r="V785" s="213">
        <v>2</v>
      </c>
      <c r="W785" s="213" t="s">
        <v>539</v>
      </c>
      <c r="X785" s="213" t="s">
        <v>541</v>
      </c>
      <c r="Y785" s="213" t="s">
        <v>580</v>
      </c>
      <c r="Z785" s="212">
        <v>72673</v>
      </c>
      <c r="AA785" s="212">
        <v>3647669</v>
      </c>
      <c r="AB785" s="217">
        <v>5.6672E-2</v>
      </c>
      <c r="AC785" s="217">
        <v>9.1205999999999995E-2</v>
      </c>
      <c r="AD785" s="212">
        <f t="shared" si="12"/>
        <v>206720.697568</v>
      </c>
    </row>
    <row r="786" spans="2:30" x14ac:dyDescent="0.15">
      <c r="B786" s="213">
        <v>17031008522</v>
      </c>
      <c r="C786" s="213">
        <v>17031001281</v>
      </c>
      <c r="D786" s="213">
        <v>17031007015</v>
      </c>
      <c r="E786" s="213" t="s">
        <v>533</v>
      </c>
      <c r="F786" s="213" t="s">
        <v>534</v>
      </c>
      <c r="G786" s="213" t="s">
        <v>365</v>
      </c>
      <c r="H786" s="213" t="s">
        <v>543</v>
      </c>
      <c r="I786" s="213"/>
      <c r="J786" s="213"/>
      <c r="K786" s="213"/>
      <c r="L786" s="213"/>
      <c r="M786" s="213"/>
      <c r="N786" s="213"/>
      <c r="O786" s="213"/>
      <c r="P786" s="213"/>
      <c r="Q786" s="213"/>
      <c r="R786" s="213"/>
      <c r="S786" s="213" t="s">
        <v>604</v>
      </c>
      <c r="T786" s="213" t="s">
        <v>669</v>
      </c>
      <c r="U786" s="213" t="s">
        <v>538</v>
      </c>
      <c r="V786" s="213">
        <v>2</v>
      </c>
      <c r="W786" s="213" t="s">
        <v>545</v>
      </c>
      <c r="X786" s="213" t="s">
        <v>554</v>
      </c>
      <c r="Y786" s="213" t="s">
        <v>546</v>
      </c>
      <c r="Z786" s="212">
        <v>6400</v>
      </c>
      <c r="AA786" s="212">
        <v>597639</v>
      </c>
      <c r="AB786" s="217">
        <v>5.0370999999999999E-2</v>
      </c>
      <c r="AC786" s="217">
        <v>8.1063999999999997E-2</v>
      </c>
      <c r="AD786" s="212">
        <f t="shared" si="12"/>
        <v>30103.674069000001</v>
      </c>
    </row>
    <row r="787" spans="2:30" x14ac:dyDescent="0.15">
      <c r="B787" s="213">
        <v>17031008527</v>
      </c>
      <c r="C787" s="213">
        <v>17031001289</v>
      </c>
      <c r="D787" s="213">
        <v>17031007019</v>
      </c>
      <c r="E787" s="213" t="s">
        <v>533</v>
      </c>
      <c r="F787" s="213" t="s">
        <v>534</v>
      </c>
      <c r="G787" s="213" t="s">
        <v>365</v>
      </c>
      <c r="H787" s="213" t="s">
        <v>627</v>
      </c>
      <c r="I787" s="213"/>
      <c r="J787" s="213" t="s">
        <v>572</v>
      </c>
      <c r="K787" s="213"/>
      <c r="L787" s="213"/>
      <c r="M787" s="213"/>
      <c r="N787" s="213"/>
      <c r="O787" s="213"/>
      <c r="P787" s="213"/>
      <c r="Q787" s="213"/>
      <c r="R787" s="213"/>
      <c r="S787" s="213"/>
      <c r="T787" s="213"/>
      <c r="U787" s="213" t="s">
        <v>538</v>
      </c>
      <c r="V787" s="213">
        <v>2</v>
      </c>
      <c r="W787" s="213" t="s">
        <v>545</v>
      </c>
      <c r="X787" s="213" t="s">
        <v>540</v>
      </c>
      <c r="Y787" s="213" t="s">
        <v>541</v>
      </c>
      <c r="Z787" s="212">
        <v>14702</v>
      </c>
      <c r="AA787" s="212">
        <v>1326476</v>
      </c>
      <c r="AB787" s="217">
        <v>0.30891200000000002</v>
      </c>
      <c r="AC787" s="217">
        <v>0.49714599999999998</v>
      </c>
      <c r="AD787" s="212">
        <f t="shared" si="12"/>
        <v>409764.35411200003</v>
      </c>
    </row>
    <row r="788" spans="2:30" x14ac:dyDescent="0.15">
      <c r="B788" s="213">
        <v>17031008544</v>
      </c>
      <c r="C788" s="213">
        <v>17031007030</v>
      </c>
      <c r="D788" s="213">
        <v>17031001385</v>
      </c>
      <c r="E788" s="213" t="s">
        <v>533</v>
      </c>
      <c r="F788" s="213" t="s">
        <v>534</v>
      </c>
      <c r="G788" s="213" t="s">
        <v>365</v>
      </c>
      <c r="H788" s="213" t="s">
        <v>627</v>
      </c>
      <c r="I788" s="213"/>
      <c r="J788" s="213" t="s">
        <v>572</v>
      </c>
      <c r="K788" s="213"/>
      <c r="L788" s="213"/>
      <c r="M788" s="213"/>
      <c r="N788" s="213"/>
      <c r="O788" s="213"/>
      <c r="P788" s="213"/>
      <c r="Q788" s="213"/>
      <c r="R788" s="213"/>
      <c r="S788" s="213"/>
      <c r="T788" s="213"/>
      <c r="U788" s="213" t="s">
        <v>538</v>
      </c>
      <c r="V788" s="213">
        <v>2</v>
      </c>
      <c r="W788" s="213" t="s">
        <v>545</v>
      </c>
      <c r="X788" s="213" t="s">
        <v>540</v>
      </c>
      <c r="Y788" s="213" t="s">
        <v>541</v>
      </c>
      <c r="Z788" s="212">
        <v>14702</v>
      </c>
      <c r="AA788" s="212">
        <v>1326476</v>
      </c>
      <c r="AB788" s="217">
        <v>3.2453999999999997E-2</v>
      </c>
      <c r="AC788" s="217">
        <v>5.2229999999999999E-2</v>
      </c>
      <c r="AD788" s="212">
        <f t="shared" si="12"/>
        <v>43049.452103999996</v>
      </c>
    </row>
    <row r="789" spans="2:30" x14ac:dyDescent="0.15">
      <c r="B789" s="213">
        <v>17031008546</v>
      </c>
      <c r="C789" s="213">
        <v>17031007019</v>
      </c>
      <c r="D789" s="213">
        <v>17031007031</v>
      </c>
      <c r="E789" s="213" t="s">
        <v>533</v>
      </c>
      <c r="F789" s="213" t="s">
        <v>534</v>
      </c>
      <c r="G789" s="213" t="s">
        <v>365</v>
      </c>
      <c r="H789" s="213" t="s">
        <v>627</v>
      </c>
      <c r="I789" s="213"/>
      <c r="J789" s="213" t="s">
        <v>572</v>
      </c>
      <c r="K789" s="213"/>
      <c r="L789" s="213"/>
      <c r="M789" s="213"/>
      <c r="N789" s="213"/>
      <c r="O789" s="213"/>
      <c r="P789" s="213"/>
      <c r="Q789" s="213"/>
      <c r="R789" s="213"/>
      <c r="S789" s="213"/>
      <c r="T789" s="213"/>
      <c r="U789" s="213" t="s">
        <v>538</v>
      </c>
      <c r="V789" s="213">
        <v>2</v>
      </c>
      <c r="W789" s="213" t="s">
        <v>545</v>
      </c>
      <c r="X789" s="213" t="s">
        <v>540</v>
      </c>
      <c r="Y789" s="213" t="s">
        <v>541</v>
      </c>
      <c r="Z789" s="212">
        <v>14702</v>
      </c>
      <c r="AA789" s="212">
        <v>1326476</v>
      </c>
      <c r="AB789" s="217">
        <v>0.196438</v>
      </c>
      <c r="AC789" s="217">
        <v>0.316137</v>
      </c>
      <c r="AD789" s="212">
        <f t="shared" si="12"/>
        <v>260570.29248800001</v>
      </c>
    </row>
    <row r="790" spans="2:30" x14ac:dyDescent="0.15">
      <c r="B790" s="213">
        <v>17031008549</v>
      </c>
      <c r="C790" s="213">
        <v>17031001336</v>
      </c>
      <c r="D790" s="213">
        <v>17031007033</v>
      </c>
      <c r="E790" s="213" t="s">
        <v>533</v>
      </c>
      <c r="F790" s="213" t="s">
        <v>534</v>
      </c>
      <c r="G790" s="213" t="s">
        <v>365</v>
      </c>
      <c r="H790" s="213" t="s">
        <v>557</v>
      </c>
      <c r="I790" s="213"/>
      <c r="J790" s="213"/>
      <c r="K790" s="213"/>
      <c r="L790" s="213"/>
      <c r="M790" s="213"/>
      <c r="N790" s="213"/>
      <c r="O790" s="213"/>
      <c r="P790" s="213"/>
      <c r="Q790" s="213"/>
      <c r="R790" s="213"/>
      <c r="S790" s="213" t="s">
        <v>567</v>
      </c>
      <c r="T790" s="213" t="s">
        <v>568</v>
      </c>
      <c r="U790" s="213" t="s">
        <v>559</v>
      </c>
      <c r="V790" s="213">
        <v>1</v>
      </c>
      <c r="W790" s="213" t="s">
        <v>560</v>
      </c>
      <c r="X790" s="213" t="s">
        <v>541</v>
      </c>
      <c r="Y790" s="213" t="s">
        <v>541</v>
      </c>
      <c r="Z790" s="212">
        <v>280</v>
      </c>
      <c r="AA790" s="212">
        <v>28520</v>
      </c>
      <c r="AB790" s="217">
        <v>4.2465999999999997E-2</v>
      </c>
      <c r="AC790" s="217">
        <v>6.8342E-2</v>
      </c>
      <c r="AD790" s="212">
        <f t="shared" si="12"/>
        <v>1211.13032</v>
      </c>
    </row>
    <row r="791" spans="2:30" x14ac:dyDescent="0.15">
      <c r="B791" s="213">
        <v>17031008564</v>
      </c>
      <c r="C791" s="213">
        <v>17031007042</v>
      </c>
      <c r="D791" s="213">
        <v>17031004710</v>
      </c>
      <c r="E791" s="213" t="s">
        <v>533</v>
      </c>
      <c r="F791" s="213" t="s">
        <v>534</v>
      </c>
      <c r="G791" s="213" t="s">
        <v>365</v>
      </c>
      <c r="H791" s="213" t="s">
        <v>382</v>
      </c>
      <c r="I791" s="213"/>
      <c r="J791" s="213"/>
      <c r="K791" s="213"/>
      <c r="L791" s="213"/>
      <c r="M791" s="213"/>
      <c r="N791" s="213"/>
      <c r="O791" s="213"/>
      <c r="P791" s="213"/>
      <c r="Q791" s="213"/>
      <c r="R791" s="213"/>
      <c r="S791" s="213"/>
      <c r="T791" s="213" t="s">
        <v>675</v>
      </c>
      <c r="U791" s="213" t="s">
        <v>559</v>
      </c>
      <c r="V791" s="213">
        <v>1</v>
      </c>
      <c r="W791" s="213" t="s">
        <v>560</v>
      </c>
      <c r="X791" s="213" t="s">
        <v>541</v>
      </c>
      <c r="Y791" s="213" t="s">
        <v>541</v>
      </c>
      <c r="Z791" s="212">
        <v>0</v>
      </c>
      <c r="AA791" s="212">
        <v>0</v>
      </c>
      <c r="AB791" s="217">
        <v>2.2712E-2</v>
      </c>
      <c r="AC791" s="217">
        <v>3.6551E-2</v>
      </c>
      <c r="AD791" s="212">
        <f t="shared" si="12"/>
        <v>0</v>
      </c>
    </row>
    <row r="792" spans="2:30" x14ac:dyDescent="0.15">
      <c r="B792" s="213">
        <v>17031008579</v>
      </c>
      <c r="C792" s="213">
        <v>17031004698</v>
      </c>
      <c r="D792" s="213">
        <v>17031007051</v>
      </c>
      <c r="E792" s="213" t="s">
        <v>533</v>
      </c>
      <c r="F792" s="213" t="s">
        <v>534</v>
      </c>
      <c r="G792" s="213" t="s">
        <v>365</v>
      </c>
      <c r="H792" s="213" t="s">
        <v>547</v>
      </c>
      <c r="I792" s="213"/>
      <c r="J792" s="213"/>
      <c r="K792" s="213"/>
      <c r="L792" s="213"/>
      <c r="M792" s="213"/>
      <c r="N792" s="213"/>
      <c r="O792" s="213"/>
      <c r="P792" s="213"/>
      <c r="Q792" s="213"/>
      <c r="R792" s="213"/>
      <c r="S792" s="213" t="s">
        <v>611</v>
      </c>
      <c r="T792" s="213"/>
      <c r="U792" s="213" t="s">
        <v>538</v>
      </c>
      <c r="V792" s="213">
        <v>2</v>
      </c>
      <c r="W792" s="213" t="s">
        <v>582</v>
      </c>
      <c r="X792" s="213" t="s">
        <v>540</v>
      </c>
      <c r="Y792" s="213" t="s">
        <v>541</v>
      </c>
      <c r="Z792" s="212">
        <v>0</v>
      </c>
      <c r="AA792" s="212">
        <v>0</v>
      </c>
      <c r="AB792" s="217">
        <v>0.143153</v>
      </c>
      <c r="AC792" s="217">
        <v>0.230383</v>
      </c>
      <c r="AD792" s="212">
        <f t="shared" si="12"/>
        <v>0</v>
      </c>
    </row>
    <row r="793" spans="2:30" x14ac:dyDescent="0.15">
      <c r="B793" s="213">
        <v>17031008619</v>
      </c>
      <c r="C793" s="213">
        <v>17031006704</v>
      </c>
      <c r="D793" s="213">
        <v>17031006699</v>
      </c>
      <c r="E793" s="213" t="s">
        <v>533</v>
      </c>
      <c r="F793" s="213" t="s">
        <v>534</v>
      </c>
      <c r="G793" s="213" t="s">
        <v>365</v>
      </c>
      <c r="H793" s="213" t="s">
        <v>661</v>
      </c>
      <c r="I793" s="213"/>
      <c r="J793" s="213"/>
      <c r="K793" s="213"/>
      <c r="L793" s="213"/>
      <c r="M793" s="213"/>
      <c r="N793" s="213"/>
      <c r="O793" s="213"/>
      <c r="P793" s="213"/>
      <c r="Q793" s="213"/>
      <c r="R793" s="213"/>
      <c r="S793" s="213"/>
      <c r="T793" s="213" t="s">
        <v>662</v>
      </c>
      <c r="U793" s="213" t="s">
        <v>538</v>
      </c>
      <c r="V793" s="213">
        <v>1</v>
      </c>
      <c r="W793" s="213" t="s">
        <v>560</v>
      </c>
      <c r="X793" s="213" t="s">
        <v>541</v>
      </c>
      <c r="Y793" s="213" t="s">
        <v>541</v>
      </c>
      <c r="Z793" s="212">
        <v>0</v>
      </c>
      <c r="AA793" s="212">
        <v>0</v>
      </c>
      <c r="AB793" s="217">
        <v>7.7559999999999999E-3</v>
      </c>
      <c r="AC793" s="217">
        <v>1.2482E-2</v>
      </c>
      <c r="AD793" s="212">
        <f t="shared" si="12"/>
        <v>0</v>
      </c>
    </row>
    <row r="794" spans="2:30" x14ac:dyDescent="0.15">
      <c r="B794" s="213">
        <v>17031008620</v>
      </c>
      <c r="C794" s="213">
        <v>17031006705</v>
      </c>
      <c r="D794" s="213">
        <v>17031001061</v>
      </c>
      <c r="E794" s="213" t="s">
        <v>533</v>
      </c>
      <c r="F794" s="213" t="s">
        <v>534</v>
      </c>
      <c r="G794" s="213" t="s">
        <v>365</v>
      </c>
      <c r="H794" s="213" t="s">
        <v>535</v>
      </c>
      <c r="I794" s="213"/>
      <c r="J794" s="213"/>
      <c r="K794" s="213"/>
      <c r="L794" s="213"/>
      <c r="M794" s="213"/>
      <c r="N794" s="213"/>
      <c r="O794" s="213"/>
      <c r="P794" s="213"/>
      <c r="Q794" s="213"/>
      <c r="R794" s="213"/>
      <c r="S794" s="213" t="s">
        <v>597</v>
      </c>
      <c r="T794" s="213" t="s">
        <v>598</v>
      </c>
      <c r="U794" s="213" t="s">
        <v>538</v>
      </c>
      <c r="V794" s="213">
        <v>1</v>
      </c>
      <c r="W794" s="213" t="s">
        <v>539</v>
      </c>
      <c r="X794" s="213" t="s">
        <v>541</v>
      </c>
      <c r="Y794" s="213" t="s">
        <v>541</v>
      </c>
      <c r="Z794" s="212">
        <v>0</v>
      </c>
      <c r="AA794" s="212">
        <v>0</v>
      </c>
      <c r="AB794" s="217">
        <v>5.8968E-2</v>
      </c>
      <c r="AC794" s="217">
        <v>9.4899999999999998E-2</v>
      </c>
      <c r="AD794" s="212">
        <f t="shared" si="12"/>
        <v>0</v>
      </c>
    </row>
    <row r="795" spans="2:30" x14ac:dyDescent="0.15">
      <c r="B795" s="213">
        <v>17031008720</v>
      </c>
      <c r="C795" s="213">
        <v>17031001029</v>
      </c>
      <c r="D795" s="213">
        <v>17031006777</v>
      </c>
      <c r="E795" s="213" t="s">
        <v>533</v>
      </c>
      <c r="F795" s="213" t="s">
        <v>534</v>
      </c>
      <c r="G795" s="213" t="s">
        <v>365</v>
      </c>
      <c r="H795" s="213" t="s">
        <v>571</v>
      </c>
      <c r="I795" s="213"/>
      <c r="J795" s="213" t="s">
        <v>552</v>
      </c>
      <c r="K795" s="213" t="s">
        <v>572</v>
      </c>
      <c r="L795" s="213" t="s">
        <v>551</v>
      </c>
      <c r="M795" s="213" t="s">
        <v>555</v>
      </c>
      <c r="N795" s="213" t="s">
        <v>543</v>
      </c>
      <c r="O795" s="213" t="s">
        <v>382</v>
      </c>
      <c r="P795" s="213" t="s">
        <v>535</v>
      </c>
      <c r="Q795" s="213" t="s">
        <v>381</v>
      </c>
      <c r="R795" s="213"/>
      <c r="S795" s="213" t="s">
        <v>573</v>
      </c>
      <c r="T795" s="213" t="s">
        <v>677</v>
      </c>
      <c r="U795" s="213" t="s">
        <v>538</v>
      </c>
      <c r="V795" s="213">
        <v>2</v>
      </c>
      <c r="W795" s="213" t="s">
        <v>545</v>
      </c>
      <c r="X795" s="213" t="s">
        <v>554</v>
      </c>
      <c r="Y795" s="213" t="s">
        <v>580</v>
      </c>
      <c r="Z795" s="212">
        <v>388467</v>
      </c>
      <c r="AA795" s="212">
        <v>19916620</v>
      </c>
      <c r="AB795" s="217">
        <v>0.36872700000000003</v>
      </c>
      <c r="AC795" s="217">
        <v>0.59340999999999999</v>
      </c>
      <c r="AD795" s="212">
        <f t="shared" si="12"/>
        <v>7343795.5427400004</v>
      </c>
    </row>
    <row r="796" spans="2:30" x14ac:dyDescent="0.15">
      <c r="B796" s="213">
        <v>17031008783</v>
      </c>
      <c r="C796" s="213">
        <v>17031000695</v>
      </c>
      <c r="D796" s="213">
        <v>17031006831</v>
      </c>
      <c r="E796" s="213" t="s">
        <v>533</v>
      </c>
      <c r="F796" s="213" t="s">
        <v>534</v>
      </c>
      <c r="G796" s="213" t="s">
        <v>365</v>
      </c>
      <c r="H796" s="213" t="s">
        <v>382</v>
      </c>
      <c r="I796" s="213"/>
      <c r="J796" s="213"/>
      <c r="K796" s="213"/>
      <c r="L796" s="213"/>
      <c r="M796" s="213"/>
      <c r="N796" s="213"/>
      <c r="O796" s="213"/>
      <c r="P796" s="213"/>
      <c r="Q796" s="213"/>
      <c r="R796" s="213"/>
      <c r="S796" s="213"/>
      <c r="T796" s="213" t="s">
        <v>664</v>
      </c>
      <c r="U796" s="213" t="s">
        <v>559</v>
      </c>
      <c r="V796" s="213">
        <v>1</v>
      </c>
      <c r="W796" s="213" t="s">
        <v>560</v>
      </c>
      <c r="X796" s="213" t="s">
        <v>541</v>
      </c>
      <c r="Y796" s="213" t="s">
        <v>541</v>
      </c>
      <c r="Z796" s="212">
        <v>600</v>
      </c>
      <c r="AA796" s="212">
        <v>33400</v>
      </c>
      <c r="AB796" s="217">
        <v>0.43651600000000002</v>
      </c>
      <c r="AC796" s="217">
        <v>0.70250599999999996</v>
      </c>
      <c r="AD796" s="212">
        <f t="shared" si="12"/>
        <v>14579.634400000001</v>
      </c>
    </row>
    <row r="797" spans="2:30" x14ac:dyDescent="0.15">
      <c r="B797" s="213">
        <v>17031009175</v>
      </c>
      <c r="C797" s="213">
        <v>17031000755</v>
      </c>
      <c r="D797" s="213">
        <v>17031007080</v>
      </c>
      <c r="E797" s="213" t="s">
        <v>533</v>
      </c>
      <c r="F797" s="213" t="s">
        <v>534</v>
      </c>
      <c r="G797" s="213" t="s">
        <v>365</v>
      </c>
      <c r="H797" s="213" t="s">
        <v>535</v>
      </c>
      <c r="I797" s="213"/>
      <c r="J797" s="213" t="s">
        <v>571</v>
      </c>
      <c r="K797" s="213"/>
      <c r="L797" s="213"/>
      <c r="M797" s="213"/>
      <c r="N797" s="213"/>
      <c r="O797" s="213"/>
      <c r="P797" s="213"/>
      <c r="Q797" s="213"/>
      <c r="R797" s="213"/>
      <c r="S797" s="213"/>
      <c r="T797" s="213"/>
      <c r="U797" s="213" t="s">
        <v>559</v>
      </c>
      <c r="V797" s="213">
        <v>1</v>
      </c>
      <c r="W797" s="213" t="s">
        <v>560</v>
      </c>
      <c r="X797" s="213" t="s">
        <v>541</v>
      </c>
      <c r="Y797" s="213" t="s">
        <v>541</v>
      </c>
      <c r="Z797" s="212">
        <v>0</v>
      </c>
      <c r="AA797" s="212">
        <v>0</v>
      </c>
      <c r="AB797" s="217">
        <v>1.7198000000000001E-2</v>
      </c>
      <c r="AC797" s="217">
        <v>2.7678000000000001E-2</v>
      </c>
      <c r="AD797" s="212">
        <f t="shared" si="12"/>
        <v>0</v>
      </c>
    </row>
    <row r="798" spans="2:30" x14ac:dyDescent="0.15">
      <c r="B798" s="213">
        <v>17031009229</v>
      </c>
      <c r="C798" s="213">
        <v>17031007116</v>
      </c>
      <c r="D798" s="213">
        <v>17031000974</v>
      </c>
      <c r="E798" s="213" t="s">
        <v>533</v>
      </c>
      <c r="F798" s="213" t="s">
        <v>534</v>
      </c>
      <c r="G798" s="213" t="s">
        <v>365</v>
      </c>
      <c r="H798" s="213" t="s">
        <v>571</v>
      </c>
      <c r="I798" s="213"/>
      <c r="J798" s="213" t="s">
        <v>381</v>
      </c>
      <c r="K798" s="213" t="s">
        <v>535</v>
      </c>
      <c r="L798" s="213" t="s">
        <v>552</v>
      </c>
      <c r="M798" s="213" t="s">
        <v>572</v>
      </c>
      <c r="N798" s="213" t="s">
        <v>551</v>
      </c>
      <c r="O798" s="213" t="s">
        <v>555</v>
      </c>
      <c r="P798" s="213" t="s">
        <v>543</v>
      </c>
      <c r="Q798" s="213" t="s">
        <v>382</v>
      </c>
      <c r="R798" s="213" t="s">
        <v>563</v>
      </c>
      <c r="S798" s="213" t="s">
        <v>605</v>
      </c>
      <c r="T798" s="213" t="s">
        <v>574</v>
      </c>
      <c r="U798" s="213" t="s">
        <v>538</v>
      </c>
      <c r="V798" s="213">
        <v>2</v>
      </c>
      <c r="W798" s="213" t="s">
        <v>545</v>
      </c>
      <c r="X798" s="213" t="s">
        <v>554</v>
      </c>
      <c r="Y798" s="213" t="s">
        <v>575</v>
      </c>
      <c r="Z798" s="212">
        <v>351463</v>
      </c>
      <c r="AA798" s="212">
        <v>18478756</v>
      </c>
      <c r="AB798" s="217">
        <v>5.7042000000000002E-2</v>
      </c>
      <c r="AC798" s="217">
        <v>9.1800000000000007E-2</v>
      </c>
      <c r="AD798" s="212">
        <f t="shared" si="12"/>
        <v>1054065.1997520002</v>
      </c>
    </row>
    <row r="799" spans="2:30" x14ac:dyDescent="0.15">
      <c r="B799" s="213">
        <v>17031009236</v>
      </c>
      <c r="C799" s="213">
        <v>17031000996</v>
      </c>
      <c r="D799" s="213">
        <v>17031007121</v>
      </c>
      <c r="E799" s="213" t="s">
        <v>533</v>
      </c>
      <c r="F799" s="213" t="s">
        <v>534</v>
      </c>
      <c r="G799" s="213" t="s">
        <v>365</v>
      </c>
      <c r="H799" s="213" t="s">
        <v>571</v>
      </c>
      <c r="I799" s="213"/>
      <c r="J799" s="213" t="s">
        <v>381</v>
      </c>
      <c r="K799" s="213" t="s">
        <v>535</v>
      </c>
      <c r="L799" s="213" t="s">
        <v>552</v>
      </c>
      <c r="M799" s="213" t="s">
        <v>551</v>
      </c>
      <c r="N799" s="213" t="s">
        <v>382</v>
      </c>
      <c r="O799" s="213"/>
      <c r="P799" s="213"/>
      <c r="Q799" s="213"/>
      <c r="R799" s="213"/>
      <c r="S799" s="213"/>
      <c r="T799" s="213" t="s">
        <v>574</v>
      </c>
      <c r="U799" s="213" t="s">
        <v>559</v>
      </c>
      <c r="V799" s="213">
        <v>1</v>
      </c>
      <c r="W799" s="213" t="s">
        <v>560</v>
      </c>
      <c r="X799" s="213" t="s">
        <v>541</v>
      </c>
      <c r="Y799" s="213" t="s">
        <v>541</v>
      </c>
      <c r="Z799" s="212">
        <v>0</v>
      </c>
      <c r="AA799" s="212">
        <v>0</v>
      </c>
      <c r="AB799" s="217">
        <v>0.12762499999999999</v>
      </c>
      <c r="AC799" s="217">
        <v>0.20539299999999999</v>
      </c>
      <c r="AD799" s="212">
        <f t="shared" si="12"/>
        <v>0</v>
      </c>
    </row>
    <row r="800" spans="2:30" x14ac:dyDescent="0.15">
      <c r="B800" s="213">
        <v>17031009439</v>
      </c>
      <c r="C800" s="213">
        <v>17031000323</v>
      </c>
      <c r="D800" s="213">
        <v>17031007545</v>
      </c>
      <c r="E800" s="213" t="s">
        <v>533</v>
      </c>
      <c r="F800" s="213" t="s">
        <v>534</v>
      </c>
      <c r="G800" s="213" t="s">
        <v>365</v>
      </c>
      <c r="H800" s="213" t="s">
        <v>552</v>
      </c>
      <c r="I800" s="213"/>
      <c r="J800" s="213" t="s">
        <v>547</v>
      </c>
      <c r="K800" s="213"/>
      <c r="L800" s="213"/>
      <c r="M800" s="213"/>
      <c r="N800" s="213"/>
      <c r="O800" s="213"/>
      <c r="P800" s="213"/>
      <c r="Q800" s="213"/>
      <c r="R800" s="213"/>
      <c r="S800" s="213" t="s">
        <v>589</v>
      </c>
      <c r="T800" s="213"/>
      <c r="U800" s="213" t="s">
        <v>538</v>
      </c>
      <c r="V800" s="213">
        <v>2</v>
      </c>
      <c r="W800" s="213" t="s">
        <v>545</v>
      </c>
      <c r="X800" s="213" t="s">
        <v>549</v>
      </c>
      <c r="Y800" s="213" t="s">
        <v>540</v>
      </c>
      <c r="Z800" s="212">
        <v>62891</v>
      </c>
      <c r="AA800" s="212">
        <v>6630348</v>
      </c>
      <c r="AB800" s="217">
        <v>0.34744999999999998</v>
      </c>
      <c r="AC800" s="217">
        <v>0.55916699999999997</v>
      </c>
      <c r="AD800" s="212">
        <f t="shared" si="12"/>
        <v>2303714.4125999999</v>
      </c>
    </row>
    <row r="801" spans="2:30" x14ac:dyDescent="0.15">
      <c r="B801" s="213">
        <v>17031009443</v>
      </c>
      <c r="C801" s="213">
        <v>17031007547</v>
      </c>
      <c r="D801" s="213">
        <v>17031000359</v>
      </c>
      <c r="E801" s="213" t="s">
        <v>533</v>
      </c>
      <c r="F801" s="213" t="s">
        <v>534</v>
      </c>
      <c r="G801" s="213" t="s">
        <v>365</v>
      </c>
      <c r="H801" s="213" t="s">
        <v>552</v>
      </c>
      <c r="I801" s="213"/>
      <c r="J801" s="213" t="s">
        <v>547</v>
      </c>
      <c r="K801" s="213"/>
      <c r="L801" s="213"/>
      <c r="M801" s="213"/>
      <c r="N801" s="213"/>
      <c r="O801" s="213"/>
      <c r="P801" s="213"/>
      <c r="Q801" s="213"/>
      <c r="R801" s="213"/>
      <c r="S801" s="213" t="s">
        <v>589</v>
      </c>
      <c r="T801" s="213"/>
      <c r="U801" s="213" t="s">
        <v>538</v>
      </c>
      <c r="V801" s="213">
        <v>2</v>
      </c>
      <c r="W801" s="213" t="s">
        <v>545</v>
      </c>
      <c r="X801" s="213" t="s">
        <v>549</v>
      </c>
      <c r="Y801" s="213" t="s">
        <v>540</v>
      </c>
      <c r="Z801" s="212">
        <v>62931</v>
      </c>
      <c r="AA801" s="212">
        <v>6634428</v>
      </c>
      <c r="AB801" s="217">
        <v>0.57137800000000005</v>
      </c>
      <c r="AC801" s="217">
        <v>0.91954499999999995</v>
      </c>
      <c r="AD801" s="212">
        <f t="shared" si="12"/>
        <v>3790766.2017840003</v>
      </c>
    </row>
    <row r="802" spans="2:30" x14ac:dyDescent="0.15">
      <c r="B802" s="213">
        <v>17031009447</v>
      </c>
      <c r="C802" s="213">
        <v>17031000306</v>
      </c>
      <c r="D802" s="213">
        <v>17031007551</v>
      </c>
      <c r="E802" s="213" t="s">
        <v>533</v>
      </c>
      <c r="F802" s="213" t="s">
        <v>534</v>
      </c>
      <c r="G802" s="213" t="s">
        <v>365</v>
      </c>
      <c r="H802" s="213" t="s">
        <v>382</v>
      </c>
      <c r="I802" s="213"/>
      <c r="J802" s="213" t="s">
        <v>552</v>
      </c>
      <c r="K802" s="213"/>
      <c r="L802" s="213"/>
      <c r="M802" s="213"/>
      <c r="N802" s="213"/>
      <c r="O802" s="213"/>
      <c r="P802" s="213"/>
      <c r="Q802" s="213"/>
      <c r="R802" s="213"/>
      <c r="S802" s="213" t="s">
        <v>586</v>
      </c>
      <c r="T802" s="213"/>
      <c r="U802" s="213" t="s">
        <v>538</v>
      </c>
      <c r="V802" s="213">
        <v>2</v>
      </c>
      <c r="W802" s="213" t="s">
        <v>582</v>
      </c>
      <c r="X802" s="213" t="s">
        <v>549</v>
      </c>
      <c r="Y802" s="213" t="s">
        <v>580</v>
      </c>
      <c r="Z802" s="212">
        <v>639807</v>
      </c>
      <c r="AA802" s="212">
        <v>50479992</v>
      </c>
      <c r="AB802" s="217">
        <v>0.44416099999999997</v>
      </c>
      <c r="AC802" s="217">
        <v>0.71480999999999995</v>
      </c>
      <c r="AD802" s="212">
        <f t="shared" si="12"/>
        <v>22421243.726712</v>
      </c>
    </row>
    <row r="803" spans="2:30" x14ac:dyDescent="0.15">
      <c r="B803" s="213">
        <v>17031009466</v>
      </c>
      <c r="C803" s="213">
        <v>17031007556</v>
      </c>
      <c r="D803" s="213">
        <v>17031007568</v>
      </c>
      <c r="E803" s="213" t="s">
        <v>533</v>
      </c>
      <c r="F803" s="213" t="s">
        <v>534</v>
      </c>
      <c r="G803" s="213" t="s">
        <v>365</v>
      </c>
      <c r="H803" s="213" t="s">
        <v>590</v>
      </c>
      <c r="I803" s="213"/>
      <c r="J803" s="213"/>
      <c r="K803" s="213"/>
      <c r="L803" s="213"/>
      <c r="M803" s="213"/>
      <c r="N803" s="213"/>
      <c r="O803" s="213"/>
      <c r="P803" s="213"/>
      <c r="Q803" s="213"/>
      <c r="R803" s="213"/>
      <c r="S803" s="213"/>
      <c r="T803" s="213"/>
      <c r="U803" s="213" t="s">
        <v>559</v>
      </c>
      <c r="V803" s="213">
        <v>1</v>
      </c>
      <c r="W803" s="213" t="s">
        <v>560</v>
      </c>
      <c r="X803" s="213" t="s">
        <v>541</v>
      </c>
      <c r="Y803" s="213" t="s">
        <v>541</v>
      </c>
      <c r="Z803" s="212">
        <v>0</v>
      </c>
      <c r="AA803" s="212">
        <v>0</v>
      </c>
      <c r="AB803" s="217">
        <v>2.3248999999999999E-2</v>
      </c>
      <c r="AC803" s="217">
        <v>3.7415999999999998E-2</v>
      </c>
      <c r="AD803" s="212">
        <f t="shared" si="12"/>
        <v>0</v>
      </c>
    </row>
    <row r="804" spans="2:30" x14ac:dyDescent="0.15">
      <c r="B804" s="213">
        <v>17031009491</v>
      </c>
      <c r="C804" s="213">
        <v>17031007589</v>
      </c>
      <c r="D804" s="213">
        <v>17031007579</v>
      </c>
      <c r="E804" s="213" t="s">
        <v>533</v>
      </c>
      <c r="F804" s="213" t="s">
        <v>534</v>
      </c>
      <c r="G804" s="213" t="s">
        <v>365</v>
      </c>
      <c r="H804" s="213" t="s">
        <v>535</v>
      </c>
      <c r="I804" s="213"/>
      <c r="J804" s="213" t="s">
        <v>547</v>
      </c>
      <c r="K804" s="213"/>
      <c r="L804" s="213"/>
      <c r="M804" s="213"/>
      <c r="N804" s="213"/>
      <c r="O804" s="213"/>
      <c r="P804" s="213"/>
      <c r="Q804" s="213"/>
      <c r="R804" s="213"/>
      <c r="S804" s="213" t="s">
        <v>548</v>
      </c>
      <c r="T804" s="213"/>
      <c r="U804" s="213" t="s">
        <v>538</v>
      </c>
      <c r="V804" s="213">
        <v>2</v>
      </c>
      <c r="W804" s="213" t="s">
        <v>545</v>
      </c>
      <c r="X804" s="213" t="s">
        <v>549</v>
      </c>
      <c r="Y804" s="213" t="s">
        <v>546</v>
      </c>
      <c r="Z804" s="212">
        <v>662357</v>
      </c>
      <c r="AA804" s="212">
        <v>30359562</v>
      </c>
      <c r="AB804" s="217">
        <v>0.40125499999999997</v>
      </c>
      <c r="AC804" s="217">
        <v>0.64575800000000005</v>
      </c>
      <c r="AD804" s="212">
        <f t="shared" si="12"/>
        <v>12181926.050309999</v>
      </c>
    </row>
    <row r="805" spans="2:30" x14ac:dyDescent="0.15">
      <c r="B805" s="213">
        <v>17031009498</v>
      </c>
      <c r="C805" s="213">
        <v>17031007596</v>
      </c>
      <c r="D805" s="213">
        <v>17031007586</v>
      </c>
      <c r="E805" s="213" t="s">
        <v>533</v>
      </c>
      <c r="F805" s="213" t="s">
        <v>534</v>
      </c>
      <c r="G805" s="213" t="s">
        <v>365</v>
      </c>
      <c r="H805" s="213" t="s">
        <v>535</v>
      </c>
      <c r="I805" s="213"/>
      <c r="J805" s="213" t="s">
        <v>547</v>
      </c>
      <c r="K805" s="213"/>
      <c r="L805" s="213"/>
      <c r="M805" s="213"/>
      <c r="N805" s="213"/>
      <c r="O805" s="213"/>
      <c r="P805" s="213"/>
      <c r="Q805" s="213"/>
      <c r="R805" s="213"/>
      <c r="S805" s="213" t="s">
        <v>548</v>
      </c>
      <c r="T805" s="213"/>
      <c r="U805" s="213" t="s">
        <v>538</v>
      </c>
      <c r="V805" s="213">
        <v>2</v>
      </c>
      <c r="W805" s="213" t="s">
        <v>545</v>
      </c>
      <c r="X805" s="213" t="s">
        <v>549</v>
      </c>
      <c r="Y805" s="213" t="s">
        <v>546</v>
      </c>
      <c r="Z805" s="212">
        <v>662357</v>
      </c>
      <c r="AA805" s="212">
        <v>30359562</v>
      </c>
      <c r="AB805" s="217">
        <v>0.60348800000000002</v>
      </c>
      <c r="AC805" s="217">
        <v>0.971221</v>
      </c>
      <c r="AD805" s="212">
        <f t="shared" si="12"/>
        <v>18321631.352256</v>
      </c>
    </row>
    <row r="806" spans="2:30" x14ac:dyDescent="0.15">
      <c r="B806" s="213">
        <v>17031009500</v>
      </c>
      <c r="C806" s="213">
        <v>17031004604</v>
      </c>
      <c r="D806" s="213">
        <v>17031007598</v>
      </c>
      <c r="E806" s="213" t="s">
        <v>533</v>
      </c>
      <c r="F806" s="213" t="s">
        <v>534</v>
      </c>
      <c r="G806" s="213" t="s">
        <v>365</v>
      </c>
      <c r="H806" s="213" t="s">
        <v>535</v>
      </c>
      <c r="I806" s="213"/>
      <c r="J806" s="213" t="s">
        <v>547</v>
      </c>
      <c r="K806" s="213"/>
      <c r="L806" s="213"/>
      <c r="M806" s="213"/>
      <c r="N806" s="213"/>
      <c r="O806" s="213"/>
      <c r="P806" s="213"/>
      <c r="Q806" s="213"/>
      <c r="R806" s="213"/>
      <c r="S806" s="213" t="s">
        <v>548</v>
      </c>
      <c r="T806" s="213"/>
      <c r="U806" s="213" t="s">
        <v>538</v>
      </c>
      <c r="V806" s="213">
        <v>1</v>
      </c>
      <c r="W806" s="213" t="s">
        <v>545</v>
      </c>
      <c r="X806" s="213" t="s">
        <v>549</v>
      </c>
      <c r="Y806" s="213" t="s">
        <v>546</v>
      </c>
      <c r="Z806" s="212">
        <v>662357</v>
      </c>
      <c r="AA806" s="212">
        <v>30359562</v>
      </c>
      <c r="AB806" s="217">
        <v>0.27657399999999999</v>
      </c>
      <c r="AC806" s="217">
        <v>0.44510300000000003</v>
      </c>
      <c r="AD806" s="212">
        <f t="shared" si="12"/>
        <v>8396665.5005879998</v>
      </c>
    </row>
    <row r="807" spans="2:30" x14ac:dyDescent="0.15">
      <c r="B807" s="213">
        <v>17031009502</v>
      </c>
      <c r="C807" s="213">
        <v>17031000402</v>
      </c>
      <c r="D807" s="213">
        <v>17031007600</v>
      </c>
      <c r="E807" s="213" t="s">
        <v>533</v>
      </c>
      <c r="F807" s="213" t="s">
        <v>534</v>
      </c>
      <c r="G807" s="213" t="s">
        <v>365</v>
      </c>
      <c r="H807" s="213" t="s">
        <v>382</v>
      </c>
      <c r="I807" s="213"/>
      <c r="J807" s="213"/>
      <c r="K807" s="213"/>
      <c r="L807" s="213"/>
      <c r="M807" s="213"/>
      <c r="N807" s="213"/>
      <c r="O807" s="213"/>
      <c r="P807" s="213"/>
      <c r="Q807" s="213"/>
      <c r="R807" s="213"/>
      <c r="S807" s="213" t="s">
        <v>616</v>
      </c>
      <c r="T807" s="213"/>
      <c r="U807" s="213" t="s">
        <v>559</v>
      </c>
      <c r="V807" s="213">
        <v>1</v>
      </c>
      <c r="W807" s="213" t="s">
        <v>560</v>
      </c>
      <c r="X807" s="213" t="s">
        <v>541</v>
      </c>
      <c r="Y807" s="213" t="s">
        <v>541</v>
      </c>
      <c r="Z807" s="212">
        <v>0</v>
      </c>
      <c r="AA807" s="212">
        <v>0</v>
      </c>
      <c r="AB807" s="217">
        <v>0.208234</v>
      </c>
      <c r="AC807" s="217">
        <v>0.33512199999999998</v>
      </c>
      <c r="AD807" s="212">
        <f t="shared" si="12"/>
        <v>0</v>
      </c>
    </row>
    <row r="808" spans="2:30" x14ac:dyDescent="0.15">
      <c r="B808" s="213">
        <v>17031009508</v>
      </c>
      <c r="C808" s="213">
        <v>17031007607</v>
      </c>
      <c r="D808" s="213">
        <v>17031000548</v>
      </c>
      <c r="E808" s="213" t="s">
        <v>533</v>
      </c>
      <c r="F808" s="213" t="s">
        <v>534</v>
      </c>
      <c r="G808" s="213" t="s">
        <v>365</v>
      </c>
      <c r="H808" s="213" t="s">
        <v>382</v>
      </c>
      <c r="I808" s="213"/>
      <c r="J808" s="213"/>
      <c r="K808" s="213"/>
      <c r="L808" s="213"/>
      <c r="M808" s="213"/>
      <c r="N808" s="213"/>
      <c r="O808" s="213"/>
      <c r="P808" s="213"/>
      <c r="Q808" s="213"/>
      <c r="R808" s="213"/>
      <c r="S808" s="213"/>
      <c r="T808" s="213"/>
      <c r="U808" s="213" t="s">
        <v>559</v>
      </c>
      <c r="V808" s="213">
        <v>1</v>
      </c>
      <c r="W808" s="213" t="s">
        <v>560</v>
      </c>
      <c r="X808" s="213" t="s">
        <v>541</v>
      </c>
      <c r="Y808" s="213" t="s">
        <v>541</v>
      </c>
      <c r="Z808" s="212">
        <v>0</v>
      </c>
      <c r="AA808" s="212">
        <v>0</v>
      </c>
      <c r="AB808" s="217">
        <v>9.7130999999999995E-2</v>
      </c>
      <c r="AC808" s="217">
        <v>0.15631800000000001</v>
      </c>
      <c r="AD808" s="212">
        <f t="shared" si="12"/>
        <v>0</v>
      </c>
    </row>
    <row r="809" spans="2:30" x14ac:dyDescent="0.15">
      <c r="B809" s="213">
        <v>17031009517</v>
      </c>
      <c r="C809" s="213">
        <v>17031007615</v>
      </c>
      <c r="D809" s="213">
        <v>17031001563</v>
      </c>
      <c r="E809" s="213" t="s">
        <v>533</v>
      </c>
      <c r="F809" s="213" t="s">
        <v>534</v>
      </c>
      <c r="G809" s="213" t="s">
        <v>365</v>
      </c>
      <c r="H809" s="213" t="s">
        <v>535</v>
      </c>
      <c r="I809" s="213"/>
      <c r="J809" s="213" t="s">
        <v>382</v>
      </c>
      <c r="K809" s="213" t="s">
        <v>536</v>
      </c>
      <c r="L809" s="213"/>
      <c r="M809" s="213"/>
      <c r="N809" s="213"/>
      <c r="O809" s="213"/>
      <c r="P809" s="213"/>
      <c r="Q809" s="213"/>
      <c r="R809" s="213"/>
      <c r="S809" s="213" t="s">
        <v>537</v>
      </c>
      <c r="T809" s="213"/>
      <c r="U809" s="213" t="s">
        <v>538</v>
      </c>
      <c r="V809" s="213">
        <v>2</v>
      </c>
      <c r="W809" s="213" t="s">
        <v>582</v>
      </c>
      <c r="X809" s="213" t="s">
        <v>549</v>
      </c>
      <c r="Y809" s="213" t="s">
        <v>540</v>
      </c>
      <c r="Z809" s="212">
        <v>3620</v>
      </c>
      <c r="AA809" s="212">
        <v>328320</v>
      </c>
      <c r="AB809" s="217">
        <v>0.15005099999999999</v>
      </c>
      <c r="AC809" s="217">
        <v>0.241484</v>
      </c>
      <c r="AD809" s="212">
        <f t="shared" si="12"/>
        <v>49264.744319999998</v>
      </c>
    </row>
    <row r="810" spans="2:30" x14ac:dyDescent="0.15">
      <c r="B810" s="213">
        <v>17031009524</v>
      </c>
      <c r="C810" s="213">
        <v>17031007625</v>
      </c>
      <c r="D810" s="213">
        <v>99999024146</v>
      </c>
      <c r="E810" s="213" t="s">
        <v>533</v>
      </c>
      <c r="F810" s="213" t="s">
        <v>534</v>
      </c>
      <c r="G810" s="213" t="s">
        <v>365</v>
      </c>
      <c r="H810" s="213" t="s">
        <v>543</v>
      </c>
      <c r="I810" s="213"/>
      <c r="J810" s="213"/>
      <c r="K810" s="213"/>
      <c r="L810" s="213"/>
      <c r="M810" s="213"/>
      <c r="N810" s="213"/>
      <c r="O810" s="213"/>
      <c r="P810" s="213"/>
      <c r="Q810" s="213"/>
      <c r="R810" s="213"/>
      <c r="S810" s="213" t="s">
        <v>670</v>
      </c>
      <c r="T810" s="213"/>
      <c r="U810" s="213" t="s">
        <v>559</v>
      </c>
      <c r="V810" s="213">
        <v>1</v>
      </c>
      <c r="W810" s="213" t="s">
        <v>560</v>
      </c>
      <c r="X810" s="213" t="s">
        <v>541</v>
      </c>
      <c r="Y810" s="213" t="s">
        <v>541</v>
      </c>
      <c r="Z810" s="212">
        <v>40</v>
      </c>
      <c r="AA810" s="212">
        <v>3520</v>
      </c>
      <c r="AB810" s="217">
        <v>1.4959309999999999</v>
      </c>
      <c r="AC810" s="217">
        <v>2.4074719999999998</v>
      </c>
      <c r="AD810" s="212">
        <f t="shared" si="12"/>
        <v>5265.6771199999994</v>
      </c>
    </row>
    <row r="811" spans="2:30" x14ac:dyDescent="0.15">
      <c r="B811" s="213">
        <v>17031009536</v>
      </c>
      <c r="C811" s="213">
        <v>17031001556</v>
      </c>
      <c r="D811" s="213">
        <v>17031007634</v>
      </c>
      <c r="E811" s="213" t="s">
        <v>533</v>
      </c>
      <c r="F811" s="213" t="s">
        <v>534</v>
      </c>
      <c r="G811" s="213" t="s">
        <v>365</v>
      </c>
      <c r="H811" s="213" t="s">
        <v>382</v>
      </c>
      <c r="I811" s="213"/>
      <c r="J811" s="213"/>
      <c r="K811" s="213"/>
      <c r="L811" s="213"/>
      <c r="M811" s="213"/>
      <c r="N811" s="213"/>
      <c r="O811" s="213"/>
      <c r="P811" s="213"/>
      <c r="Q811" s="213"/>
      <c r="R811" s="213"/>
      <c r="S811" s="213" t="s">
        <v>576</v>
      </c>
      <c r="T811" s="213"/>
      <c r="U811" s="213" t="s">
        <v>559</v>
      </c>
      <c r="V811" s="213">
        <v>1</v>
      </c>
      <c r="W811" s="213" t="s">
        <v>560</v>
      </c>
      <c r="X811" s="213" t="s">
        <v>541</v>
      </c>
      <c r="Y811" s="213" t="s">
        <v>541</v>
      </c>
      <c r="Z811" s="212">
        <v>0</v>
      </c>
      <c r="AA811" s="212">
        <v>0</v>
      </c>
      <c r="AB811" s="217">
        <v>3.2070000000000001E-2</v>
      </c>
      <c r="AC811" s="217">
        <v>5.1610999999999997E-2</v>
      </c>
      <c r="AD811" s="212">
        <f t="shared" si="12"/>
        <v>0</v>
      </c>
    </row>
    <row r="812" spans="2:30" x14ac:dyDescent="0.15">
      <c r="B812" s="213">
        <v>17031009540</v>
      </c>
      <c r="C812" s="213">
        <v>17031007634</v>
      </c>
      <c r="D812" s="213">
        <v>17031007636</v>
      </c>
      <c r="E812" s="213" t="s">
        <v>533</v>
      </c>
      <c r="F812" s="213" t="s">
        <v>534</v>
      </c>
      <c r="G812" s="213" t="s">
        <v>365</v>
      </c>
      <c r="H812" s="213" t="s">
        <v>382</v>
      </c>
      <c r="I812" s="213"/>
      <c r="J812" s="213"/>
      <c r="K812" s="213"/>
      <c r="L812" s="213"/>
      <c r="M812" s="213"/>
      <c r="N812" s="213"/>
      <c r="O812" s="213"/>
      <c r="P812" s="213"/>
      <c r="Q812" s="213"/>
      <c r="R812" s="213"/>
      <c r="S812" s="213" t="s">
        <v>576</v>
      </c>
      <c r="T812" s="213"/>
      <c r="U812" s="213" t="s">
        <v>559</v>
      </c>
      <c r="V812" s="213">
        <v>1</v>
      </c>
      <c r="W812" s="213" t="s">
        <v>560</v>
      </c>
      <c r="X812" s="213" t="s">
        <v>541</v>
      </c>
      <c r="Y812" s="213" t="s">
        <v>541</v>
      </c>
      <c r="Z812" s="212">
        <v>0</v>
      </c>
      <c r="AA812" s="212">
        <v>0</v>
      </c>
      <c r="AB812" s="217">
        <v>3.6511000000000002E-2</v>
      </c>
      <c r="AC812" s="217">
        <v>5.8758999999999999E-2</v>
      </c>
      <c r="AD812" s="212">
        <f t="shared" si="12"/>
        <v>0</v>
      </c>
    </row>
    <row r="813" spans="2:30" x14ac:dyDescent="0.15">
      <c r="B813" s="213">
        <v>17031009547</v>
      </c>
      <c r="C813" s="213">
        <v>17031007643</v>
      </c>
      <c r="D813" s="213">
        <v>17031007641</v>
      </c>
      <c r="E813" s="213" t="s">
        <v>533</v>
      </c>
      <c r="F813" s="213" t="s">
        <v>534</v>
      </c>
      <c r="G813" s="213" t="s">
        <v>365</v>
      </c>
      <c r="H813" s="213" t="s">
        <v>535</v>
      </c>
      <c r="I813" s="213"/>
      <c r="J813" s="213" t="s">
        <v>382</v>
      </c>
      <c r="K813" s="213" t="s">
        <v>536</v>
      </c>
      <c r="L813" s="213"/>
      <c r="M813" s="213"/>
      <c r="N813" s="213"/>
      <c r="O813" s="213"/>
      <c r="P813" s="213"/>
      <c r="Q813" s="213"/>
      <c r="R813" s="213"/>
      <c r="S813" s="213" t="s">
        <v>537</v>
      </c>
      <c r="T813" s="213"/>
      <c r="U813" s="213" t="s">
        <v>538</v>
      </c>
      <c r="V813" s="213">
        <v>2</v>
      </c>
      <c r="W813" s="213" t="s">
        <v>582</v>
      </c>
      <c r="X813" s="213" t="s">
        <v>549</v>
      </c>
      <c r="Y813" s="213" t="s">
        <v>540</v>
      </c>
      <c r="Z813" s="212">
        <v>3276</v>
      </c>
      <c r="AA813" s="212">
        <v>276324</v>
      </c>
      <c r="AB813" s="217">
        <v>0.18862499999999999</v>
      </c>
      <c r="AC813" s="217">
        <v>0.30356300000000003</v>
      </c>
      <c r="AD813" s="212">
        <f t="shared" si="12"/>
        <v>52121.614499999996</v>
      </c>
    </row>
    <row r="814" spans="2:30" x14ac:dyDescent="0.15">
      <c r="B814" s="213">
        <v>17031009561</v>
      </c>
      <c r="C814" s="213">
        <v>17031007656</v>
      </c>
      <c r="D814" s="213">
        <v>17031001489</v>
      </c>
      <c r="E814" s="213" t="s">
        <v>533</v>
      </c>
      <c r="F814" s="213" t="s">
        <v>534</v>
      </c>
      <c r="G814" s="213" t="s">
        <v>365</v>
      </c>
      <c r="H814" s="213" t="s">
        <v>382</v>
      </c>
      <c r="I814" s="213"/>
      <c r="J814" s="213"/>
      <c r="K814" s="213"/>
      <c r="L814" s="213"/>
      <c r="M814" s="213"/>
      <c r="N814" s="213"/>
      <c r="O814" s="213"/>
      <c r="P814" s="213"/>
      <c r="Q814" s="213"/>
      <c r="R814" s="213"/>
      <c r="S814" s="213" t="s">
        <v>576</v>
      </c>
      <c r="T814" s="213"/>
      <c r="U814" s="213" t="s">
        <v>559</v>
      </c>
      <c r="V814" s="213">
        <v>1</v>
      </c>
      <c r="W814" s="213" t="s">
        <v>560</v>
      </c>
      <c r="X814" s="213" t="s">
        <v>541</v>
      </c>
      <c r="Y814" s="213" t="s">
        <v>541</v>
      </c>
      <c r="Z814" s="212">
        <v>0</v>
      </c>
      <c r="AA814" s="212">
        <v>0</v>
      </c>
      <c r="AB814" s="217">
        <v>0.25868999999999998</v>
      </c>
      <c r="AC814" s="217">
        <v>0.41632200000000003</v>
      </c>
      <c r="AD814" s="212">
        <f t="shared" si="12"/>
        <v>0</v>
      </c>
    </row>
    <row r="815" spans="2:30" x14ac:dyDescent="0.15">
      <c r="B815" s="213">
        <v>17031009563</v>
      </c>
      <c r="C815" s="213">
        <v>17031007658</v>
      </c>
      <c r="D815" s="213">
        <v>17031007656</v>
      </c>
      <c r="E815" s="213" t="s">
        <v>533</v>
      </c>
      <c r="F815" s="213" t="s">
        <v>534</v>
      </c>
      <c r="G815" s="213" t="s">
        <v>365</v>
      </c>
      <c r="H815" s="213" t="s">
        <v>382</v>
      </c>
      <c r="I815" s="213"/>
      <c r="J815" s="213"/>
      <c r="K815" s="213"/>
      <c r="L815" s="213"/>
      <c r="M815" s="213"/>
      <c r="N815" s="213"/>
      <c r="O815" s="213"/>
      <c r="P815" s="213"/>
      <c r="Q815" s="213"/>
      <c r="R815" s="213"/>
      <c r="S815" s="213" t="s">
        <v>576</v>
      </c>
      <c r="T815" s="213"/>
      <c r="U815" s="213" t="s">
        <v>559</v>
      </c>
      <c r="V815" s="213">
        <v>1</v>
      </c>
      <c r="W815" s="213" t="s">
        <v>560</v>
      </c>
      <c r="X815" s="213" t="s">
        <v>541</v>
      </c>
      <c r="Y815" s="213" t="s">
        <v>541</v>
      </c>
      <c r="Z815" s="212">
        <v>0</v>
      </c>
      <c r="AA815" s="212">
        <v>0</v>
      </c>
      <c r="AB815" s="217">
        <v>6.1899999999999997E-2</v>
      </c>
      <c r="AC815" s="217">
        <v>9.9618999999999999E-2</v>
      </c>
      <c r="AD815" s="212">
        <f t="shared" si="12"/>
        <v>0</v>
      </c>
    </row>
    <row r="816" spans="2:30" x14ac:dyDescent="0.15">
      <c r="B816" s="213">
        <v>17031009565</v>
      </c>
      <c r="C816" s="213">
        <v>17031007660</v>
      </c>
      <c r="D816" s="213">
        <v>17031001411</v>
      </c>
      <c r="E816" s="213" t="s">
        <v>533</v>
      </c>
      <c r="F816" s="213" t="s">
        <v>534</v>
      </c>
      <c r="G816" s="213" t="s">
        <v>365</v>
      </c>
      <c r="H816" s="213" t="s">
        <v>551</v>
      </c>
      <c r="I816" s="213" t="s">
        <v>535</v>
      </c>
      <c r="J816" s="213" t="s">
        <v>381</v>
      </c>
      <c r="K816" s="213" t="s">
        <v>552</v>
      </c>
      <c r="L816" s="213"/>
      <c r="M816" s="213"/>
      <c r="N816" s="213"/>
      <c r="O816" s="213"/>
      <c r="P816" s="213"/>
      <c r="Q816" s="213"/>
      <c r="R816" s="213"/>
      <c r="S816" s="213" t="s">
        <v>628</v>
      </c>
      <c r="T816" s="213"/>
      <c r="U816" s="213" t="s">
        <v>538</v>
      </c>
      <c r="V816" s="213">
        <v>1</v>
      </c>
      <c r="W816" s="213" t="s">
        <v>539</v>
      </c>
      <c r="X816" s="213" t="s">
        <v>541</v>
      </c>
      <c r="Y816" s="213" t="s">
        <v>541</v>
      </c>
      <c r="Z816" s="212">
        <v>40</v>
      </c>
      <c r="AA816" s="212">
        <v>3600</v>
      </c>
      <c r="AB816" s="217">
        <v>0.89297599999999999</v>
      </c>
      <c r="AC816" s="217">
        <v>1.437109</v>
      </c>
      <c r="AD816" s="212">
        <f t="shared" si="12"/>
        <v>3214.7136</v>
      </c>
    </row>
    <row r="817" spans="2:30" x14ac:dyDescent="0.15">
      <c r="B817" s="213">
        <v>17031009568</v>
      </c>
      <c r="C817" s="213">
        <v>17031007662</v>
      </c>
      <c r="D817" s="213">
        <v>17031001299</v>
      </c>
      <c r="E817" s="213" t="s">
        <v>533</v>
      </c>
      <c r="F817" s="213" t="s">
        <v>534</v>
      </c>
      <c r="G817" s="213" t="s">
        <v>365</v>
      </c>
      <c r="H817" s="213" t="s">
        <v>551</v>
      </c>
      <c r="I817" s="213" t="s">
        <v>535</v>
      </c>
      <c r="J817" s="213"/>
      <c r="K817" s="213"/>
      <c r="L817" s="213"/>
      <c r="M817" s="213"/>
      <c r="N817" s="213"/>
      <c r="O817" s="213"/>
      <c r="P817" s="213"/>
      <c r="Q817" s="213"/>
      <c r="R817" s="213"/>
      <c r="S817" s="213" t="s">
        <v>553</v>
      </c>
      <c r="T817" s="213"/>
      <c r="U817" s="213" t="s">
        <v>538</v>
      </c>
      <c r="V817" s="213">
        <v>2</v>
      </c>
      <c r="W817" s="213" t="s">
        <v>545</v>
      </c>
      <c r="X817" s="213" t="s">
        <v>549</v>
      </c>
      <c r="Y817" s="213" t="s">
        <v>540</v>
      </c>
      <c r="Z817" s="212">
        <v>576518</v>
      </c>
      <c r="AA817" s="212">
        <v>21088865</v>
      </c>
      <c r="AB817" s="217">
        <v>1.1107210000000001</v>
      </c>
      <c r="AC817" s="217">
        <v>1.7875350000000001</v>
      </c>
      <c r="AD817" s="212">
        <f t="shared" si="12"/>
        <v>23423845.221665002</v>
      </c>
    </row>
    <row r="818" spans="2:30" x14ac:dyDescent="0.15">
      <c r="B818" s="213">
        <v>17031009572</v>
      </c>
      <c r="C818" s="213">
        <v>17999023612</v>
      </c>
      <c r="D818" s="213">
        <v>17031007665</v>
      </c>
      <c r="E818" s="213" t="s">
        <v>533</v>
      </c>
      <c r="F818" s="213" t="s">
        <v>534</v>
      </c>
      <c r="G818" s="213" t="s">
        <v>365</v>
      </c>
      <c r="H818" s="213" t="s">
        <v>547</v>
      </c>
      <c r="I818" s="213"/>
      <c r="J818" s="213" t="s">
        <v>543</v>
      </c>
      <c r="K818" s="213"/>
      <c r="L818" s="213"/>
      <c r="M818" s="213"/>
      <c r="N818" s="213"/>
      <c r="O818" s="213"/>
      <c r="P818" s="213"/>
      <c r="Q818" s="213"/>
      <c r="R818" s="213"/>
      <c r="S818" s="213" t="s">
        <v>602</v>
      </c>
      <c r="T818" s="213"/>
      <c r="U818" s="213" t="s">
        <v>538</v>
      </c>
      <c r="V818" s="213">
        <v>1</v>
      </c>
      <c r="W818" s="213" t="s">
        <v>582</v>
      </c>
      <c r="X818" s="213" t="s">
        <v>540</v>
      </c>
      <c r="Y818" s="213" t="s">
        <v>541</v>
      </c>
      <c r="Z818" s="212">
        <v>480</v>
      </c>
      <c r="AA818" s="212">
        <v>35280</v>
      </c>
      <c r="AB818" s="217">
        <v>3.1237999999999998E-2</v>
      </c>
      <c r="AC818" s="217">
        <v>5.0272999999999998E-2</v>
      </c>
      <c r="AD818" s="212">
        <f t="shared" si="12"/>
        <v>1102.07664</v>
      </c>
    </row>
    <row r="819" spans="2:30" x14ac:dyDescent="0.15">
      <c r="B819" s="213">
        <v>17031009600</v>
      </c>
      <c r="C819" s="213">
        <v>17031001236</v>
      </c>
      <c r="D819" s="213">
        <v>17031007688</v>
      </c>
      <c r="E819" s="213" t="s">
        <v>533</v>
      </c>
      <c r="F819" s="213" t="s">
        <v>534</v>
      </c>
      <c r="G819" s="213" t="s">
        <v>365</v>
      </c>
      <c r="H819" s="213" t="s">
        <v>535</v>
      </c>
      <c r="I819" s="213"/>
      <c r="J819" s="213" t="s">
        <v>542</v>
      </c>
      <c r="K819" s="213" t="s">
        <v>572</v>
      </c>
      <c r="L819" s="213" t="s">
        <v>547</v>
      </c>
      <c r="M819" s="213" t="s">
        <v>382</v>
      </c>
      <c r="N819" s="213"/>
      <c r="O819" s="213"/>
      <c r="P819" s="213"/>
      <c r="Q819" s="213"/>
      <c r="R819" s="213"/>
      <c r="S819" s="213" t="s">
        <v>601</v>
      </c>
      <c r="T819" s="213"/>
      <c r="U819" s="213" t="s">
        <v>538</v>
      </c>
      <c r="V819" s="213">
        <v>2</v>
      </c>
      <c r="W819" s="213" t="s">
        <v>545</v>
      </c>
      <c r="X819" s="213" t="s">
        <v>549</v>
      </c>
      <c r="Y819" s="213" t="s">
        <v>540</v>
      </c>
      <c r="Z819" s="212">
        <v>419634</v>
      </c>
      <c r="AA819" s="212">
        <v>6492363</v>
      </c>
      <c r="AB819" s="217">
        <v>0.65871900000000005</v>
      </c>
      <c r="AC819" s="217">
        <v>1.0601069999999999</v>
      </c>
      <c r="AD819" s="212">
        <f t="shared" si="12"/>
        <v>4276642.8629970001</v>
      </c>
    </row>
    <row r="820" spans="2:30" x14ac:dyDescent="0.15">
      <c r="B820" s="213">
        <v>17031009721</v>
      </c>
      <c r="C820" s="213">
        <v>17031001231</v>
      </c>
      <c r="D820" s="213">
        <v>17031007805</v>
      </c>
      <c r="E820" s="213" t="s">
        <v>533</v>
      </c>
      <c r="F820" s="213" t="s">
        <v>534</v>
      </c>
      <c r="G820" s="213" t="s">
        <v>365</v>
      </c>
      <c r="H820" s="213" t="s">
        <v>613</v>
      </c>
      <c r="I820" s="213"/>
      <c r="J820" s="213" t="s">
        <v>577</v>
      </c>
      <c r="K820" s="213" t="s">
        <v>572</v>
      </c>
      <c r="L820" s="213"/>
      <c r="M820" s="213"/>
      <c r="N820" s="213"/>
      <c r="O820" s="213"/>
      <c r="P820" s="213"/>
      <c r="Q820" s="213"/>
      <c r="R820" s="213"/>
      <c r="S820" s="213"/>
      <c r="T820" s="213"/>
      <c r="U820" s="213" t="s">
        <v>559</v>
      </c>
      <c r="V820" s="213">
        <v>1</v>
      </c>
      <c r="W820" s="213" t="s">
        <v>560</v>
      </c>
      <c r="X820" s="213" t="s">
        <v>541</v>
      </c>
      <c r="Y820" s="213" t="s">
        <v>541</v>
      </c>
      <c r="Z820" s="212">
        <v>0</v>
      </c>
      <c r="AA820" s="212">
        <v>0</v>
      </c>
      <c r="AB820" s="217">
        <v>0.204232</v>
      </c>
      <c r="AC820" s="217">
        <v>0.328679</v>
      </c>
      <c r="AD820" s="212">
        <f t="shared" si="12"/>
        <v>0</v>
      </c>
    </row>
    <row r="821" spans="2:30" x14ac:dyDescent="0.15">
      <c r="B821" s="213">
        <v>17031009730</v>
      </c>
      <c r="C821" s="213">
        <v>17031007805</v>
      </c>
      <c r="D821" s="213">
        <v>17031007811</v>
      </c>
      <c r="E821" s="213" t="s">
        <v>533</v>
      </c>
      <c r="F821" s="213" t="s">
        <v>534</v>
      </c>
      <c r="G821" s="213" t="s">
        <v>365</v>
      </c>
      <c r="H821" s="213" t="s">
        <v>613</v>
      </c>
      <c r="I821" s="213"/>
      <c r="J821" s="213" t="s">
        <v>577</v>
      </c>
      <c r="K821" s="213" t="s">
        <v>572</v>
      </c>
      <c r="L821" s="213"/>
      <c r="M821" s="213"/>
      <c r="N821" s="213"/>
      <c r="O821" s="213"/>
      <c r="P821" s="213"/>
      <c r="Q821" s="213"/>
      <c r="R821" s="213"/>
      <c r="S821" s="213"/>
      <c r="T821" s="213"/>
      <c r="U821" s="213" t="s">
        <v>559</v>
      </c>
      <c r="V821" s="213">
        <v>1</v>
      </c>
      <c r="W821" s="213" t="s">
        <v>560</v>
      </c>
      <c r="X821" s="213" t="s">
        <v>541</v>
      </c>
      <c r="Y821" s="213" t="s">
        <v>541</v>
      </c>
      <c r="Z821" s="212">
        <v>0</v>
      </c>
      <c r="AA821" s="212">
        <v>0</v>
      </c>
      <c r="AB821" s="217">
        <v>5.3104999999999999E-2</v>
      </c>
      <c r="AC821" s="217">
        <v>8.5463999999999998E-2</v>
      </c>
      <c r="AD821" s="212">
        <f t="shared" si="12"/>
        <v>0</v>
      </c>
    </row>
    <row r="822" spans="2:30" x14ac:dyDescent="0.15">
      <c r="B822" s="213">
        <v>17031009831</v>
      </c>
      <c r="C822" s="213">
        <v>17031007902</v>
      </c>
      <c r="D822" s="213">
        <v>17031001565</v>
      </c>
      <c r="E822" s="213" t="s">
        <v>533</v>
      </c>
      <c r="F822" s="213" t="s">
        <v>534</v>
      </c>
      <c r="G822" s="213" t="s">
        <v>365</v>
      </c>
      <c r="H822" s="213" t="s">
        <v>535</v>
      </c>
      <c r="I822" s="213"/>
      <c r="J822" s="213" t="s">
        <v>382</v>
      </c>
      <c r="K822" s="213" t="s">
        <v>536</v>
      </c>
      <c r="L822" s="213"/>
      <c r="M822" s="213"/>
      <c r="N822" s="213"/>
      <c r="O822" s="213"/>
      <c r="P822" s="213"/>
      <c r="Q822" s="213"/>
      <c r="R822" s="213"/>
      <c r="S822" s="213" t="s">
        <v>537</v>
      </c>
      <c r="T822" s="213"/>
      <c r="U822" s="213" t="s">
        <v>538</v>
      </c>
      <c r="V822" s="213">
        <v>2</v>
      </c>
      <c r="W822" s="213" t="s">
        <v>582</v>
      </c>
      <c r="X822" s="213" t="s">
        <v>549</v>
      </c>
      <c r="Y822" s="213" t="s">
        <v>540</v>
      </c>
      <c r="Z822" s="212">
        <v>2000</v>
      </c>
      <c r="AA822" s="212">
        <v>173640</v>
      </c>
      <c r="AB822" s="217">
        <v>0.32351000000000002</v>
      </c>
      <c r="AC822" s="217">
        <v>0.52063899999999996</v>
      </c>
      <c r="AD822" s="212">
        <f t="shared" si="12"/>
        <v>56174.276400000002</v>
      </c>
    </row>
    <row r="823" spans="2:30" x14ac:dyDescent="0.15">
      <c r="B823" s="213">
        <v>17031009834</v>
      </c>
      <c r="C823" s="213">
        <v>17031007900</v>
      </c>
      <c r="D823" s="213">
        <v>17031007901</v>
      </c>
      <c r="E823" s="213" t="s">
        <v>533</v>
      </c>
      <c r="F823" s="213" t="s">
        <v>534</v>
      </c>
      <c r="G823" s="213" t="s">
        <v>365</v>
      </c>
      <c r="H823" s="213" t="s">
        <v>535</v>
      </c>
      <c r="I823" s="213"/>
      <c r="J823" s="213" t="s">
        <v>382</v>
      </c>
      <c r="K823" s="213"/>
      <c r="L823" s="213"/>
      <c r="M823" s="213"/>
      <c r="N823" s="213"/>
      <c r="O823" s="213"/>
      <c r="P823" s="213"/>
      <c r="Q823" s="213"/>
      <c r="R823" s="213"/>
      <c r="S823" s="213"/>
      <c r="T823" s="213"/>
      <c r="U823" s="213" t="s">
        <v>538</v>
      </c>
      <c r="V823" s="213">
        <v>1</v>
      </c>
      <c r="W823" s="213" t="s">
        <v>560</v>
      </c>
      <c r="X823" s="213" t="s">
        <v>554</v>
      </c>
      <c r="Y823" s="213" t="s">
        <v>554</v>
      </c>
      <c r="Z823" s="212">
        <v>10204</v>
      </c>
      <c r="AA823" s="212">
        <v>881300</v>
      </c>
      <c r="AB823" s="217">
        <v>4.1030999999999998E-2</v>
      </c>
      <c r="AC823" s="217">
        <v>6.6032999999999994E-2</v>
      </c>
      <c r="AD823" s="212">
        <f t="shared" si="12"/>
        <v>36160.620299999995</v>
      </c>
    </row>
    <row r="824" spans="2:30" x14ac:dyDescent="0.15">
      <c r="B824" s="213">
        <v>17031009835</v>
      </c>
      <c r="C824" s="213">
        <v>17031007900</v>
      </c>
      <c r="D824" s="213">
        <v>17031001565</v>
      </c>
      <c r="E824" s="213" t="s">
        <v>533</v>
      </c>
      <c r="F824" s="213" t="s">
        <v>534</v>
      </c>
      <c r="G824" s="213" t="s">
        <v>365</v>
      </c>
      <c r="H824" s="213" t="s">
        <v>535</v>
      </c>
      <c r="I824" s="213"/>
      <c r="J824" s="213" t="s">
        <v>382</v>
      </c>
      <c r="K824" s="213"/>
      <c r="L824" s="213"/>
      <c r="M824" s="213"/>
      <c r="N824" s="213"/>
      <c r="O824" s="213"/>
      <c r="P824" s="213"/>
      <c r="Q824" s="213"/>
      <c r="R824" s="213"/>
      <c r="S824" s="213"/>
      <c r="T824" s="213"/>
      <c r="U824" s="213" t="s">
        <v>538</v>
      </c>
      <c r="V824" s="213">
        <v>1</v>
      </c>
      <c r="W824" s="213" t="s">
        <v>560</v>
      </c>
      <c r="X824" s="213" t="s">
        <v>554</v>
      </c>
      <c r="Y824" s="213" t="s">
        <v>554</v>
      </c>
      <c r="Z824" s="212">
        <v>1620</v>
      </c>
      <c r="AA824" s="212">
        <v>154680</v>
      </c>
      <c r="AB824" s="217">
        <v>0.37528299999999998</v>
      </c>
      <c r="AC824" s="217">
        <v>0.60396099999999997</v>
      </c>
      <c r="AD824" s="212">
        <f t="shared" si="12"/>
        <v>58048.774439999994</v>
      </c>
    </row>
    <row r="825" spans="2:30" x14ac:dyDescent="0.15">
      <c r="B825" s="213">
        <v>17031010389</v>
      </c>
      <c r="C825" s="213">
        <v>17031000914</v>
      </c>
      <c r="D825" s="213">
        <v>17031000916</v>
      </c>
      <c r="E825" s="213" t="s">
        <v>533</v>
      </c>
      <c r="F825" s="213" t="s">
        <v>534</v>
      </c>
      <c r="G825" s="213" t="s">
        <v>365</v>
      </c>
      <c r="H825" s="213" t="s">
        <v>535</v>
      </c>
      <c r="I825" s="213"/>
      <c r="J825" s="213"/>
      <c r="K825" s="213"/>
      <c r="L825" s="213"/>
      <c r="M825" s="213"/>
      <c r="N825" s="213"/>
      <c r="O825" s="213"/>
      <c r="P825" s="213"/>
      <c r="Q825" s="213"/>
      <c r="R825" s="213"/>
      <c r="S825" s="213" t="s">
        <v>601</v>
      </c>
      <c r="T825" s="213"/>
      <c r="U825" s="213" t="s">
        <v>538</v>
      </c>
      <c r="V825" s="213">
        <v>1</v>
      </c>
      <c r="W825" s="213" t="s">
        <v>545</v>
      </c>
      <c r="X825" s="213" t="s">
        <v>540</v>
      </c>
      <c r="Y825" s="213" t="s">
        <v>554</v>
      </c>
      <c r="Z825" s="212">
        <v>31888</v>
      </c>
      <c r="AA825" s="212">
        <v>501124</v>
      </c>
      <c r="AB825" s="217">
        <v>0.16822599999999999</v>
      </c>
      <c r="AC825" s="217">
        <v>0.27073399999999997</v>
      </c>
      <c r="AD825" s="212">
        <f t="shared" si="12"/>
        <v>84302.086023999989</v>
      </c>
    </row>
    <row r="826" spans="2:30" x14ac:dyDescent="0.15">
      <c r="B826" s="213">
        <v>17043001985</v>
      </c>
      <c r="C826" s="213">
        <v>17043000579</v>
      </c>
      <c r="D826" s="213">
        <v>17043000541</v>
      </c>
      <c r="E826" s="213" t="s">
        <v>533</v>
      </c>
      <c r="F826" s="213" t="s">
        <v>534</v>
      </c>
      <c r="G826" s="213" t="s">
        <v>367</v>
      </c>
      <c r="H826" s="213" t="s">
        <v>382</v>
      </c>
      <c r="I826" s="213"/>
      <c r="J826" s="213"/>
      <c r="K826" s="213"/>
      <c r="L826" s="213"/>
      <c r="M826" s="213"/>
      <c r="N826" s="213"/>
      <c r="O826" s="213"/>
      <c r="P826" s="213"/>
      <c r="Q826" s="213"/>
      <c r="R826" s="213"/>
      <c r="S826" s="213" t="s">
        <v>653</v>
      </c>
      <c r="T826" s="213"/>
      <c r="U826" s="213" t="s">
        <v>559</v>
      </c>
      <c r="V826" s="213">
        <v>1</v>
      </c>
      <c r="W826" s="213" t="s">
        <v>560</v>
      </c>
      <c r="X826" s="213" t="s">
        <v>541</v>
      </c>
      <c r="Y826" s="213" t="s">
        <v>541</v>
      </c>
      <c r="Z826" s="212">
        <v>0</v>
      </c>
      <c r="AA826" s="212">
        <v>0</v>
      </c>
      <c r="AB826" s="217">
        <v>0.87960400000000005</v>
      </c>
      <c r="AC826" s="217">
        <v>1.4155880000000001</v>
      </c>
      <c r="AD826" s="212">
        <f t="shared" si="12"/>
        <v>0</v>
      </c>
    </row>
    <row r="827" spans="2:30" x14ac:dyDescent="0.15">
      <c r="B827" s="213">
        <v>17043001986</v>
      </c>
      <c r="C827" s="213">
        <v>17043004783</v>
      </c>
      <c r="D827" s="213">
        <v>17999020068</v>
      </c>
      <c r="E827" s="213" t="s">
        <v>533</v>
      </c>
      <c r="F827" s="213" t="s">
        <v>534</v>
      </c>
      <c r="G827" s="213" t="s">
        <v>367</v>
      </c>
      <c r="H827" s="213" t="s">
        <v>382</v>
      </c>
      <c r="I827" s="213"/>
      <c r="J827" s="213"/>
      <c r="K827" s="213"/>
      <c r="L827" s="213"/>
      <c r="M827" s="213"/>
      <c r="N827" s="213"/>
      <c r="O827" s="213"/>
      <c r="P827" s="213"/>
      <c r="Q827" s="213"/>
      <c r="R827" s="213"/>
      <c r="S827" s="213" t="s">
        <v>561</v>
      </c>
      <c r="T827" s="213"/>
      <c r="U827" s="213" t="s">
        <v>538</v>
      </c>
      <c r="V827" s="213">
        <v>1</v>
      </c>
      <c r="W827" s="213" t="s">
        <v>562</v>
      </c>
      <c r="X827" s="213" t="s">
        <v>540</v>
      </c>
      <c r="Y827" s="213" t="s">
        <v>541</v>
      </c>
      <c r="Z827" s="212">
        <v>26584</v>
      </c>
      <c r="AA827" s="212">
        <v>636580</v>
      </c>
      <c r="AB827" s="217">
        <v>1.3813420000000001</v>
      </c>
      <c r="AC827" s="217">
        <v>2.2230599999999998</v>
      </c>
      <c r="AD827" s="212">
        <f t="shared" si="12"/>
        <v>879334.69036000001</v>
      </c>
    </row>
    <row r="828" spans="2:30" x14ac:dyDescent="0.15">
      <c r="B828" s="213">
        <v>17043002069</v>
      </c>
      <c r="C828" s="213">
        <v>17043007276</v>
      </c>
      <c r="D828" s="213">
        <v>17043007283</v>
      </c>
      <c r="E828" s="213" t="s">
        <v>533</v>
      </c>
      <c r="F828" s="213" t="s">
        <v>534</v>
      </c>
      <c r="G828" s="213" t="s">
        <v>367</v>
      </c>
      <c r="H828" s="213" t="s">
        <v>535</v>
      </c>
      <c r="I828" s="213"/>
      <c r="J828" s="213" t="s">
        <v>536</v>
      </c>
      <c r="K828" s="213" t="s">
        <v>382</v>
      </c>
      <c r="L828" s="213"/>
      <c r="M828" s="213"/>
      <c r="N828" s="213"/>
      <c r="O828" s="213"/>
      <c r="P828" s="213"/>
      <c r="Q828" s="213"/>
      <c r="R828" s="213"/>
      <c r="S828" s="213" t="s">
        <v>550</v>
      </c>
      <c r="T828" s="213"/>
      <c r="U828" s="213" t="s">
        <v>538</v>
      </c>
      <c r="V828" s="213">
        <v>1</v>
      </c>
      <c r="W828" s="213" t="s">
        <v>545</v>
      </c>
      <c r="X828" s="213" t="s">
        <v>549</v>
      </c>
      <c r="Y828" s="213" t="s">
        <v>540</v>
      </c>
      <c r="Z828" s="212">
        <v>63523</v>
      </c>
      <c r="AA828" s="212">
        <v>7173724</v>
      </c>
      <c r="AB828" s="217">
        <v>1.095793</v>
      </c>
      <c r="AC828" s="217">
        <v>1.7635110000000001</v>
      </c>
      <c r="AD828" s="212">
        <f t="shared" si="12"/>
        <v>7860916.5431319997</v>
      </c>
    </row>
    <row r="829" spans="2:30" x14ac:dyDescent="0.15">
      <c r="B829" s="213">
        <v>17043002129</v>
      </c>
      <c r="C829" s="213">
        <v>17999021910</v>
      </c>
      <c r="D829" s="213">
        <v>17043004894</v>
      </c>
      <c r="E829" s="213" t="s">
        <v>533</v>
      </c>
      <c r="F829" s="213" t="s">
        <v>534</v>
      </c>
      <c r="G829" s="213" t="s">
        <v>367</v>
      </c>
      <c r="H829" s="213" t="s">
        <v>535</v>
      </c>
      <c r="I829" s="213"/>
      <c r="J829" s="213" t="s">
        <v>382</v>
      </c>
      <c r="K829" s="213" t="s">
        <v>536</v>
      </c>
      <c r="L829" s="213"/>
      <c r="M829" s="213"/>
      <c r="N829" s="213"/>
      <c r="O829" s="213"/>
      <c r="P829" s="213"/>
      <c r="Q829" s="213"/>
      <c r="R829" s="213"/>
      <c r="S829" s="213" t="s">
        <v>550</v>
      </c>
      <c r="T829" s="213"/>
      <c r="U829" s="213" t="s">
        <v>538</v>
      </c>
      <c r="V829" s="213">
        <v>1</v>
      </c>
      <c r="W829" s="213" t="s">
        <v>545</v>
      </c>
      <c r="X829" s="213" t="s">
        <v>549</v>
      </c>
      <c r="Y829" s="213" t="s">
        <v>540</v>
      </c>
      <c r="Z829" s="212">
        <v>66683</v>
      </c>
      <c r="AA829" s="212">
        <v>7416364</v>
      </c>
      <c r="AB829" s="217">
        <v>0.96832600000000002</v>
      </c>
      <c r="AC829" s="217">
        <v>1.5583720000000001</v>
      </c>
      <c r="AD829" s="212">
        <f t="shared" si="12"/>
        <v>7181458.0866640005</v>
      </c>
    </row>
    <row r="830" spans="2:30" x14ac:dyDescent="0.15">
      <c r="B830" s="213">
        <v>17043002227</v>
      </c>
      <c r="C830" s="213">
        <v>17043000368</v>
      </c>
      <c r="D830" s="213">
        <v>17043000362</v>
      </c>
      <c r="E830" s="213" t="s">
        <v>533</v>
      </c>
      <c r="F830" s="213" t="s">
        <v>534</v>
      </c>
      <c r="G830" s="213" t="s">
        <v>367</v>
      </c>
      <c r="H830" s="213" t="s">
        <v>552</v>
      </c>
      <c r="I830" s="213"/>
      <c r="J830" s="213" t="s">
        <v>547</v>
      </c>
      <c r="K830" s="213"/>
      <c r="L830" s="213"/>
      <c r="M830" s="213"/>
      <c r="N830" s="213"/>
      <c r="O830" s="213"/>
      <c r="P830" s="213"/>
      <c r="Q830" s="213"/>
      <c r="R830" s="213"/>
      <c r="S830" s="213" t="s">
        <v>589</v>
      </c>
      <c r="T830" s="213"/>
      <c r="U830" s="213" t="s">
        <v>538</v>
      </c>
      <c r="V830" s="213">
        <v>2</v>
      </c>
      <c r="W830" s="213" t="s">
        <v>545</v>
      </c>
      <c r="X830" s="213" t="s">
        <v>549</v>
      </c>
      <c r="Y830" s="213" t="s">
        <v>540</v>
      </c>
      <c r="Z830" s="212">
        <v>63091</v>
      </c>
      <c r="AA830" s="212">
        <v>6650748</v>
      </c>
      <c r="AB830" s="217">
        <v>1.2923709999999999</v>
      </c>
      <c r="AC830" s="217">
        <v>2.0798739999999998</v>
      </c>
      <c r="AD830" s="212">
        <f t="shared" si="12"/>
        <v>8595233.8435079996</v>
      </c>
    </row>
    <row r="831" spans="2:30" x14ac:dyDescent="0.15">
      <c r="B831" s="213">
        <v>17043002232</v>
      </c>
      <c r="C831" s="213">
        <v>17043007351</v>
      </c>
      <c r="D831" s="213">
        <v>17043000388</v>
      </c>
      <c r="E831" s="213" t="s">
        <v>533</v>
      </c>
      <c r="F831" s="213" t="s">
        <v>534</v>
      </c>
      <c r="G831" s="213" t="s">
        <v>367</v>
      </c>
      <c r="H831" s="213" t="s">
        <v>552</v>
      </c>
      <c r="I831" s="213"/>
      <c r="J831" s="213" t="s">
        <v>547</v>
      </c>
      <c r="K831" s="213"/>
      <c r="L831" s="213"/>
      <c r="M831" s="213"/>
      <c r="N831" s="213"/>
      <c r="O831" s="213"/>
      <c r="P831" s="213"/>
      <c r="Q831" s="213"/>
      <c r="R831" s="213"/>
      <c r="S831" s="213" t="s">
        <v>589</v>
      </c>
      <c r="T831" s="213"/>
      <c r="U831" s="213" t="s">
        <v>538</v>
      </c>
      <c r="V831" s="213">
        <v>2</v>
      </c>
      <c r="W831" s="213" t="s">
        <v>545</v>
      </c>
      <c r="X831" s="213" t="s">
        <v>549</v>
      </c>
      <c r="Y831" s="213" t="s">
        <v>540</v>
      </c>
      <c r="Z831" s="212">
        <v>63331</v>
      </c>
      <c r="AA831" s="212">
        <v>6669828</v>
      </c>
      <c r="AB831" s="217">
        <v>0.76895899999999995</v>
      </c>
      <c r="AC831" s="217">
        <v>1.2375229999999999</v>
      </c>
      <c r="AD831" s="212">
        <f t="shared" si="12"/>
        <v>5128824.2690519998</v>
      </c>
    </row>
    <row r="832" spans="2:30" x14ac:dyDescent="0.15">
      <c r="B832" s="213">
        <v>17043002283</v>
      </c>
      <c r="C832" s="213">
        <v>17043004776</v>
      </c>
      <c r="D832" s="213">
        <v>17043004775</v>
      </c>
      <c r="E832" s="213" t="s">
        <v>533</v>
      </c>
      <c r="F832" s="213" t="s">
        <v>534</v>
      </c>
      <c r="G832" s="213" t="s">
        <v>367</v>
      </c>
      <c r="H832" s="213" t="s">
        <v>382</v>
      </c>
      <c r="I832" s="213"/>
      <c r="J832" s="213" t="s">
        <v>547</v>
      </c>
      <c r="K832" s="213"/>
      <c r="L832" s="213"/>
      <c r="M832" s="213"/>
      <c r="N832" s="213"/>
      <c r="O832" s="213"/>
      <c r="P832" s="213"/>
      <c r="Q832" s="213"/>
      <c r="R832" s="213"/>
      <c r="S832" s="213" t="s">
        <v>583</v>
      </c>
      <c r="T832" s="213"/>
      <c r="U832" s="213" t="s">
        <v>538</v>
      </c>
      <c r="V832" s="213">
        <v>3</v>
      </c>
      <c r="W832" s="213" t="s">
        <v>588</v>
      </c>
      <c r="X832" s="213" t="s">
        <v>549</v>
      </c>
      <c r="Y832" s="213" t="s">
        <v>575</v>
      </c>
      <c r="Z832" s="212">
        <v>1900169</v>
      </c>
      <c r="AA832" s="212">
        <v>66518260</v>
      </c>
      <c r="AB832" s="217">
        <v>1.8898429999999999</v>
      </c>
      <c r="AC832" s="217">
        <v>3.0414140000000001</v>
      </c>
      <c r="AD832" s="212">
        <f t="shared" si="12"/>
        <v>125709068.03318</v>
      </c>
    </row>
    <row r="833" spans="2:30" x14ac:dyDescent="0.15">
      <c r="B833" s="213">
        <v>17043002334</v>
      </c>
      <c r="C833" s="213">
        <v>17043004636</v>
      </c>
      <c r="D833" s="213">
        <v>17043004635</v>
      </c>
      <c r="E833" s="213" t="s">
        <v>533</v>
      </c>
      <c r="F833" s="213" t="s">
        <v>534</v>
      </c>
      <c r="G833" s="213" t="s">
        <v>367</v>
      </c>
      <c r="H833" s="213" t="s">
        <v>552</v>
      </c>
      <c r="I833" s="213"/>
      <c r="J833" s="213" t="s">
        <v>547</v>
      </c>
      <c r="K833" s="213"/>
      <c r="L833" s="213"/>
      <c r="M833" s="213"/>
      <c r="N833" s="213"/>
      <c r="O833" s="213"/>
      <c r="P833" s="213"/>
      <c r="Q833" s="213"/>
      <c r="R833" s="213"/>
      <c r="S833" s="213" t="s">
        <v>589</v>
      </c>
      <c r="T833" s="213"/>
      <c r="U833" s="213" t="s">
        <v>538</v>
      </c>
      <c r="V833" s="213">
        <v>2</v>
      </c>
      <c r="W833" s="213" t="s">
        <v>545</v>
      </c>
      <c r="X833" s="213" t="s">
        <v>549</v>
      </c>
      <c r="Y833" s="213" t="s">
        <v>540</v>
      </c>
      <c r="Z833" s="212">
        <v>63371</v>
      </c>
      <c r="AA833" s="212">
        <v>6672548</v>
      </c>
      <c r="AB833" s="217">
        <v>0.22481499999999999</v>
      </c>
      <c r="AC833" s="217">
        <v>0.36180499999999999</v>
      </c>
      <c r="AD833" s="212">
        <f t="shared" si="12"/>
        <v>1500088.8786199999</v>
      </c>
    </row>
    <row r="834" spans="2:30" x14ac:dyDescent="0.15">
      <c r="B834" s="213">
        <v>17043002347</v>
      </c>
      <c r="C834" s="213">
        <v>17043000522</v>
      </c>
      <c r="D834" s="213">
        <v>17999020579</v>
      </c>
      <c r="E834" s="213" t="s">
        <v>533</v>
      </c>
      <c r="F834" s="213" t="s">
        <v>534</v>
      </c>
      <c r="G834" s="213" t="s">
        <v>367</v>
      </c>
      <c r="H834" s="213" t="s">
        <v>382</v>
      </c>
      <c r="I834" s="213"/>
      <c r="J834" s="213"/>
      <c r="K834" s="213"/>
      <c r="L834" s="213"/>
      <c r="M834" s="213"/>
      <c r="N834" s="213"/>
      <c r="O834" s="213"/>
      <c r="P834" s="213"/>
      <c r="Q834" s="213"/>
      <c r="R834" s="213"/>
      <c r="S834" s="213" t="s">
        <v>586</v>
      </c>
      <c r="T834" s="213"/>
      <c r="U834" s="213" t="s">
        <v>538</v>
      </c>
      <c r="V834" s="213">
        <v>2</v>
      </c>
      <c r="W834" s="213" t="s">
        <v>582</v>
      </c>
      <c r="X834" s="213" t="s">
        <v>554</v>
      </c>
      <c r="Y834" s="213" t="s">
        <v>540</v>
      </c>
      <c r="Z834" s="212">
        <v>148115</v>
      </c>
      <c r="AA834" s="212">
        <v>16606516</v>
      </c>
      <c r="AB834" s="217">
        <v>0.254359</v>
      </c>
      <c r="AC834" s="217">
        <v>0.40935199999999999</v>
      </c>
      <c r="AD834" s="212">
        <f t="shared" si="12"/>
        <v>4224016.8032440003</v>
      </c>
    </row>
    <row r="835" spans="2:30" x14ac:dyDescent="0.15">
      <c r="B835" s="213">
        <v>17043002348</v>
      </c>
      <c r="C835" s="213">
        <v>17999020593</v>
      </c>
      <c r="D835" s="213">
        <v>17043000522</v>
      </c>
      <c r="E835" s="213" t="s">
        <v>533</v>
      </c>
      <c r="F835" s="213" t="s">
        <v>534</v>
      </c>
      <c r="G835" s="213" t="s">
        <v>367</v>
      </c>
      <c r="H835" s="213" t="s">
        <v>382</v>
      </c>
      <c r="I835" s="213"/>
      <c r="J835" s="213" t="s">
        <v>547</v>
      </c>
      <c r="K835" s="213"/>
      <c r="L835" s="213"/>
      <c r="M835" s="213"/>
      <c r="N835" s="213"/>
      <c r="O835" s="213"/>
      <c r="P835" s="213"/>
      <c r="Q835" s="213"/>
      <c r="R835" s="213"/>
      <c r="S835" s="213" t="s">
        <v>583</v>
      </c>
      <c r="T835" s="213" t="s">
        <v>626</v>
      </c>
      <c r="U835" s="213" t="s">
        <v>538</v>
      </c>
      <c r="V835" s="213">
        <v>3</v>
      </c>
      <c r="W835" s="213" t="s">
        <v>545</v>
      </c>
      <c r="X835" s="213" t="s">
        <v>549</v>
      </c>
      <c r="Y835" s="213" t="s">
        <v>580</v>
      </c>
      <c r="Z835" s="212">
        <v>1570326</v>
      </c>
      <c r="AA835" s="212">
        <v>48086192</v>
      </c>
      <c r="AB835" s="217">
        <v>0.235288</v>
      </c>
      <c r="AC835" s="217">
        <v>0.37866</v>
      </c>
      <c r="AD835" s="212">
        <f t="shared" si="12"/>
        <v>11314103.943296</v>
      </c>
    </row>
    <row r="836" spans="2:30" x14ac:dyDescent="0.15">
      <c r="B836" s="213">
        <v>17043002350</v>
      </c>
      <c r="C836" s="213">
        <v>17043000552</v>
      </c>
      <c r="D836" s="213">
        <v>17043004776</v>
      </c>
      <c r="E836" s="213" t="s">
        <v>533</v>
      </c>
      <c r="F836" s="213" t="s">
        <v>534</v>
      </c>
      <c r="G836" s="213" t="s">
        <v>367</v>
      </c>
      <c r="H836" s="213" t="s">
        <v>382</v>
      </c>
      <c r="I836" s="213"/>
      <c r="J836" s="213" t="s">
        <v>547</v>
      </c>
      <c r="K836" s="213"/>
      <c r="L836" s="213"/>
      <c r="M836" s="213"/>
      <c r="N836" s="213"/>
      <c r="O836" s="213"/>
      <c r="P836" s="213"/>
      <c r="Q836" s="213"/>
      <c r="R836" s="213"/>
      <c r="S836" s="213" t="s">
        <v>583</v>
      </c>
      <c r="T836" s="213"/>
      <c r="U836" s="213" t="s">
        <v>538</v>
      </c>
      <c r="V836" s="213">
        <v>3</v>
      </c>
      <c r="W836" s="213" t="s">
        <v>588</v>
      </c>
      <c r="X836" s="213" t="s">
        <v>549</v>
      </c>
      <c r="Y836" s="213" t="s">
        <v>575</v>
      </c>
      <c r="Z836" s="212">
        <v>1900169</v>
      </c>
      <c r="AA836" s="212">
        <v>66518260</v>
      </c>
      <c r="AB836" s="217">
        <v>2.2358799999999999</v>
      </c>
      <c r="AC836" s="217">
        <v>3.5983070000000001</v>
      </c>
      <c r="AD836" s="212">
        <f t="shared" si="12"/>
        <v>148726847.1688</v>
      </c>
    </row>
    <row r="837" spans="2:30" x14ac:dyDescent="0.15">
      <c r="B837" s="213">
        <v>17043002377</v>
      </c>
      <c r="C837" s="213">
        <v>17043004884</v>
      </c>
      <c r="D837" s="213">
        <v>17043004883</v>
      </c>
      <c r="E837" s="213" t="s">
        <v>533</v>
      </c>
      <c r="F837" s="213" t="s">
        <v>534</v>
      </c>
      <c r="G837" s="213" t="s">
        <v>367</v>
      </c>
      <c r="H837" s="213" t="s">
        <v>381</v>
      </c>
      <c r="I837" s="213"/>
      <c r="J837" s="213" t="s">
        <v>542</v>
      </c>
      <c r="K837" s="213" t="s">
        <v>547</v>
      </c>
      <c r="L837" s="213" t="s">
        <v>382</v>
      </c>
      <c r="M837" s="213"/>
      <c r="N837" s="213"/>
      <c r="O837" s="213"/>
      <c r="P837" s="213"/>
      <c r="Q837" s="213"/>
      <c r="R837" s="213"/>
      <c r="S837" s="213" t="s">
        <v>579</v>
      </c>
      <c r="T837" s="213"/>
      <c r="U837" s="213" t="s">
        <v>538</v>
      </c>
      <c r="V837" s="213">
        <v>3</v>
      </c>
      <c r="W837" s="213" t="s">
        <v>545</v>
      </c>
      <c r="X837" s="213" t="s">
        <v>549</v>
      </c>
      <c r="Y837" s="213" t="s">
        <v>580</v>
      </c>
      <c r="Z837" s="212">
        <v>2794758</v>
      </c>
      <c r="AA837" s="212">
        <v>85265824</v>
      </c>
      <c r="AB837" s="217">
        <v>0.52571400000000001</v>
      </c>
      <c r="AC837" s="217">
        <v>0.84605699999999995</v>
      </c>
      <c r="AD837" s="212">
        <f t="shared" si="12"/>
        <v>44825437.398336001</v>
      </c>
    </row>
    <row r="838" spans="2:30" x14ac:dyDescent="0.15">
      <c r="B838" s="213">
        <v>17043002379</v>
      </c>
      <c r="C838" s="213">
        <v>17043004885</v>
      </c>
      <c r="D838" s="213">
        <v>17043000858</v>
      </c>
      <c r="E838" s="213" t="s">
        <v>533</v>
      </c>
      <c r="F838" s="213" t="s">
        <v>534</v>
      </c>
      <c r="G838" s="213" t="s">
        <v>367</v>
      </c>
      <c r="H838" s="213" t="s">
        <v>381</v>
      </c>
      <c r="I838" s="213"/>
      <c r="J838" s="213" t="s">
        <v>542</v>
      </c>
      <c r="K838" s="213" t="s">
        <v>547</v>
      </c>
      <c r="L838" s="213" t="s">
        <v>382</v>
      </c>
      <c r="M838" s="213"/>
      <c r="N838" s="213"/>
      <c r="O838" s="213"/>
      <c r="P838" s="213"/>
      <c r="Q838" s="213"/>
      <c r="R838" s="213"/>
      <c r="S838" s="213" t="s">
        <v>579</v>
      </c>
      <c r="T838" s="213"/>
      <c r="U838" s="213" t="s">
        <v>538</v>
      </c>
      <c r="V838" s="213">
        <v>3</v>
      </c>
      <c r="W838" s="213" t="s">
        <v>545</v>
      </c>
      <c r="X838" s="213" t="s">
        <v>549</v>
      </c>
      <c r="Y838" s="213" t="s">
        <v>580</v>
      </c>
      <c r="Z838" s="212">
        <v>2794758</v>
      </c>
      <c r="AA838" s="212">
        <v>85265824</v>
      </c>
      <c r="AB838" s="217">
        <v>0.48378300000000002</v>
      </c>
      <c r="AC838" s="217">
        <v>0.77857500000000002</v>
      </c>
      <c r="AD838" s="212">
        <f t="shared" ref="AD838:AD901" si="13">AA838*AB838</f>
        <v>41250156.132192001</v>
      </c>
    </row>
    <row r="839" spans="2:30" x14ac:dyDescent="0.15">
      <c r="B839" s="213">
        <v>17043002380</v>
      </c>
      <c r="C839" s="213">
        <v>17043000870</v>
      </c>
      <c r="D839" s="213">
        <v>17043004885</v>
      </c>
      <c r="E839" s="213" t="s">
        <v>533</v>
      </c>
      <c r="F839" s="213" t="s">
        <v>534</v>
      </c>
      <c r="G839" s="213" t="s">
        <v>367</v>
      </c>
      <c r="H839" s="213" t="s">
        <v>381</v>
      </c>
      <c r="I839" s="213"/>
      <c r="J839" s="213" t="s">
        <v>542</v>
      </c>
      <c r="K839" s="213" t="s">
        <v>547</v>
      </c>
      <c r="L839" s="213" t="s">
        <v>382</v>
      </c>
      <c r="M839" s="213"/>
      <c r="N839" s="213"/>
      <c r="O839" s="213"/>
      <c r="P839" s="213"/>
      <c r="Q839" s="213"/>
      <c r="R839" s="213"/>
      <c r="S839" s="213" t="s">
        <v>579</v>
      </c>
      <c r="T839" s="213"/>
      <c r="U839" s="213" t="s">
        <v>538</v>
      </c>
      <c r="V839" s="213">
        <v>3</v>
      </c>
      <c r="W839" s="213" t="s">
        <v>545</v>
      </c>
      <c r="X839" s="213" t="s">
        <v>549</v>
      </c>
      <c r="Y839" s="213" t="s">
        <v>580</v>
      </c>
      <c r="Z839" s="212">
        <v>2794758</v>
      </c>
      <c r="AA839" s="212">
        <v>85265824</v>
      </c>
      <c r="AB839" s="217">
        <v>1.148428</v>
      </c>
      <c r="AC839" s="217">
        <v>1.84822</v>
      </c>
      <c r="AD839" s="212">
        <f t="shared" si="13"/>
        <v>97921659.724672005</v>
      </c>
    </row>
    <row r="840" spans="2:30" x14ac:dyDescent="0.15">
      <c r="B840" s="213">
        <v>17043002382</v>
      </c>
      <c r="C840" s="213">
        <v>17043004886</v>
      </c>
      <c r="D840" s="213">
        <v>17043000872</v>
      </c>
      <c r="E840" s="213" t="s">
        <v>533</v>
      </c>
      <c r="F840" s="213" t="s">
        <v>534</v>
      </c>
      <c r="G840" s="213" t="s">
        <v>367</v>
      </c>
      <c r="H840" s="213" t="s">
        <v>381</v>
      </c>
      <c r="I840" s="213"/>
      <c r="J840" s="213" t="s">
        <v>542</v>
      </c>
      <c r="K840" s="213" t="s">
        <v>547</v>
      </c>
      <c r="L840" s="213" t="s">
        <v>382</v>
      </c>
      <c r="M840" s="213"/>
      <c r="N840" s="213"/>
      <c r="O840" s="213"/>
      <c r="P840" s="213"/>
      <c r="Q840" s="213"/>
      <c r="R840" s="213"/>
      <c r="S840" s="213" t="s">
        <v>579</v>
      </c>
      <c r="T840" s="213"/>
      <c r="U840" s="213" t="s">
        <v>538</v>
      </c>
      <c r="V840" s="213">
        <v>3</v>
      </c>
      <c r="W840" s="213" t="s">
        <v>545</v>
      </c>
      <c r="X840" s="213" t="s">
        <v>549</v>
      </c>
      <c r="Y840" s="213" t="s">
        <v>580</v>
      </c>
      <c r="Z840" s="212">
        <v>2794758</v>
      </c>
      <c r="AA840" s="212">
        <v>85265824</v>
      </c>
      <c r="AB840" s="217">
        <v>0.81995899999999999</v>
      </c>
      <c r="AC840" s="217">
        <v>1.319599</v>
      </c>
      <c r="AD840" s="212">
        <f t="shared" si="13"/>
        <v>69914479.781215996</v>
      </c>
    </row>
    <row r="841" spans="2:30" x14ac:dyDescent="0.15">
      <c r="B841" s="213">
        <v>17043002395</v>
      </c>
      <c r="C841" s="213">
        <v>17043004781</v>
      </c>
      <c r="D841" s="213">
        <v>17043004765</v>
      </c>
      <c r="E841" s="213" t="s">
        <v>533</v>
      </c>
      <c r="F841" s="213" t="s">
        <v>534</v>
      </c>
      <c r="G841" s="213" t="s">
        <v>367</v>
      </c>
      <c r="H841" s="213" t="s">
        <v>382</v>
      </c>
      <c r="I841" s="213"/>
      <c r="J841" s="213"/>
      <c r="K841" s="213"/>
      <c r="L841" s="213"/>
      <c r="M841" s="213"/>
      <c r="N841" s="213"/>
      <c r="O841" s="213"/>
      <c r="P841" s="213"/>
      <c r="Q841" s="213"/>
      <c r="R841" s="213"/>
      <c r="S841" s="213" t="s">
        <v>561</v>
      </c>
      <c r="T841" s="213"/>
      <c r="U841" s="213" t="s">
        <v>538</v>
      </c>
      <c r="V841" s="213">
        <v>1</v>
      </c>
      <c r="W841" s="213" t="s">
        <v>562</v>
      </c>
      <c r="X841" s="213" t="s">
        <v>540</v>
      </c>
      <c r="Y841" s="213" t="s">
        <v>541</v>
      </c>
      <c r="Z841" s="212">
        <v>26584</v>
      </c>
      <c r="AA841" s="212">
        <v>636580</v>
      </c>
      <c r="AB841" s="217">
        <v>0.66666499999999995</v>
      </c>
      <c r="AC841" s="217">
        <v>1.0728960000000001</v>
      </c>
      <c r="AD841" s="212">
        <f t="shared" si="13"/>
        <v>424385.60569999996</v>
      </c>
    </row>
    <row r="842" spans="2:30" x14ac:dyDescent="0.15">
      <c r="B842" s="213">
        <v>17043002396</v>
      </c>
      <c r="C842" s="213">
        <v>17043000594</v>
      </c>
      <c r="D842" s="213">
        <v>17043000591</v>
      </c>
      <c r="E842" s="213" t="s">
        <v>533</v>
      </c>
      <c r="F842" s="213" t="s">
        <v>534</v>
      </c>
      <c r="G842" s="213" t="s">
        <v>367</v>
      </c>
      <c r="H842" s="213" t="s">
        <v>382</v>
      </c>
      <c r="I842" s="213"/>
      <c r="J842" s="213" t="s">
        <v>547</v>
      </c>
      <c r="K842" s="213"/>
      <c r="L842" s="213"/>
      <c r="M842" s="213"/>
      <c r="N842" s="213"/>
      <c r="O842" s="213"/>
      <c r="P842" s="213"/>
      <c r="Q842" s="213"/>
      <c r="R842" s="213"/>
      <c r="S842" s="213" t="s">
        <v>583</v>
      </c>
      <c r="T842" s="213"/>
      <c r="U842" s="213" t="s">
        <v>538</v>
      </c>
      <c r="V842" s="213">
        <v>3</v>
      </c>
      <c r="W842" s="213" t="s">
        <v>545</v>
      </c>
      <c r="X842" s="213" t="s">
        <v>554</v>
      </c>
      <c r="Y842" s="213" t="s">
        <v>575</v>
      </c>
      <c r="Z842" s="212">
        <v>1900169</v>
      </c>
      <c r="AA842" s="212">
        <v>66518260</v>
      </c>
      <c r="AB842" s="217">
        <v>0.30977700000000002</v>
      </c>
      <c r="AC842" s="217">
        <v>0.49853900000000001</v>
      </c>
      <c r="AD842" s="212">
        <f t="shared" si="13"/>
        <v>20605827.028020002</v>
      </c>
    </row>
    <row r="843" spans="2:30" x14ac:dyDescent="0.15">
      <c r="B843" s="213">
        <v>17043002398</v>
      </c>
      <c r="C843" s="213">
        <v>17043000612</v>
      </c>
      <c r="D843" s="213">
        <v>17043004778</v>
      </c>
      <c r="E843" s="213" t="s">
        <v>533</v>
      </c>
      <c r="F843" s="213" t="s">
        <v>534</v>
      </c>
      <c r="G843" s="213" t="s">
        <v>367</v>
      </c>
      <c r="H843" s="213" t="s">
        <v>382</v>
      </c>
      <c r="I843" s="213"/>
      <c r="J843" s="213" t="s">
        <v>547</v>
      </c>
      <c r="K843" s="213"/>
      <c r="L843" s="213"/>
      <c r="M843" s="213"/>
      <c r="N843" s="213"/>
      <c r="O843" s="213"/>
      <c r="P843" s="213"/>
      <c r="Q843" s="213"/>
      <c r="R843" s="213"/>
      <c r="S843" s="213" t="s">
        <v>583</v>
      </c>
      <c r="T843" s="213"/>
      <c r="U843" s="213" t="s">
        <v>538</v>
      </c>
      <c r="V843" s="213">
        <v>3</v>
      </c>
      <c r="W843" s="213" t="s">
        <v>588</v>
      </c>
      <c r="X843" s="213" t="s">
        <v>549</v>
      </c>
      <c r="Y843" s="213" t="s">
        <v>575</v>
      </c>
      <c r="Z843" s="212">
        <v>1900169</v>
      </c>
      <c r="AA843" s="212">
        <v>66518260</v>
      </c>
      <c r="AB843" s="217">
        <v>1.9153480000000001</v>
      </c>
      <c r="AC843" s="217">
        <v>3.0824600000000002</v>
      </c>
      <c r="AD843" s="212">
        <f t="shared" si="13"/>
        <v>127405616.25448</v>
      </c>
    </row>
    <row r="844" spans="2:30" x14ac:dyDescent="0.15">
      <c r="B844" s="213">
        <v>17043002403</v>
      </c>
      <c r="C844" s="213">
        <v>17043000376</v>
      </c>
      <c r="D844" s="213">
        <v>17043000380</v>
      </c>
      <c r="E844" s="213" t="s">
        <v>533</v>
      </c>
      <c r="F844" s="213" t="s">
        <v>534</v>
      </c>
      <c r="G844" s="213" t="s">
        <v>367</v>
      </c>
      <c r="H844" s="213" t="s">
        <v>638</v>
      </c>
      <c r="I844" s="213"/>
      <c r="J844" s="213"/>
      <c r="K844" s="213"/>
      <c r="L844" s="213"/>
      <c r="M844" s="213"/>
      <c r="N844" s="213"/>
      <c r="O844" s="213"/>
      <c r="P844" s="213"/>
      <c r="Q844" s="213"/>
      <c r="R844" s="213"/>
      <c r="S844" s="213"/>
      <c r="T844" s="213"/>
      <c r="U844" s="213" t="s">
        <v>559</v>
      </c>
      <c r="V844" s="213">
        <v>1</v>
      </c>
      <c r="W844" s="213" t="s">
        <v>560</v>
      </c>
      <c r="X844" s="213" t="s">
        <v>541</v>
      </c>
      <c r="Y844" s="213" t="s">
        <v>541</v>
      </c>
      <c r="Z844" s="212">
        <v>0</v>
      </c>
      <c r="AA844" s="212">
        <v>0</v>
      </c>
      <c r="AB844" s="217">
        <v>1.499852</v>
      </c>
      <c r="AC844" s="217">
        <v>2.4137819999999999</v>
      </c>
      <c r="AD844" s="212">
        <f t="shared" si="13"/>
        <v>0</v>
      </c>
    </row>
    <row r="845" spans="2:30" x14ac:dyDescent="0.15">
      <c r="B845" s="213">
        <v>17043002406</v>
      </c>
      <c r="C845" s="213">
        <v>17043004777</v>
      </c>
      <c r="D845" s="213">
        <v>17043000605</v>
      </c>
      <c r="E845" s="213" t="s">
        <v>533</v>
      </c>
      <c r="F845" s="213" t="s">
        <v>534</v>
      </c>
      <c r="G845" s="213" t="s">
        <v>367</v>
      </c>
      <c r="H845" s="213" t="s">
        <v>382</v>
      </c>
      <c r="I845" s="213"/>
      <c r="J845" s="213" t="s">
        <v>547</v>
      </c>
      <c r="K845" s="213"/>
      <c r="L845" s="213"/>
      <c r="M845" s="213"/>
      <c r="N845" s="213"/>
      <c r="O845" s="213"/>
      <c r="P845" s="213"/>
      <c r="Q845" s="213"/>
      <c r="R845" s="213"/>
      <c r="S845" s="213" t="s">
        <v>583</v>
      </c>
      <c r="T845" s="213"/>
      <c r="U845" s="213" t="s">
        <v>538</v>
      </c>
      <c r="V845" s="213">
        <v>3</v>
      </c>
      <c r="W845" s="213" t="s">
        <v>588</v>
      </c>
      <c r="X845" s="213" t="s">
        <v>549</v>
      </c>
      <c r="Y845" s="213" t="s">
        <v>575</v>
      </c>
      <c r="Z845" s="212">
        <v>1900169</v>
      </c>
      <c r="AA845" s="212">
        <v>66518260</v>
      </c>
      <c r="AB845" s="217">
        <v>1.5429189999999999</v>
      </c>
      <c r="AC845" s="217">
        <v>2.4830920000000001</v>
      </c>
      <c r="AD845" s="212">
        <f t="shared" si="13"/>
        <v>102632287.20094</v>
      </c>
    </row>
    <row r="846" spans="2:30" x14ac:dyDescent="0.15">
      <c r="B846" s="213">
        <v>17043002407</v>
      </c>
      <c r="C846" s="213">
        <v>17043000635</v>
      </c>
      <c r="D846" s="213">
        <v>17043004777</v>
      </c>
      <c r="E846" s="213" t="s">
        <v>533</v>
      </c>
      <c r="F846" s="213" t="s">
        <v>534</v>
      </c>
      <c r="G846" s="213" t="s">
        <v>367</v>
      </c>
      <c r="H846" s="213" t="s">
        <v>382</v>
      </c>
      <c r="I846" s="213"/>
      <c r="J846" s="213" t="s">
        <v>547</v>
      </c>
      <c r="K846" s="213"/>
      <c r="L846" s="213"/>
      <c r="M846" s="213"/>
      <c r="N846" s="213"/>
      <c r="O846" s="213"/>
      <c r="P846" s="213"/>
      <c r="Q846" s="213"/>
      <c r="R846" s="213"/>
      <c r="S846" s="213" t="s">
        <v>583</v>
      </c>
      <c r="T846" s="213"/>
      <c r="U846" s="213" t="s">
        <v>538</v>
      </c>
      <c r="V846" s="213">
        <v>3</v>
      </c>
      <c r="W846" s="213" t="s">
        <v>588</v>
      </c>
      <c r="X846" s="213" t="s">
        <v>549</v>
      </c>
      <c r="Y846" s="213" t="s">
        <v>575</v>
      </c>
      <c r="Z846" s="212">
        <v>1900169</v>
      </c>
      <c r="AA846" s="212">
        <v>66518260</v>
      </c>
      <c r="AB846" s="217">
        <v>1.1608540000000001</v>
      </c>
      <c r="AC846" s="217">
        <v>1.868217</v>
      </c>
      <c r="AD846" s="212">
        <f t="shared" si="13"/>
        <v>77217988.19404</v>
      </c>
    </row>
    <row r="847" spans="2:30" x14ac:dyDescent="0.15">
      <c r="B847" s="213">
        <v>17043002542</v>
      </c>
      <c r="C847" s="213">
        <v>17043004896</v>
      </c>
      <c r="D847" s="213">
        <v>17043000391</v>
      </c>
      <c r="E847" s="213" t="s">
        <v>533</v>
      </c>
      <c r="F847" s="213" t="s">
        <v>534</v>
      </c>
      <c r="G847" s="213" t="s">
        <v>367</v>
      </c>
      <c r="H847" s="213" t="s">
        <v>535</v>
      </c>
      <c r="I847" s="213"/>
      <c r="J847" s="213" t="s">
        <v>536</v>
      </c>
      <c r="K847" s="213" t="s">
        <v>382</v>
      </c>
      <c r="L847" s="213"/>
      <c r="M847" s="213"/>
      <c r="N847" s="213"/>
      <c r="O847" s="213"/>
      <c r="P847" s="213"/>
      <c r="Q847" s="213"/>
      <c r="R847" s="213"/>
      <c r="S847" s="213" t="s">
        <v>550</v>
      </c>
      <c r="T847" s="213"/>
      <c r="U847" s="213" t="s">
        <v>538</v>
      </c>
      <c r="V847" s="213">
        <v>1</v>
      </c>
      <c r="W847" s="213" t="s">
        <v>545</v>
      </c>
      <c r="X847" s="213" t="s">
        <v>549</v>
      </c>
      <c r="Y847" s="213" t="s">
        <v>540</v>
      </c>
      <c r="Z847" s="212">
        <v>16629</v>
      </c>
      <c r="AA847" s="212">
        <v>1568716</v>
      </c>
      <c r="AB847" s="217">
        <v>2.6141670000000001</v>
      </c>
      <c r="AC847" s="217">
        <v>4.2071019999999999</v>
      </c>
      <c r="AD847" s="212">
        <f t="shared" si="13"/>
        <v>4100885.5995720001</v>
      </c>
    </row>
    <row r="848" spans="2:30" x14ac:dyDescent="0.15">
      <c r="B848" s="213">
        <v>17043002574</v>
      </c>
      <c r="C848" s="213">
        <v>17999020738</v>
      </c>
      <c r="D848" s="213">
        <v>17043000595</v>
      </c>
      <c r="E848" s="213" t="s">
        <v>533</v>
      </c>
      <c r="F848" s="213" t="s">
        <v>534</v>
      </c>
      <c r="G848" s="213" t="s">
        <v>367</v>
      </c>
      <c r="H848" s="213" t="s">
        <v>382</v>
      </c>
      <c r="I848" s="213"/>
      <c r="J848" s="213" t="s">
        <v>547</v>
      </c>
      <c r="K848" s="213"/>
      <c r="L848" s="213"/>
      <c r="M848" s="213"/>
      <c r="N848" s="213"/>
      <c r="O848" s="213"/>
      <c r="P848" s="213"/>
      <c r="Q848" s="213"/>
      <c r="R848" s="213"/>
      <c r="S848" s="213" t="s">
        <v>583</v>
      </c>
      <c r="T848" s="213"/>
      <c r="U848" s="213" t="s">
        <v>538</v>
      </c>
      <c r="V848" s="213">
        <v>3</v>
      </c>
      <c r="W848" s="213" t="s">
        <v>588</v>
      </c>
      <c r="X848" s="213" t="s">
        <v>549</v>
      </c>
      <c r="Y848" s="213" t="s">
        <v>575</v>
      </c>
      <c r="Z848" s="212">
        <v>1961215</v>
      </c>
      <c r="AA848" s="212">
        <v>73807914</v>
      </c>
      <c r="AB848" s="217">
        <v>0.922265</v>
      </c>
      <c r="AC848" s="217">
        <v>1.484245</v>
      </c>
      <c r="AD848" s="212">
        <f t="shared" si="13"/>
        <v>68070455.805209994</v>
      </c>
    </row>
    <row r="849" spans="2:30" x14ac:dyDescent="0.15">
      <c r="B849" s="213">
        <v>17043002581</v>
      </c>
      <c r="C849" s="213">
        <v>17043000394</v>
      </c>
      <c r="D849" s="213">
        <v>17999020037</v>
      </c>
      <c r="E849" s="213" t="s">
        <v>533</v>
      </c>
      <c r="F849" s="213" t="s">
        <v>534</v>
      </c>
      <c r="G849" s="213" t="s">
        <v>367</v>
      </c>
      <c r="H849" s="213" t="s">
        <v>535</v>
      </c>
      <c r="I849" s="213"/>
      <c r="J849" s="213"/>
      <c r="K849" s="213"/>
      <c r="L849" s="213"/>
      <c r="M849" s="213"/>
      <c r="N849" s="213"/>
      <c r="O849" s="213"/>
      <c r="P849" s="213"/>
      <c r="Q849" s="213"/>
      <c r="R849" s="213"/>
      <c r="S849" s="213" t="s">
        <v>624</v>
      </c>
      <c r="T849" s="213"/>
      <c r="U849" s="213" t="s">
        <v>538</v>
      </c>
      <c r="V849" s="213">
        <v>1</v>
      </c>
      <c r="W849" s="213" t="s">
        <v>582</v>
      </c>
      <c r="X849" s="213" t="s">
        <v>549</v>
      </c>
      <c r="Y849" s="213" t="s">
        <v>554</v>
      </c>
      <c r="Z849" s="212">
        <v>40347</v>
      </c>
      <c r="AA849" s="212">
        <v>3848660</v>
      </c>
      <c r="AB849" s="217">
        <v>1.501315</v>
      </c>
      <c r="AC849" s="217">
        <v>2.416137</v>
      </c>
      <c r="AD849" s="212">
        <f t="shared" si="13"/>
        <v>5778050.9879000001</v>
      </c>
    </row>
    <row r="850" spans="2:30" x14ac:dyDescent="0.15">
      <c r="B850" s="213">
        <v>17043002588</v>
      </c>
      <c r="C850" s="213">
        <v>17043000431</v>
      </c>
      <c r="D850" s="213">
        <v>17043000394</v>
      </c>
      <c r="E850" s="213" t="s">
        <v>533</v>
      </c>
      <c r="F850" s="213" t="s">
        <v>534</v>
      </c>
      <c r="G850" s="213" t="s">
        <v>367</v>
      </c>
      <c r="H850" s="213" t="s">
        <v>535</v>
      </c>
      <c r="I850" s="213"/>
      <c r="J850" s="213"/>
      <c r="K850" s="213"/>
      <c r="L850" s="213"/>
      <c r="M850" s="213"/>
      <c r="N850" s="213"/>
      <c r="O850" s="213"/>
      <c r="P850" s="213"/>
      <c r="Q850" s="213"/>
      <c r="R850" s="213"/>
      <c r="S850" s="213" t="s">
        <v>624</v>
      </c>
      <c r="T850" s="213"/>
      <c r="U850" s="213" t="s">
        <v>538</v>
      </c>
      <c r="V850" s="213">
        <v>1</v>
      </c>
      <c r="W850" s="213" t="s">
        <v>582</v>
      </c>
      <c r="X850" s="213" t="s">
        <v>540</v>
      </c>
      <c r="Y850" s="213" t="s">
        <v>554</v>
      </c>
      <c r="Z850" s="212">
        <v>40</v>
      </c>
      <c r="AA850" s="212">
        <v>2400</v>
      </c>
      <c r="AB850" s="217">
        <v>6.4217259999999996</v>
      </c>
      <c r="AC850" s="217">
        <v>10.334785999999999</v>
      </c>
      <c r="AD850" s="212">
        <f t="shared" si="13"/>
        <v>15412.142399999999</v>
      </c>
    </row>
    <row r="851" spans="2:30" x14ac:dyDescent="0.15">
      <c r="B851" s="213">
        <v>17043002989</v>
      </c>
      <c r="C851" s="213">
        <v>17043004895</v>
      </c>
      <c r="D851" s="213">
        <v>17043007285</v>
      </c>
      <c r="E851" s="213" t="s">
        <v>533</v>
      </c>
      <c r="F851" s="213" t="s">
        <v>534</v>
      </c>
      <c r="G851" s="213" t="s">
        <v>367</v>
      </c>
      <c r="H851" s="213" t="s">
        <v>535</v>
      </c>
      <c r="I851" s="213"/>
      <c r="J851" s="213" t="s">
        <v>536</v>
      </c>
      <c r="K851" s="213" t="s">
        <v>382</v>
      </c>
      <c r="L851" s="213"/>
      <c r="M851" s="213"/>
      <c r="N851" s="213"/>
      <c r="O851" s="213"/>
      <c r="P851" s="213"/>
      <c r="Q851" s="213"/>
      <c r="R851" s="213"/>
      <c r="S851" s="213" t="s">
        <v>550</v>
      </c>
      <c r="T851" s="213"/>
      <c r="U851" s="213" t="s">
        <v>538</v>
      </c>
      <c r="V851" s="213">
        <v>1</v>
      </c>
      <c r="W851" s="213" t="s">
        <v>545</v>
      </c>
      <c r="X851" s="213" t="s">
        <v>549</v>
      </c>
      <c r="Y851" s="213" t="s">
        <v>540</v>
      </c>
      <c r="Z851" s="212">
        <v>63523</v>
      </c>
      <c r="AA851" s="212">
        <v>7173724</v>
      </c>
      <c r="AB851" s="217">
        <v>3.6689449999999999</v>
      </c>
      <c r="AC851" s="217">
        <v>5.9046070000000004</v>
      </c>
      <c r="AD851" s="212">
        <f t="shared" si="13"/>
        <v>26319998.801179998</v>
      </c>
    </row>
    <row r="852" spans="2:30" x14ac:dyDescent="0.15">
      <c r="B852" s="213">
        <v>17043003108</v>
      </c>
      <c r="C852" s="213">
        <v>17999020140</v>
      </c>
      <c r="D852" s="213">
        <v>17043004634</v>
      </c>
      <c r="E852" s="213" t="s">
        <v>533</v>
      </c>
      <c r="F852" s="213" t="s">
        <v>534</v>
      </c>
      <c r="G852" s="213" t="s">
        <v>367</v>
      </c>
      <c r="H852" s="213" t="s">
        <v>552</v>
      </c>
      <c r="I852" s="213"/>
      <c r="J852" s="213" t="s">
        <v>551</v>
      </c>
      <c r="K852" s="213" t="s">
        <v>547</v>
      </c>
      <c r="L852" s="213" t="s">
        <v>382</v>
      </c>
      <c r="M852" s="213" t="s">
        <v>563</v>
      </c>
      <c r="N852" s="213"/>
      <c r="O852" s="213"/>
      <c r="P852" s="213"/>
      <c r="Q852" s="213"/>
      <c r="R852" s="213"/>
      <c r="S852" s="213" t="s">
        <v>589</v>
      </c>
      <c r="T852" s="213" t="s">
        <v>632</v>
      </c>
      <c r="U852" s="213" t="s">
        <v>538</v>
      </c>
      <c r="V852" s="213">
        <v>2</v>
      </c>
      <c r="W852" s="213" t="s">
        <v>545</v>
      </c>
      <c r="X852" s="213" t="s">
        <v>549</v>
      </c>
      <c r="Y852" s="213" t="s">
        <v>549</v>
      </c>
      <c r="Z852" s="212">
        <v>505257</v>
      </c>
      <c r="AA852" s="212">
        <v>34220158</v>
      </c>
      <c r="AB852" s="217">
        <v>3.4305000000000002E-2</v>
      </c>
      <c r="AC852" s="217">
        <v>5.5209000000000001E-2</v>
      </c>
      <c r="AD852" s="212">
        <f t="shared" si="13"/>
        <v>1173922.5201900001</v>
      </c>
    </row>
    <row r="853" spans="2:30" x14ac:dyDescent="0.15">
      <c r="B853" s="213">
        <v>17043003278</v>
      </c>
      <c r="C853" s="213">
        <v>17043000935</v>
      </c>
      <c r="D853" s="213">
        <v>17043000913</v>
      </c>
      <c r="E853" s="213" t="s">
        <v>533</v>
      </c>
      <c r="F853" s="213" t="s">
        <v>534</v>
      </c>
      <c r="G853" s="213" t="s">
        <v>367</v>
      </c>
      <c r="H853" s="213" t="s">
        <v>535</v>
      </c>
      <c r="I853" s="213"/>
      <c r="J853" s="213" t="s">
        <v>536</v>
      </c>
      <c r="K853" s="213" t="s">
        <v>382</v>
      </c>
      <c r="L853" s="213"/>
      <c r="M853" s="213"/>
      <c r="N853" s="213"/>
      <c r="O853" s="213"/>
      <c r="P853" s="213"/>
      <c r="Q853" s="213"/>
      <c r="R853" s="213"/>
      <c r="S853" s="213" t="s">
        <v>550</v>
      </c>
      <c r="T853" s="213"/>
      <c r="U853" s="213" t="s">
        <v>538</v>
      </c>
      <c r="V853" s="213">
        <v>1</v>
      </c>
      <c r="W853" s="213" t="s">
        <v>560</v>
      </c>
      <c r="X853" s="213" t="s">
        <v>541</v>
      </c>
      <c r="Y853" s="213" t="s">
        <v>549</v>
      </c>
      <c r="Z853" s="212">
        <v>5320</v>
      </c>
      <c r="AA853" s="212">
        <v>438400</v>
      </c>
      <c r="AB853" s="217">
        <v>0.95493300000000003</v>
      </c>
      <c r="AC853" s="217">
        <v>1.536818</v>
      </c>
      <c r="AD853" s="212">
        <f t="shared" si="13"/>
        <v>418642.62719999999</v>
      </c>
    </row>
    <row r="854" spans="2:30" x14ac:dyDescent="0.15">
      <c r="B854" s="213">
        <v>17043003330</v>
      </c>
      <c r="C854" s="213">
        <v>17043000935</v>
      </c>
      <c r="D854" s="213">
        <v>17043000939</v>
      </c>
      <c r="E854" s="213" t="s">
        <v>533</v>
      </c>
      <c r="F854" s="213" t="s">
        <v>534</v>
      </c>
      <c r="G854" s="213" t="s">
        <v>367</v>
      </c>
      <c r="H854" s="213" t="s">
        <v>381</v>
      </c>
      <c r="I854" s="213"/>
      <c r="J854" s="213" t="s">
        <v>542</v>
      </c>
      <c r="K854" s="213" t="s">
        <v>535</v>
      </c>
      <c r="L854" s="213" t="s">
        <v>547</v>
      </c>
      <c r="M854" s="213" t="s">
        <v>382</v>
      </c>
      <c r="N854" s="213" t="s">
        <v>536</v>
      </c>
      <c r="O854" s="213"/>
      <c r="P854" s="213"/>
      <c r="Q854" s="213"/>
      <c r="R854" s="213"/>
      <c r="S854" s="213" t="s">
        <v>579</v>
      </c>
      <c r="T854" s="213"/>
      <c r="U854" s="213" t="s">
        <v>538</v>
      </c>
      <c r="V854" s="213">
        <v>3</v>
      </c>
      <c r="W854" s="213" t="s">
        <v>545</v>
      </c>
      <c r="X854" s="213" t="s">
        <v>549</v>
      </c>
      <c r="Y854" s="213" t="s">
        <v>580</v>
      </c>
      <c r="Z854" s="212">
        <v>2794398</v>
      </c>
      <c r="AA854" s="212">
        <v>85230304</v>
      </c>
      <c r="AB854" s="217">
        <v>0.24288899999999999</v>
      </c>
      <c r="AC854" s="217">
        <v>0.39089200000000002</v>
      </c>
      <c r="AD854" s="212">
        <f t="shared" si="13"/>
        <v>20701503.308256</v>
      </c>
    </row>
    <row r="855" spans="2:30" x14ac:dyDescent="0.15">
      <c r="B855" s="213">
        <v>17043003500</v>
      </c>
      <c r="C855" s="213">
        <v>17043000391</v>
      </c>
      <c r="D855" s="213">
        <v>17999019985</v>
      </c>
      <c r="E855" s="213" t="s">
        <v>533</v>
      </c>
      <c r="F855" s="213" t="s">
        <v>534</v>
      </c>
      <c r="G855" s="213" t="s">
        <v>367</v>
      </c>
      <c r="H855" s="213" t="s">
        <v>535</v>
      </c>
      <c r="I855" s="213"/>
      <c r="J855" s="213" t="s">
        <v>382</v>
      </c>
      <c r="K855" s="213" t="s">
        <v>536</v>
      </c>
      <c r="L855" s="213"/>
      <c r="M855" s="213"/>
      <c r="N855" s="213"/>
      <c r="O855" s="213"/>
      <c r="P855" s="213"/>
      <c r="Q855" s="213"/>
      <c r="R855" s="213"/>
      <c r="S855" s="213" t="s">
        <v>550</v>
      </c>
      <c r="T855" s="213"/>
      <c r="U855" s="213" t="s">
        <v>538</v>
      </c>
      <c r="V855" s="213">
        <v>1</v>
      </c>
      <c r="W855" s="213" t="s">
        <v>545</v>
      </c>
      <c r="X855" s="213" t="s">
        <v>549</v>
      </c>
      <c r="Y855" s="213" t="s">
        <v>540</v>
      </c>
      <c r="Z855" s="212">
        <v>30222</v>
      </c>
      <c r="AA855" s="212">
        <v>2834112</v>
      </c>
      <c r="AB855" s="217">
        <v>0.94401000000000002</v>
      </c>
      <c r="AC855" s="217">
        <v>1.5192399999999999</v>
      </c>
      <c r="AD855" s="212">
        <f t="shared" si="13"/>
        <v>2675430.0691200001</v>
      </c>
    </row>
    <row r="856" spans="2:30" x14ac:dyDescent="0.15">
      <c r="B856" s="213">
        <v>17043003525</v>
      </c>
      <c r="C856" s="213">
        <v>17043000368</v>
      </c>
      <c r="D856" s="213">
        <v>17999019959</v>
      </c>
      <c r="E856" s="213" t="s">
        <v>533</v>
      </c>
      <c r="F856" s="213" t="s">
        <v>534</v>
      </c>
      <c r="G856" s="213" t="s">
        <v>367</v>
      </c>
      <c r="H856" s="213" t="s">
        <v>552</v>
      </c>
      <c r="I856" s="213"/>
      <c r="J856" s="213"/>
      <c r="K856" s="213"/>
      <c r="L856" s="213"/>
      <c r="M856" s="213"/>
      <c r="N856" s="213"/>
      <c r="O856" s="213"/>
      <c r="P856" s="213"/>
      <c r="Q856" s="213"/>
      <c r="R856" s="213"/>
      <c r="S856" s="213"/>
      <c r="T856" s="213"/>
      <c r="U856" s="213" t="s">
        <v>559</v>
      </c>
      <c r="V856" s="213">
        <v>1</v>
      </c>
      <c r="W856" s="213" t="s">
        <v>560</v>
      </c>
      <c r="X856" s="213" t="s">
        <v>541</v>
      </c>
      <c r="Y856" s="213" t="s">
        <v>541</v>
      </c>
      <c r="Z856" s="212">
        <v>0</v>
      </c>
      <c r="AA856" s="212">
        <v>0</v>
      </c>
      <c r="AB856" s="217">
        <v>0.33514699999999997</v>
      </c>
      <c r="AC856" s="217">
        <v>0.53936899999999999</v>
      </c>
      <c r="AD856" s="212">
        <f t="shared" si="13"/>
        <v>0</v>
      </c>
    </row>
    <row r="857" spans="2:30" x14ac:dyDescent="0.15">
      <c r="B857" s="213">
        <v>17043003967</v>
      </c>
      <c r="C857" s="213">
        <v>17043004889</v>
      </c>
      <c r="D857" s="213">
        <v>17043000928</v>
      </c>
      <c r="E857" s="213" t="s">
        <v>533</v>
      </c>
      <c r="F857" s="213" t="s">
        <v>534</v>
      </c>
      <c r="G857" s="213" t="s">
        <v>367</v>
      </c>
      <c r="H857" s="213" t="s">
        <v>381</v>
      </c>
      <c r="I857" s="213"/>
      <c r="J857" s="213" t="s">
        <v>542</v>
      </c>
      <c r="K857" s="213" t="s">
        <v>547</v>
      </c>
      <c r="L857" s="213" t="s">
        <v>382</v>
      </c>
      <c r="M857" s="213"/>
      <c r="N857" s="213"/>
      <c r="O857" s="213"/>
      <c r="P857" s="213"/>
      <c r="Q857" s="213"/>
      <c r="R857" s="213"/>
      <c r="S857" s="213" t="s">
        <v>579</v>
      </c>
      <c r="T857" s="213"/>
      <c r="U857" s="213" t="s">
        <v>538</v>
      </c>
      <c r="V857" s="213">
        <v>3</v>
      </c>
      <c r="W857" s="213" t="s">
        <v>545</v>
      </c>
      <c r="X857" s="213" t="s">
        <v>549</v>
      </c>
      <c r="Y857" s="213" t="s">
        <v>580</v>
      </c>
      <c r="Z857" s="212">
        <v>2794398</v>
      </c>
      <c r="AA857" s="212">
        <v>85230304</v>
      </c>
      <c r="AB857" s="217">
        <v>0.41630400000000001</v>
      </c>
      <c r="AC857" s="217">
        <v>0.66997700000000004</v>
      </c>
      <c r="AD857" s="212">
        <f t="shared" si="13"/>
        <v>35481716.476415999</v>
      </c>
    </row>
    <row r="858" spans="2:30" x14ac:dyDescent="0.15">
      <c r="B858" s="213">
        <v>17043004017</v>
      </c>
      <c r="C858" s="213">
        <v>17043004883</v>
      </c>
      <c r="D858" s="213">
        <v>17999021291</v>
      </c>
      <c r="E858" s="213" t="s">
        <v>533</v>
      </c>
      <c r="F858" s="213" t="s">
        <v>534</v>
      </c>
      <c r="G858" s="213" t="s">
        <v>367</v>
      </c>
      <c r="H858" s="213" t="s">
        <v>381</v>
      </c>
      <c r="I858" s="213"/>
      <c r="J858" s="213" t="s">
        <v>542</v>
      </c>
      <c r="K858" s="213" t="s">
        <v>547</v>
      </c>
      <c r="L858" s="213" t="s">
        <v>382</v>
      </c>
      <c r="M858" s="213"/>
      <c r="N858" s="213"/>
      <c r="O858" s="213"/>
      <c r="P858" s="213"/>
      <c r="Q858" s="213"/>
      <c r="R858" s="213"/>
      <c r="S858" s="213" t="s">
        <v>579</v>
      </c>
      <c r="T858" s="213"/>
      <c r="U858" s="213" t="s">
        <v>538</v>
      </c>
      <c r="V858" s="213">
        <v>3</v>
      </c>
      <c r="W858" s="213" t="s">
        <v>545</v>
      </c>
      <c r="X858" s="213" t="s">
        <v>549</v>
      </c>
      <c r="Y858" s="213" t="s">
        <v>580</v>
      </c>
      <c r="Z858" s="212">
        <v>2794758</v>
      </c>
      <c r="AA858" s="212">
        <v>85265824</v>
      </c>
      <c r="AB858" s="217">
        <v>5.1915999999999997E-2</v>
      </c>
      <c r="AC858" s="217">
        <v>8.3549999999999999E-2</v>
      </c>
      <c r="AD858" s="212">
        <f t="shared" si="13"/>
        <v>4426660.5187839996</v>
      </c>
    </row>
    <row r="859" spans="2:30" x14ac:dyDescent="0.15">
      <c r="B859" s="213">
        <v>17043004086</v>
      </c>
      <c r="C859" s="213">
        <v>17043007330</v>
      </c>
      <c r="D859" s="213">
        <v>17043000487</v>
      </c>
      <c r="E859" s="213" t="s">
        <v>533</v>
      </c>
      <c r="F859" s="213" t="s">
        <v>534</v>
      </c>
      <c r="G859" s="213" t="s">
        <v>367</v>
      </c>
      <c r="H859" s="213" t="s">
        <v>535</v>
      </c>
      <c r="I859" s="213"/>
      <c r="J859" s="213"/>
      <c r="K859" s="213"/>
      <c r="L859" s="213"/>
      <c r="M859" s="213"/>
      <c r="N859" s="213"/>
      <c r="O859" s="213"/>
      <c r="P859" s="213"/>
      <c r="Q859" s="213"/>
      <c r="R859" s="213"/>
      <c r="S859" s="213"/>
      <c r="T859" s="213"/>
      <c r="U859" s="213" t="s">
        <v>559</v>
      </c>
      <c r="V859" s="213">
        <v>1</v>
      </c>
      <c r="W859" s="213" t="s">
        <v>560</v>
      </c>
      <c r="X859" s="213" t="s">
        <v>541</v>
      </c>
      <c r="Y859" s="213" t="s">
        <v>541</v>
      </c>
      <c r="Z859" s="212">
        <v>0</v>
      </c>
      <c r="AA859" s="212">
        <v>0</v>
      </c>
      <c r="AB859" s="217">
        <v>0.32865699999999998</v>
      </c>
      <c r="AC859" s="217">
        <v>0.52892300000000003</v>
      </c>
      <c r="AD859" s="212">
        <f t="shared" si="13"/>
        <v>0</v>
      </c>
    </row>
    <row r="860" spans="2:30" x14ac:dyDescent="0.15">
      <c r="B860" s="213">
        <v>17043004087</v>
      </c>
      <c r="C860" s="213">
        <v>17043004781</v>
      </c>
      <c r="D860" s="213">
        <v>17043000588</v>
      </c>
      <c r="E860" s="213" t="s">
        <v>533</v>
      </c>
      <c r="F860" s="213" t="s">
        <v>534</v>
      </c>
      <c r="G860" s="213" t="s">
        <v>367</v>
      </c>
      <c r="H860" s="213" t="s">
        <v>382</v>
      </c>
      <c r="I860" s="213"/>
      <c r="J860" s="213"/>
      <c r="K860" s="213"/>
      <c r="L860" s="213"/>
      <c r="M860" s="213"/>
      <c r="N860" s="213"/>
      <c r="O860" s="213"/>
      <c r="P860" s="213"/>
      <c r="Q860" s="213"/>
      <c r="R860" s="213"/>
      <c r="S860" s="213" t="s">
        <v>561</v>
      </c>
      <c r="T860" s="213"/>
      <c r="U860" s="213" t="s">
        <v>538</v>
      </c>
      <c r="V860" s="213">
        <v>1</v>
      </c>
      <c r="W860" s="213" t="s">
        <v>562</v>
      </c>
      <c r="X860" s="213" t="s">
        <v>540</v>
      </c>
      <c r="Y860" s="213" t="s">
        <v>541</v>
      </c>
      <c r="Z860" s="212">
        <v>26584</v>
      </c>
      <c r="AA860" s="212">
        <v>636580</v>
      </c>
      <c r="AB860" s="217">
        <v>0.32693899999999998</v>
      </c>
      <c r="AC860" s="217">
        <v>0.52615900000000004</v>
      </c>
      <c r="AD860" s="212">
        <f t="shared" si="13"/>
        <v>208122.82861999999</v>
      </c>
    </row>
    <row r="861" spans="2:30" x14ac:dyDescent="0.15">
      <c r="B861" s="213">
        <v>17043004194</v>
      </c>
      <c r="C861" s="213">
        <v>17043004891</v>
      </c>
      <c r="D861" s="213">
        <v>17043000980</v>
      </c>
      <c r="E861" s="213" t="s">
        <v>533</v>
      </c>
      <c r="F861" s="213" t="s">
        <v>534</v>
      </c>
      <c r="G861" s="213" t="s">
        <v>367</v>
      </c>
      <c r="H861" s="213" t="s">
        <v>535</v>
      </c>
      <c r="I861" s="213"/>
      <c r="J861" s="213" t="s">
        <v>536</v>
      </c>
      <c r="K861" s="213" t="s">
        <v>382</v>
      </c>
      <c r="L861" s="213"/>
      <c r="M861" s="213"/>
      <c r="N861" s="213"/>
      <c r="O861" s="213"/>
      <c r="P861" s="213"/>
      <c r="Q861" s="213"/>
      <c r="R861" s="213"/>
      <c r="S861" s="213"/>
      <c r="T861" s="213"/>
      <c r="U861" s="213" t="s">
        <v>538</v>
      </c>
      <c r="V861" s="213">
        <v>1</v>
      </c>
      <c r="W861" s="213" t="s">
        <v>560</v>
      </c>
      <c r="X861" s="213" t="s">
        <v>541</v>
      </c>
      <c r="Y861" s="213" t="s">
        <v>541</v>
      </c>
      <c r="Z861" s="212">
        <v>0</v>
      </c>
      <c r="AA861" s="212">
        <v>0</v>
      </c>
      <c r="AB861" s="217">
        <v>0.74536500000000006</v>
      </c>
      <c r="AC861" s="217">
        <v>1.1995499999999999</v>
      </c>
      <c r="AD861" s="212">
        <f t="shared" si="13"/>
        <v>0</v>
      </c>
    </row>
    <row r="862" spans="2:30" x14ac:dyDescent="0.15">
      <c r="B862" s="213">
        <v>17043005749</v>
      </c>
      <c r="C862" s="213">
        <v>17043006563</v>
      </c>
      <c r="D862" s="213">
        <v>17043000586</v>
      </c>
      <c r="E862" s="213" t="s">
        <v>533</v>
      </c>
      <c r="F862" s="213" t="s">
        <v>534</v>
      </c>
      <c r="G862" s="213" t="s">
        <v>367</v>
      </c>
      <c r="H862" s="213" t="s">
        <v>382</v>
      </c>
      <c r="I862" s="213"/>
      <c r="J862" s="213"/>
      <c r="K862" s="213"/>
      <c r="L862" s="213"/>
      <c r="M862" s="213"/>
      <c r="N862" s="213"/>
      <c r="O862" s="213"/>
      <c r="P862" s="213"/>
      <c r="Q862" s="213"/>
      <c r="R862" s="213"/>
      <c r="S862" s="213" t="s">
        <v>635</v>
      </c>
      <c r="T862" s="213" t="s">
        <v>587</v>
      </c>
      <c r="U862" s="213" t="s">
        <v>559</v>
      </c>
      <c r="V862" s="213">
        <v>1</v>
      </c>
      <c r="W862" s="213" t="s">
        <v>560</v>
      </c>
      <c r="X862" s="213" t="s">
        <v>541</v>
      </c>
      <c r="Y862" s="213" t="s">
        <v>541</v>
      </c>
      <c r="Z862" s="212">
        <v>0</v>
      </c>
      <c r="AA862" s="212">
        <v>0</v>
      </c>
      <c r="AB862" s="217">
        <v>0.44726199999999999</v>
      </c>
      <c r="AC862" s="217">
        <v>0.71979899999999997</v>
      </c>
      <c r="AD862" s="212">
        <f t="shared" si="13"/>
        <v>0</v>
      </c>
    </row>
    <row r="863" spans="2:30" x14ac:dyDescent="0.15">
      <c r="B863" s="213">
        <v>17043005751</v>
      </c>
      <c r="C863" s="213">
        <v>17043007333</v>
      </c>
      <c r="D863" s="213">
        <v>17043000508</v>
      </c>
      <c r="E863" s="213" t="s">
        <v>533</v>
      </c>
      <c r="F863" s="213" t="s">
        <v>534</v>
      </c>
      <c r="G863" s="213" t="s">
        <v>367</v>
      </c>
      <c r="H863" s="213" t="s">
        <v>535</v>
      </c>
      <c r="I863" s="213"/>
      <c r="J863" s="213"/>
      <c r="K863" s="213"/>
      <c r="L863" s="213"/>
      <c r="M863" s="213"/>
      <c r="N863" s="213"/>
      <c r="O863" s="213"/>
      <c r="P863" s="213"/>
      <c r="Q863" s="213"/>
      <c r="R863" s="213"/>
      <c r="S863" s="213"/>
      <c r="T863" s="213"/>
      <c r="U863" s="213" t="s">
        <v>559</v>
      </c>
      <c r="V863" s="213">
        <v>1</v>
      </c>
      <c r="W863" s="213" t="s">
        <v>560</v>
      </c>
      <c r="X863" s="213" t="s">
        <v>541</v>
      </c>
      <c r="Y863" s="213" t="s">
        <v>541</v>
      </c>
      <c r="Z863" s="212">
        <v>0</v>
      </c>
      <c r="AA863" s="212">
        <v>0</v>
      </c>
      <c r="AB863" s="217">
        <v>0.49382399999999999</v>
      </c>
      <c r="AC863" s="217">
        <v>0.79473400000000005</v>
      </c>
      <c r="AD863" s="212">
        <f t="shared" si="13"/>
        <v>0</v>
      </c>
    </row>
    <row r="864" spans="2:30" x14ac:dyDescent="0.15">
      <c r="B864" s="213">
        <v>17043005762</v>
      </c>
      <c r="C864" s="213">
        <v>17043000387</v>
      </c>
      <c r="D864" s="213">
        <v>17043008299</v>
      </c>
      <c r="E864" s="213" t="s">
        <v>533</v>
      </c>
      <c r="F864" s="213" t="s">
        <v>534</v>
      </c>
      <c r="G864" s="213" t="s">
        <v>367</v>
      </c>
      <c r="H864" s="213" t="s">
        <v>638</v>
      </c>
      <c r="I864" s="213"/>
      <c r="J864" s="213"/>
      <c r="K864" s="213"/>
      <c r="L864" s="213"/>
      <c r="M864" s="213"/>
      <c r="N864" s="213"/>
      <c r="O864" s="213"/>
      <c r="P864" s="213"/>
      <c r="Q864" s="213"/>
      <c r="R864" s="213"/>
      <c r="S864" s="213"/>
      <c r="T864" s="213"/>
      <c r="U864" s="213" t="s">
        <v>559</v>
      </c>
      <c r="V864" s="213">
        <v>1</v>
      </c>
      <c r="W864" s="213" t="s">
        <v>560</v>
      </c>
      <c r="X864" s="213" t="s">
        <v>541</v>
      </c>
      <c r="Y864" s="213" t="s">
        <v>541</v>
      </c>
      <c r="Z864" s="212">
        <v>0</v>
      </c>
      <c r="AA864" s="212">
        <v>0</v>
      </c>
      <c r="AB864" s="217">
        <v>3.9412999999999997E-2</v>
      </c>
      <c r="AC864" s="217">
        <v>6.343E-2</v>
      </c>
      <c r="AD864" s="212">
        <f t="shared" si="13"/>
        <v>0</v>
      </c>
    </row>
    <row r="865" spans="2:30" x14ac:dyDescent="0.15">
      <c r="B865" s="213">
        <v>17043005910</v>
      </c>
      <c r="C865" s="213">
        <v>17043000389</v>
      </c>
      <c r="D865" s="213">
        <v>17043008299</v>
      </c>
      <c r="E865" s="213" t="s">
        <v>533</v>
      </c>
      <c r="F865" s="213" t="s">
        <v>534</v>
      </c>
      <c r="G865" s="213" t="s">
        <v>367</v>
      </c>
      <c r="H865" s="213" t="s">
        <v>638</v>
      </c>
      <c r="I865" s="213"/>
      <c r="J865" s="213"/>
      <c r="K865" s="213"/>
      <c r="L865" s="213"/>
      <c r="M865" s="213"/>
      <c r="N865" s="213"/>
      <c r="O865" s="213"/>
      <c r="P865" s="213"/>
      <c r="Q865" s="213"/>
      <c r="R865" s="213"/>
      <c r="S865" s="213"/>
      <c r="T865" s="213"/>
      <c r="U865" s="213" t="s">
        <v>559</v>
      </c>
      <c r="V865" s="213">
        <v>1</v>
      </c>
      <c r="W865" s="213" t="s">
        <v>560</v>
      </c>
      <c r="X865" s="213" t="s">
        <v>541</v>
      </c>
      <c r="Y865" s="213" t="s">
        <v>541</v>
      </c>
      <c r="Z865" s="212">
        <v>0</v>
      </c>
      <c r="AA865" s="212">
        <v>0</v>
      </c>
      <c r="AB865" s="217">
        <v>0.50456100000000004</v>
      </c>
      <c r="AC865" s="217">
        <v>0.81201299999999998</v>
      </c>
      <c r="AD865" s="212">
        <f t="shared" si="13"/>
        <v>0</v>
      </c>
    </row>
    <row r="866" spans="2:30" x14ac:dyDescent="0.15">
      <c r="B866" s="213">
        <v>17043006290</v>
      </c>
      <c r="C866" s="213">
        <v>17043000592</v>
      </c>
      <c r="D866" s="213">
        <v>17043000588</v>
      </c>
      <c r="E866" s="213" t="s">
        <v>533</v>
      </c>
      <c r="F866" s="213" t="s">
        <v>534</v>
      </c>
      <c r="G866" s="213" t="s">
        <v>367</v>
      </c>
      <c r="H866" s="213" t="s">
        <v>382</v>
      </c>
      <c r="I866" s="213"/>
      <c r="J866" s="213"/>
      <c r="K866" s="213"/>
      <c r="L866" s="213"/>
      <c r="M866" s="213"/>
      <c r="N866" s="213"/>
      <c r="O866" s="213"/>
      <c r="P866" s="213"/>
      <c r="Q866" s="213"/>
      <c r="R866" s="213"/>
      <c r="S866" s="213" t="s">
        <v>635</v>
      </c>
      <c r="T866" s="213" t="s">
        <v>587</v>
      </c>
      <c r="U866" s="213" t="s">
        <v>559</v>
      </c>
      <c r="V866" s="213">
        <v>1</v>
      </c>
      <c r="W866" s="213" t="s">
        <v>560</v>
      </c>
      <c r="X866" s="213" t="s">
        <v>541</v>
      </c>
      <c r="Y866" s="213" t="s">
        <v>541</v>
      </c>
      <c r="Z866" s="212">
        <v>46894</v>
      </c>
      <c r="AA866" s="212">
        <v>5608448</v>
      </c>
      <c r="AB866" s="217">
        <v>0.32208599999999998</v>
      </c>
      <c r="AC866" s="217">
        <v>0.51834899999999995</v>
      </c>
      <c r="AD866" s="212">
        <f t="shared" si="13"/>
        <v>1806402.582528</v>
      </c>
    </row>
    <row r="867" spans="2:30" x14ac:dyDescent="0.15">
      <c r="B867" s="213">
        <v>17043006291</v>
      </c>
      <c r="C867" s="213">
        <v>17043000586</v>
      </c>
      <c r="D867" s="213">
        <v>17043000592</v>
      </c>
      <c r="E867" s="213" t="s">
        <v>533</v>
      </c>
      <c r="F867" s="213" t="s">
        <v>534</v>
      </c>
      <c r="G867" s="213" t="s">
        <v>367</v>
      </c>
      <c r="H867" s="213" t="s">
        <v>382</v>
      </c>
      <c r="I867" s="213"/>
      <c r="J867" s="213"/>
      <c r="K867" s="213"/>
      <c r="L867" s="213"/>
      <c r="M867" s="213"/>
      <c r="N867" s="213"/>
      <c r="O867" s="213"/>
      <c r="P867" s="213"/>
      <c r="Q867" s="213"/>
      <c r="R867" s="213"/>
      <c r="S867" s="213" t="s">
        <v>635</v>
      </c>
      <c r="T867" s="213" t="s">
        <v>587</v>
      </c>
      <c r="U867" s="213" t="s">
        <v>559</v>
      </c>
      <c r="V867" s="213">
        <v>1</v>
      </c>
      <c r="W867" s="213" t="s">
        <v>560</v>
      </c>
      <c r="X867" s="213" t="s">
        <v>541</v>
      </c>
      <c r="Y867" s="213" t="s">
        <v>541</v>
      </c>
      <c r="Z867" s="212">
        <v>0</v>
      </c>
      <c r="AA867" s="212">
        <v>0</v>
      </c>
      <c r="AB867" s="217">
        <v>3.3617000000000001E-2</v>
      </c>
      <c r="AC867" s="217">
        <v>5.4101999999999997E-2</v>
      </c>
      <c r="AD867" s="212">
        <f t="shared" si="13"/>
        <v>0</v>
      </c>
    </row>
    <row r="868" spans="2:30" x14ac:dyDescent="0.15">
      <c r="B868" s="213">
        <v>17043006345</v>
      </c>
      <c r="C868" s="213">
        <v>17999019973</v>
      </c>
      <c r="D868" s="213">
        <v>17043000366</v>
      </c>
      <c r="E868" s="213" t="s">
        <v>533</v>
      </c>
      <c r="F868" s="213" t="s">
        <v>534</v>
      </c>
      <c r="G868" s="213" t="s">
        <v>367</v>
      </c>
      <c r="H868" s="213" t="s">
        <v>552</v>
      </c>
      <c r="I868" s="213"/>
      <c r="J868" s="213" t="s">
        <v>547</v>
      </c>
      <c r="K868" s="213"/>
      <c r="L868" s="213"/>
      <c r="M868" s="213"/>
      <c r="N868" s="213"/>
      <c r="O868" s="213"/>
      <c r="P868" s="213"/>
      <c r="Q868" s="213"/>
      <c r="R868" s="213"/>
      <c r="S868" s="213" t="s">
        <v>589</v>
      </c>
      <c r="T868" s="213"/>
      <c r="U868" s="213" t="s">
        <v>538</v>
      </c>
      <c r="V868" s="213">
        <v>2</v>
      </c>
      <c r="W868" s="213" t="s">
        <v>545</v>
      </c>
      <c r="X868" s="213" t="s">
        <v>549</v>
      </c>
      <c r="Y868" s="213" t="s">
        <v>540</v>
      </c>
      <c r="Z868" s="212">
        <v>62931</v>
      </c>
      <c r="AA868" s="212">
        <v>6634428</v>
      </c>
      <c r="AB868" s="217">
        <v>0.95486300000000002</v>
      </c>
      <c r="AC868" s="217">
        <v>1.5367059999999999</v>
      </c>
      <c r="AD868" s="212">
        <f t="shared" si="13"/>
        <v>6334969.8233639998</v>
      </c>
    </row>
    <row r="869" spans="2:30" x14ac:dyDescent="0.15">
      <c r="B869" s="213">
        <v>17043006533</v>
      </c>
      <c r="C869" s="213">
        <v>17043000588</v>
      </c>
      <c r="D869" s="213">
        <v>17043000591</v>
      </c>
      <c r="E869" s="213" t="s">
        <v>533</v>
      </c>
      <c r="F869" s="213" t="s">
        <v>534</v>
      </c>
      <c r="G869" s="213" t="s">
        <v>367</v>
      </c>
      <c r="H869" s="213" t="s">
        <v>382</v>
      </c>
      <c r="I869" s="213"/>
      <c r="J869" s="213"/>
      <c r="K869" s="213"/>
      <c r="L869" s="213"/>
      <c r="M869" s="213"/>
      <c r="N869" s="213"/>
      <c r="O869" s="213"/>
      <c r="P869" s="213"/>
      <c r="Q869" s="213"/>
      <c r="R869" s="213"/>
      <c r="S869" s="213" t="s">
        <v>561</v>
      </c>
      <c r="T869" s="213" t="s">
        <v>587</v>
      </c>
      <c r="U869" s="213" t="s">
        <v>538</v>
      </c>
      <c r="V869" s="213">
        <v>1</v>
      </c>
      <c r="W869" s="213" t="s">
        <v>562</v>
      </c>
      <c r="X869" s="213" t="s">
        <v>540</v>
      </c>
      <c r="Y869" s="213" t="s">
        <v>541</v>
      </c>
      <c r="Z869" s="212">
        <v>73478</v>
      </c>
      <c r="AA869" s="212">
        <v>6245028</v>
      </c>
      <c r="AB869" s="217">
        <v>8.0825999999999995E-2</v>
      </c>
      <c r="AC869" s="217">
        <v>0.130077</v>
      </c>
      <c r="AD869" s="212">
        <f t="shared" si="13"/>
        <v>504760.63312799996</v>
      </c>
    </row>
    <row r="870" spans="2:30" x14ac:dyDescent="0.15">
      <c r="B870" s="213">
        <v>17043006535</v>
      </c>
      <c r="C870" s="213">
        <v>17043006561</v>
      </c>
      <c r="D870" s="213">
        <v>17043004780</v>
      </c>
      <c r="E870" s="213" t="s">
        <v>533</v>
      </c>
      <c r="F870" s="213" t="s">
        <v>534</v>
      </c>
      <c r="G870" s="213" t="s">
        <v>367</v>
      </c>
      <c r="H870" s="213" t="s">
        <v>382</v>
      </c>
      <c r="I870" s="213"/>
      <c r="J870" s="213"/>
      <c r="K870" s="213"/>
      <c r="L870" s="213"/>
      <c r="M870" s="213"/>
      <c r="N870" s="213"/>
      <c r="O870" s="213"/>
      <c r="P870" s="213"/>
      <c r="Q870" s="213"/>
      <c r="R870" s="213"/>
      <c r="S870" s="213"/>
      <c r="T870" s="213"/>
      <c r="U870" s="213" t="s">
        <v>559</v>
      </c>
      <c r="V870" s="213">
        <v>1</v>
      </c>
      <c r="W870" s="213" t="s">
        <v>560</v>
      </c>
      <c r="X870" s="213" t="s">
        <v>541</v>
      </c>
      <c r="Y870" s="213" t="s">
        <v>541</v>
      </c>
      <c r="Z870" s="212">
        <v>0</v>
      </c>
      <c r="AA870" s="212">
        <v>0</v>
      </c>
      <c r="AB870" s="217">
        <v>0.121878</v>
      </c>
      <c r="AC870" s="217">
        <v>0.19614400000000001</v>
      </c>
      <c r="AD870" s="212">
        <f t="shared" si="13"/>
        <v>0</v>
      </c>
    </row>
    <row r="871" spans="2:30" x14ac:dyDescent="0.15">
      <c r="B871" s="213">
        <v>17043006540</v>
      </c>
      <c r="C871" s="213">
        <v>17999022163</v>
      </c>
      <c r="D871" s="213">
        <v>17043004881</v>
      </c>
      <c r="E871" s="213" t="s">
        <v>533</v>
      </c>
      <c r="F871" s="213" t="s">
        <v>534</v>
      </c>
      <c r="G871" s="213" t="s">
        <v>367</v>
      </c>
      <c r="H871" s="213" t="s">
        <v>381</v>
      </c>
      <c r="I871" s="213"/>
      <c r="J871" s="213"/>
      <c r="K871" s="213"/>
      <c r="L871" s="213"/>
      <c r="M871" s="213"/>
      <c r="N871" s="213"/>
      <c r="O871" s="213"/>
      <c r="P871" s="213"/>
      <c r="Q871" s="213"/>
      <c r="R871" s="213"/>
      <c r="S871" s="213"/>
      <c r="T871" s="213"/>
      <c r="U871" s="213" t="s">
        <v>559</v>
      </c>
      <c r="V871" s="213">
        <v>1</v>
      </c>
      <c r="W871" s="213" t="s">
        <v>560</v>
      </c>
      <c r="X871" s="213" t="s">
        <v>541</v>
      </c>
      <c r="Y871" s="213" t="s">
        <v>541</v>
      </c>
      <c r="Z871" s="212">
        <v>0</v>
      </c>
      <c r="AA871" s="212">
        <v>0</v>
      </c>
      <c r="AB871" s="217">
        <v>0.64754900000000004</v>
      </c>
      <c r="AC871" s="217">
        <v>1.0421309999999999</v>
      </c>
      <c r="AD871" s="212">
        <f t="shared" si="13"/>
        <v>0</v>
      </c>
    </row>
    <row r="872" spans="2:30" x14ac:dyDescent="0.15">
      <c r="B872" s="213">
        <v>17043008192</v>
      </c>
      <c r="C872" s="213">
        <v>17043006564</v>
      </c>
      <c r="D872" s="213">
        <v>17043004780</v>
      </c>
      <c r="E872" s="213" t="s">
        <v>533</v>
      </c>
      <c r="F872" s="213" t="s">
        <v>534</v>
      </c>
      <c r="G872" s="213" t="s">
        <v>367</v>
      </c>
      <c r="H872" s="213" t="s">
        <v>382</v>
      </c>
      <c r="I872" s="213"/>
      <c r="J872" s="213"/>
      <c r="K872" s="213"/>
      <c r="L872" s="213"/>
      <c r="M872" s="213"/>
      <c r="N872" s="213"/>
      <c r="O872" s="213"/>
      <c r="P872" s="213"/>
      <c r="Q872" s="213"/>
      <c r="R872" s="213"/>
      <c r="S872" s="213" t="s">
        <v>653</v>
      </c>
      <c r="T872" s="213"/>
      <c r="U872" s="213" t="s">
        <v>559</v>
      </c>
      <c r="V872" s="213">
        <v>1</v>
      </c>
      <c r="W872" s="213" t="s">
        <v>560</v>
      </c>
      <c r="X872" s="213" t="s">
        <v>541</v>
      </c>
      <c r="Y872" s="213" t="s">
        <v>541</v>
      </c>
      <c r="Z872" s="212">
        <v>46894</v>
      </c>
      <c r="AA872" s="212">
        <v>5608448</v>
      </c>
      <c r="AB872" s="217">
        <v>3.5143000000000001E-2</v>
      </c>
      <c r="AC872" s="217">
        <v>5.6557000000000003E-2</v>
      </c>
      <c r="AD872" s="212">
        <f t="shared" si="13"/>
        <v>197097.68806400002</v>
      </c>
    </row>
    <row r="873" spans="2:30" x14ac:dyDescent="0.15">
      <c r="B873" s="213">
        <v>17043008201</v>
      </c>
      <c r="C873" s="213">
        <v>17043006568</v>
      </c>
      <c r="D873" s="213">
        <v>17043006569</v>
      </c>
      <c r="E873" s="213" t="s">
        <v>533</v>
      </c>
      <c r="F873" s="213" t="s">
        <v>534</v>
      </c>
      <c r="G873" s="213" t="s">
        <v>367</v>
      </c>
      <c r="H873" s="213" t="s">
        <v>382</v>
      </c>
      <c r="I873" s="213"/>
      <c r="J873" s="213"/>
      <c r="K873" s="213"/>
      <c r="L873" s="213"/>
      <c r="M873" s="213"/>
      <c r="N873" s="213"/>
      <c r="O873" s="213"/>
      <c r="P873" s="213"/>
      <c r="Q873" s="213"/>
      <c r="R873" s="213"/>
      <c r="S873" s="213" t="s">
        <v>635</v>
      </c>
      <c r="T873" s="213" t="s">
        <v>587</v>
      </c>
      <c r="U873" s="213" t="s">
        <v>559</v>
      </c>
      <c r="V873" s="213">
        <v>1</v>
      </c>
      <c r="W873" s="213" t="s">
        <v>560</v>
      </c>
      <c r="X873" s="213" t="s">
        <v>541</v>
      </c>
      <c r="Y873" s="213" t="s">
        <v>541</v>
      </c>
      <c r="Z873" s="212">
        <v>0</v>
      </c>
      <c r="AA873" s="212">
        <v>0</v>
      </c>
      <c r="AB873" s="217">
        <v>4.6547999999999999E-2</v>
      </c>
      <c r="AC873" s="217">
        <v>7.4912000000000006E-2</v>
      </c>
      <c r="AD873" s="212">
        <f t="shared" si="13"/>
        <v>0</v>
      </c>
    </row>
    <row r="874" spans="2:30" x14ac:dyDescent="0.15">
      <c r="B874" s="213">
        <v>17043009064</v>
      </c>
      <c r="C874" s="213">
        <v>17043000913</v>
      </c>
      <c r="D874" s="213">
        <v>17043007276</v>
      </c>
      <c r="E874" s="213" t="s">
        <v>533</v>
      </c>
      <c r="F874" s="213" t="s">
        <v>534</v>
      </c>
      <c r="G874" s="213" t="s">
        <v>367</v>
      </c>
      <c r="H874" s="213" t="s">
        <v>535</v>
      </c>
      <c r="I874" s="213"/>
      <c r="J874" s="213" t="s">
        <v>536</v>
      </c>
      <c r="K874" s="213" t="s">
        <v>382</v>
      </c>
      <c r="L874" s="213"/>
      <c r="M874" s="213"/>
      <c r="N874" s="213"/>
      <c r="O874" s="213"/>
      <c r="P874" s="213"/>
      <c r="Q874" s="213"/>
      <c r="R874" s="213"/>
      <c r="S874" s="213" t="s">
        <v>550</v>
      </c>
      <c r="T874" s="213"/>
      <c r="U874" s="213" t="s">
        <v>538</v>
      </c>
      <c r="V874" s="213">
        <v>1</v>
      </c>
      <c r="W874" s="213" t="s">
        <v>545</v>
      </c>
      <c r="X874" s="213" t="s">
        <v>549</v>
      </c>
      <c r="Y874" s="213" t="s">
        <v>540</v>
      </c>
      <c r="Z874" s="212">
        <v>63523</v>
      </c>
      <c r="AA874" s="212">
        <v>7173724</v>
      </c>
      <c r="AB874" s="217">
        <v>1.2213130000000001</v>
      </c>
      <c r="AC874" s="217">
        <v>1.965517</v>
      </c>
      <c r="AD874" s="212">
        <f t="shared" si="13"/>
        <v>8761362.3796120007</v>
      </c>
    </row>
    <row r="875" spans="2:30" x14ac:dyDescent="0.15">
      <c r="B875" s="213">
        <v>17043009080</v>
      </c>
      <c r="C875" s="213">
        <v>17043000527</v>
      </c>
      <c r="D875" s="213">
        <v>17043007291</v>
      </c>
      <c r="E875" s="213" t="s">
        <v>533</v>
      </c>
      <c r="F875" s="213" t="s">
        <v>534</v>
      </c>
      <c r="G875" s="213" t="s">
        <v>367</v>
      </c>
      <c r="H875" s="213" t="s">
        <v>382</v>
      </c>
      <c r="I875" s="213"/>
      <c r="J875" s="213"/>
      <c r="K875" s="213"/>
      <c r="L875" s="213"/>
      <c r="M875" s="213"/>
      <c r="N875" s="213"/>
      <c r="O875" s="213"/>
      <c r="P875" s="213"/>
      <c r="Q875" s="213"/>
      <c r="R875" s="213"/>
      <c r="S875" s="213"/>
      <c r="T875" s="213"/>
      <c r="U875" s="213" t="s">
        <v>559</v>
      </c>
      <c r="V875" s="213">
        <v>1</v>
      </c>
      <c r="W875" s="213" t="s">
        <v>560</v>
      </c>
      <c r="X875" s="213" t="s">
        <v>541</v>
      </c>
      <c r="Y875" s="213" t="s">
        <v>541</v>
      </c>
      <c r="Z875" s="212">
        <v>0</v>
      </c>
      <c r="AA875" s="212">
        <v>0</v>
      </c>
      <c r="AB875" s="217">
        <v>0.23813400000000001</v>
      </c>
      <c r="AC875" s="217">
        <v>0.38324000000000003</v>
      </c>
      <c r="AD875" s="212">
        <f t="shared" si="13"/>
        <v>0</v>
      </c>
    </row>
    <row r="876" spans="2:30" x14ac:dyDescent="0.15">
      <c r="B876" s="213">
        <v>17043009087</v>
      </c>
      <c r="C876" s="213">
        <v>17043007298</v>
      </c>
      <c r="D876" s="213">
        <v>17043000589</v>
      </c>
      <c r="E876" s="213" t="s">
        <v>533</v>
      </c>
      <c r="F876" s="213" t="s">
        <v>534</v>
      </c>
      <c r="G876" s="213" t="s">
        <v>367</v>
      </c>
      <c r="H876" s="213" t="s">
        <v>382</v>
      </c>
      <c r="I876" s="213"/>
      <c r="J876" s="213"/>
      <c r="K876" s="213"/>
      <c r="L876" s="213"/>
      <c r="M876" s="213"/>
      <c r="N876" s="213"/>
      <c r="O876" s="213"/>
      <c r="P876" s="213"/>
      <c r="Q876" s="213"/>
      <c r="R876" s="213"/>
      <c r="S876" s="213"/>
      <c r="T876" s="213"/>
      <c r="U876" s="213" t="s">
        <v>559</v>
      </c>
      <c r="V876" s="213">
        <v>1</v>
      </c>
      <c r="W876" s="213" t="s">
        <v>560</v>
      </c>
      <c r="X876" s="213" t="s">
        <v>541</v>
      </c>
      <c r="Y876" s="213" t="s">
        <v>541</v>
      </c>
      <c r="Z876" s="212">
        <v>0</v>
      </c>
      <c r="AA876" s="212">
        <v>0</v>
      </c>
      <c r="AB876" s="217">
        <v>0.155059</v>
      </c>
      <c r="AC876" s="217">
        <v>0.24954299999999999</v>
      </c>
      <c r="AD876" s="212">
        <f t="shared" si="13"/>
        <v>0</v>
      </c>
    </row>
    <row r="877" spans="2:30" x14ac:dyDescent="0.15">
      <c r="B877" s="213">
        <v>17043009093</v>
      </c>
      <c r="C877" s="213">
        <v>17043007303</v>
      </c>
      <c r="D877" s="213">
        <v>17043007304</v>
      </c>
      <c r="E877" s="213" t="s">
        <v>533</v>
      </c>
      <c r="F877" s="213" t="s">
        <v>534</v>
      </c>
      <c r="G877" s="213" t="s">
        <v>367</v>
      </c>
      <c r="H877" s="213" t="s">
        <v>381</v>
      </c>
      <c r="I877" s="213"/>
      <c r="J877" s="213"/>
      <c r="K877" s="213"/>
      <c r="L877" s="213"/>
      <c r="M877" s="213"/>
      <c r="N877" s="213"/>
      <c r="O877" s="213"/>
      <c r="P877" s="213"/>
      <c r="Q877" s="213"/>
      <c r="R877" s="213"/>
      <c r="S877" s="213" t="s">
        <v>585</v>
      </c>
      <c r="T877" s="213"/>
      <c r="U877" s="213" t="s">
        <v>559</v>
      </c>
      <c r="V877" s="213">
        <v>1</v>
      </c>
      <c r="W877" s="213" t="s">
        <v>560</v>
      </c>
      <c r="X877" s="213" t="s">
        <v>541</v>
      </c>
      <c r="Y877" s="213" t="s">
        <v>541</v>
      </c>
      <c r="Z877" s="212">
        <v>200</v>
      </c>
      <c r="AA877" s="212">
        <v>20560</v>
      </c>
      <c r="AB877" s="217">
        <v>0.29461799999999999</v>
      </c>
      <c r="AC877" s="217">
        <v>0.47414299999999998</v>
      </c>
      <c r="AD877" s="212">
        <f t="shared" si="13"/>
        <v>6057.3460800000003</v>
      </c>
    </row>
    <row r="878" spans="2:30" x14ac:dyDescent="0.15">
      <c r="B878" s="213">
        <v>17043009095</v>
      </c>
      <c r="C878" s="213">
        <v>17043007304</v>
      </c>
      <c r="D878" s="213">
        <v>17043004766</v>
      </c>
      <c r="E878" s="213" t="s">
        <v>533</v>
      </c>
      <c r="F878" s="213" t="s">
        <v>534</v>
      </c>
      <c r="G878" s="213" t="s">
        <v>367</v>
      </c>
      <c r="H878" s="213" t="s">
        <v>381</v>
      </c>
      <c r="I878" s="213"/>
      <c r="J878" s="213"/>
      <c r="K878" s="213"/>
      <c r="L878" s="213"/>
      <c r="M878" s="213"/>
      <c r="N878" s="213"/>
      <c r="O878" s="213"/>
      <c r="P878" s="213"/>
      <c r="Q878" s="213"/>
      <c r="R878" s="213"/>
      <c r="S878" s="213" t="s">
        <v>585</v>
      </c>
      <c r="T878" s="213"/>
      <c r="U878" s="213" t="s">
        <v>559</v>
      </c>
      <c r="V878" s="213">
        <v>1</v>
      </c>
      <c r="W878" s="213" t="s">
        <v>560</v>
      </c>
      <c r="X878" s="213" t="s">
        <v>541</v>
      </c>
      <c r="Y878" s="213" t="s">
        <v>541</v>
      </c>
      <c r="Z878" s="212">
        <v>200</v>
      </c>
      <c r="AA878" s="212">
        <v>20560</v>
      </c>
      <c r="AB878" s="217">
        <v>8.8806999999999997E-2</v>
      </c>
      <c r="AC878" s="217">
        <v>0.14292099999999999</v>
      </c>
      <c r="AD878" s="212">
        <f t="shared" si="13"/>
        <v>1825.87192</v>
      </c>
    </row>
    <row r="879" spans="2:30" x14ac:dyDescent="0.15">
      <c r="B879" s="213">
        <v>17043009101</v>
      </c>
      <c r="C879" s="213">
        <v>17043007376</v>
      </c>
      <c r="D879" s="213">
        <v>17043000511</v>
      </c>
      <c r="E879" s="213" t="s">
        <v>533</v>
      </c>
      <c r="F879" s="213" t="s">
        <v>534</v>
      </c>
      <c r="G879" s="213" t="s">
        <v>367</v>
      </c>
      <c r="H879" s="213" t="s">
        <v>535</v>
      </c>
      <c r="I879" s="213"/>
      <c r="J879" s="213"/>
      <c r="K879" s="213"/>
      <c r="L879" s="213"/>
      <c r="M879" s="213"/>
      <c r="N879" s="213"/>
      <c r="O879" s="213"/>
      <c r="P879" s="213"/>
      <c r="Q879" s="213"/>
      <c r="R879" s="213"/>
      <c r="S879" s="213" t="s">
        <v>624</v>
      </c>
      <c r="T879" s="213"/>
      <c r="U879" s="213" t="s">
        <v>538</v>
      </c>
      <c r="V879" s="213">
        <v>1</v>
      </c>
      <c r="W879" s="213" t="s">
        <v>582</v>
      </c>
      <c r="X879" s="213" t="s">
        <v>540</v>
      </c>
      <c r="Y879" s="213" t="s">
        <v>554</v>
      </c>
      <c r="Z879" s="212">
        <v>320</v>
      </c>
      <c r="AA879" s="212">
        <v>29360</v>
      </c>
      <c r="AB879" s="217">
        <v>1.1332850000000001</v>
      </c>
      <c r="AC879" s="217">
        <v>1.8238490000000001</v>
      </c>
      <c r="AD879" s="212">
        <f t="shared" si="13"/>
        <v>33273.247600000002</v>
      </c>
    </row>
    <row r="880" spans="2:30" x14ac:dyDescent="0.15">
      <c r="B880" s="213">
        <v>17043009105</v>
      </c>
      <c r="C880" s="213">
        <v>17043007311</v>
      </c>
      <c r="D880" s="213">
        <v>17043007313</v>
      </c>
      <c r="E880" s="213" t="s">
        <v>533</v>
      </c>
      <c r="F880" s="213" t="s">
        <v>534</v>
      </c>
      <c r="G880" s="213" t="s">
        <v>367</v>
      </c>
      <c r="H880" s="213" t="s">
        <v>535</v>
      </c>
      <c r="I880" s="213"/>
      <c r="J880" s="213"/>
      <c r="K880" s="213"/>
      <c r="L880" s="213"/>
      <c r="M880" s="213"/>
      <c r="N880" s="213"/>
      <c r="O880" s="213"/>
      <c r="P880" s="213"/>
      <c r="Q880" s="213"/>
      <c r="R880" s="213"/>
      <c r="S880" s="213" t="s">
        <v>624</v>
      </c>
      <c r="T880" s="213"/>
      <c r="U880" s="213" t="s">
        <v>538</v>
      </c>
      <c r="V880" s="213">
        <v>1</v>
      </c>
      <c r="W880" s="213" t="s">
        <v>582</v>
      </c>
      <c r="X880" s="213" t="s">
        <v>540</v>
      </c>
      <c r="Y880" s="213" t="s">
        <v>554</v>
      </c>
      <c r="Z880" s="212">
        <v>320</v>
      </c>
      <c r="AA880" s="212">
        <v>29360</v>
      </c>
      <c r="AB880" s="217">
        <v>0.491844</v>
      </c>
      <c r="AC880" s="217">
        <v>0.79154800000000003</v>
      </c>
      <c r="AD880" s="212">
        <f t="shared" si="13"/>
        <v>14440.539839999999</v>
      </c>
    </row>
    <row r="881" spans="2:30" x14ac:dyDescent="0.15">
      <c r="B881" s="213">
        <v>17043009118</v>
      </c>
      <c r="C881" s="213">
        <v>17043007323</v>
      </c>
      <c r="D881" s="213">
        <v>17043007326</v>
      </c>
      <c r="E881" s="213" t="s">
        <v>533</v>
      </c>
      <c r="F881" s="213" t="s">
        <v>534</v>
      </c>
      <c r="G881" s="213" t="s">
        <v>367</v>
      </c>
      <c r="H881" s="213" t="s">
        <v>535</v>
      </c>
      <c r="I881" s="213"/>
      <c r="J881" s="213"/>
      <c r="K881" s="213"/>
      <c r="L881" s="213"/>
      <c r="M881" s="213"/>
      <c r="N881" s="213"/>
      <c r="O881" s="213"/>
      <c r="P881" s="213"/>
      <c r="Q881" s="213"/>
      <c r="R881" s="213"/>
      <c r="S881" s="213"/>
      <c r="T881" s="213"/>
      <c r="U881" s="213" t="s">
        <v>559</v>
      </c>
      <c r="V881" s="213">
        <v>1</v>
      </c>
      <c r="W881" s="213" t="s">
        <v>560</v>
      </c>
      <c r="X881" s="213" t="s">
        <v>541</v>
      </c>
      <c r="Y881" s="213" t="s">
        <v>541</v>
      </c>
      <c r="Z881" s="212">
        <v>0</v>
      </c>
      <c r="AA881" s="212">
        <v>0</v>
      </c>
      <c r="AB881" s="217">
        <v>0.208153</v>
      </c>
      <c r="AC881" s="217">
        <v>0.33499000000000001</v>
      </c>
      <c r="AD881" s="212">
        <f t="shared" si="13"/>
        <v>0</v>
      </c>
    </row>
    <row r="882" spans="2:30" x14ac:dyDescent="0.15">
      <c r="B882" s="213">
        <v>17043009119</v>
      </c>
      <c r="C882" s="213">
        <v>17043007326</v>
      </c>
      <c r="D882" s="213">
        <v>17043007325</v>
      </c>
      <c r="E882" s="213" t="s">
        <v>533</v>
      </c>
      <c r="F882" s="213" t="s">
        <v>534</v>
      </c>
      <c r="G882" s="213" t="s">
        <v>367</v>
      </c>
      <c r="H882" s="213" t="s">
        <v>535</v>
      </c>
      <c r="I882" s="213"/>
      <c r="J882" s="213"/>
      <c r="K882" s="213"/>
      <c r="L882" s="213"/>
      <c r="M882" s="213"/>
      <c r="N882" s="213"/>
      <c r="O882" s="213"/>
      <c r="P882" s="213"/>
      <c r="Q882" s="213"/>
      <c r="R882" s="213"/>
      <c r="S882" s="213"/>
      <c r="T882" s="213"/>
      <c r="U882" s="213" t="s">
        <v>559</v>
      </c>
      <c r="V882" s="213">
        <v>1</v>
      </c>
      <c r="W882" s="213" t="s">
        <v>560</v>
      </c>
      <c r="X882" s="213" t="s">
        <v>541</v>
      </c>
      <c r="Y882" s="213" t="s">
        <v>541</v>
      </c>
      <c r="Z882" s="212">
        <v>0</v>
      </c>
      <c r="AA882" s="212">
        <v>0</v>
      </c>
      <c r="AB882" s="217">
        <v>0.11167000000000001</v>
      </c>
      <c r="AC882" s="217">
        <v>0.17971500000000001</v>
      </c>
      <c r="AD882" s="212">
        <f t="shared" si="13"/>
        <v>0</v>
      </c>
    </row>
    <row r="883" spans="2:30" x14ac:dyDescent="0.15">
      <c r="B883" s="213">
        <v>17043009122</v>
      </c>
      <c r="C883" s="213">
        <v>17043007325</v>
      </c>
      <c r="D883" s="213">
        <v>17043007329</v>
      </c>
      <c r="E883" s="213" t="s">
        <v>533</v>
      </c>
      <c r="F883" s="213" t="s">
        <v>534</v>
      </c>
      <c r="G883" s="213" t="s">
        <v>367</v>
      </c>
      <c r="H883" s="213" t="s">
        <v>535</v>
      </c>
      <c r="I883" s="213"/>
      <c r="J883" s="213"/>
      <c r="K883" s="213"/>
      <c r="L883" s="213"/>
      <c r="M883" s="213"/>
      <c r="N883" s="213"/>
      <c r="O883" s="213"/>
      <c r="P883" s="213"/>
      <c r="Q883" s="213"/>
      <c r="R883" s="213"/>
      <c r="S883" s="213"/>
      <c r="T883" s="213"/>
      <c r="U883" s="213" t="s">
        <v>559</v>
      </c>
      <c r="V883" s="213">
        <v>1</v>
      </c>
      <c r="W883" s="213" t="s">
        <v>560</v>
      </c>
      <c r="X883" s="213" t="s">
        <v>541</v>
      </c>
      <c r="Y883" s="213" t="s">
        <v>541</v>
      </c>
      <c r="Z883" s="212">
        <v>0</v>
      </c>
      <c r="AA883" s="212">
        <v>0</v>
      </c>
      <c r="AB883" s="217">
        <v>0.35470600000000002</v>
      </c>
      <c r="AC883" s="217">
        <v>0.57084500000000005</v>
      </c>
      <c r="AD883" s="212">
        <f t="shared" si="13"/>
        <v>0</v>
      </c>
    </row>
    <row r="884" spans="2:30" x14ac:dyDescent="0.15">
      <c r="B884" s="213">
        <v>17043009128</v>
      </c>
      <c r="C884" s="213">
        <v>17043007335</v>
      </c>
      <c r="D884" s="213">
        <v>17043000362</v>
      </c>
      <c r="E884" s="213" t="s">
        <v>533</v>
      </c>
      <c r="F884" s="213" t="s">
        <v>534</v>
      </c>
      <c r="G884" s="213" t="s">
        <v>367</v>
      </c>
      <c r="H884" s="213" t="s">
        <v>552</v>
      </c>
      <c r="I884" s="213"/>
      <c r="J884" s="213" t="s">
        <v>547</v>
      </c>
      <c r="K884" s="213"/>
      <c r="L884" s="213"/>
      <c r="M884" s="213"/>
      <c r="N884" s="213"/>
      <c r="O884" s="213"/>
      <c r="P884" s="213"/>
      <c r="Q884" s="213"/>
      <c r="R884" s="213"/>
      <c r="S884" s="213" t="s">
        <v>589</v>
      </c>
      <c r="T884" s="213"/>
      <c r="U884" s="213" t="s">
        <v>538</v>
      </c>
      <c r="V884" s="213">
        <v>2</v>
      </c>
      <c r="W884" s="213" t="s">
        <v>545</v>
      </c>
      <c r="X884" s="213" t="s">
        <v>549</v>
      </c>
      <c r="Y884" s="213" t="s">
        <v>540</v>
      </c>
      <c r="Z884" s="212">
        <v>63051</v>
      </c>
      <c r="AA884" s="212">
        <v>6646788</v>
      </c>
      <c r="AB884" s="217">
        <v>0.166546</v>
      </c>
      <c r="AC884" s="217">
        <v>0.26803100000000002</v>
      </c>
      <c r="AD884" s="212">
        <f t="shared" si="13"/>
        <v>1106995.9542479999</v>
      </c>
    </row>
    <row r="885" spans="2:30" x14ac:dyDescent="0.15">
      <c r="B885" s="213">
        <v>17043009134</v>
      </c>
      <c r="C885" s="213">
        <v>17043007341</v>
      </c>
      <c r="D885" s="213">
        <v>17043007344</v>
      </c>
      <c r="E885" s="213" t="s">
        <v>533</v>
      </c>
      <c r="F885" s="213" t="s">
        <v>534</v>
      </c>
      <c r="G885" s="213" t="s">
        <v>367</v>
      </c>
      <c r="H885" s="213" t="s">
        <v>552</v>
      </c>
      <c r="I885" s="213"/>
      <c r="J885" s="213"/>
      <c r="K885" s="213"/>
      <c r="L885" s="213"/>
      <c r="M885" s="213"/>
      <c r="N885" s="213"/>
      <c r="O885" s="213"/>
      <c r="P885" s="213"/>
      <c r="Q885" s="213"/>
      <c r="R885" s="213"/>
      <c r="S885" s="213"/>
      <c r="T885" s="213"/>
      <c r="U885" s="213" t="s">
        <v>559</v>
      </c>
      <c r="V885" s="213">
        <v>1</v>
      </c>
      <c r="W885" s="213" t="s">
        <v>560</v>
      </c>
      <c r="X885" s="213" t="s">
        <v>541</v>
      </c>
      <c r="Y885" s="213" t="s">
        <v>541</v>
      </c>
      <c r="Z885" s="212">
        <v>0</v>
      </c>
      <c r="AA885" s="212">
        <v>0</v>
      </c>
      <c r="AB885" s="217">
        <v>0.103613</v>
      </c>
      <c r="AC885" s="217">
        <v>0.16675000000000001</v>
      </c>
      <c r="AD885" s="212">
        <f t="shared" si="13"/>
        <v>0</v>
      </c>
    </row>
    <row r="886" spans="2:30" x14ac:dyDescent="0.15">
      <c r="B886" s="213">
        <v>17043009143</v>
      </c>
      <c r="C886" s="213">
        <v>17043004772</v>
      </c>
      <c r="D886" s="213">
        <v>17043007349</v>
      </c>
      <c r="E886" s="213" t="s">
        <v>533</v>
      </c>
      <c r="F886" s="213" t="s">
        <v>534</v>
      </c>
      <c r="G886" s="213" t="s">
        <v>367</v>
      </c>
      <c r="H886" s="213" t="s">
        <v>552</v>
      </c>
      <c r="I886" s="213"/>
      <c r="J886" s="213" t="s">
        <v>547</v>
      </c>
      <c r="K886" s="213"/>
      <c r="L886" s="213"/>
      <c r="M886" s="213"/>
      <c r="N886" s="213"/>
      <c r="O886" s="213"/>
      <c r="P886" s="213"/>
      <c r="Q886" s="213"/>
      <c r="R886" s="213"/>
      <c r="S886" s="213" t="s">
        <v>589</v>
      </c>
      <c r="T886" s="213"/>
      <c r="U886" s="213" t="s">
        <v>538</v>
      </c>
      <c r="V886" s="213">
        <v>2</v>
      </c>
      <c r="W886" s="213" t="s">
        <v>545</v>
      </c>
      <c r="X886" s="213" t="s">
        <v>549</v>
      </c>
      <c r="Y886" s="213" t="s">
        <v>540</v>
      </c>
      <c r="Z886" s="212">
        <v>63331</v>
      </c>
      <c r="AA886" s="212">
        <v>6669828</v>
      </c>
      <c r="AB886" s="217">
        <v>0.80619099999999999</v>
      </c>
      <c r="AC886" s="217">
        <v>1.2974410000000001</v>
      </c>
      <c r="AD886" s="212">
        <f t="shared" si="13"/>
        <v>5377155.3051479999</v>
      </c>
    </row>
    <row r="887" spans="2:30" x14ac:dyDescent="0.15">
      <c r="B887" s="213">
        <v>17043009173</v>
      </c>
      <c r="C887" s="213">
        <v>17043007379</v>
      </c>
      <c r="D887" s="213">
        <v>17043007376</v>
      </c>
      <c r="E887" s="213" t="s">
        <v>533</v>
      </c>
      <c r="F887" s="213" t="s">
        <v>534</v>
      </c>
      <c r="G887" s="213" t="s">
        <v>367</v>
      </c>
      <c r="H887" s="213" t="s">
        <v>535</v>
      </c>
      <c r="I887" s="213"/>
      <c r="J887" s="213"/>
      <c r="K887" s="213"/>
      <c r="L887" s="213"/>
      <c r="M887" s="213"/>
      <c r="N887" s="213"/>
      <c r="O887" s="213"/>
      <c r="P887" s="213"/>
      <c r="Q887" s="213"/>
      <c r="R887" s="213"/>
      <c r="S887" s="213" t="s">
        <v>624</v>
      </c>
      <c r="T887" s="213"/>
      <c r="U887" s="213" t="s">
        <v>538</v>
      </c>
      <c r="V887" s="213">
        <v>1</v>
      </c>
      <c r="W887" s="213" t="s">
        <v>582</v>
      </c>
      <c r="X887" s="213" t="s">
        <v>540</v>
      </c>
      <c r="Y887" s="213" t="s">
        <v>554</v>
      </c>
      <c r="Z887" s="212">
        <v>320</v>
      </c>
      <c r="AA887" s="212">
        <v>29360</v>
      </c>
      <c r="AB887" s="217">
        <v>0.33169399999999999</v>
      </c>
      <c r="AC887" s="217">
        <v>0.53381100000000004</v>
      </c>
      <c r="AD887" s="212">
        <f t="shared" si="13"/>
        <v>9738.5358400000005</v>
      </c>
    </row>
    <row r="888" spans="2:30" x14ac:dyDescent="0.15">
      <c r="B888" s="213">
        <v>17089001811</v>
      </c>
      <c r="C888" s="213">
        <v>17089000477</v>
      </c>
      <c r="D888" s="213">
        <v>17089000476</v>
      </c>
      <c r="E888" s="213" t="s">
        <v>533</v>
      </c>
      <c r="F888" s="213" t="s">
        <v>534</v>
      </c>
      <c r="G888" s="213" t="s">
        <v>369</v>
      </c>
      <c r="H888" s="213" t="s">
        <v>382</v>
      </c>
      <c r="I888" s="213"/>
      <c r="J888" s="213"/>
      <c r="K888" s="213"/>
      <c r="L888" s="213"/>
      <c r="M888" s="213"/>
      <c r="N888" s="213"/>
      <c r="O888" s="213"/>
      <c r="P888" s="213"/>
      <c r="Q888" s="213"/>
      <c r="R888" s="213"/>
      <c r="S888" s="213" t="s">
        <v>635</v>
      </c>
      <c r="T888" s="213"/>
      <c r="U888" s="213" t="s">
        <v>559</v>
      </c>
      <c r="V888" s="213">
        <v>1</v>
      </c>
      <c r="W888" s="213" t="s">
        <v>560</v>
      </c>
      <c r="X888" s="213" t="s">
        <v>541</v>
      </c>
      <c r="Y888" s="213" t="s">
        <v>541</v>
      </c>
      <c r="Z888" s="212">
        <v>0</v>
      </c>
      <c r="AA888" s="212">
        <v>0</v>
      </c>
      <c r="AB888" s="217">
        <v>0.54022499999999996</v>
      </c>
      <c r="AC888" s="217">
        <v>0.86940899999999999</v>
      </c>
      <c r="AD888" s="212">
        <f t="shared" si="13"/>
        <v>0</v>
      </c>
    </row>
    <row r="889" spans="2:30" x14ac:dyDescent="0.15">
      <c r="B889" s="213">
        <v>17089001824</v>
      </c>
      <c r="C889" s="213">
        <v>17089001056</v>
      </c>
      <c r="D889" s="213">
        <v>17089001012</v>
      </c>
      <c r="E889" s="213" t="s">
        <v>533</v>
      </c>
      <c r="F889" s="213" t="s">
        <v>534</v>
      </c>
      <c r="G889" s="213" t="s">
        <v>369</v>
      </c>
      <c r="H889" s="213" t="s">
        <v>381</v>
      </c>
      <c r="I889" s="213"/>
      <c r="J889" s="213"/>
      <c r="K889" s="213"/>
      <c r="L889" s="213"/>
      <c r="M889" s="213"/>
      <c r="N889" s="213"/>
      <c r="O889" s="213"/>
      <c r="P889" s="213"/>
      <c r="Q889" s="213"/>
      <c r="R889" s="213"/>
      <c r="S889" s="213" t="s">
        <v>595</v>
      </c>
      <c r="T889" s="213"/>
      <c r="U889" s="213" t="s">
        <v>538</v>
      </c>
      <c r="V889" s="213">
        <v>1</v>
      </c>
      <c r="W889" s="213" t="s">
        <v>545</v>
      </c>
      <c r="X889" s="213" t="s">
        <v>549</v>
      </c>
      <c r="Y889" s="213" t="s">
        <v>546</v>
      </c>
      <c r="Z889" s="212">
        <v>969717</v>
      </c>
      <c r="AA889" s="212">
        <v>40873798</v>
      </c>
      <c r="AB889" s="217">
        <v>5.7592350000000003</v>
      </c>
      <c r="AC889" s="217">
        <v>9.2686080000000004</v>
      </c>
      <c r="AD889" s="212">
        <f t="shared" si="13"/>
        <v>235401808.02453002</v>
      </c>
    </row>
    <row r="890" spans="2:30" x14ac:dyDescent="0.15">
      <c r="B890" s="213">
        <v>17089002001</v>
      </c>
      <c r="C890" s="213">
        <v>17089004859</v>
      </c>
      <c r="D890" s="213">
        <v>17089004858</v>
      </c>
      <c r="E890" s="213" t="s">
        <v>533</v>
      </c>
      <c r="F890" s="213" t="s">
        <v>534</v>
      </c>
      <c r="G890" s="213" t="s">
        <v>369</v>
      </c>
      <c r="H890" s="213" t="s">
        <v>381</v>
      </c>
      <c r="I890" s="213"/>
      <c r="J890" s="213"/>
      <c r="K890" s="213"/>
      <c r="L890" s="213"/>
      <c r="M890" s="213"/>
      <c r="N890" s="213"/>
      <c r="O890" s="213"/>
      <c r="P890" s="213"/>
      <c r="Q890" s="213"/>
      <c r="R890" s="213"/>
      <c r="S890" s="213" t="s">
        <v>585</v>
      </c>
      <c r="T890" s="213"/>
      <c r="U890" s="213" t="s">
        <v>559</v>
      </c>
      <c r="V890" s="213">
        <v>1</v>
      </c>
      <c r="W890" s="213" t="s">
        <v>560</v>
      </c>
      <c r="X890" s="213" t="s">
        <v>541</v>
      </c>
      <c r="Y890" s="213" t="s">
        <v>541</v>
      </c>
      <c r="Z890" s="212">
        <v>200</v>
      </c>
      <c r="AA890" s="212">
        <v>20560</v>
      </c>
      <c r="AB890" s="217">
        <v>0.62467399999999995</v>
      </c>
      <c r="AC890" s="217">
        <v>1.005317</v>
      </c>
      <c r="AD890" s="212">
        <f t="shared" si="13"/>
        <v>12843.297439999998</v>
      </c>
    </row>
    <row r="891" spans="2:30" x14ac:dyDescent="0.15">
      <c r="B891" s="213">
        <v>17089002002</v>
      </c>
      <c r="C891" s="213">
        <v>17089000971</v>
      </c>
      <c r="D891" s="213">
        <v>17089000839</v>
      </c>
      <c r="E891" s="213" t="s">
        <v>533</v>
      </c>
      <c r="F891" s="213" t="s">
        <v>534</v>
      </c>
      <c r="G891" s="213" t="s">
        <v>369</v>
      </c>
      <c r="H891" s="213" t="s">
        <v>381</v>
      </c>
      <c r="I891" s="213"/>
      <c r="J891" s="213"/>
      <c r="K891" s="213"/>
      <c r="L891" s="213"/>
      <c r="M891" s="213"/>
      <c r="N891" s="213"/>
      <c r="O891" s="213"/>
      <c r="P891" s="213"/>
      <c r="Q891" s="213"/>
      <c r="R891" s="213"/>
      <c r="S891" s="213" t="s">
        <v>585</v>
      </c>
      <c r="T891" s="213"/>
      <c r="U891" s="213" t="s">
        <v>559</v>
      </c>
      <c r="V891" s="213">
        <v>1</v>
      </c>
      <c r="W891" s="213" t="s">
        <v>560</v>
      </c>
      <c r="X891" s="213" t="s">
        <v>541</v>
      </c>
      <c r="Y891" s="213" t="s">
        <v>541</v>
      </c>
      <c r="Z891" s="212">
        <v>1120</v>
      </c>
      <c r="AA891" s="212">
        <v>101480</v>
      </c>
      <c r="AB891" s="217">
        <v>2.5341490000000002</v>
      </c>
      <c r="AC891" s="217">
        <v>4.0783259999999997</v>
      </c>
      <c r="AD891" s="212">
        <f t="shared" si="13"/>
        <v>257165.44052000003</v>
      </c>
    </row>
    <row r="892" spans="2:30" x14ac:dyDescent="0.15">
      <c r="B892" s="213">
        <v>17089002003</v>
      </c>
      <c r="C892" s="213">
        <v>17089001056</v>
      </c>
      <c r="D892" s="213">
        <v>17089000835</v>
      </c>
      <c r="E892" s="213" t="s">
        <v>533</v>
      </c>
      <c r="F892" s="213" t="s">
        <v>534</v>
      </c>
      <c r="G892" s="213" t="s">
        <v>369</v>
      </c>
      <c r="H892" s="213" t="s">
        <v>381</v>
      </c>
      <c r="I892" s="213"/>
      <c r="J892" s="213"/>
      <c r="K892" s="213"/>
      <c r="L892" s="213"/>
      <c r="M892" s="213"/>
      <c r="N892" s="213"/>
      <c r="O892" s="213"/>
      <c r="P892" s="213"/>
      <c r="Q892" s="213"/>
      <c r="R892" s="213"/>
      <c r="S892" s="213" t="s">
        <v>672</v>
      </c>
      <c r="T892" s="213"/>
      <c r="U892" s="213" t="s">
        <v>559</v>
      </c>
      <c r="V892" s="213">
        <v>1</v>
      </c>
      <c r="W892" s="213" t="s">
        <v>560</v>
      </c>
      <c r="X892" s="213" t="s">
        <v>541</v>
      </c>
      <c r="Y892" s="213" t="s">
        <v>541</v>
      </c>
      <c r="Z892" s="212">
        <v>0</v>
      </c>
      <c r="AA892" s="212">
        <v>0</v>
      </c>
      <c r="AB892" s="217">
        <v>3.5094259999999999</v>
      </c>
      <c r="AC892" s="217">
        <v>5.6478849999999996</v>
      </c>
      <c r="AD892" s="212">
        <f t="shared" si="13"/>
        <v>0</v>
      </c>
    </row>
    <row r="893" spans="2:30" x14ac:dyDescent="0.15">
      <c r="B893" s="213">
        <v>17089002009</v>
      </c>
      <c r="C893" s="213">
        <v>17089004856</v>
      </c>
      <c r="D893" s="213">
        <v>17089001010</v>
      </c>
      <c r="E893" s="213" t="s">
        <v>533</v>
      </c>
      <c r="F893" s="213" t="s">
        <v>534</v>
      </c>
      <c r="G893" s="213" t="s">
        <v>369</v>
      </c>
      <c r="H893" s="213" t="s">
        <v>547</v>
      </c>
      <c r="I893" s="213"/>
      <c r="J893" s="213"/>
      <c r="K893" s="213"/>
      <c r="L893" s="213"/>
      <c r="M893" s="213"/>
      <c r="N893" s="213"/>
      <c r="O893" s="213"/>
      <c r="P893" s="213"/>
      <c r="Q893" s="213"/>
      <c r="R893" s="213"/>
      <c r="S893" s="213"/>
      <c r="T893" s="213"/>
      <c r="U893" s="213" t="s">
        <v>538</v>
      </c>
      <c r="V893" s="213">
        <v>2</v>
      </c>
      <c r="W893" s="213" t="s">
        <v>545</v>
      </c>
      <c r="X893" s="213" t="s">
        <v>554</v>
      </c>
      <c r="Y893" s="213" t="s">
        <v>541</v>
      </c>
      <c r="Z893" s="212">
        <v>0</v>
      </c>
      <c r="AA893" s="212">
        <v>0</v>
      </c>
      <c r="AB893" s="217">
        <v>0.274953</v>
      </c>
      <c r="AC893" s="217">
        <v>0.442494</v>
      </c>
      <c r="AD893" s="212">
        <f t="shared" si="13"/>
        <v>0</v>
      </c>
    </row>
    <row r="894" spans="2:30" x14ac:dyDescent="0.15">
      <c r="B894" s="213">
        <v>17089002010</v>
      </c>
      <c r="C894" s="213">
        <v>17089001055</v>
      </c>
      <c r="D894" s="213">
        <v>17089001050</v>
      </c>
      <c r="E894" s="213" t="s">
        <v>533</v>
      </c>
      <c r="F894" s="213" t="s">
        <v>534</v>
      </c>
      <c r="G894" s="213" t="s">
        <v>369</v>
      </c>
      <c r="H894" s="213" t="s">
        <v>381</v>
      </c>
      <c r="I894" s="213"/>
      <c r="J894" s="213" t="s">
        <v>542</v>
      </c>
      <c r="K894" s="213" t="s">
        <v>578</v>
      </c>
      <c r="L894" s="213" t="s">
        <v>382</v>
      </c>
      <c r="M894" s="213"/>
      <c r="N894" s="213"/>
      <c r="O894" s="213"/>
      <c r="P894" s="213"/>
      <c r="Q894" s="213"/>
      <c r="R894" s="213"/>
      <c r="S894" s="213" t="s">
        <v>579</v>
      </c>
      <c r="T894" s="213"/>
      <c r="U894" s="213" t="s">
        <v>538</v>
      </c>
      <c r="V894" s="213">
        <v>2</v>
      </c>
      <c r="W894" s="213" t="s">
        <v>545</v>
      </c>
      <c r="X894" s="213" t="s">
        <v>549</v>
      </c>
      <c r="Y894" s="213" t="s">
        <v>580</v>
      </c>
      <c r="Z894" s="212">
        <v>1838325</v>
      </c>
      <c r="AA894" s="212">
        <v>45615254</v>
      </c>
      <c r="AB894" s="217">
        <v>0.72587900000000005</v>
      </c>
      <c r="AC894" s="217">
        <v>1.1681919999999999</v>
      </c>
      <c r="AD894" s="212">
        <f t="shared" si="13"/>
        <v>33111154.958266001</v>
      </c>
    </row>
    <row r="895" spans="2:30" x14ac:dyDescent="0.15">
      <c r="B895" s="213">
        <v>17089002027</v>
      </c>
      <c r="C895" s="213">
        <v>17999019390</v>
      </c>
      <c r="D895" s="213">
        <v>17089004855</v>
      </c>
      <c r="E895" s="213" t="s">
        <v>533</v>
      </c>
      <c r="F895" s="213" t="s">
        <v>534</v>
      </c>
      <c r="G895" s="213" t="s">
        <v>369</v>
      </c>
      <c r="H895" s="213" t="s">
        <v>552</v>
      </c>
      <c r="I895" s="213"/>
      <c r="J895" s="213"/>
      <c r="K895" s="213"/>
      <c r="L895" s="213"/>
      <c r="M895" s="213"/>
      <c r="N895" s="213"/>
      <c r="O895" s="213"/>
      <c r="P895" s="213"/>
      <c r="Q895" s="213"/>
      <c r="R895" s="213"/>
      <c r="S895" s="213" t="s">
        <v>607</v>
      </c>
      <c r="T895" s="213"/>
      <c r="U895" s="213" t="s">
        <v>538</v>
      </c>
      <c r="V895" s="213">
        <v>1</v>
      </c>
      <c r="W895" s="213" t="s">
        <v>582</v>
      </c>
      <c r="X895" s="213" t="s">
        <v>540</v>
      </c>
      <c r="Y895" s="213" t="s">
        <v>540</v>
      </c>
      <c r="Z895" s="212">
        <v>62691</v>
      </c>
      <c r="AA895" s="212">
        <v>6611868</v>
      </c>
      <c r="AB895" s="217">
        <v>2.9751300000000001</v>
      </c>
      <c r="AC895" s="217">
        <v>4.7880180000000001</v>
      </c>
      <c r="AD895" s="212">
        <f t="shared" si="13"/>
        <v>19671166.842840001</v>
      </c>
    </row>
    <row r="896" spans="2:30" x14ac:dyDescent="0.15">
      <c r="B896" s="213">
        <v>17089002028</v>
      </c>
      <c r="C896" s="213">
        <v>17089000305</v>
      </c>
      <c r="D896" s="213">
        <v>17089000262</v>
      </c>
      <c r="E896" s="213" t="s">
        <v>533</v>
      </c>
      <c r="F896" s="213" t="s">
        <v>534</v>
      </c>
      <c r="G896" s="213" t="s">
        <v>369</v>
      </c>
      <c r="H896" s="213" t="s">
        <v>382</v>
      </c>
      <c r="I896" s="213"/>
      <c r="J896" s="213"/>
      <c r="K896" s="213"/>
      <c r="L896" s="213"/>
      <c r="M896" s="213"/>
      <c r="N896" s="213"/>
      <c r="O896" s="213"/>
      <c r="P896" s="213"/>
      <c r="Q896" s="213"/>
      <c r="R896" s="213"/>
      <c r="S896" s="213" t="s">
        <v>561</v>
      </c>
      <c r="T896" s="213"/>
      <c r="U896" s="213" t="s">
        <v>538</v>
      </c>
      <c r="V896" s="213">
        <v>1</v>
      </c>
      <c r="W896" s="213" t="s">
        <v>562</v>
      </c>
      <c r="X896" s="213" t="s">
        <v>540</v>
      </c>
      <c r="Y896" s="213" t="s">
        <v>541</v>
      </c>
      <c r="Z896" s="212">
        <v>26584</v>
      </c>
      <c r="AA896" s="212">
        <v>636580</v>
      </c>
      <c r="AB896" s="217">
        <v>8.6920459999999995</v>
      </c>
      <c r="AC896" s="217">
        <v>13.988519999999999</v>
      </c>
      <c r="AD896" s="212">
        <f t="shared" si="13"/>
        <v>5533182.6426799996</v>
      </c>
    </row>
    <row r="897" spans="2:30" x14ac:dyDescent="0.15">
      <c r="B897" s="213">
        <v>17089002030</v>
      </c>
      <c r="C897" s="213">
        <v>17089000287</v>
      </c>
      <c r="D897" s="213">
        <v>17089000284</v>
      </c>
      <c r="E897" s="213" t="s">
        <v>533</v>
      </c>
      <c r="F897" s="213" t="s">
        <v>534</v>
      </c>
      <c r="G897" s="213" t="s">
        <v>369</v>
      </c>
      <c r="H897" s="213" t="s">
        <v>552</v>
      </c>
      <c r="I897" s="213"/>
      <c r="J897" s="213"/>
      <c r="K897" s="213"/>
      <c r="L897" s="213"/>
      <c r="M897" s="213"/>
      <c r="N897" s="213"/>
      <c r="O897" s="213"/>
      <c r="P897" s="213"/>
      <c r="Q897" s="213"/>
      <c r="R897" s="213"/>
      <c r="S897" s="213" t="s">
        <v>607</v>
      </c>
      <c r="T897" s="213"/>
      <c r="U897" s="213" t="s">
        <v>538</v>
      </c>
      <c r="V897" s="213">
        <v>1</v>
      </c>
      <c r="W897" s="213" t="s">
        <v>582</v>
      </c>
      <c r="X897" s="213" t="s">
        <v>540</v>
      </c>
      <c r="Y897" s="213" t="s">
        <v>540</v>
      </c>
      <c r="Z897" s="212">
        <v>62891</v>
      </c>
      <c r="AA897" s="212">
        <v>6630348</v>
      </c>
      <c r="AB897" s="217">
        <v>2.67205</v>
      </c>
      <c r="AC897" s="217">
        <v>4.3002560000000001</v>
      </c>
      <c r="AD897" s="212">
        <f t="shared" si="13"/>
        <v>17716621.373399999</v>
      </c>
    </row>
    <row r="898" spans="2:30" x14ac:dyDescent="0.15">
      <c r="B898" s="213">
        <v>17089002035</v>
      </c>
      <c r="C898" s="213">
        <v>17089004852</v>
      </c>
      <c r="D898" s="213">
        <v>17089004853</v>
      </c>
      <c r="E898" s="213" t="s">
        <v>533</v>
      </c>
      <c r="F898" s="213" t="s">
        <v>534</v>
      </c>
      <c r="G898" s="213" t="s">
        <v>369</v>
      </c>
      <c r="H898" s="213" t="s">
        <v>552</v>
      </c>
      <c r="I898" s="213"/>
      <c r="J898" s="213" t="s">
        <v>547</v>
      </c>
      <c r="K898" s="213"/>
      <c r="L898" s="213"/>
      <c r="M898" s="213"/>
      <c r="N898" s="213"/>
      <c r="O898" s="213"/>
      <c r="P898" s="213"/>
      <c r="Q898" s="213"/>
      <c r="R898" s="213"/>
      <c r="S898" s="213" t="s">
        <v>589</v>
      </c>
      <c r="T898" s="213"/>
      <c r="U898" s="213" t="s">
        <v>538</v>
      </c>
      <c r="V898" s="213">
        <v>2</v>
      </c>
      <c r="W898" s="213" t="s">
        <v>545</v>
      </c>
      <c r="X898" s="213" t="s">
        <v>549</v>
      </c>
      <c r="Y898" s="213" t="s">
        <v>540</v>
      </c>
      <c r="Z898" s="212">
        <v>62891</v>
      </c>
      <c r="AA898" s="212">
        <v>6630348</v>
      </c>
      <c r="AB898" s="217">
        <v>0.39046799999999998</v>
      </c>
      <c r="AC898" s="217">
        <v>0.62839800000000001</v>
      </c>
      <c r="AD898" s="212">
        <f t="shared" si="13"/>
        <v>2588938.7228639997</v>
      </c>
    </row>
    <row r="899" spans="2:30" x14ac:dyDescent="0.15">
      <c r="B899" s="213">
        <v>17089002036</v>
      </c>
      <c r="C899" s="213">
        <v>17999019825</v>
      </c>
      <c r="D899" s="213">
        <v>17089004851</v>
      </c>
      <c r="E899" s="213" t="s">
        <v>533</v>
      </c>
      <c r="F899" s="213" t="s">
        <v>534</v>
      </c>
      <c r="G899" s="213" t="s">
        <v>369</v>
      </c>
      <c r="H899" s="213" t="s">
        <v>552</v>
      </c>
      <c r="I899" s="213"/>
      <c r="J899" s="213" t="s">
        <v>547</v>
      </c>
      <c r="K899" s="213"/>
      <c r="L899" s="213"/>
      <c r="M899" s="213"/>
      <c r="N899" s="213"/>
      <c r="O899" s="213"/>
      <c r="P899" s="213"/>
      <c r="Q899" s="213"/>
      <c r="R899" s="213"/>
      <c r="S899" s="213" t="s">
        <v>589</v>
      </c>
      <c r="T899" s="213"/>
      <c r="U899" s="213" t="s">
        <v>538</v>
      </c>
      <c r="V899" s="213">
        <v>2</v>
      </c>
      <c r="W899" s="213" t="s">
        <v>545</v>
      </c>
      <c r="X899" s="213" t="s">
        <v>549</v>
      </c>
      <c r="Y899" s="213" t="s">
        <v>540</v>
      </c>
      <c r="Z899" s="212">
        <v>62891</v>
      </c>
      <c r="AA899" s="212">
        <v>6630348</v>
      </c>
      <c r="AB899" s="217">
        <v>0.79066400000000003</v>
      </c>
      <c r="AC899" s="217">
        <v>1.272454</v>
      </c>
      <c r="AD899" s="212">
        <f t="shared" si="13"/>
        <v>5242377.4710720005</v>
      </c>
    </row>
    <row r="900" spans="2:30" x14ac:dyDescent="0.15">
      <c r="B900" s="213">
        <v>17089002046</v>
      </c>
      <c r="C900" s="213">
        <v>17089004846</v>
      </c>
      <c r="D900" s="213">
        <v>17089004845</v>
      </c>
      <c r="E900" s="213" t="s">
        <v>533</v>
      </c>
      <c r="F900" s="213" t="s">
        <v>534</v>
      </c>
      <c r="G900" s="213" t="s">
        <v>369</v>
      </c>
      <c r="H900" s="213" t="s">
        <v>382</v>
      </c>
      <c r="I900" s="213"/>
      <c r="J900" s="213" t="s">
        <v>547</v>
      </c>
      <c r="K900" s="213"/>
      <c r="L900" s="213"/>
      <c r="M900" s="213"/>
      <c r="N900" s="213"/>
      <c r="O900" s="213"/>
      <c r="P900" s="213"/>
      <c r="Q900" s="213"/>
      <c r="R900" s="213"/>
      <c r="S900" s="213" t="s">
        <v>583</v>
      </c>
      <c r="T900" s="213"/>
      <c r="U900" s="213" t="s">
        <v>538</v>
      </c>
      <c r="V900" s="213">
        <v>2</v>
      </c>
      <c r="W900" s="213" t="s">
        <v>588</v>
      </c>
      <c r="X900" s="213" t="s">
        <v>549</v>
      </c>
      <c r="Y900" s="213" t="s">
        <v>575</v>
      </c>
      <c r="Z900" s="212">
        <v>1961175</v>
      </c>
      <c r="AA900" s="212">
        <v>73798714</v>
      </c>
      <c r="AB900" s="217">
        <v>1.7307300000000001</v>
      </c>
      <c r="AC900" s="217">
        <v>2.785345</v>
      </c>
      <c r="AD900" s="212">
        <f t="shared" si="13"/>
        <v>127725648.28122</v>
      </c>
    </row>
    <row r="901" spans="2:30" x14ac:dyDescent="0.15">
      <c r="B901" s="213">
        <v>17089002065</v>
      </c>
      <c r="C901" s="213">
        <v>17089000297</v>
      </c>
      <c r="D901" s="213">
        <v>17089000295</v>
      </c>
      <c r="E901" s="213" t="s">
        <v>533</v>
      </c>
      <c r="F901" s="213" t="s">
        <v>534</v>
      </c>
      <c r="G901" s="213" t="s">
        <v>369</v>
      </c>
      <c r="H901" s="213" t="s">
        <v>535</v>
      </c>
      <c r="I901" s="213"/>
      <c r="J901" s="213"/>
      <c r="K901" s="213"/>
      <c r="L901" s="213"/>
      <c r="M901" s="213"/>
      <c r="N901" s="213"/>
      <c r="O901" s="213"/>
      <c r="P901" s="213"/>
      <c r="Q901" s="213"/>
      <c r="R901" s="213"/>
      <c r="S901" s="213" t="s">
        <v>624</v>
      </c>
      <c r="T901" s="213"/>
      <c r="U901" s="213" t="s">
        <v>538</v>
      </c>
      <c r="V901" s="213">
        <v>1</v>
      </c>
      <c r="W901" s="213" t="s">
        <v>582</v>
      </c>
      <c r="X901" s="213" t="s">
        <v>549</v>
      </c>
      <c r="Y901" s="213" t="s">
        <v>554</v>
      </c>
      <c r="Z901" s="212">
        <v>40347</v>
      </c>
      <c r="AA901" s="212">
        <v>3848660</v>
      </c>
      <c r="AB901" s="217">
        <v>1.3421810000000001</v>
      </c>
      <c r="AC901" s="217">
        <v>2.1600359999999998</v>
      </c>
      <c r="AD901" s="212">
        <f t="shared" si="13"/>
        <v>5165598.3274600003</v>
      </c>
    </row>
    <row r="902" spans="2:30" x14ac:dyDescent="0.15">
      <c r="B902" s="213">
        <v>17089002072</v>
      </c>
      <c r="C902" s="213">
        <v>17089000474</v>
      </c>
      <c r="D902" s="213">
        <v>17089004844</v>
      </c>
      <c r="E902" s="213" t="s">
        <v>533</v>
      </c>
      <c r="F902" s="213" t="s">
        <v>534</v>
      </c>
      <c r="G902" s="213" t="s">
        <v>369</v>
      </c>
      <c r="H902" s="213" t="s">
        <v>382</v>
      </c>
      <c r="I902" s="213"/>
      <c r="J902" s="213"/>
      <c r="K902" s="213"/>
      <c r="L902" s="213"/>
      <c r="M902" s="213"/>
      <c r="N902" s="213"/>
      <c r="O902" s="213"/>
      <c r="P902" s="213"/>
      <c r="Q902" s="213"/>
      <c r="R902" s="213"/>
      <c r="S902" s="213" t="s">
        <v>635</v>
      </c>
      <c r="T902" s="213"/>
      <c r="U902" s="213" t="s">
        <v>559</v>
      </c>
      <c r="V902" s="213">
        <v>1</v>
      </c>
      <c r="W902" s="213" t="s">
        <v>560</v>
      </c>
      <c r="X902" s="213" t="s">
        <v>541</v>
      </c>
      <c r="Y902" s="213" t="s">
        <v>541</v>
      </c>
      <c r="Z902" s="212">
        <v>0</v>
      </c>
      <c r="AA902" s="212">
        <v>0</v>
      </c>
      <c r="AB902" s="217">
        <v>0.55306900000000003</v>
      </c>
      <c r="AC902" s="217">
        <v>0.89008100000000001</v>
      </c>
      <c r="AD902" s="212">
        <f t="shared" ref="AD902:AD965" si="14">AA902*AB902</f>
        <v>0</v>
      </c>
    </row>
    <row r="903" spans="2:30" x14ac:dyDescent="0.15">
      <c r="B903" s="213">
        <v>17089002073</v>
      </c>
      <c r="C903" s="213">
        <v>17089004846</v>
      </c>
      <c r="D903" s="213">
        <v>17089004847</v>
      </c>
      <c r="E903" s="213" t="s">
        <v>533</v>
      </c>
      <c r="F903" s="213" t="s">
        <v>534</v>
      </c>
      <c r="G903" s="213" t="s">
        <v>369</v>
      </c>
      <c r="H903" s="213" t="s">
        <v>382</v>
      </c>
      <c r="I903" s="213"/>
      <c r="J903" s="213" t="s">
        <v>547</v>
      </c>
      <c r="K903" s="213"/>
      <c r="L903" s="213"/>
      <c r="M903" s="213"/>
      <c r="N903" s="213"/>
      <c r="O903" s="213"/>
      <c r="P903" s="213"/>
      <c r="Q903" s="213"/>
      <c r="R903" s="213"/>
      <c r="S903" s="213" t="s">
        <v>583</v>
      </c>
      <c r="T903" s="213"/>
      <c r="U903" s="213" t="s">
        <v>538</v>
      </c>
      <c r="V903" s="213">
        <v>2</v>
      </c>
      <c r="W903" s="213" t="s">
        <v>588</v>
      </c>
      <c r="X903" s="213" t="s">
        <v>549</v>
      </c>
      <c r="Y903" s="213" t="s">
        <v>575</v>
      </c>
      <c r="Z903" s="212">
        <v>1961175</v>
      </c>
      <c r="AA903" s="212">
        <v>73798714</v>
      </c>
      <c r="AB903" s="217">
        <v>1.051024</v>
      </c>
      <c r="AC903" s="217">
        <v>1.691462</v>
      </c>
      <c r="AD903" s="212">
        <f t="shared" si="14"/>
        <v>77564219.583135992</v>
      </c>
    </row>
    <row r="904" spans="2:30" x14ac:dyDescent="0.15">
      <c r="B904" s="213">
        <v>17089002695</v>
      </c>
      <c r="C904" s="213">
        <v>17999021945</v>
      </c>
      <c r="D904" s="213">
        <v>17089001083</v>
      </c>
      <c r="E904" s="213" t="s">
        <v>533</v>
      </c>
      <c r="F904" s="213" t="s">
        <v>534</v>
      </c>
      <c r="G904" s="213" t="s">
        <v>369</v>
      </c>
      <c r="H904" s="213" t="s">
        <v>578</v>
      </c>
      <c r="I904" s="213"/>
      <c r="J904" s="213"/>
      <c r="K904" s="213"/>
      <c r="L904" s="213"/>
      <c r="M904" s="213"/>
      <c r="N904" s="213"/>
      <c r="O904" s="213"/>
      <c r="P904" s="213"/>
      <c r="Q904" s="213"/>
      <c r="R904" s="213"/>
      <c r="S904" s="213"/>
      <c r="T904" s="213"/>
      <c r="U904" s="213" t="s">
        <v>538</v>
      </c>
      <c r="V904" s="213">
        <v>1</v>
      </c>
      <c r="W904" s="213" t="s">
        <v>560</v>
      </c>
      <c r="X904" s="213" t="s">
        <v>541</v>
      </c>
      <c r="Y904" s="213" t="s">
        <v>541</v>
      </c>
      <c r="Z904" s="212">
        <v>28706</v>
      </c>
      <c r="AA904" s="212">
        <v>2964066</v>
      </c>
      <c r="AB904" s="217">
        <v>0.43187599999999998</v>
      </c>
      <c r="AC904" s="217">
        <v>0.69503800000000004</v>
      </c>
      <c r="AD904" s="212">
        <f t="shared" si="14"/>
        <v>1280108.9678159999</v>
      </c>
    </row>
    <row r="905" spans="2:30" x14ac:dyDescent="0.15">
      <c r="B905" s="213">
        <v>17089003257</v>
      </c>
      <c r="C905" s="213">
        <v>17089000982</v>
      </c>
      <c r="D905" s="213">
        <v>17089000965</v>
      </c>
      <c r="E905" s="213" t="s">
        <v>533</v>
      </c>
      <c r="F905" s="213" t="s">
        <v>534</v>
      </c>
      <c r="G905" s="213" t="s">
        <v>369</v>
      </c>
      <c r="H905" s="213" t="s">
        <v>381</v>
      </c>
      <c r="I905" s="213"/>
      <c r="J905" s="213" t="s">
        <v>542</v>
      </c>
      <c r="K905" s="213" t="s">
        <v>578</v>
      </c>
      <c r="L905" s="213" t="s">
        <v>547</v>
      </c>
      <c r="M905" s="213" t="s">
        <v>382</v>
      </c>
      <c r="N905" s="213"/>
      <c r="O905" s="213"/>
      <c r="P905" s="213"/>
      <c r="Q905" s="213"/>
      <c r="R905" s="213"/>
      <c r="S905" s="213" t="s">
        <v>579</v>
      </c>
      <c r="T905" s="213"/>
      <c r="U905" s="213" t="s">
        <v>538</v>
      </c>
      <c r="V905" s="213">
        <v>3</v>
      </c>
      <c r="W905" s="213" t="s">
        <v>545</v>
      </c>
      <c r="X905" s="213" t="s">
        <v>540</v>
      </c>
      <c r="Y905" s="213" t="s">
        <v>575</v>
      </c>
      <c r="Z905" s="212">
        <v>2798738</v>
      </c>
      <c r="AA905" s="212">
        <v>85650772</v>
      </c>
      <c r="AB905" s="217">
        <v>0.28017700000000001</v>
      </c>
      <c r="AC905" s="217">
        <v>0.450903</v>
      </c>
      <c r="AD905" s="212">
        <f t="shared" si="14"/>
        <v>23997376.346643999</v>
      </c>
    </row>
    <row r="906" spans="2:30" x14ac:dyDescent="0.15">
      <c r="B906" s="213">
        <v>17089006563</v>
      </c>
      <c r="C906" s="213">
        <v>17089000473</v>
      </c>
      <c r="D906" s="213">
        <v>17089000474</v>
      </c>
      <c r="E906" s="213" t="s">
        <v>533</v>
      </c>
      <c r="F906" s="213" t="s">
        <v>534</v>
      </c>
      <c r="G906" s="213" t="s">
        <v>369</v>
      </c>
      <c r="H906" s="213" t="s">
        <v>382</v>
      </c>
      <c r="I906" s="213"/>
      <c r="J906" s="213"/>
      <c r="K906" s="213"/>
      <c r="L906" s="213"/>
      <c r="M906" s="213"/>
      <c r="N906" s="213"/>
      <c r="O906" s="213"/>
      <c r="P906" s="213"/>
      <c r="Q906" s="213"/>
      <c r="R906" s="213"/>
      <c r="S906" s="213" t="s">
        <v>635</v>
      </c>
      <c r="T906" s="213"/>
      <c r="U906" s="213" t="s">
        <v>559</v>
      </c>
      <c r="V906" s="213">
        <v>1</v>
      </c>
      <c r="W906" s="213" t="s">
        <v>560</v>
      </c>
      <c r="X906" s="213" t="s">
        <v>541</v>
      </c>
      <c r="Y906" s="213" t="s">
        <v>541</v>
      </c>
      <c r="Z906" s="212">
        <v>0</v>
      </c>
      <c r="AA906" s="212">
        <v>0</v>
      </c>
      <c r="AB906" s="217">
        <v>0.30532799999999999</v>
      </c>
      <c r="AC906" s="217">
        <v>0.49137900000000001</v>
      </c>
      <c r="AD906" s="212">
        <f t="shared" si="14"/>
        <v>0</v>
      </c>
    </row>
    <row r="907" spans="2:30" x14ac:dyDescent="0.15">
      <c r="B907" s="213">
        <v>17089006569</v>
      </c>
      <c r="C907" s="213">
        <v>17999021944</v>
      </c>
      <c r="D907" s="213">
        <v>17089001087</v>
      </c>
      <c r="E907" s="213" t="s">
        <v>533</v>
      </c>
      <c r="F907" s="213" t="s">
        <v>534</v>
      </c>
      <c r="G907" s="213" t="s">
        <v>369</v>
      </c>
      <c r="H907" s="213" t="s">
        <v>381</v>
      </c>
      <c r="I907" s="213"/>
      <c r="J907" s="213" t="s">
        <v>542</v>
      </c>
      <c r="K907" s="213" t="s">
        <v>382</v>
      </c>
      <c r="L907" s="213"/>
      <c r="M907" s="213"/>
      <c r="N907" s="213"/>
      <c r="O907" s="213"/>
      <c r="P907" s="213"/>
      <c r="Q907" s="213"/>
      <c r="R907" s="213"/>
      <c r="S907" s="213" t="s">
        <v>619</v>
      </c>
      <c r="T907" s="213"/>
      <c r="U907" s="213" t="s">
        <v>538</v>
      </c>
      <c r="V907" s="213">
        <v>2</v>
      </c>
      <c r="W907" s="213" t="s">
        <v>545</v>
      </c>
      <c r="X907" s="213" t="s">
        <v>549</v>
      </c>
      <c r="Y907" s="213" t="s">
        <v>580</v>
      </c>
      <c r="Z907" s="212">
        <v>1856067</v>
      </c>
      <c r="AA907" s="212">
        <v>47514740</v>
      </c>
      <c r="AB907" s="217">
        <v>0.28369800000000001</v>
      </c>
      <c r="AC907" s="217">
        <v>0.45656799999999997</v>
      </c>
      <c r="AD907" s="212">
        <f t="shared" si="14"/>
        <v>13479836.708520001</v>
      </c>
    </row>
    <row r="908" spans="2:30" x14ac:dyDescent="0.15">
      <c r="B908" s="213">
        <v>17093002022</v>
      </c>
      <c r="C908" s="213">
        <v>17093004862</v>
      </c>
      <c r="D908" s="213">
        <v>17093004861</v>
      </c>
      <c r="E908" s="213" t="s">
        <v>533</v>
      </c>
      <c r="F908" s="213" t="s">
        <v>534</v>
      </c>
      <c r="G908" s="213" t="s">
        <v>371</v>
      </c>
      <c r="H908" s="213" t="s">
        <v>578</v>
      </c>
      <c r="I908" s="213"/>
      <c r="J908" s="213"/>
      <c r="K908" s="213"/>
      <c r="L908" s="213"/>
      <c r="M908" s="213"/>
      <c r="N908" s="213"/>
      <c r="O908" s="213"/>
      <c r="P908" s="213"/>
      <c r="Q908" s="213"/>
      <c r="R908" s="213"/>
      <c r="S908" s="213"/>
      <c r="T908" s="213"/>
      <c r="U908" s="213" t="s">
        <v>538</v>
      </c>
      <c r="V908" s="213">
        <v>1</v>
      </c>
      <c r="W908" s="213" t="s">
        <v>560</v>
      </c>
      <c r="X908" s="213" t="s">
        <v>541</v>
      </c>
      <c r="Y908" s="213" t="s">
        <v>541</v>
      </c>
      <c r="Z908" s="212">
        <v>28706</v>
      </c>
      <c r="AA908" s="212">
        <v>2964066</v>
      </c>
      <c r="AB908" s="217">
        <v>3.1747290000000001</v>
      </c>
      <c r="AC908" s="217">
        <v>5.1092420000000001</v>
      </c>
      <c r="AD908" s="212">
        <f t="shared" si="14"/>
        <v>9410106.2881140001</v>
      </c>
    </row>
    <row r="909" spans="2:30" x14ac:dyDescent="0.15">
      <c r="B909" s="213">
        <v>17093002025</v>
      </c>
      <c r="C909" s="213">
        <v>17999024460</v>
      </c>
      <c r="D909" s="213">
        <v>17999024341</v>
      </c>
      <c r="E909" s="213" t="s">
        <v>533</v>
      </c>
      <c r="F909" s="213" t="s">
        <v>534</v>
      </c>
      <c r="G909" s="213" t="s">
        <v>371</v>
      </c>
      <c r="H909" s="213" t="s">
        <v>535</v>
      </c>
      <c r="I909" s="213"/>
      <c r="J909" s="213"/>
      <c r="K909" s="213"/>
      <c r="L909" s="213"/>
      <c r="M909" s="213"/>
      <c r="N909" s="213"/>
      <c r="O909" s="213"/>
      <c r="P909" s="213"/>
      <c r="Q909" s="213"/>
      <c r="R909" s="213"/>
      <c r="S909" s="213" t="s">
        <v>673</v>
      </c>
      <c r="T909" s="213"/>
      <c r="U909" s="213" t="s">
        <v>538</v>
      </c>
      <c r="V909" s="213">
        <v>1</v>
      </c>
      <c r="W909" s="213" t="s">
        <v>560</v>
      </c>
      <c r="X909" s="213" t="s">
        <v>554</v>
      </c>
      <c r="Y909" s="213" t="s">
        <v>541</v>
      </c>
      <c r="Z909" s="212">
        <v>14288</v>
      </c>
      <c r="AA909" s="212">
        <v>1236096</v>
      </c>
      <c r="AB909" s="217">
        <v>1.12005</v>
      </c>
      <c r="AC909" s="217">
        <v>1.8025500000000001</v>
      </c>
      <c r="AD909" s="212">
        <f t="shared" si="14"/>
        <v>1384489.3248000001</v>
      </c>
    </row>
    <row r="910" spans="2:30" x14ac:dyDescent="0.15">
      <c r="B910" s="213">
        <v>17093002071</v>
      </c>
      <c r="C910" s="213">
        <v>17093001283</v>
      </c>
      <c r="D910" s="213">
        <v>17093001271</v>
      </c>
      <c r="E910" s="213" t="s">
        <v>533</v>
      </c>
      <c r="F910" s="213" t="s">
        <v>534</v>
      </c>
      <c r="G910" s="213" t="s">
        <v>371</v>
      </c>
      <c r="H910" s="213" t="s">
        <v>381</v>
      </c>
      <c r="I910" s="213"/>
      <c r="J910" s="213" t="s">
        <v>542</v>
      </c>
      <c r="K910" s="213" t="s">
        <v>382</v>
      </c>
      <c r="L910" s="213"/>
      <c r="M910" s="213"/>
      <c r="N910" s="213"/>
      <c r="O910" s="213"/>
      <c r="P910" s="213"/>
      <c r="Q910" s="213"/>
      <c r="R910" s="213"/>
      <c r="S910" s="213" t="s">
        <v>619</v>
      </c>
      <c r="T910" s="213"/>
      <c r="U910" s="213" t="s">
        <v>538</v>
      </c>
      <c r="V910" s="213">
        <v>2</v>
      </c>
      <c r="W910" s="213" t="s">
        <v>545</v>
      </c>
      <c r="X910" s="213" t="s">
        <v>549</v>
      </c>
      <c r="Y910" s="213" t="s">
        <v>580</v>
      </c>
      <c r="Z910" s="212">
        <v>1855027</v>
      </c>
      <c r="AA910" s="212">
        <v>47418540</v>
      </c>
      <c r="AB910" s="217">
        <v>3.2788149999999998</v>
      </c>
      <c r="AC910" s="217">
        <v>5.276751</v>
      </c>
      <c r="AD910" s="212">
        <f t="shared" si="14"/>
        <v>155476620.23010001</v>
      </c>
    </row>
    <row r="911" spans="2:30" x14ac:dyDescent="0.15">
      <c r="B911" s="213">
        <v>17093002926</v>
      </c>
      <c r="C911" s="213">
        <v>17999023611</v>
      </c>
      <c r="D911" s="213">
        <v>17093001444</v>
      </c>
      <c r="E911" s="213" t="s">
        <v>533</v>
      </c>
      <c r="F911" s="213" t="s">
        <v>534</v>
      </c>
      <c r="G911" s="213" t="s">
        <v>371</v>
      </c>
      <c r="H911" s="213" t="s">
        <v>578</v>
      </c>
      <c r="I911" s="213"/>
      <c r="J911" s="213"/>
      <c r="K911" s="213"/>
      <c r="L911" s="213"/>
      <c r="M911" s="213"/>
      <c r="N911" s="213"/>
      <c r="O911" s="213"/>
      <c r="P911" s="213"/>
      <c r="Q911" s="213"/>
      <c r="R911" s="213"/>
      <c r="S911" s="213"/>
      <c r="T911" s="213"/>
      <c r="U911" s="213" t="s">
        <v>538</v>
      </c>
      <c r="V911" s="213">
        <v>1</v>
      </c>
      <c r="W911" s="213" t="s">
        <v>560</v>
      </c>
      <c r="X911" s="213" t="s">
        <v>541</v>
      </c>
      <c r="Y911" s="213" t="s">
        <v>541</v>
      </c>
      <c r="Z911" s="212">
        <v>28706</v>
      </c>
      <c r="AA911" s="212">
        <v>2964066</v>
      </c>
      <c r="AB911" s="217">
        <v>0.15431</v>
      </c>
      <c r="AC911" s="217">
        <v>0.248338</v>
      </c>
      <c r="AD911" s="212">
        <f t="shared" si="14"/>
        <v>457385.02445999999</v>
      </c>
    </row>
    <row r="912" spans="2:30" x14ac:dyDescent="0.15">
      <c r="B912" s="213">
        <v>17097001926</v>
      </c>
      <c r="C912" s="213">
        <v>17097000078</v>
      </c>
      <c r="D912" s="213">
        <v>17097004539</v>
      </c>
      <c r="E912" s="213" t="s">
        <v>533</v>
      </c>
      <c r="F912" s="213" t="s">
        <v>534</v>
      </c>
      <c r="G912" s="213" t="s">
        <v>373</v>
      </c>
      <c r="H912" s="213" t="s">
        <v>552</v>
      </c>
      <c r="I912" s="213"/>
      <c r="J912" s="213" t="s">
        <v>542</v>
      </c>
      <c r="K912" s="213"/>
      <c r="L912" s="213"/>
      <c r="M912" s="213"/>
      <c r="N912" s="213"/>
      <c r="O912" s="213"/>
      <c r="P912" s="213"/>
      <c r="Q912" s="213"/>
      <c r="R912" s="213"/>
      <c r="S912" s="213" t="s">
        <v>564</v>
      </c>
      <c r="T912" s="213"/>
      <c r="U912" s="213" t="s">
        <v>538</v>
      </c>
      <c r="V912" s="213">
        <v>4</v>
      </c>
      <c r="W912" s="213" t="s">
        <v>545</v>
      </c>
      <c r="X912" s="213" t="s">
        <v>549</v>
      </c>
      <c r="Y912" s="213" t="s">
        <v>549</v>
      </c>
      <c r="Z912" s="212">
        <v>472628</v>
      </c>
      <c r="AA912" s="212">
        <v>31631277</v>
      </c>
      <c r="AB912" s="217">
        <v>1.39714</v>
      </c>
      <c r="AC912" s="217">
        <v>2.2484829999999998</v>
      </c>
      <c r="AD912" s="212">
        <f t="shared" si="14"/>
        <v>44193322.347780004</v>
      </c>
    </row>
    <row r="913" spans="2:30" x14ac:dyDescent="0.15">
      <c r="B913" s="213">
        <v>17097001929</v>
      </c>
      <c r="C913" s="213">
        <v>17097000083</v>
      </c>
      <c r="D913" s="213">
        <v>17097000078</v>
      </c>
      <c r="E913" s="213" t="s">
        <v>533</v>
      </c>
      <c r="F913" s="213" t="s">
        <v>534</v>
      </c>
      <c r="G913" s="213" t="s">
        <v>373</v>
      </c>
      <c r="H913" s="213" t="s">
        <v>552</v>
      </c>
      <c r="I913" s="213"/>
      <c r="J913" s="213" t="s">
        <v>542</v>
      </c>
      <c r="K913" s="213" t="s">
        <v>547</v>
      </c>
      <c r="L913" s="213" t="s">
        <v>563</v>
      </c>
      <c r="M913" s="213"/>
      <c r="N913" s="213"/>
      <c r="O913" s="213"/>
      <c r="P913" s="213"/>
      <c r="Q913" s="213"/>
      <c r="R913" s="213"/>
      <c r="S913" s="213" t="s">
        <v>564</v>
      </c>
      <c r="T913" s="213"/>
      <c r="U913" s="213" t="s">
        <v>538</v>
      </c>
      <c r="V913" s="213">
        <v>2</v>
      </c>
      <c r="W913" s="213" t="s">
        <v>545</v>
      </c>
      <c r="X913" s="213" t="s">
        <v>540</v>
      </c>
      <c r="Y913" s="213" t="s">
        <v>549</v>
      </c>
      <c r="Z913" s="212">
        <v>500325</v>
      </c>
      <c r="AA913" s="212">
        <v>34215284</v>
      </c>
      <c r="AB913" s="217">
        <v>0.25256600000000001</v>
      </c>
      <c r="AC913" s="217">
        <v>0.40646700000000002</v>
      </c>
      <c r="AD913" s="212">
        <f t="shared" si="14"/>
        <v>8641617.4187439997</v>
      </c>
    </row>
    <row r="914" spans="2:30" x14ac:dyDescent="0.15">
      <c r="B914" s="213">
        <v>17097001930</v>
      </c>
      <c r="C914" s="213">
        <v>17097004568</v>
      </c>
      <c r="D914" s="213">
        <v>17097000080</v>
      </c>
      <c r="E914" s="213" t="s">
        <v>533</v>
      </c>
      <c r="F914" s="213" t="s">
        <v>534</v>
      </c>
      <c r="G914" s="213" t="s">
        <v>373</v>
      </c>
      <c r="H914" s="213" t="s">
        <v>382</v>
      </c>
      <c r="I914" s="213"/>
      <c r="J914" s="213" t="s">
        <v>547</v>
      </c>
      <c r="K914" s="213"/>
      <c r="L914" s="213"/>
      <c r="M914" s="213"/>
      <c r="N914" s="213"/>
      <c r="O914" s="213"/>
      <c r="P914" s="213"/>
      <c r="Q914" s="213"/>
      <c r="R914" s="213"/>
      <c r="S914" s="213" t="s">
        <v>565</v>
      </c>
      <c r="T914" s="213"/>
      <c r="U914" s="213" t="s">
        <v>538</v>
      </c>
      <c r="V914" s="213">
        <v>2</v>
      </c>
      <c r="W914" s="213" t="s">
        <v>566</v>
      </c>
      <c r="X914" s="213" t="s">
        <v>549</v>
      </c>
      <c r="Y914" s="213" t="s">
        <v>541</v>
      </c>
      <c r="Z914" s="212">
        <v>0</v>
      </c>
      <c r="AA914" s="212">
        <v>0</v>
      </c>
      <c r="AB914" s="217">
        <v>2.081321</v>
      </c>
      <c r="AC914" s="217">
        <v>3.3495680000000001</v>
      </c>
      <c r="AD914" s="212">
        <f t="shared" si="14"/>
        <v>0</v>
      </c>
    </row>
    <row r="915" spans="2:30" x14ac:dyDescent="0.15">
      <c r="B915" s="213">
        <v>17097001932</v>
      </c>
      <c r="C915" s="213">
        <v>17097004569</v>
      </c>
      <c r="D915" s="213">
        <v>17097004568</v>
      </c>
      <c r="E915" s="213" t="s">
        <v>533</v>
      </c>
      <c r="F915" s="213" t="s">
        <v>534</v>
      </c>
      <c r="G915" s="213" t="s">
        <v>373</v>
      </c>
      <c r="H915" s="213" t="s">
        <v>382</v>
      </c>
      <c r="I915" s="213"/>
      <c r="J915" s="213" t="s">
        <v>547</v>
      </c>
      <c r="K915" s="213"/>
      <c r="L915" s="213"/>
      <c r="M915" s="213"/>
      <c r="N915" s="213"/>
      <c r="O915" s="213"/>
      <c r="P915" s="213"/>
      <c r="Q915" s="213"/>
      <c r="R915" s="213"/>
      <c r="S915" s="213" t="s">
        <v>565</v>
      </c>
      <c r="T915" s="213"/>
      <c r="U915" s="213" t="s">
        <v>538</v>
      </c>
      <c r="V915" s="213">
        <v>2</v>
      </c>
      <c r="W915" s="213" t="s">
        <v>566</v>
      </c>
      <c r="X915" s="213" t="s">
        <v>549</v>
      </c>
      <c r="Y915" s="213" t="s">
        <v>541</v>
      </c>
      <c r="Z915" s="212">
        <v>0</v>
      </c>
      <c r="AA915" s="212">
        <v>0</v>
      </c>
      <c r="AB915" s="217">
        <v>2.6220970000000001</v>
      </c>
      <c r="AC915" s="217">
        <v>4.2198640000000003</v>
      </c>
      <c r="AD915" s="212">
        <f t="shared" si="14"/>
        <v>0</v>
      </c>
    </row>
    <row r="916" spans="2:30" x14ac:dyDescent="0.15">
      <c r="B916" s="213">
        <v>17097001935</v>
      </c>
      <c r="C916" s="213">
        <v>17097000082</v>
      </c>
      <c r="D916" s="213">
        <v>17097000079</v>
      </c>
      <c r="E916" s="213" t="s">
        <v>533</v>
      </c>
      <c r="F916" s="213" t="s">
        <v>534</v>
      </c>
      <c r="G916" s="213" t="s">
        <v>373</v>
      </c>
      <c r="H916" s="213" t="s">
        <v>535</v>
      </c>
      <c r="I916" s="213"/>
      <c r="J916" s="213" t="s">
        <v>382</v>
      </c>
      <c r="K916" s="213"/>
      <c r="L916" s="213"/>
      <c r="M916" s="213"/>
      <c r="N916" s="213"/>
      <c r="O916" s="213"/>
      <c r="P916" s="213"/>
      <c r="Q916" s="213"/>
      <c r="R916" s="213"/>
      <c r="S916" s="213" t="s">
        <v>550</v>
      </c>
      <c r="T916" s="213"/>
      <c r="U916" s="213" t="s">
        <v>538</v>
      </c>
      <c r="V916" s="213">
        <v>1</v>
      </c>
      <c r="W916" s="213" t="s">
        <v>560</v>
      </c>
      <c r="X916" s="213" t="s">
        <v>554</v>
      </c>
      <c r="Y916" s="213" t="s">
        <v>541</v>
      </c>
      <c r="Z916" s="212">
        <v>680</v>
      </c>
      <c r="AA916" s="212">
        <v>46040</v>
      </c>
      <c r="AB916" s="217">
        <v>0.22680500000000001</v>
      </c>
      <c r="AC916" s="217">
        <v>0.36500899999999997</v>
      </c>
      <c r="AD916" s="212">
        <f t="shared" si="14"/>
        <v>10442.102200000001</v>
      </c>
    </row>
    <row r="917" spans="2:30" x14ac:dyDescent="0.15">
      <c r="B917" s="213">
        <v>17097002108</v>
      </c>
      <c r="C917" s="213">
        <v>17097007513</v>
      </c>
      <c r="D917" s="213">
        <v>17097004558</v>
      </c>
      <c r="E917" s="213" t="s">
        <v>533</v>
      </c>
      <c r="F917" s="213" t="s">
        <v>534</v>
      </c>
      <c r="G917" s="213" t="s">
        <v>373</v>
      </c>
      <c r="H917" s="213" t="s">
        <v>535</v>
      </c>
      <c r="I917" s="213"/>
      <c r="J917" s="213" t="s">
        <v>547</v>
      </c>
      <c r="K917" s="213"/>
      <c r="L917" s="213"/>
      <c r="M917" s="213"/>
      <c r="N917" s="213"/>
      <c r="O917" s="213"/>
      <c r="P917" s="213"/>
      <c r="Q917" s="213"/>
      <c r="R917" s="213"/>
      <c r="S917" s="213" t="s">
        <v>548</v>
      </c>
      <c r="T917" s="213"/>
      <c r="U917" s="213" t="s">
        <v>538</v>
      </c>
      <c r="V917" s="213">
        <v>2</v>
      </c>
      <c r="W917" s="213" t="s">
        <v>545</v>
      </c>
      <c r="X917" s="213" t="s">
        <v>549</v>
      </c>
      <c r="Y917" s="213" t="s">
        <v>546</v>
      </c>
      <c r="Z917" s="212">
        <v>638963</v>
      </c>
      <c r="AA917" s="212">
        <v>28120658</v>
      </c>
      <c r="AB917" s="217">
        <v>0.97986700000000004</v>
      </c>
      <c r="AC917" s="217">
        <v>1.5769470000000001</v>
      </c>
      <c r="AD917" s="212">
        <f t="shared" si="14"/>
        <v>27554504.792486001</v>
      </c>
    </row>
    <row r="918" spans="2:30" x14ac:dyDescent="0.15">
      <c r="B918" s="213">
        <v>17097002110</v>
      </c>
      <c r="C918" s="213">
        <v>17097007511</v>
      </c>
      <c r="D918" s="213">
        <v>17097000066</v>
      </c>
      <c r="E918" s="213" t="s">
        <v>533</v>
      </c>
      <c r="F918" s="213" t="s">
        <v>534</v>
      </c>
      <c r="G918" s="213" t="s">
        <v>373</v>
      </c>
      <c r="H918" s="213" t="s">
        <v>535</v>
      </c>
      <c r="I918" s="213"/>
      <c r="J918" s="213" t="s">
        <v>547</v>
      </c>
      <c r="K918" s="213"/>
      <c r="L918" s="213"/>
      <c r="M918" s="213"/>
      <c r="N918" s="213"/>
      <c r="O918" s="213"/>
      <c r="P918" s="213"/>
      <c r="Q918" s="213"/>
      <c r="R918" s="213"/>
      <c r="S918" s="213" t="s">
        <v>548</v>
      </c>
      <c r="T918" s="213"/>
      <c r="U918" s="213" t="s">
        <v>538</v>
      </c>
      <c r="V918" s="213">
        <v>1</v>
      </c>
      <c r="W918" s="213" t="s">
        <v>545</v>
      </c>
      <c r="X918" s="213" t="s">
        <v>549</v>
      </c>
      <c r="Y918" s="213" t="s">
        <v>546</v>
      </c>
      <c r="Z918" s="212">
        <v>642955</v>
      </c>
      <c r="AA918" s="212">
        <v>28505002</v>
      </c>
      <c r="AB918" s="217">
        <v>1.4840629999999999</v>
      </c>
      <c r="AC918" s="217">
        <v>2.3883730000000001</v>
      </c>
      <c r="AD918" s="212">
        <f t="shared" si="14"/>
        <v>42303218.783125997</v>
      </c>
    </row>
    <row r="919" spans="2:30" x14ac:dyDescent="0.15">
      <c r="B919" s="213">
        <v>17097002113</v>
      </c>
      <c r="C919" s="213">
        <v>17097007508</v>
      </c>
      <c r="D919" s="213">
        <v>17097004556</v>
      </c>
      <c r="E919" s="213" t="s">
        <v>533</v>
      </c>
      <c r="F919" s="213" t="s">
        <v>534</v>
      </c>
      <c r="G919" s="213" t="s">
        <v>373</v>
      </c>
      <c r="H919" s="213" t="s">
        <v>535</v>
      </c>
      <c r="I919" s="213"/>
      <c r="J919" s="213" t="s">
        <v>547</v>
      </c>
      <c r="K919" s="213"/>
      <c r="L919" s="213"/>
      <c r="M919" s="213"/>
      <c r="N919" s="213"/>
      <c r="O919" s="213"/>
      <c r="P919" s="213"/>
      <c r="Q919" s="213"/>
      <c r="R919" s="213"/>
      <c r="S919" s="213" t="s">
        <v>548</v>
      </c>
      <c r="T919" s="213"/>
      <c r="U919" s="213" t="s">
        <v>538</v>
      </c>
      <c r="V919" s="213">
        <v>2</v>
      </c>
      <c r="W919" s="213" t="s">
        <v>545</v>
      </c>
      <c r="X919" s="213" t="s">
        <v>549</v>
      </c>
      <c r="Y919" s="213" t="s">
        <v>546</v>
      </c>
      <c r="Z919" s="212">
        <v>645147</v>
      </c>
      <c r="AA919" s="212">
        <v>28718662</v>
      </c>
      <c r="AB919" s="217">
        <v>1.649186</v>
      </c>
      <c r="AC919" s="217">
        <v>2.6541139999999999</v>
      </c>
      <c r="AD919" s="212">
        <f t="shared" si="14"/>
        <v>47362415.309132002</v>
      </c>
    </row>
    <row r="920" spans="2:30" x14ac:dyDescent="0.15">
      <c r="B920" s="213">
        <v>17097002125</v>
      </c>
      <c r="C920" s="213">
        <v>17097000111</v>
      </c>
      <c r="D920" s="213">
        <v>17097000109</v>
      </c>
      <c r="E920" s="213" t="s">
        <v>533</v>
      </c>
      <c r="F920" s="213" t="s">
        <v>534</v>
      </c>
      <c r="G920" s="213" t="s">
        <v>373</v>
      </c>
      <c r="H920" s="213" t="s">
        <v>535</v>
      </c>
      <c r="I920" s="213"/>
      <c r="J920" s="213" t="s">
        <v>547</v>
      </c>
      <c r="K920" s="213"/>
      <c r="L920" s="213"/>
      <c r="M920" s="213"/>
      <c r="N920" s="213"/>
      <c r="O920" s="213"/>
      <c r="P920" s="213"/>
      <c r="Q920" s="213"/>
      <c r="R920" s="213"/>
      <c r="S920" s="213" t="s">
        <v>548</v>
      </c>
      <c r="T920" s="213"/>
      <c r="U920" s="213" t="s">
        <v>538</v>
      </c>
      <c r="V920" s="213">
        <v>2</v>
      </c>
      <c r="W920" s="213" t="s">
        <v>545</v>
      </c>
      <c r="X920" s="213" t="s">
        <v>549</v>
      </c>
      <c r="Y920" s="213" t="s">
        <v>546</v>
      </c>
      <c r="Z920" s="212">
        <v>662117</v>
      </c>
      <c r="AA920" s="212">
        <v>30338162</v>
      </c>
      <c r="AB920" s="217">
        <v>0.21757499999999999</v>
      </c>
      <c r="AC920" s="217">
        <v>0.35015400000000002</v>
      </c>
      <c r="AD920" s="212">
        <f t="shared" si="14"/>
        <v>6600825.5971499998</v>
      </c>
    </row>
    <row r="921" spans="2:30" x14ac:dyDescent="0.15">
      <c r="B921" s="213">
        <v>17097002131</v>
      </c>
      <c r="C921" s="213">
        <v>17097000059</v>
      </c>
      <c r="D921" s="213">
        <v>17097007541</v>
      </c>
      <c r="E921" s="213" t="s">
        <v>533</v>
      </c>
      <c r="F921" s="213" t="s">
        <v>534</v>
      </c>
      <c r="G921" s="213" t="s">
        <v>373</v>
      </c>
      <c r="H921" s="213" t="s">
        <v>382</v>
      </c>
      <c r="I921" s="213"/>
      <c r="J921" s="213"/>
      <c r="K921" s="213"/>
      <c r="L921" s="213"/>
      <c r="M921" s="213"/>
      <c r="N921" s="213"/>
      <c r="O921" s="213"/>
      <c r="P921" s="213"/>
      <c r="Q921" s="213"/>
      <c r="R921" s="213"/>
      <c r="S921" s="213" t="s">
        <v>586</v>
      </c>
      <c r="T921" s="213"/>
      <c r="U921" s="213" t="s">
        <v>538</v>
      </c>
      <c r="V921" s="213">
        <v>2</v>
      </c>
      <c r="W921" s="213" t="s">
        <v>582</v>
      </c>
      <c r="X921" s="213" t="s">
        <v>549</v>
      </c>
      <c r="Y921" s="213" t="s">
        <v>549</v>
      </c>
      <c r="Z921" s="212">
        <v>135546</v>
      </c>
      <c r="AA921" s="212">
        <v>15509320</v>
      </c>
      <c r="AB921" s="217">
        <v>2.055768</v>
      </c>
      <c r="AC921" s="217">
        <v>3.3084449999999999</v>
      </c>
      <c r="AD921" s="212">
        <f t="shared" si="14"/>
        <v>31883563.757759999</v>
      </c>
    </row>
    <row r="922" spans="2:30" x14ac:dyDescent="0.15">
      <c r="B922" s="213">
        <v>17097002133</v>
      </c>
      <c r="C922" s="213">
        <v>17097004533</v>
      </c>
      <c r="D922" s="213">
        <v>17097004532</v>
      </c>
      <c r="E922" s="213" t="s">
        <v>533</v>
      </c>
      <c r="F922" s="213" t="s">
        <v>534</v>
      </c>
      <c r="G922" s="213" t="s">
        <v>373</v>
      </c>
      <c r="H922" s="213" t="s">
        <v>552</v>
      </c>
      <c r="I922" s="213"/>
      <c r="J922" s="213" t="s">
        <v>547</v>
      </c>
      <c r="K922" s="213" t="s">
        <v>563</v>
      </c>
      <c r="L922" s="213"/>
      <c r="M922" s="213"/>
      <c r="N922" s="213"/>
      <c r="O922" s="213"/>
      <c r="P922" s="213"/>
      <c r="Q922" s="213"/>
      <c r="R922" s="213"/>
      <c r="S922" s="213" t="s">
        <v>629</v>
      </c>
      <c r="T922" s="213"/>
      <c r="U922" s="213" t="s">
        <v>538</v>
      </c>
      <c r="V922" s="213">
        <v>1</v>
      </c>
      <c r="W922" s="213" t="s">
        <v>582</v>
      </c>
      <c r="X922" s="213" t="s">
        <v>540</v>
      </c>
      <c r="Y922" s="213" t="s">
        <v>554</v>
      </c>
      <c r="Z922" s="212">
        <v>27697</v>
      </c>
      <c r="AA922" s="212">
        <v>2584007</v>
      </c>
      <c r="AB922" s="217">
        <v>3.0207259999999998</v>
      </c>
      <c r="AC922" s="217">
        <v>4.8613960000000001</v>
      </c>
      <c r="AD922" s="212">
        <f t="shared" si="14"/>
        <v>7805577.1290819999</v>
      </c>
    </row>
    <row r="923" spans="2:30" x14ac:dyDescent="0.15">
      <c r="B923" s="213">
        <v>17097002143</v>
      </c>
      <c r="C923" s="213">
        <v>17097000055</v>
      </c>
      <c r="D923" s="213">
        <v>17097004540</v>
      </c>
      <c r="E923" s="213" t="s">
        <v>533</v>
      </c>
      <c r="F923" s="213" t="s">
        <v>534</v>
      </c>
      <c r="G923" s="213" t="s">
        <v>373</v>
      </c>
      <c r="H923" s="213" t="s">
        <v>552</v>
      </c>
      <c r="I923" s="213"/>
      <c r="J923" s="213" t="s">
        <v>542</v>
      </c>
      <c r="K923" s="213"/>
      <c r="L923" s="213"/>
      <c r="M923" s="213"/>
      <c r="N923" s="213"/>
      <c r="O923" s="213"/>
      <c r="P923" s="213"/>
      <c r="Q923" s="213"/>
      <c r="R923" s="213"/>
      <c r="S923" s="213" t="s">
        <v>564</v>
      </c>
      <c r="T923" s="213"/>
      <c r="U923" s="213" t="s">
        <v>538</v>
      </c>
      <c r="V923" s="213">
        <v>2</v>
      </c>
      <c r="W923" s="213" t="s">
        <v>545</v>
      </c>
      <c r="X923" s="213" t="s">
        <v>549</v>
      </c>
      <c r="Y923" s="213" t="s">
        <v>549</v>
      </c>
      <c r="Z923" s="212">
        <v>472628</v>
      </c>
      <c r="AA923" s="212">
        <v>31631277</v>
      </c>
      <c r="AB923" s="217">
        <v>4.3996510000000004</v>
      </c>
      <c r="AC923" s="217">
        <v>7.0805670000000003</v>
      </c>
      <c r="AD923" s="212">
        <f t="shared" si="14"/>
        <v>139166579.48432702</v>
      </c>
    </row>
    <row r="924" spans="2:30" x14ac:dyDescent="0.15">
      <c r="B924" s="213">
        <v>17097002144</v>
      </c>
      <c r="C924" s="213">
        <v>17097004529</v>
      </c>
      <c r="D924" s="213">
        <v>17999017375</v>
      </c>
      <c r="E924" s="213" t="s">
        <v>533</v>
      </c>
      <c r="F924" s="213" t="s">
        <v>534</v>
      </c>
      <c r="G924" s="213" t="s">
        <v>373</v>
      </c>
      <c r="H924" s="213" t="s">
        <v>563</v>
      </c>
      <c r="I924" s="213"/>
      <c r="J924" s="213"/>
      <c r="K924" s="213"/>
      <c r="L924" s="213"/>
      <c r="M924" s="213"/>
      <c r="N924" s="213"/>
      <c r="O924" s="213"/>
      <c r="P924" s="213"/>
      <c r="Q924" s="213"/>
      <c r="R924" s="213"/>
      <c r="S924" s="213" t="s">
        <v>629</v>
      </c>
      <c r="T924" s="213"/>
      <c r="U924" s="213" t="s">
        <v>538</v>
      </c>
      <c r="V924" s="213">
        <v>1</v>
      </c>
      <c r="W924" s="213" t="s">
        <v>562</v>
      </c>
      <c r="X924" s="213" t="s">
        <v>540</v>
      </c>
      <c r="Y924" s="213" t="s">
        <v>554</v>
      </c>
      <c r="Z924" s="212">
        <v>27697</v>
      </c>
      <c r="AA924" s="212">
        <v>2584007</v>
      </c>
      <c r="AB924" s="217">
        <v>1.2516350000000001</v>
      </c>
      <c r="AC924" s="217">
        <v>2.0143149999999999</v>
      </c>
      <c r="AD924" s="212">
        <f t="shared" si="14"/>
        <v>3234233.6014450002</v>
      </c>
    </row>
    <row r="925" spans="2:30" x14ac:dyDescent="0.15">
      <c r="B925" s="213">
        <v>17097002150</v>
      </c>
      <c r="C925" s="213">
        <v>17097000110</v>
      </c>
      <c r="D925" s="213">
        <v>17097000082</v>
      </c>
      <c r="E925" s="213" t="s">
        <v>533</v>
      </c>
      <c r="F925" s="213" t="s">
        <v>534</v>
      </c>
      <c r="G925" s="213" t="s">
        <v>373</v>
      </c>
      <c r="H925" s="213" t="s">
        <v>535</v>
      </c>
      <c r="I925" s="213"/>
      <c r="J925" s="213" t="s">
        <v>382</v>
      </c>
      <c r="K925" s="213" t="s">
        <v>536</v>
      </c>
      <c r="L925" s="213"/>
      <c r="M925" s="213"/>
      <c r="N925" s="213"/>
      <c r="O925" s="213"/>
      <c r="P925" s="213"/>
      <c r="Q925" s="213"/>
      <c r="R925" s="213"/>
      <c r="S925" s="213" t="s">
        <v>550</v>
      </c>
      <c r="T925" s="213"/>
      <c r="U925" s="213" t="s">
        <v>538</v>
      </c>
      <c r="V925" s="213">
        <v>1</v>
      </c>
      <c r="W925" s="213" t="s">
        <v>545</v>
      </c>
      <c r="X925" s="213" t="s">
        <v>541</v>
      </c>
      <c r="Y925" s="213" t="s">
        <v>541</v>
      </c>
      <c r="Z925" s="212">
        <v>720</v>
      </c>
      <c r="AA925" s="212">
        <v>50640</v>
      </c>
      <c r="AB925" s="217">
        <v>5.2855230000000004</v>
      </c>
      <c r="AC925" s="217">
        <v>8.5062409999999993</v>
      </c>
      <c r="AD925" s="212">
        <f t="shared" si="14"/>
        <v>267658.88472000003</v>
      </c>
    </row>
    <row r="926" spans="2:30" x14ac:dyDescent="0.15">
      <c r="B926" s="213">
        <v>17097002153</v>
      </c>
      <c r="C926" s="213">
        <v>17097004538</v>
      </c>
      <c r="D926" s="213">
        <v>17097004537</v>
      </c>
      <c r="E926" s="213" t="s">
        <v>533</v>
      </c>
      <c r="F926" s="213" t="s">
        <v>534</v>
      </c>
      <c r="G926" s="213" t="s">
        <v>373</v>
      </c>
      <c r="H926" s="213" t="s">
        <v>552</v>
      </c>
      <c r="I926" s="213"/>
      <c r="J926" s="213" t="s">
        <v>542</v>
      </c>
      <c r="K926" s="213" t="s">
        <v>547</v>
      </c>
      <c r="L926" s="213" t="s">
        <v>563</v>
      </c>
      <c r="M926" s="213"/>
      <c r="N926" s="213"/>
      <c r="O926" s="213"/>
      <c r="P926" s="213"/>
      <c r="Q926" s="213"/>
      <c r="R926" s="213"/>
      <c r="S926" s="213" t="s">
        <v>564</v>
      </c>
      <c r="T926" s="213"/>
      <c r="U926" s="213" t="s">
        <v>538</v>
      </c>
      <c r="V926" s="213">
        <v>2</v>
      </c>
      <c r="W926" s="213" t="s">
        <v>545</v>
      </c>
      <c r="X926" s="213" t="s">
        <v>540</v>
      </c>
      <c r="Y926" s="213" t="s">
        <v>549</v>
      </c>
      <c r="Z926" s="212">
        <v>500525</v>
      </c>
      <c r="AA926" s="212">
        <v>34229964</v>
      </c>
      <c r="AB926" s="217">
        <v>4.0466819999999997</v>
      </c>
      <c r="AC926" s="217">
        <v>6.5125159999999997</v>
      </c>
      <c r="AD926" s="212">
        <f t="shared" si="14"/>
        <v>138517779.17944798</v>
      </c>
    </row>
    <row r="927" spans="2:30" x14ac:dyDescent="0.15">
      <c r="B927" s="213">
        <v>17097002161</v>
      </c>
      <c r="C927" s="213">
        <v>17999019042</v>
      </c>
      <c r="D927" s="213">
        <v>17097004538</v>
      </c>
      <c r="E927" s="213" t="s">
        <v>533</v>
      </c>
      <c r="F927" s="213" t="s">
        <v>534</v>
      </c>
      <c r="G927" s="213" t="s">
        <v>373</v>
      </c>
      <c r="H927" s="213" t="s">
        <v>552</v>
      </c>
      <c r="I927" s="213"/>
      <c r="J927" s="213" t="s">
        <v>542</v>
      </c>
      <c r="K927" s="213" t="s">
        <v>547</v>
      </c>
      <c r="L927" s="213" t="s">
        <v>563</v>
      </c>
      <c r="M927" s="213"/>
      <c r="N927" s="213"/>
      <c r="O927" s="213"/>
      <c r="P927" s="213"/>
      <c r="Q927" s="213"/>
      <c r="R927" s="213"/>
      <c r="S927" s="213" t="s">
        <v>564</v>
      </c>
      <c r="T927" s="213"/>
      <c r="U927" s="213" t="s">
        <v>538</v>
      </c>
      <c r="V927" s="213">
        <v>2</v>
      </c>
      <c r="W927" s="213" t="s">
        <v>545</v>
      </c>
      <c r="X927" s="213" t="s">
        <v>540</v>
      </c>
      <c r="Y927" s="213" t="s">
        <v>549</v>
      </c>
      <c r="Z927" s="212">
        <v>500525</v>
      </c>
      <c r="AA927" s="212">
        <v>34229964</v>
      </c>
      <c r="AB927" s="217">
        <v>1.133947</v>
      </c>
      <c r="AC927" s="217">
        <v>1.8249139999999999</v>
      </c>
      <c r="AD927" s="212">
        <f t="shared" si="14"/>
        <v>38814964.987907998</v>
      </c>
    </row>
    <row r="928" spans="2:30" x14ac:dyDescent="0.15">
      <c r="B928" s="213">
        <v>17097002615</v>
      </c>
      <c r="C928" s="213">
        <v>17097000097</v>
      </c>
      <c r="D928" s="213">
        <v>17097004542</v>
      </c>
      <c r="E928" s="213" t="s">
        <v>533</v>
      </c>
      <c r="F928" s="213" t="s">
        <v>534</v>
      </c>
      <c r="G928" s="213" t="s">
        <v>373</v>
      </c>
      <c r="H928" s="213" t="s">
        <v>382</v>
      </c>
      <c r="I928" s="213"/>
      <c r="J928" s="213"/>
      <c r="K928" s="213"/>
      <c r="L928" s="213"/>
      <c r="M928" s="213"/>
      <c r="N928" s="213"/>
      <c r="O928" s="213"/>
      <c r="P928" s="213"/>
      <c r="Q928" s="213"/>
      <c r="R928" s="213"/>
      <c r="S928" s="213" t="s">
        <v>586</v>
      </c>
      <c r="T928" s="213"/>
      <c r="U928" s="213" t="s">
        <v>538</v>
      </c>
      <c r="V928" s="213">
        <v>1</v>
      </c>
      <c r="W928" s="213" t="s">
        <v>582</v>
      </c>
      <c r="X928" s="213" t="s">
        <v>549</v>
      </c>
      <c r="Y928" s="213" t="s">
        <v>549</v>
      </c>
      <c r="Z928" s="212">
        <v>139802</v>
      </c>
      <c r="AA928" s="212">
        <v>15922092</v>
      </c>
      <c r="AB928" s="217">
        <v>1.6675120000000001</v>
      </c>
      <c r="AC928" s="217">
        <v>2.6836060000000002</v>
      </c>
      <c r="AD928" s="212">
        <f t="shared" si="14"/>
        <v>26550279.475104</v>
      </c>
    </row>
    <row r="929" spans="2:30" x14ac:dyDescent="0.15">
      <c r="B929" s="213">
        <v>17097003092</v>
      </c>
      <c r="C929" s="213">
        <v>17097000071</v>
      </c>
      <c r="D929" s="213">
        <v>17097000065</v>
      </c>
      <c r="E929" s="213" t="s">
        <v>533</v>
      </c>
      <c r="F929" s="213" t="s">
        <v>534</v>
      </c>
      <c r="G929" s="213" t="s">
        <v>373</v>
      </c>
      <c r="H929" s="213" t="s">
        <v>382</v>
      </c>
      <c r="I929" s="213"/>
      <c r="J929" s="213" t="s">
        <v>535</v>
      </c>
      <c r="K929" s="213" t="s">
        <v>547</v>
      </c>
      <c r="L929" s="213"/>
      <c r="M929" s="213"/>
      <c r="N929" s="213"/>
      <c r="O929" s="213"/>
      <c r="P929" s="213"/>
      <c r="Q929" s="213"/>
      <c r="R929" s="213"/>
      <c r="S929" s="213" t="s">
        <v>565</v>
      </c>
      <c r="T929" s="213"/>
      <c r="U929" s="213" t="s">
        <v>538</v>
      </c>
      <c r="V929" s="213">
        <v>2</v>
      </c>
      <c r="W929" s="213" t="s">
        <v>545</v>
      </c>
      <c r="X929" s="213" t="s">
        <v>549</v>
      </c>
      <c r="Y929" s="213" t="s">
        <v>549</v>
      </c>
      <c r="Z929" s="212">
        <v>18338</v>
      </c>
      <c r="AA929" s="212">
        <v>2046970</v>
      </c>
      <c r="AB929" s="217">
        <v>0.70705799999999996</v>
      </c>
      <c r="AC929" s="217">
        <v>1.137902</v>
      </c>
      <c r="AD929" s="212">
        <f t="shared" si="14"/>
        <v>1447326.5142599999</v>
      </c>
    </row>
    <row r="930" spans="2:30" x14ac:dyDescent="0.15">
      <c r="B930" s="213">
        <v>17097003499</v>
      </c>
      <c r="C930" s="213">
        <v>17999019034</v>
      </c>
      <c r="D930" s="213">
        <v>17097000238</v>
      </c>
      <c r="E930" s="213" t="s">
        <v>533</v>
      </c>
      <c r="F930" s="213" t="s">
        <v>534</v>
      </c>
      <c r="G930" s="213" t="s">
        <v>373</v>
      </c>
      <c r="H930" s="213" t="s">
        <v>535</v>
      </c>
      <c r="I930" s="213"/>
      <c r="J930" s="213" t="s">
        <v>382</v>
      </c>
      <c r="K930" s="213" t="s">
        <v>536</v>
      </c>
      <c r="L930" s="213"/>
      <c r="M930" s="213"/>
      <c r="N930" s="213"/>
      <c r="O930" s="213"/>
      <c r="P930" s="213"/>
      <c r="Q930" s="213"/>
      <c r="R930" s="213"/>
      <c r="S930" s="213" t="s">
        <v>550</v>
      </c>
      <c r="T930" s="213"/>
      <c r="U930" s="213" t="s">
        <v>538</v>
      </c>
      <c r="V930" s="213">
        <v>1</v>
      </c>
      <c r="W930" s="213" t="s">
        <v>545</v>
      </c>
      <c r="X930" s="213" t="s">
        <v>549</v>
      </c>
      <c r="Y930" s="213" t="s">
        <v>540</v>
      </c>
      <c r="Z930" s="212">
        <v>30498</v>
      </c>
      <c r="AA930" s="212">
        <v>2859232</v>
      </c>
      <c r="AB930" s="217">
        <v>0.14211599999999999</v>
      </c>
      <c r="AC930" s="217">
        <v>0.228714</v>
      </c>
      <c r="AD930" s="212">
        <f t="shared" si="14"/>
        <v>406342.61491199996</v>
      </c>
    </row>
    <row r="931" spans="2:30" x14ac:dyDescent="0.15">
      <c r="B931" s="213">
        <v>17097003634</v>
      </c>
      <c r="C931" s="213">
        <v>17097004563</v>
      </c>
      <c r="D931" s="213">
        <v>99999017020</v>
      </c>
      <c r="E931" s="213" t="s">
        <v>533</v>
      </c>
      <c r="F931" s="213" t="s">
        <v>534</v>
      </c>
      <c r="G931" s="213" t="s">
        <v>373</v>
      </c>
      <c r="H931" s="213" t="s">
        <v>382</v>
      </c>
      <c r="I931" s="213"/>
      <c r="J931" s="213" t="s">
        <v>535</v>
      </c>
      <c r="K931" s="213" t="s">
        <v>547</v>
      </c>
      <c r="L931" s="213"/>
      <c r="M931" s="213"/>
      <c r="N931" s="213"/>
      <c r="O931" s="213"/>
      <c r="P931" s="213"/>
      <c r="Q931" s="213"/>
      <c r="R931" s="213"/>
      <c r="S931" s="213" t="s">
        <v>565</v>
      </c>
      <c r="T931" s="213"/>
      <c r="U931" s="213" t="s">
        <v>538</v>
      </c>
      <c r="V931" s="213">
        <v>2</v>
      </c>
      <c r="W931" s="213" t="s">
        <v>566</v>
      </c>
      <c r="X931" s="213" t="s">
        <v>549</v>
      </c>
      <c r="Y931" s="213" t="s">
        <v>540</v>
      </c>
      <c r="Z931" s="212">
        <v>5932</v>
      </c>
      <c r="AA931" s="212">
        <v>562972</v>
      </c>
      <c r="AB931" s="217">
        <v>0.71955999999999998</v>
      </c>
      <c r="AC931" s="217">
        <v>1.1580220000000001</v>
      </c>
      <c r="AD931" s="212">
        <f t="shared" si="14"/>
        <v>405092.13231999998</v>
      </c>
    </row>
    <row r="932" spans="2:30" x14ac:dyDescent="0.15">
      <c r="B932" s="213">
        <v>17097006323</v>
      </c>
      <c r="C932" s="213">
        <v>17097007475</v>
      </c>
      <c r="D932" s="213">
        <v>17097004551</v>
      </c>
      <c r="E932" s="213" t="s">
        <v>533</v>
      </c>
      <c r="F932" s="213" t="s">
        <v>534</v>
      </c>
      <c r="G932" s="213" t="s">
        <v>373</v>
      </c>
      <c r="H932" s="213" t="s">
        <v>382</v>
      </c>
      <c r="I932" s="213"/>
      <c r="J932" s="213" t="s">
        <v>535</v>
      </c>
      <c r="K932" s="213"/>
      <c r="L932" s="213"/>
      <c r="M932" s="213"/>
      <c r="N932" s="213"/>
      <c r="O932" s="213"/>
      <c r="P932" s="213"/>
      <c r="Q932" s="213"/>
      <c r="R932" s="213"/>
      <c r="S932" s="213"/>
      <c r="T932" s="213"/>
      <c r="U932" s="213" t="s">
        <v>559</v>
      </c>
      <c r="V932" s="213">
        <v>1</v>
      </c>
      <c r="W932" s="213" t="s">
        <v>560</v>
      </c>
      <c r="X932" s="213" t="s">
        <v>541</v>
      </c>
      <c r="Y932" s="213" t="s">
        <v>541</v>
      </c>
      <c r="Z932" s="212">
        <v>0</v>
      </c>
      <c r="AA932" s="212">
        <v>0</v>
      </c>
      <c r="AB932" s="217">
        <v>0.41542699999999999</v>
      </c>
      <c r="AC932" s="217">
        <v>0.66856599999999999</v>
      </c>
      <c r="AD932" s="212">
        <f t="shared" si="14"/>
        <v>0</v>
      </c>
    </row>
    <row r="933" spans="2:30" x14ac:dyDescent="0.15">
      <c r="B933" s="213">
        <v>17097006324</v>
      </c>
      <c r="C933" s="213">
        <v>17097000061</v>
      </c>
      <c r="D933" s="213">
        <v>17097004534</v>
      </c>
      <c r="E933" s="213" t="s">
        <v>533</v>
      </c>
      <c r="F933" s="213" t="s">
        <v>534</v>
      </c>
      <c r="G933" s="213" t="s">
        <v>373</v>
      </c>
      <c r="H933" s="213" t="s">
        <v>552</v>
      </c>
      <c r="I933" s="213"/>
      <c r="J933" s="213"/>
      <c r="K933" s="213"/>
      <c r="L933" s="213"/>
      <c r="M933" s="213"/>
      <c r="N933" s="213"/>
      <c r="O933" s="213"/>
      <c r="P933" s="213"/>
      <c r="Q933" s="213"/>
      <c r="R933" s="213"/>
      <c r="S933" s="213"/>
      <c r="T933" s="213"/>
      <c r="U933" s="213" t="s">
        <v>559</v>
      </c>
      <c r="V933" s="213">
        <v>1</v>
      </c>
      <c r="W933" s="213" t="s">
        <v>560</v>
      </c>
      <c r="X933" s="213" t="s">
        <v>541</v>
      </c>
      <c r="Y933" s="213" t="s">
        <v>541</v>
      </c>
      <c r="Z933" s="212">
        <v>0</v>
      </c>
      <c r="AA933" s="212">
        <v>0</v>
      </c>
      <c r="AB933" s="217">
        <v>7.782E-2</v>
      </c>
      <c r="AC933" s="217">
        <v>0.12523899999999999</v>
      </c>
      <c r="AD933" s="212">
        <f t="shared" si="14"/>
        <v>0</v>
      </c>
    </row>
    <row r="934" spans="2:30" x14ac:dyDescent="0.15">
      <c r="B934" s="213">
        <v>17097009350</v>
      </c>
      <c r="C934" s="213">
        <v>17097004546</v>
      </c>
      <c r="D934" s="213">
        <v>17097007469</v>
      </c>
      <c r="E934" s="213" t="s">
        <v>533</v>
      </c>
      <c r="F934" s="213" t="s">
        <v>534</v>
      </c>
      <c r="G934" s="213" t="s">
        <v>373</v>
      </c>
      <c r="H934" s="213" t="s">
        <v>535</v>
      </c>
      <c r="I934" s="213"/>
      <c r="J934" s="213" t="s">
        <v>382</v>
      </c>
      <c r="K934" s="213" t="s">
        <v>536</v>
      </c>
      <c r="L934" s="213"/>
      <c r="M934" s="213"/>
      <c r="N934" s="213"/>
      <c r="O934" s="213"/>
      <c r="P934" s="213"/>
      <c r="Q934" s="213"/>
      <c r="R934" s="213"/>
      <c r="S934" s="213" t="s">
        <v>550</v>
      </c>
      <c r="T934" s="213"/>
      <c r="U934" s="213" t="s">
        <v>538</v>
      </c>
      <c r="V934" s="213">
        <v>1</v>
      </c>
      <c r="W934" s="213" t="s">
        <v>545</v>
      </c>
      <c r="X934" s="213" t="s">
        <v>549</v>
      </c>
      <c r="Y934" s="213" t="s">
        <v>540</v>
      </c>
      <c r="Z934" s="212">
        <v>34316</v>
      </c>
      <c r="AA934" s="212">
        <v>3291542</v>
      </c>
      <c r="AB934" s="217">
        <v>0.67196900000000004</v>
      </c>
      <c r="AC934" s="217">
        <v>1.0814319999999999</v>
      </c>
      <c r="AD934" s="212">
        <f t="shared" si="14"/>
        <v>2211814.1861980003</v>
      </c>
    </row>
    <row r="935" spans="2:30" x14ac:dyDescent="0.15">
      <c r="B935" s="213">
        <v>17097009352</v>
      </c>
      <c r="C935" s="213">
        <v>17097007471</v>
      </c>
      <c r="D935" s="213">
        <v>17097000110</v>
      </c>
      <c r="E935" s="213" t="s">
        <v>533</v>
      </c>
      <c r="F935" s="213" t="s">
        <v>534</v>
      </c>
      <c r="G935" s="213" t="s">
        <v>373</v>
      </c>
      <c r="H935" s="213" t="s">
        <v>535</v>
      </c>
      <c r="I935" s="213"/>
      <c r="J935" s="213" t="s">
        <v>382</v>
      </c>
      <c r="K935" s="213" t="s">
        <v>536</v>
      </c>
      <c r="L935" s="213"/>
      <c r="M935" s="213"/>
      <c r="N935" s="213"/>
      <c r="O935" s="213"/>
      <c r="P935" s="213"/>
      <c r="Q935" s="213"/>
      <c r="R935" s="213"/>
      <c r="S935" s="213" t="s">
        <v>550</v>
      </c>
      <c r="T935" s="213"/>
      <c r="U935" s="213" t="s">
        <v>538</v>
      </c>
      <c r="V935" s="213">
        <v>2</v>
      </c>
      <c r="W935" s="213" t="s">
        <v>545</v>
      </c>
      <c r="X935" s="213" t="s">
        <v>549</v>
      </c>
      <c r="Y935" s="213" t="s">
        <v>540</v>
      </c>
      <c r="Z935" s="212">
        <v>34316</v>
      </c>
      <c r="AA935" s="212">
        <v>3291542</v>
      </c>
      <c r="AB935" s="217">
        <v>9.6533999999999995E-2</v>
      </c>
      <c r="AC935" s="217">
        <v>0.15535599999999999</v>
      </c>
      <c r="AD935" s="212">
        <f t="shared" si="14"/>
        <v>317745.71542799997</v>
      </c>
    </row>
    <row r="936" spans="2:30" x14ac:dyDescent="0.15">
      <c r="B936" s="213">
        <v>17111001950</v>
      </c>
      <c r="C936" s="213">
        <v>17999017375</v>
      </c>
      <c r="D936" s="213">
        <v>17111004829</v>
      </c>
      <c r="E936" s="213" t="s">
        <v>533</v>
      </c>
      <c r="F936" s="213" t="s">
        <v>534</v>
      </c>
      <c r="G936" s="213" t="s">
        <v>375</v>
      </c>
      <c r="H936" s="213" t="s">
        <v>563</v>
      </c>
      <c r="I936" s="213"/>
      <c r="J936" s="213"/>
      <c r="K936" s="213"/>
      <c r="L936" s="213"/>
      <c r="M936" s="213"/>
      <c r="N936" s="213"/>
      <c r="O936" s="213"/>
      <c r="P936" s="213"/>
      <c r="Q936" s="213"/>
      <c r="R936" s="213"/>
      <c r="S936" s="213" t="s">
        <v>629</v>
      </c>
      <c r="T936" s="213"/>
      <c r="U936" s="213" t="s">
        <v>538</v>
      </c>
      <c r="V936" s="213">
        <v>1</v>
      </c>
      <c r="W936" s="213" t="s">
        <v>562</v>
      </c>
      <c r="X936" s="213" t="s">
        <v>554</v>
      </c>
      <c r="Y936" s="213" t="s">
        <v>554</v>
      </c>
      <c r="Z936" s="212">
        <v>27697</v>
      </c>
      <c r="AA936" s="212">
        <v>2584007</v>
      </c>
      <c r="AB936" s="217">
        <v>2.7005379999999999</v>
      </c>
      <c r="AC936" s="217">
        <v>4.3461040000000004</v>
      </c>
      <c r="AD936" s="212">
        <f t="shared" si="14"/>
        <v>6978209.0957659995</v>
      </c>
    </row>
    <row r="937" spans="2:30" x14ac:dyDescent="0.15">
      <c r="B937" s="213">
        <v>17111001977</v>
      </c>
      <c r="C937" s="213">
        <v>17111004834</v>
      </c>
      <c r="D937" s="213">
        <v>17111007943</v>
      </c>
      <c r="E937" s="213" t="s">
        <v>533</v>
      </c>
      <c r="F937" s="213" t="s">
        <v>534</v>
      </c>
      <c r="G937" s="213" t="s">
        <v>375</v>
      </c>
      <c r="H937" s="213" t="s">
        <v>382</v>
      </c>
      <c r="I937" s="213"/>
      <c r="J937" s="213" t="s">
        <v>547</v>
      </c>
      <c r="K937" s="213"/>
      <c r="L937" s="213"/>
      <c r="M937" s="213"/>
      <c r="N937" s="213"/>
      <c r="O937" s="213"/>
      <c r="P937" s="213"/>
      <c r="Q937" s="213"/>
      <c r="R937" s="213"/>
      <c r="S937" s="213" t="s">
        <v>608</v>
      </c>
      <c r="T937" s="213"/>
      <c r="U937" s="213" t="s">
        <v>538</v>
      </c>
      <c r="V937" s="213">
        <v>2</v>
      </c>
      <c r="W937" s="213" t="s">
        <v>566</v>
      </c>
      <c r="X937" s="213" t="s">
        <v>549</v>
      </c>
      <c r="Y937" s="213" t="s">
        <v>549</v>
      </c>
      <c r="Z937" s="212">
        <v>11697</v>
      </c>
      <c r="AA937" s="212">
        <v>1089235</v>
      </c>
      <c r="AB937" s="217">
        <v>3.3047430000000002</v>
      </c>
      <c r="AC937" s="217">
        <v>5.3184779999999998</v>
      </c>
      <c r="AD937" s="212">
        <f t="shared" si="14"/>
        <v>3599641.7416050001</v>
      </c>
    </row>
    <row r="938" spans="2:30" x14ac:dyDescent="0.15">
      <c r="B938" s="213">
        <v>17111001984</v>
      </c>
      <c r="C938" s="213">
        <v>17111004838</v>
      </c>
      <c r="D938" s="213">
        <v>17111000041</v>
      </c>
      <c r="E938" s="213" t="s">
        <v>533</v>
      </c>
      <c r="F938" s="213" t="s">
        <v>534</v>
      </c>
      <c r="G938" s="213" t="s">
        <v>375</v>
      </c>
      <c r="H938" s="213" t="s">
        <v>382</v>
      </c>
      <c r="I938" s="213"/>
      <c r="J938" s="213"/>
      <c r="K938" s="213"/>
      <c r="L938" s="213"/>
      <c r="M938" s="213"/>
      <c r="N938" s="213"/>
      <c r="O938" s="213"/>
      <c r="P938" s="213"/>
      <c r="Q938" s="213"/>
      <c r="R938" s="213"/>
      <c r="S938" s="213" t="s">
        <v>608</v>
      </c>
      <c r="T938" s="213"/>
      <c r="U938" s="213" t="s">
        <v>538</v>
      </c>
      <c r="V938" s="213">
        <v>2</v>
      </c>
      <c r="W938" s="213" t="s">
        <v>566</v>
      </c>
      <c r="X938" s="213" t="s">
        <v>540</v>
      </c>
      <c r="Y938" s="213" t="s">
        <v>549</v>
      </c>
      <c r="Z938" s="212">
        <v>11217</v>
      </c>
      <c r="AA938" s="212">
        <v>1044275</v>
      </c>
      <c r="AB938" s="217">
        <v>0.16065399999999999</v>
      </c>
      <c r="AC938" s="217">
        <v>0.25854899999999997</v>
      </c>
      <c r="AD938" s="212">
        <f t="shared" si="14"/>
        <v>167766.95585</v>
      </c>
    </row>
    <row r="939" spans="2:30" x14ac:dyDescent="0.15">
      <c r="B939" s="213">
        <v>17111002164</v>
      </c>
      <c r="C939" s="213">
        <v>17111000119</v>
      </c>
      <c r="D939" s="213">
        <v>17111000112</v>
      </c>
      <c r="E939" s="213" t="s">
        <v>533</v>
      </c>
      <c r="F939" s="213" t="s">
        <v>534</v>
      </c>
      <c r="G939" s="213" t="s">
        <v>375</v>
      </c>
      <c r="H939" s="213" t="s">
        <v>382</v>
      </c>
      <c r="I939" s="213"/>
      <c r="J939" s="213"/>
      <c r="K939" s="213"/>
      <c r="L939" s="213"/>
      <c r="M939" s="213"/>
      <c r="N939" s="213"/>
      <c r="O939" s="213"/>
      <c r="P939" s="213"/>
      <c r="Q939" s="213"/>
      <c r="R939" s="213"/>
      <c r="S939" s="213"/>
      <c r="T939" s="213"/>
      <c r="U939" s="213" t="s">
        <v>559</v>
      </c>
      <c r="V939" s="213">
        <v>1</v>
      </c>
      <c r="W939" s="213" t="s">
        <v>560</v>
      </c>
      <c r="X939" s="213" t="s">
        <v>541</v>
      </c>
      <c r="Y939" s="213" t="s">
        <v>541</v>
      </c>
      <c r="Z939" s="212">
        <v>0</v>
      </c>
      <c r="AA939" s="212">
        <v>0</v>
      </c>
      <c r="AB939" s="217">
        <v>0.414821</v>
      </c>
      <c r="AC939" s="217">
        <v>0.66759000000000002</v>
      </c>
      <c r="AD939" s="212">
        <f t="shared" si="14"/>
        <v>0</v>
      </c>
    </row>
    <row r="940" spans="2:30" x14ac:dyDescent="0.15">
      <c r="B940" s="213">
        <v>17111002543</v>
      </c>
      <c r="C940" s="213">
        <v>17111004830</v>
      </c>
      <c r="D940" s="213">
        <v>17111000018</v>
      </c>
      <c r="E940" s="213" t="s">
        <v>533</v>
      </c>
      <c r="F940" s="213" t="s">
        <v>534</v>
      </c>
      <c r="G940" s="213" t="s">
        <v>375</v>
      </c>
      <c r="H940" s="213" t="s">
        <v>563</v>
      </c>
      <c r="I940" s="213"/>
      <c r="J940" s="213"/>
      <c r="K940" s="213"/>
      <c r="L940" s="213"/>
      <c r="M940" s="213"/>
      <c r="N940" s="213"/>
      <c r="O940" s="213"/>
      <c r="P940" s="213"/>
      <c r="Q940" s="213"/>
      <c r="R940" s="213"/>
      <c r="S940" s="213" t="s">
        <v>629</v>
      </c>
      <c r="T940" s="213"/>
      <c r="U940" s="213" t="s">
        <v>538</v>
      </c>
      <c r="V940" s="213">
        <v>1</v>
      </c>
      <c r="W940" s="213" t="s">
        <v>562</v>
      </c>
      <c r="X940" s="213" t="s">
        <v>554</v>
      </c>
      <c r="Y940" s="213" t="s">
        <v>554</v>
      </c>
      <c r="Z940" s="212">
        <v>27537</v>
      </c>
      <c r="AA940" s="212">
        <v>2569247</v>
      </c>
      <c r="AB940" s="217">
        <v>1.965821</v>
      </c>
      <c r="AC940" s="217">
        <v>3.1636880000000001</v>
      </c>
      <c r="AD940" s="212">
        <f t="shared" si="14"/>
        <v>5050679.7067870004</v>
      </c>
    </row>
    <row r="941" spans="2:30" x14ac:dyDescent="0.15">
      <c r="B941" s="213">
        <v>17111002544</v>
      </c>
      <c r="C941" s="213">
        <v>17111000041</v>
      </c>
      <c r="D941" s="213">
        <v>17999017040</v>
      </c>
      <c r="E941" s="213" t="s">
        <v>533</v>
      </c>
      <c r="F941" s="213" t="s">
        <v>534</v>
      </c>
      <c r="G941" s="213" t="s">
        <v>375</v>
      </c>
      <c r="H941" s="213" t="s">
        <v>382</v>
      </c>
      <c r="I941" s="213"/>
      <c r="J941" s="213"/>
      <c r="K941" s="213"/>
      <c r="L941" s="213"/>
      <c r="M941" s="213"/>
      <c r="N941" s="213"/>
      <c r="O941" s="213"/>
      <c r="P941" s="213"/>
      <c r="Q941" s="213"/>
      <c r="R941" s="213"/>
      <c r="S941" s="213" t="s">
        <v>608</v>
      </c>
      <c r="T941" s="213"/>
      <c r="U941" s="213" t="s">
        <v>538</v>
      </c>
      <c r="V941" s="213">
        <v>1</v>
      </c>
      <c r="W941" s="213" t="s">
        <v>582</v>
      </c>
      <c r="X941" s="213" t="s">
        <v>549</v>
      </c>
      <c r="Y941" s="213" t="s">
        <v>554</v>
      </c>
      <c r="Z941" s="212">
        <v>8909</v>
      </c>
      <c r="AA941" s="212">
        <v>816157</v>
      </c>
      <c r="AB941" s="217">
        <v>6.54779</v>
      </c>
      <c r="AC941" s="217">
        <v>10.537667000000001</v>
      </c>
      <c r="AD941" s="212">
        <f t="shared" si="14"/>
        <v>5344024.6430299999</v>
      </c>
    </row>
    <row r="942" spans="2:30" x14ac:dyDescent="0.15">
      <c r="B942" s="213">
        <v>17111002549</v>
      </c>
      <c r="C942" s="213">
        <v>17111004842</v>
      </c>
      <c r="D942" s="213">
        <v>17999018462</v>
      </c>
      <c r="E942" s="213" t="s">
        <v>533</v>
      </c>
      <c r="F942" s="213" t="s">
        <v>534</v>
      </c>
      <c r="G942" s="213" t="s">
        <v>375</v>
      </c>
      <c r="H942" s="213" t="s">
        <v>382</v>
      </c>
      <c r="I942" s="213"/>
      <c r="J942" s="213"/>
      <c r="K942" s="213"/>
      <c r="L942" s="213"/>
      <c r="M942" s="213"/>
      <c r="N942" s="213"/>
      <c r="O942" s="213"/>
      <c r="P942" s="213"/>
      <c r="Q942" s="213"/>
      <c r="R942" s="213"/>
      <c r="S942" s="213" t="s">
        <v>561</v>
      </c>
      <c r="T942" s="213"/>
      <c r="U942" s="213" t="s">
        <v>538</v>
      </c>
      <c r="V942" s="213">
        <v>1</v>
      </c>
      <c r="W942" s="213" t="s">
        <v>562</v>
      </c>
      <c r="X942" s="213" t="s">
        <v>540</v>
      </c>
      <c r="Y942" s="213" t="s">
        <v>541</v>
      </c>
      <c r="Z942" s="212">
        <v>26464</v>
      </c>
      <c r="AA942" s="212">
        <v>624580</v>
      </c>
      <c r="AB942" s="217">
        <v>4.9888399999999997</v>
      </c>
      <c r="AC942" s="217">
        <v>8.0287749999999996</v>
      </c>
      <c r="AD942" s="212">
        <f t="shared" si="14"/>
        <v>3115929.6872</v>
      </c>
    </row>
    <row r="943" spans="2:30" x14ac:dyDescent="0.15">
      <c r="B943" s="213">
        <v>17111002550</v>
      </c>
      <c r="C943" s="213">
        <v>17111000115</v>
      </c>
      <c r="D943" s="213">
        <v>17111000108</v>
      </c>
      <c r="E943" s="213" t="s">
        <v>533</v>
      </c>
      <c r="F943" s="213" t="s">
        <v>534</v>
      </c>
      <c r="G943" s="213" t="s">
        <v>375</v>
      </c>
      <c r="H943" s="213" t="s">
        <v>382</v>
      </c>
      <c r="I943" s="213"/>
      <c r="J943" s="213" t="s">
        <v>547</v>
      </c>
      <c r="K943" s="213"/>
      <c r="L943" s="213"/>
      <c r="M943" s="213"/>
      <c r="N943" s="213"/>
      <c r="O943" s="213"/>
      <c r="P943" s="213"/>
      <c r="Q943" s="213"/>
      <c r="R943" s="213"/>
      <c r="S943" s="213" t="s">
        <v>608</v>
      </c>
      <c r="T943" s="213"/>
      <c r="U943" s="213" t="s">
        <v>538</v>
      </c>
      <c r="V943" s="213">
        <v>2</v>
      </c>
      <c r="W943" s="213" t="s">
        <v>566</v>
      </c>
      <c r="X943" s="213" t="s">
        <v>549</v>
      </c>
      <c r="Y943" s="213" t="s">
        <v>549</v>
      </c>
      <c r="Z943" s="212">
        <v>11933</v>
      </c>
      <c r="AA943" s="212">
        <v>1113447</v>
      </c>
      <c r="AB943" s="217">
        <v>0.57832499999999998</v>
      </c>
      <c r="AC943" s="217">
        <v>0.93072500000000002</v>
      </c>
      <c r="AD943" s="212">
        <f t="shared" si="14"/>
        <v>643934.23627500003</v>
      </c>
    </row>
    <row r="944" spans="2:30" x14ac:dyDescent="0.15">
      <c r="B944" s="213">
        <v>17111002551</v>
      </c>
      <c r="C944" s="213">
        <v>17111000045</v>
      </c>
      <c r="D944" s="213">
        <v>17111004838</v>
      </c>
      <c r="E944" s="213" t="s">
        <v>533</v>
      </c>
      <c r="F944" s="213" t="s">
        <v>534</v>
      </c>
      <c r="G944" s="213" t="s">
        <v>375</v>
      </c>
      <c r="H944" s="213" t="s">
        <v>382</v>
      </c>
      <c r="I944" s="213"/>
      <c r="J944" s="213" t="s">
        <v>547</v>
      </c>
      <c r="K944" s="213"/>
      <c r="L944" s="213"/>
      <c r="M944" s="213"/>
      <c r="N944" s="213"/>
      <c r="O944" s="213"/>
      <c r="P944" s="213"/>
      <c r="Q944" s="213"/>
      <c r="R944" s="213"/>
      <c r="S944" s="213" t="s">
        <v>608</v>
      </c>
      <c r="T944" s="213"/>
      <c r="U944" s="213" t="s">
        <v>538</v>
      </c>
      <c r="V944" s="213">
        <v>2</v>
      </c>
      <c r="W944" s="213" t="s">
        <v>566</v>
      </c>
      <c r="X944" s="213" t="s">
        <v>540</v>
      </c>
      <c r="Y944" s="213" t="s">
        <v>549</v>
      </c>
      <c r="Z944" s="212">
        <v>11217</v>
      </c>
      <c r="AA944" s="212">
        <v>1044275</v>
      </c>
      <c r="AB944" s="217">
        <v>0.318969</v>
      </c>
      <c r="AC944" s="217">
        <v>0.51333099999999998</v>
      </c>
      <c r="AD944" s="212">
        <f t="shared" si="14"/>
        <v>333091.35247500002</v>
      </c>
    </row>
    <row r="945" spans="2:30" x14ac:dyDescent="0.15">
      <c r="B945" s="213">
        <v>17111002555</v>
      </c>
      <c r="C945" s="213">
        <v>17111000144</v>
      </c>
      <c r="D945" s="213">
        <v>17111000119</v>
      </c>
      <c r="E945" s="213" t="s">
        <v>533</v>
      </c>
      <c r="F945" s="213" t="s">
        <v>534</v>
      </c>
      <c r="G945" s="213" t="s">
        <v>375</v>
      </c>
      <c r="H945" s="213" t="s">
        <v>382</v>
      </c>
      <c r="I945" s="213"/>
      <c r="J945" s="213"/>
      <c r="K945" s="213"/>
      <c r="L945" s="213"/>
      <c r="M945" s="213"/>
      <c r="N945" s="213"/>
      <c r="O945" s="213"/>
      <c r="P945" s="213"/>
      <c r="Q945" s="213"/>
      <c r="R945" s="213"/>
      <c r="S945" s="213" t="s">
        <v>620</v>
      </c>
      <c r="T945" s="213"/>
      <c r="U945" s="213" t="s">
        <v>559</v>
      </c>
      <c r="V945" s="213">
        <v>1</v>
      </c>
      <c r="W945" s="213" t="s">
        <v>560</v>
      </c>
      <c r="X945" s="213" t="s">
        <v>541</v>
      </c>
      <c r="Y945" s="213" t="s">
        <v>541</v>
      </c>
      <c r="Z945" s="212">
        <v>0</v>
      </c>
      <c r="AA945" s="212">
        <v>0</v>
      </c>
      <c r="AB945" s="217">
        <v>0.49689100000000003</v>
      </c>
      <c r="AC945" s="217">
        <v>0.79967100000000002</v>
      </c>
      <c r="AD945" s="212">
        <f t="shared" si="14"/>
        <v>0</v>
      </c>
    </row>
    <row r="946" spans="2:30" x14ac:dyDescent="0.15">
      <c r="B946" s="213">
        <v>17111002618</v>
      </c>
      <c r="C946" s="213">
        <v>17111000144</v>
      </c>
      <c r="D946" s="213">
        <v>17111004831</v>
      </c>
      <c r="E946" s="213" t="s">
        <v>533</v>
      </c>
      <c r="F946" s="213" t="s">
        <v>534</v>
      </c>
      <c r="G946" s="213" t="s">
        <v>375</v>
      </c>
      <c r="H946" s="213" t="s">
        <v>382</v>
      </c>
      <c r="I946" s="213"/>
      <c r="J946" s="213"/>
      <c r="K946" s="213"/>
      <c r="L946" s="213"/>
      <c r="M946" s="213"/>
      <c r="N946" s="213"/>
      <c r="O946" s="213"/>
      <c r="P946" s="213"/>
      <c r="Q946" s="213"/>
      <c r="R946" s="213"/>
      <c r="S946" s="213" t="s">
        <v>620</v>
      </c>
      <c r="T946" s="213"/>
      <c r="U946" s="213" t="s">
        <v>559</v>
      </c>
      <c r="V946" s="213">
        <v>1</v>
      </c>
      <c r="W946" s="213" t="s">
        <v>560</v>
      </c>
      <c r="X946" s="213" t="s">
        <v>541</v>
      </c>
      <c r="Y946" s="213" t="s">
        <v>541</v>
      </c>
      <c r="Z946" s="212">
        <v>0</v>
      </c>
      <c r="AA946" s="212">
        <v>0</v>
      </c>
      <c r="AB946" s="217">
        <v>0.31636999999999998</v>
      </c>
      <c r="AC946" s="217">
        <v>0.50914899999999996</v>
      </c>
      <c r="AD946" s="212">
        <f t="shared" si="14"/>
        <v>0</v>
      </c>
    </row>
    <row r="947" spans="2:30" x14ac:dyDescent="0.15">
      <c r="B947" s="213">
        <v>17111002711</v>
      </c>
      <c r="C947" s="213">
        <v>17111000043</v>
      </c>
      <c r="D947" s="213">
        <v>17111000039</v>
      </c>
      <c r="E947" s="213" t="s">
        <v>533</v>
      </c>
      <c r="F947" s="213" t="s">
        <v>534</v>
      </c>
      <c r="G947" s="213" t="s">
        <v>375</v>
      </c>
      <c r="H947" s="213" t="s">
        <v>636</v>
      </c>
      <c r="I947" s="213"/>
      <c r="J947" s="213"/>
      <c r="K947" s="213"/>
      <c r="L947" s="213"/>
      <c r="M947" s="213"/>
      <c r="N947" s="213"/>
      <c r="O947" s="213"/>
      <c r="P947" s="213"/>
      <c r="Q947" s="213"/>
      <c r="R947" s="213"/>
      <c r="S947" s="213"/>
      <c r="T947" s="213"/>
      <c r="U947" s="213" t="s">
        <v>538</v>
      </c>
      <c r="V947" s="213">
        <v>1</v>
      </c>
      <c r="W947" s="213" t="s">
        <v>560</v>
      </c>
      <c r="X947" s="213" t="s">
        <v>637</v>
      </c>
      <c r="Y947" s="213" t="s">
        <v>541</v>
      </c>
      <c r="Z947" s="212">
        <v>0</v>
      </c>
      <c r="AA947" s="212">
        <v>0</v>
      </c>
      <c r="AB947" s="217">
        <v>2.6914910000000001</v>
      </c>
      <c r="AC947" s="217">
        <v>4.3315440000000001</v>
      </c>
      <c r="AD947" s="212">
        <f t="shared" si="14"/>
        <v>0</v>
      </c>
    </row>
    <row r="948" spans="2:30" x14ac:dyDescent="0.15">
      <c r="B948" s="213">
        <v>17111005928</v>
      </c>
      <c r="C948" s="213">
        <v>17111000151</v>
      </c>
      <c r="D948" s="213">
        <v>17111000154</v>
      </c>
      <c r="E948" s="213" t="s">
        <v>533</v>
      </c>
      <c r="F948" s="213" t="s">
        <v>534</v>
      </c>
      <c r="G948" s="213" t="s">
        <v>375</v>
      </c>
      <c r="H948" s="213" t="s">
        <v>678</v>
      </c>
      <c r="I948" s="213"/>
      <c r="J948" s="213"/>
      <c r="K948" s="213"/>
      <c r="L948" s="213"/>
      <c r="M948" s="213"/>
      <c r="N948" s="213"/>
      <c r="O948" s="213"/>
      <c r="P948" s="213"/>
      <c r="Q948" s="213"/>
      <c r="R948" s="213"/>
      <c r="S948" s="213"/>
      <c r="T948" s="213"/>
      <c r="U948" s="213" t="s">
        <v>538</v>
      </c>
      <c r="V948" s="213">
        <v>1</v>
      </c>
      <c r="W948" s="213" t="s">
        <v>560</v>
      </c>
      <c r="X948" s="213" t="s">
        <v>541</v>
      </c>
      <c r="Y948" s="213" t="s">
        <v>541</v>
      </c>
      <c r="Z948" s="212">
        <v>0</v>
      </c>
      <c r="AA948" s="212">
        <v>0</v>
      </c>
      <c r="AB948" s="217">
        <v>0.16159299999999999</v>
      </c>
      <c r="AC948" s="217">
        <v>0.26005899999999998</v>
      </c>
      <c r="AD948" s="212">
        <f t="shared" si="14"/>
        <v>0</v>
      </c>
    </row>
    <row r="949" spans="2:30" x14ac:dyDescent="0.15">
      <c r="B949" s="213">
        <v>17111005953</v>
      </c>
      <c r="C949" s="213">
        <v>17111004832</v>
      </c>
      <c r="D949" s="213">
        <v>17111000144</v>
      </c>
      <c r="E949" s="213" t="s">
        <v>533</v>
      </c>
      <c r="F949" s="213" t="s">
        <v>534</v>
      </c>
      <c r="G949" s="213" t="s">
        <v>375</v>
      </c>
      <c r="H949" s="213" t="s">
        <v>382</v>
      </c>
      <c r="I949" s="213"/>
      <c r="J949" s="213"/>
      <c r="K949" s="213"/>
      <c r="L949" s="213"/>
      <c r="M949" s="213"/>
      <c r="N949" s="213"/>
      <c r="O949" s="213"/>
      <c r="P949" s="213"/>
      <c r="Q949" s="213"/>
      <c r="R949" s="213"/>
      <c r="S949" s="213" t="s">
        <v>620</v>
      </c>
      <c r="T949" s="213"/>
      <c r="U949" s="213" t="s">
        <v>559</v>
      </c>
      <c r="V949" s="213">
        <v>1</v>
      </c>
      <c r="W949" s="213" t="s">
        <v>560</v>
      </c>
      <c r="X949" s="213" t="s">
        <v>541</v>
      </c>
      <c r="Y949" s="213" t="s">
        <v>541</v>
      </c>
      <c r="Z949" s="212">
        <v>0</v>
      </c>
      <c r="AA949" s="212">
        <v>0</v>
      </c>
      <c r="AB949" s="217">
        <v>0.47721200000000003</v>
      </c>
      <c r="AC949" s="217">
        <v>0.76800000000000002</v>
      </c>
      <c r="AD949" s="212">
        <f t="shared" si="14"/>
        <v>0</v>
      </c>
    </row>
    <row r="950" spans="2:30" x14ac:dyDescent="0.15">
      <c r="B950" s="213">
        <v>17197002011</v>
      </c>
      <c r="C950" s="213">
        <v>17197007461</v>
      </c>
      <c r="D950" s="213">
        <v>17197007445</v>
      </c>
      <c r="E950" s="213" t="s">
        <v>533</v>
      </c>
      <c r="F950" s="213" t="s">
        <v>534</v>
      </c>
      <c r="G950" s="213" t="s">
        <v>377</v>
      </c>
      <c r="H950" s="213" t="s">
        <v>535</v>
      </c>
      <c r="I950" s="213"/>
      <c r="J950" s="213" t="s">
        <v>382</v>
      </c>
      <c r="K950" s="213" t="s">
        <v>536</v>
      </c>
      <c r="L950" s="213"/>
      <c r="M950" s="213"/>
      <c r="N950" s="213"/>
      <c r="O950" s="213"/>
      <c r="P950" s="213"/>
      <c r="Q950" s="213"/>
      <c r="R950" s="213"/>
      <c r="S950" s="213" t="s">
        <v>550</v>
      </c>
      <c r="T950" s="213"/>
      <c r="U950" s="213" t="s">
        <v>538</v>
      </c>
      <c r="V950" s="213">
        <v>1</v>
      </c>
      <c r="W950" s="213" t="s">
        <v>545</v>
      </c>
      <c r="X950" s="213" t="s">
        <v>549</v>
      </c>
      <c r="Y950" s="213" t="s">
        <v>540</v>
      </c>
      <c r="Z950" s="212">
        <v>66683</v>
      </c>
      <c r="AA950" s="212">
        <v>7416364</v>
      </c>
      <c r="AB950" s="217">
        <v>1.916623</v>
      </c>
      <c r="AC950" s="217">
        <v>3.0845120000000001</v>
      </c>
      <c r="AD950" s="212">
        <f t="shared" si="14"/>
        <v>14214373.818771999</v>
      </c>
    </row>
    <row r="951" spans="2:30" x14ac:dyDescent="0.15">
      <c r="B951" s="213">
        <v>17197002051</v>
      </c>
      <c r="C951" s="213">
        <v>17999025833</v>
      </c>
      <c r="D951" s="213">
        <v>17197007380</v>
      </c>
      <c r="E951" s="213" t="s">
        <v>533</v>
      </c>
      <c r="F951" s="213" t="s">
        <v>534</v>
      </c>
      <c r="G951" s="213" t="s">
        <v>377</v>
      </c>
      <c r="H951" s="213" t="s">
        <v>382</v>
      </c>
      <c r="I951" s="213"/>
      <c r="J951" s="213" t="s">
        <v>551</v>
      </c>
      <c r="K951" s="213" t="s">
        <v>555</v>
      </c>
      <c r="L951" s="213"/>
      <c r="M951" s="213"/>
      <c r="N951" s="213"/>
      <c r="O951" s="213"/>
      <c r="P951" s="213"/>
      <c r="Q951" s="213"/>
      <c r="R951" s="213"/>
      <c r="S951" s="213" t="s">
        <v>556</v>
      </c>
      <c r="T951" s="213"/>
      <c r="U951" s="213" t="s">
        <v>538</v>
      </c>
      <c r="V951" s="213">
        <v>2</v>
      </c>
      <c r="W951" s="213" t="s">
        <v>582</v>
      </c>
      <c r="X951" s="213" t="s">
        <v>549</v>
      </c>
      <c r="Y951" s="213" t="s">
        <v>580</v>
      </c>
      <c r="Z951" s="212">
        <v>846321</v>
      </c>
      <c r="AA951" s="212">
        <v>33452495</v>
      </c>
      <c r="AB951" s="217">
        <v>3.636355</v>
      </c>
      <c r="AC951" s="217">
        <v>5.8521580000000002</v>
      </c>
      <c r="AD951" s="212">
        <f t="shared" si="14"/>
        <v>121645147.455725</v>
      </c>
    </row>
    <row r="952" spans="2:30" x14ac:dyDescent="0.15">
      <c r="B952" s="213">
        <v>17197002056</v>
      </c>
      <c r="C952" s="213">
        <v>17197001753</v>
      </c>
      <c r="D952" s="213">
        <v>17197001738</v>
      </c>
      <c r="E952" s="213" t="s">
        <v>533</v>
      </c>
      <c r="F952" s="213" t="s">
        <v>534</v>
      </c>
      <c r="G952" s="213" t="s">
        <v>377</v>
      </c>
      <c r="H952" s="213" t="s">
        <v>382</v>
      </c>
      <c r="I952" s="213"/>
      <c r="J952" s="213" t="s">
        <v>542</v>
      </c>
      <c r="K952" s="213"/>
      <c r="L952" s="213"/>
      <c r="M952" s="213"/>
      <c r="N952" s="213"/>
      <c r="O952" s="213"/>
      <c r="P952" s="213"/>
      <c r="Q952" s="213"/>
      <c r="R952" s="213"/>
      <c r="S952" s="213" t="s">
        <v>606</v>
      </c>
      <c r="T952" s="213"/>
      <c r="U952" s="213" t="s">
        <v>538</v>
      </c>
      <c r="V952" s="213">
        <v>1</v>
      </c>
      <c r="W952" s="213" t="s">
        <v>545</v>
      </c>
      <c r="X952" s="213" t="s">
        <v>549</v>
      </c>
      <c r="Y952" s="213" t="s">
        <v>541</v>
      </c>
      <c r="Z952" s="212">
        <v>80</v>
      </c>
      <c r="AA952" s="212">
        <v>7600</v>
      </c>
      <c r="AB952" s="217">
        <v>0.58857999999999999</v>
      </c>
      <c r="AC952" s="217">
        <v>0.94723000000000002</v>
      </c>
      <c r="AD952" s="212">
        <f t="shared" si="14"/>
        <v>4473.2079999999996</v>
      </c>
    </row>
    <row r="953" spans="2:30" x14ac:dyDescent="0.15">
      <c r="B953" s="213">
        <v>17197002058</v>
      </c>
      <c r="C953" s="213">
        <v>17197001810</v>
      </c>
      <c r="D953" s="213">
        <v>17197001773</v>
      </c>
      <c r="E953" s="213" t="s">
        <v>533</v>
      </c>
      <c r="F953" s="213" t="s">
        <v>534</v>
      </c>
      <c r="G953" s="213" t="s">
        <v>377</v>
      </c>
      <c r="H953" s="213" t="s">
        <v>382</v>
      </c>
      <c r="I953" s="213"/>
      <c r="J953" s="213" t="s">
        <v>542</v>
      </c>
      <c r="K953" s="213"/>
      <c r="L953" s="213"/>
      <c r="M953" s="213"/>
      <c r="N953" s="213"/>
      <c r="O953" s="213"/>
      <c r="P953" s="213"/>
      <c r="Q953" s="213"/>
      <c r="R953" s="213"/>
      <c r="S953" s="213" t="s">
        <v>606</v>
      </c>
      <c r="T953" s="213"/>
      <c r="U953" s="213" t="s">
        <v>538</v>
      </c>
      <c r="V953" s="213">
        <v>1</v>
      </c>
      <c r="W953" s="213" t="s">
        <v>545</v>
      </c>
      <c r="X953" s="213" t="s">
        <v>549</v>
      </c>
      <c r="Y953" s="213" t="s">
        <v>541</v>
      </c>
      <c r="Z953" s="212">
        <v>0</v>
      </c>
      <c r="AA953" s="212">
        <v>0</v>
      </c>
      <c r="AB953" s="217">
        <v>4.3202999999999996</v>
      </c>
      <c r="AC953" s="217">
        <v>6.9528619999999997</v>
      </c>
      <c r="AD953" s="212">
        <f t="shared" si="14"/>
        <v>0</v>
      </c>
    </row>
    <row r="954" spans="2:30" x14ac:dyDescent="0.15">
      <c r="B954" s="213">
        <v>17197002067</v>
      </c>
      <c r="C954" s="213">
        <v>17197004788</v>
      </c>
      <c r="D954" s="213">
        <v>17999099921</v>
      </c>
      <c r="E954" s="213" t="s">
        <v>533</v>
      </c>
      <c r="F954" s="213" t="s">
        <v>534</v>
      </c>
      <c r="G954" s="213" t="s">
        <v>377</v>
      </c>
      <c r="H954" s="213" t="s">
        <v>547</v>
      </c>
      <c r="I954" s="213"/>
      <c r="J954" s="213"/>
      <c r="K954" s="213"/>
      <c r="L954" s="213"/>
      <c r="M954" s="213"/>
      <c r="N954" s="213"/>
      <c r="O954" s="213"/>
      <c r="P954" s="213"/>
      <c r="Q954" s="213"/>
      <c r="R954" s="213"/>
      <c r="S954" s="213"/>
      <c r="T954" s="213"/>
      <c r="U954" s="213" t="s">
        <v>538</v>
      </c>
      <c r="V954" s="213">
        <v>2</v>
      </c>
      <c r="W954" s="213" t="s">
        <v>582</v>
      </c>
      <c r="X954" s="213" t="s">
        <v>540</v>
      </c>
      <c r="Y954" s="213" t="s">
        <v>541</v>
      </c>
      <c r="Z954" s="212">
        <v>0</v>
      </c>
      <c r="AA954" s="212">
        <v>0</v>
      </c>
      <c r="AB954" s="217">
        <v>0.78199200000000002</v>
      </c>
      <c r="AC954" s="217">
        <v>1.258497</v>
      </c>
      <c r="AD954" s="212">
        <f t="shared" si="14"/>
        <v>0</v>
      </c>
    </row>
    <row r="955" spans="2:30" x14ac:dyDescent="0.15">
      <c r="B955" s="213">
        <v>17197002083</v>
      </c>
      <c r="C955" s="213">
        <v>17197001738</v>
      </c>
      <c r="D955" s="213">
        <v>17197001697</v>
      </c>
      <c r="E955" s="213" t="s">
        <v>533</v>
      </c>
      <c r="F955" s="213" t="s">
        <v>534</v>
      </c>
      <c r="G955" s="213" t="s">
        <v>377</v>
      </c>
      <c r="H955" s="213" t="s">
        <v>382</v>
      </c>
      <c r="I955" s="213"/>
      <c r="J955" s="213" t="s">
        <v>542</v>
      </c>
      <c r="K955" s="213"/>
      <c r="L955" s="213"/>
      <c r="M955" s="213"/>
      <c r="N955" s="213"/>
      <c r="O955" s="213"/>
      <c r="P955" s="213"/>
      <c r="Q955" s="213"/>
      <c r="R955" s="213"/>
      <c r="S955" s="213" t="s">
        <v>606</v>
      </c>
      <c r="T955" s="213"/>
      <c r="U955" s="213" t="s">
        <v>538</v>
      </c>
      <c r="V955" s="213">
        <v>1</v>
      </c>
      <c r="W955" s="213" t="s">
        <v>545</v>
      </c>
      <c r="X955" s="213" t="s">
        <v>549</v>
      </c>
      <c r="Y955" s="213" t="s">
        <v>541</v>
      </c>
      <c r="Z955" s="212">
        <v>80</v>
      </c>
      <c r="AA955" s="212">
        <v>7600</v>
      </c>
      <c r="AB955" s="217">
        <v>1.9832879999999999</v>
      </c>
      <c r="AC955" s="217">
        <v>3.1917990000000001</v>
      </c>
      <c r="AD955" s="212">
        <f t="shared" si="14"/>
        <v>15072.988799999999</v>
      </c>
    </row>
    <row r="956" spans="2:30" x14ac:dyDescent="0.15">
      <c r="B956" s="213">
        <v>17197002128</v>
      </c>
      <c r="C956" s="213">
        <v>17197001292</v>
      </c>
      <c r="D956" s="213">
        <v>17999021910</v>
      </c>
      <c r="E956" s="213" t="s">
        <v>533</v>
      </c>
      <c r="F956" s="213" t="s">
        <v>534</v>
      </c>
      <c r="G956" s="213" t="s">
        <v>377</v>
      </c>
      <c r="H956" s="213" t="s">
        <v>535</v>
      </c>
      <c r="I956" s="213"/>
      <c r="J956" s="213" t="s">
        <v>382</v>
      </c>
      <c r="K956" s="213" t="s">
        <v>536</v>
      </c>
      <c r="L956" s="213"/>
      <c r="M956" s="213"/>
      <c r="N956" s="213"/>
      <c r="O956" s="213"/>
      <c r="P956" s="213"/>
      <c r="Q956" s="213"/>
      <c r="R956" s="213"/>
      <c r="S956" s="213" t="s">
        <v>550</v>
      </c>
      <c r="T956" s="213"/>
      <c r="U956" s="213" t="s">
        <v>538</v>
      </c>
      <c r="V956" s="213">
        <v>1</v>
      </c>
      <c r="W956" s="213" t="s">
        <v>545</v>
      </c>
      <c r="X956" s="213" t="s">
        <v>549</v>
      </c>
      <c r="Y956" s="213" t="s">
        <v>540</v>
      </c>
      <c r="Z956" s="212">
        <v>66683</v>
      </c>
      <c r="AA956" s="212">
        <v>7416364</v>
      </c>
      <c r="AB956" s="217">
        <v>4.8100529999999999</v>
      </c>
      <c r="AC956" s="217">
        <v>7.7410449999999997</v>
      </c>
      <c r="AD956" s="212">
        <f t="shared" si="14"/>
        <v>35673103.907292001</v>
      </c>
    </row>
    <row r="957" spans="2:30" x14ac:dyDescent="0.15">
      <c r="B957" s="213">
        <v>17197002415</v>
      </c>
      <c r="C957" s="213">
        <v>17197004803</v>
      </c>
      <c r="D957" s="213">
        <v>17197001488</v>
      </c>
      <c r="E957" s="213" t="s">
        <v>533</v>
      </c>
      <c r="F957" s="213" t="s">
        <v>534</v>
      </c>
      <c r="G957" s="213" t="s">
        <v>377</v>
      </c>
      <c r="H957" s="213" t="s">
        <v>381</v>
      </c>
      <c r="I957" s="213"/>
      <c r="J957" s="213" t="s">
        <v>382</v>
      </c>
      <c r="K957" s="213"/>
      <c r="L957" s="213"/>
      <c r="M957" s="213"/>
      <c r="N957" s="213"/>
      <c r="O957" s="213"/>
      <c r="P957" s="213"/>
      <c r="Q957" s="213"/>
      <c r="R957" s="213"/>
      <c r="S957" s="213" t="s">
        <v>647</v>
      </c>
      <c r="T957" s="213"/>
      <c r="U957" s="213" t="s">
        <v>538</v>
      </c>
      <c r="V957" s="213">
        <v>2</v>
      </c>
      <c r="W957" s="213" t="s">
        <v>545</v>
      </c>
      <c r="X957" s="213" t="s">
        <v>554</v>
      </c>
      <c r="Y957" s="213" t="s">
        <v>580</v>
      </c>
      <c r="Z957" s="212">
        <v>526892</v>
      </c>
      <c r="AA957" s="212">
        <v>20827105</v>
      </c>
      <c r="AB957" s="217">
        <v>0.153472</v>
      </c>
      <c r="AC957" s="217">
        <v>0.24698999999999999</v>
      </c>
      <c r="AD957" s="212">
        <f t="shared" si="14"/>
        <v>3196377.4585600002</v>
      </c>
    </row>
    <row r="958" spans="2:30" x14ac:dyDescent="0.15">
      <c r="B958" s="213">
        <v>17197002417</v>
      </c>
      <c r="C958" s="213">
        <v>17197001466</v>
      </c>
      <c r="D958" s="213">
        <v>17197001461</v>
      </c>
      <c r="E958" s="213" t="s">
        <v>533</v>
      </c>
      <c r="F958" s="213" t="s">
        <v>534</v>
      </c>
      <c r="G958" s="213" t="s">
        <v>377</v>
      </c>
      <c r="H958" s="213" t="s">
        <v>535</v>
      </c>
      <c r="I958" s="213"/>
      <c r="J958" s="213" t="s">
        <v>382</v>
      </c>
      <c r="K958" s="213" t="s">
        <v>536</v>
      </c>
      <c r="L958" s="213"/>
      <c r="M958" s="213"/>
      <c r="N958" s="213"/>
      <c r="O958" s="213"/>
      <c r="P958" s="213"/>
      <c r="Q958" s="213"/>
      <c r="R958" s="213"/>
      <c r="S958" s="213" t="s">
        <v>537</v>
      </c>
      <c r="T958" s="213"/>
      <c r="U958" s="213" t="s">
        <v>538</v>
      </c>
      <c r="V958" s="213">
        <v>2</v>
      </c>
      <c r="W958" s="213" t="s">
        <v>539</v>
      </c>
      <c r="X958" s="213" t="s">
        <v>541</v>
      </c>
      <c r="Y958" s="213" t="s">
        <v>540</v>
      </c>
      <c r="Z958" s="212">
        <v>25549</v>
      </c>
      <c r="AA958" s="212">
        <v>2341588</v>
      </c>
      <c r="AB958" s="217">
        <v>0.70442199999999999</v>
      </c>
      <c r="AC958" s="217">
        <v>1.1336599999999999</v>
      </c>
      <c r="AD958" s="212">
        <f t="shared" si="14"/>
        <v>1649466.1021360001</v>
      </c>
    </row>
    <row r="959" spans="2:30" x14ac:dyDescent="0.15">
      <c r="B959" s="213">
        <v>17197002591</v>
      </c>
      <c r="C959" s="213">
        <v>17197004796</v>
      </c>
      <c r="D959" s="213">
        <v>17197001420</v>
      </c>
      <c r="E959" s="213" t="s">
        <v>533</v>
      </c>
      <c r="F959" s="213" t="s">
        <v>534</v>
      </c>
      <c r="G959" s="213" t="s">
        <v>377</v>
      </c>
      <c r="H959" s="213" t="s">
        <v>535</v>
      </c>
      <c r="I959" s="213"/>
      <c r="J959" s="213" t="s">
        <v>382</v>
      </c>
      <c r="K959" s="213" t="s">
        <v>536</v>
      </c>
      <c r="L959" s="213"/>
      <c r="M959" s="213"/>
      <c r="N959" s="213"/>
      <c r="O959" s="213"/>
      <c r="P959" s="213"/>
      <c r="Q959" s="213"/>
      <c r="R959" s="213"/>
      <c r="S959" s="213" t="s">
        <v>550</v>
      </c>
      <c r="T959" s="213"/>
      <c r="U959" s="213" t="s">
        <v>538</v>
      </c>
      <c r="V959" s="213">
        <v>1</v>
      </c>
      <c r="W959" s="213" t="s">
        <v>545</v>
      </c>
      <c r="X959" s="213" t="s">
        <v>549</v>
      </c>
      <c r="Y959" s="213" t="s">
        <v>540</v>
      </c>
      <c r="Z959" s="212">
        <v>71203</v>
      </c>
      <c r="AA959" s="212">
        <v>7843908</v>
      </c>
      <c r="AB959" s="217">
        <v>4.0209890000000001</v>
      </c>
      <c r="AC959" s="217">
        <v>6.4711679999999996</v>
      </c>
      <c r="AD959" s="212">
        <f t="shared" si="14"/>
        <v>31540267.785011999</v>
      </c>
    </row>
    <row r="960" spans="2:30" x14ac:dyDescent="0.15">
      <c r="B960" s="213">
        <v>17197002595</v>
      </c>
      <c r="C960" s="213">
        <v>17197006601</v>
      </c>
      <c r="D960" s="213">
        <v>17197004801</v>
      </c>
      <c r="E960" s="213" t="s">
        <v>533</v>
      </c>
      <c r="F960" s="213" t="s">
        <v>534</v>
      </c>
      <c r="G960" s="213" t="s">
        <v>377</v>
      </c>
      <c r="H960" s="213" t="s">
        <v>535</v>
      </c>
      <c r="I960" s="213"/>
      <c r="J960" s="213" t="s">
        <v>382</v>
      </c>
      <c r="K960" s="213" t="s">
        <v>536</v>
      </c>
      <c r="L960" s="213"/>
      <c r="M960" s="213"/>
      <c r="N960" s="213"/>
      <c r="O960" s="213"/>
      <c r="P960" s="213"/>
      <c r="Q960" s="213"/>
      <c r="R960" s="213"/>
      <c r="S960" s="213" t="s">
        <v>537</v>
      </c>
      <c r="T960" s="213" t="s">
        <v>596</v>
      </c>
      <c r="U960" s="213" t="s">
        <v>538</v>
      </c>
      <c r="V960" s="213">
        <v>2</v>
      </c>
      <c r="W960" s="213" t="s">
        <v>539</v>
      </c>
      <c r="X960" s="213" t="s">
        <v>541</v>
      </c>
      <c r="Y960" s="213" t="s">
        <v>540</v>
      </c>
      <c r="Z960" s="212">
        <v>24669</v>
      </c>
      <c r="AA960" s="212">
        <v>2261348</v>
      </c>
      <c r="AB960" s="217">
        <v>9.6442E-2</v>
      </c>
      <c r="AC960" s="217">
        <v>0.15520800000000001</v>
      </c>
      <c r="AD960" s="212">
        <f t="shared" si="14"/>
        <v>218088.92381599999</v>
      </c>
    </row>
    <row r="961" spans="2:30" x14ac:dyDescent="0.15">
      <c r="B961" s="213">
        <v>17197003219</v>
      </c>
      <c r="C961" s="213">
        <v>17197007399</v>
      </c>
      <c r="D961" s="213">
        <v>17197001483</v>
      </c>
      <c r="E961" s="213" t="s">
        <v>533</v>
      </c>
      <c r="F961" s="213" t="s">
        <v>534</v>
      </c>
      <c r="G961" s="213" t="s">
        <v>377</v>
      </c>
      <c r="H961" s="213" t="s">
        <v>547</v>
      </c>
      <c r="I961" s="213"/>
      <c r="J961" s="213" t="s">
        <v>551</v>
      </c>
      <c r="K961" s="213" t="s">
        <v>615</v>
      </c>
      <c r="L961" s="213" t="s">
        <v>535</v>
      </c>
      <c r="M961" s="213"/>
      <c r="N961" s="213"/>
      <c r="O961" s="213"/>
      <c r="P961" s="213"/>
      <c r="Q961" s="213"/>
      <c r="R961" s="213"/>
      <c r="S961" s="213" t="s">
        <v>581</v>
      </c>
      <c r="T961" s="213"/>
      <c r="U961" s="213" t="s">
        <v>538</v>
      </c>
      <c r="V961" s="213">
        <v>2</v>
      </c>
      <c r="W961" s="213" t="s">
        <v>582</v>
      </c>
      <c r="X961" s="213" t="s">
        <v>540</v>
      </c>
      <c r="Y961" s="213" t="s">
        <v>540</v>
      </c>
      <c r="Z961" s="212">
        <v>106953</v>
      </c>
      <c r="AA961" s="212">
        <v>10367418</v>
      </c>
      <c r="AB961" s="217">
        <v>0.74482899999999996</v>
      </c>
      <c r="AC961" s="217">
        <v>1.1986889999999999</v>
      </c>
      <c r="AD961" s="212">
        <f t="shared" si="14"/>
        <v>7721953.581522</v>
      </c>
    </row>
    <row r="962" spans="2:30" x14ac:dyDescent="0.15">
      <c r="B962" s="213">
        <v>17197003220</v>
      </c>
      <c r="C962" s="213">
        <v>17197001580</v>
      </c>
      <c r="D962" s="213">
        <v>17999023612</v>
      </c>
      <c r="E962" s="213" t="s">
        <v>533</v>
      </c>
      <c r="F962" s="213" t="s">
        <v>534</v>
      </c>
      <c r="G962" s="213" t="s">
        <v>377</v>
      </c>
      <c r="H962" s="213" t="s">
        <v>547</v>
      </c>
      <c r="I962" s="213"/>
      <c r="J962" s="213" t="s">
        <v>543</v>
      </c>
      <c r="K962" s="213"/>
      <c r="L962" s="213"/>
      <c r="M962" s="213"/>
      <c r="N962" s="213"/>
      <c r="O962" s="213"/>
      <c r="P962" s="213"/>
      <c r="Q962" s="213"/>
      <c r="R962" s="213"/>
      <c r="S962" s="213" t="s">
        <v>602</v>
      </c>
      <c r="T962" s="213"/>
      <c r="U962" s="213" t="s">
        <v>538</v>
      </c>
      <c r="V962" s="213">
        <v>1</v>
      </c>
      <c r="W962" s="213" t="s">
        <v>582</v>
      </c>
      <c r="X962" s="213" t="s">
        <v>540</v>
      </c>
      <c r="Y962" s="213" t="s">
        <v>541</v>
      </c>
      <c r="Z962" s="212">
        <v>480</v>
      </c>
      <c r="AA962" s="212">
        <v>35280</v>
      </c>
      <c r="AB962" s="217">
        <v>5.8452019999999996</v>
      </c>
      <c r="AC962" s="217">
        <v>9.4069590000000005</v>
      </c>
      <c r="AD962" s="212">
        <f t="shared" si="14"/>
        <v>206218.72655999998</v>
      </c>
    </row>
    <row r="963" spans="2:30" x14ac:dyDescent="0.15">
      <c r="B963" s="213">
        <v>17197003239</v>
      </c>
      <c r="C963" s="213">
        <v>17197007194</v>
      </c>
      <c r="D963" s="213">
        <v>17197004809</v>
      </c>
      <c r="E963" s="213" t="s">
        <v>533</v>
      </c>
      <c r="F963" s="213" t="s">
        <v>534</v>
      </c>
      <c r="G963" s="213" t="s">
        <v>377</v>
      </c>
      <c r="H963" s="213" t="s">
        <v>381</v>
      </c>
      <c r="I963" s="213"/>
      <c r="J963" s="213" t="s">
        <v>382</v>
      </c>
      <c r="K963" s="213"/>
      <c r="L963" s="213"/>
      <c r="M963" s="213"/>
      <c r="N963" s="213"/>
      <c r="O963" s="213"/>
      <c r="P963" s="213"/>
      <c r="Q963" s="213"/>
      <c r="R963" s="213"/>
      <c r="S963" s="213" t="s">
        <v>647</v>
      </c>
      <c r="T963" s="213"/>
      <c r="U963" s="213" t="s">
        <v>538</v>
      </c>
      <c r="V963" s="213">
        <v>1</v>
      </c>
      <c r="W963" s="213" t="s">
        <v>582</v>
      </c>
      <c r="X963" s="213" t="s">
        <v>549</v>
      </c>
      <c r="Y963" s="213" t="s">
        <v>580</v>
      </c>
      <c r="Z963" s="212">
        <v>225440</v>
      </c>
      <c r="AA963" s="212">
        <v>2913712</v>
      </c>
      <c r="AB963" s="217">
        <v>1.366973</v>
      </c>
      <c r="AC963" s="217">
        <v>2.1999339999999998</v>
      </c>
      <c r="AD963" s="212">
        <f t="shared" si="14"/>
        <v>3982965.6337759998</v>
      </c>
    </row>
    <row r="964" spans="2:30" x14ac:dyDescent="0.15">
      <c r="B964" s="213">
        <v>17197003260</v>
      </c>
      <c r="C964" s="213">
        <v>17197004803</v>
      </c>
      <c r="D964" s="213">
        <v>17197001467</v>
      </c>
      <c r="E964" s="213" t="s">
        <v>533</v>
      </c>
      <c r="F964" s="213" t="s">
        <v>534</v>
      </c>
      <c r="G964" s="213" t="s">
        <v>377</v>
      </c>
      <c r="H964" s="213" t="s">
        <v>381</v>
      </c>
      <c r="I964" s="213"/>
      <c r="J964" s="213"/>
      <c r="K964" s="213"/>
      <c r="L964" s="213"/>
      <c r="M964" s="213"/>
      <c r="N964" s="213"/>
      <c r="O964" s="213"/>
      <c r="P964" s="213"/>
      <c r="Q964" s="213"/>
      <c r="R964" s="213"/>
      <c r="S964" s="213" t="s">
        <v>647</v>
      </c>
      <c r="T964" s="213"/>
      <c r="U964" s="213" t="s">
        <v>538</v>
      </c>
      <c r="V964" s="213">
        <v>2</v>
      </c>
      <c r="W964" s="213" t="s">
        <v>545</v>
      </c>
      <c r="X964" s="213" t="s">
        <v>554</v>
      </c>
      <c r="Y964" s="213" t="s">
        <v>580</v>
      </c>
      <c r="Z964" s="212">
        <v>522946</v>
      </c>
      <c r="AA964" s="212">
        <v>20496410</v>
      </c>
      <c r="AB964" s="217">
        <v>0.94279500000000005</v>
      </c>
      <c r="AC964" s="217">
        <v>1.517285</v>
      </c>
      <c r="AD964" s="212">
        <f t="shared" si="14"/>
        <v>19323912.86595</v>
      </c>
    </row>
    <row r="965" spans="2:30" x14ac:dyDescent="0.15">
      <c r="B965" s="213">
        <v>17197003261</v>
      </c>
      <c r="C965" s="213">
        <v>17197001487</v>
      </c>
      <c r="D965" s="213">
        <v>17197004804</v>
      </c>
      <c r="E965" s="213" t="s">
        <v>533</v>
      </c>
      <c r="F965" s="213" t="s">
        <v>534</v>
      </c>
      <c r="G965" s="213" t="s">
        <v>377</v>
      </c>
      <c r="H965" s="213" t="s">
        <v>535</v>
      </c>
      <c r="I965" s="213"/>
      <c r="J965" s="213" t="s">
        <v>542</v>
      </c>
      <c r="K965" s="213" t="s">
        <v>547</v>
      </c>
      <c r="L965" s="213" t="s">
        <v>382</v>
      </c>
      <c r="M965" s="213"/>
      <c r="N965" s="213"/>
      <c r="O965" s="213"/>
      <c r="P965" s="213"/>
      <c r="Q965" s="213"/>
      <c r="R965" s="213"/>
      <c r="S965" s="213" t="s">
        <v>601</v>
      </c>
      <c r="T965" s="213"/>
      <c r="U965" s="213" t="s">
        <v>538</v>
      </c>
      <c r="V965" s="213">
        <v>2</v>
      </c>
      <c r="W965" s="213" t="s">
        <v>539</v>
      </c>
      <c r="X965" s="213" t="s">
        <v>554</v>
      </c>
      <c r="Y965" s="213" t="s">
        <v>540</v>
      </c>
      <c r="Z965" s="212">
        <v>381760</v>
      </c>
      <c r="AA965" s="212">
        <v>5478080</v>
      </c>
      <c r="AB965" s="217">
        <v>0.182169</v>
      </c>
      <c r="AC965" s="217">
        <v>0.29317399999999999</v>
      </c>
      <c r="AD965" s="212">
        <f t="shared" si="14"/>
        <v>997936.35551999998</v>
      </c>
    </row>
    <row r="966" spans="2:30" x14ac:dyDescent="0.15">
      <c r="B966" s="213">
        <v>17197003262</v>
      </c>
      <c r="C966" s="213">
        <v>17197001545</v>
      </c>
      <c r="D966" s="213">
        <v>17197001492</v>
      </c>
      <c r="E966" s="213" t="s">
        <v>533</v>
      </c>
      <c r="F966" s="213" t="s">
        <v>534</v>
      </c>
      <c r="G966" s="213" t="s">
        <v>377</v>
      </c>
      <c r="H966" s="213" t="s">
        <v>535</v>
      </c>
      <c r="I966" s="213"/>
      <c r="J966" s="213" t="s">
        <v>382</v>
      </c>
      <c r="K966" s="213" t="s">
        <v>536</v>
      </c>
      <c r="L966" s="213"/>
      <c r="M966" s="213"/>
      <c r="N966" s="213"/>
      <c r="O966" s="213"/>
      <c r="P966" s="213"/>
      <c r="Q966" s="213"/>
      <c r="R966" s="213"/>
      <c r="S966" s="213" t="s">
        <v>537</v>
      </c>
      <c r="T966" s="213"/>
      <c r="U966" s="213" t="s">
        <v>538</v>
      </c>
      <c r="V966" s="213">
        <v>2</v>
      </c>
      <c r="W966" s="213" t="s">
        <v>545</v>
      </c>
      <c r="X966" s="213" t="s">
        <v>541</v>
      </c>
      <c r="Y966" s="213" t="s">
        <v>540</v>
      </c>
      <c r="Z966" s="212">
        <v>25709</v>
      </c>
      <c r="AA966" s="212">
        <v>2350988</v>
      </c>
      <c r="AB966" s="217">
        <v>0.749085</v>
      </c>
      <c r="AC966" s="217">
        <v>1.2055370000000001</v>
      </c>
      <c r="AD966" s="212">
        <f t="shared" ref="AD966:AD1029" si="15">AA966*AB966</f>
        <v>1761089.84598</v>
      </c>
    </row>
    <row r="967" spans="2:30" x14ac:dyDescent="0.15">
      <c r="B967" s="213">
        <v>17197003290</v>
      </c>
      <c r="C967" s="213">
        <v>17197001706</v>
      </c>
      <c r="D967" s="213">
        <v>17197001638</v>
      </c>
      <c r="E967" s="213" t="s">
        <v>533</v>
      </c>
      <c r="F967" s="213" t="s">
        <v>534</v>
      </c>
      <c r="G967" s="213" t="s">
        <v>377</v>
      </c>
      <c r="H967" s="213" t="s">
        <v>382</v>
      </c>
      <c r="I967" s="213"/>
      <c r="J967" s="213" t="s">
        <v>551</v>
      </c>
      <c r="K967" s="213" t="s">
        <v>555</v>
      </c>
      <c r="L967" s="213"/>
      <c r="M967" s="213"/>
      <c r="N967" s="213"/>
      <c r="O967" s="213"/>
      <c r="P967" s="213"/>
      <c r="Q967" s="213"/>
      <c r="R967" s="213"/>
      <c r="S967" s="213" t="s">
        <v>556</v>
      </c>
      <c r="T967" s="213"/>
      <c r="U967" s="213" t="s">
        <v>538</v>
      </c>
      <c r="V967" s="213">
        <v>2</v>
      </c>
      <c r="W967" s="213" t="s">
        <v>545</v>
      </c>
      <c r="X967" s="213" t="s">
        <v>549</v>
      </c>
      <c r="Y967" s="213" t="s">
        <v>580</v>
      </c>
      <c r="Z967" s="212">
        <v>846321</v>
      </c>
      <c r="AA967" s="212">
        <v>33452495</v>
      </c>
      <c r="AB967" s="217">
        <v>1.659875</v>
      </c>
      <c r="AC967" s="217">
        <v>2.6713149999999999</v>
      </c>
      <c r="AD967" s="212">
        <f t="shared" si="15"/>
        <v>55526960.138125002</v>
      </c>
    </row>
    <row r="968" spans="2:30" x14ac:dyDescent="0.15">
      <c r="B968" s="213">
        <v>17197003466</v>
      </c>
      <c r="C968" s="213">
        <v>17197007230</v>
      </c>
      <c r="D968" s="213">
        <v>17197007240</v>
      </c>
      <c r="E968" s="213" t="s">
        <v>533</v>
      </c>
      <c r="F968" s="213" t="s">
        <v>534</v>
      </c>
      <c r="G968" s="213" t="s">
        <v>377</v>
      </c>
      <c r="H968" s="213" t="s">
        <v>381</v>
      </c>
      <c r="I968" s="213"/>
      <c r="J968" s="213"/>
      <c r="K968" s="213"/>
      <c r="L968" s="213"/>
      <c r="M968" s="213"/>
      <c r="N968" s="213"/>
      <c r="O968" s="213"/>
      <c r="P968" s="213"/>
      <c r="Q968" s="213"/>
      <c r="R968" s="213"/>
      <c r="S968" s="213" t="s">
        <v>591</v>
      </c>
      <c r="T968" s="213"/>
      <c r="U968" s="213" t="s">
        <v>559</v>
      </c>
      <c r="V968" s="213">
        <v>1</v>
      </c>
      <c r="W968" s="213" t="s">
        <v>560</v>
      </c>
      <c r="X968" s="213" t="s">
        <v>541</v>
      </c>
      <c r="Y968" s="213" t="s">
        <v>541</v>
      </c>
      <c r="Z968" s="212">
        <v>0</v>
      </c>
      <c r="AA968" s="212">
        <v>0</v>
      </c>
      <c r="AB968" s="217">
        <v>0.392152</v>
      </c>
      <c r="AC968" s="217">
        <v>0.63110900000000003</v>
      </c>
      <c r="AD968" s="212">
        <f t="shared" si="15"/>
        <v>0</v>
      </c>
    </row>
    <row r="969" spans="2:30" x14ac:dyDescent="0.15">
      <c r="B969" s="213">
        <v>17197003553</v>
      </c>
      <c r="C969" s="213">
        <v>17197001623</v>
      </c>
      <c r="D969" s="213">
        <v>17197001571</v>
      </c>
      <c r="E969" s="213" t="s">
        <v>533</v>
      </c>
      <c r="F969" s="213" t="s">
        <v>534</v>
      </c>
      <c r="G969" s="213" t="s">
        <v>377</v>
      </c>
      <c r="H969" s="213" t="s">
        <v>547</v>
      </c>
      <c r="I969" s="213"/>
      <c r="J969" s="213" t="s">
        <v>543</v>
      </c>
      <c r="K969" s="213"/>
      <c r="L969" s="213"/>
      <c r="M969" s="213"/>
      <c r="N969" s="213"/>
      <c r="O969" s="213"/>
      <c r="P969" s="213"/>
      <c r="Q969" s="213"/>
      <c r="R969" s="213"/>
      <c r="S969" s="213" t="s">
        <v>602</v>
      </c>
      <c r="T969" s="213"/>
      <c r="U969" s="213" t="s">
        <v>538</v>
      </c>
      <c r="V969" s="213">
        <v>1</v>
      </c>
      <c r="W969" s="213" t="s">
        <v>582</v>
      </c>
      <c r="X969" s="213" t="s">
        <v>540</v>
      </c>
      <c r="Y969" s="213" t="s">
        <v>541</v>
      </c>
      <c r="Z969" s="212">
        <v>480</v>
      </c>
      <c r="AA969" s="212">
        <v>35280</v>
      </c>
      <c r="AB969" s="217">
        <v>4.7967069999999996</v>
      </c>
      <c r="AC969" s="217">
        <v>7.7195679999999998</v>
      </c>
      <c r="AD969" s="212">
        <f t="shared" si="15"/>
        <v>169227.82295999999</v>
      </c>
    </row>
    <row r="970" spans="2:30" x14ac:dyDescent="0.15">
      <c r="B970" s="213">
        <v>17197003772</v>
      </c>
      <c r="C970" s="213">
        <v>17197001637</v>
      </c>
      <c r="D970" s="213">
        <v>17197004808</v>
      </c>
      <c r="E970" s="213" t="s">
        <v>533</v>
      </c>
      <c r="F970" s="213" t="s">
        <v>534</v>
      </c>
      <c r="G970" s="213" t="s">
        <v>377</v>
      </c>
      <c r="H970" s="213" t="s">
        <v>382</v>
      </c>
      <c r="I970" s="213"/>
      <c r="J970" s="213" t="s">
        <v>542</v>
      </c>
      <c r="K970" s="213"/>
      <c r="L970" s="213"/>
      <c r="M970" s="213"/>
      <c r="N970" s="213"/>
      <c r="O970" s="213"/>
      <c r="P970" s="213"/>
      <c r="Q970" s="213"/>
      <c r="R970" s="213"/>
      <c r="S970" s="213" t="s">
        <v>606</v>
      </c>
      <c r="T970" s="213"/>
      <c r="U970" s="213" t="s">
        <v>538</v>
      </c>
      <c r="V970" s="213">
        <v>1</v>
      </c>
      <c r="W970" s="213" t="s">
        <v>545</v>
      </c>
      <c r="X970" s="213" t="s">
        <v>549</v>
      </c>
      <c r="Y970" s="213" t="s">
        <v>541</v>
      </c>
      <c r="Z970" s="212">
        <v>80</v>
      </c>
      <c r="AA970" s="212">
        <v>7600</v>
      </c>
      <c r="AB970" s="217">
        <v>0.93153799999999998</v>
      </c>
      <c r="AC970" s="217">
        <v>1.4991669999999999</v>
      </c>
      <c r="AD970" s="212">
        <f t="shared" si="15"/>
        <v>7079.6887999999999</v>
      </c>
    </row>
    <row r="971" spans="2:30" x14ac:dyDescent="0.15">
      <c r="B971" s="213">
        <v>17197004002</v>
      </c>
      <c r="C971" s="213">
        <v>17197001626</v>
      </c>
      <c r="D971" s="213">
        <v>17197001617</v>
      </c>
      <c r="E971" s="213" t="s">
        <v>533</v>
      </c>
      <c r="F971" s="213" t="s">
        <v>534</v>
      </c>
      <c r="G971" s="213" t="s">
        <v>377</v>
      </c>
      <c r="H971" s="213" t="s">
        <v>535</v>
      </c>
      <c r="I971" s="213"/>
      <c r="J971" s="213" t="s">
        <v>542</v>
      </c>
      <c r="K971" s="213" t="s">
        <v>543</v>
      </c>
      <c r="L971" s="213"/>
      <c r="M971" s="213"/>
      <c r="N971" s="213"/>
      <c r="O971" s="213"/>
      <c r="P971" s="213"/>
      <c r="Q971" s="213"/>
      <c r="R971" s="213"/>
      <c r="S971" s="213" t="s">
        <v>544</v>
      </c>
      <c r="T971" s="213"/>
      <c r="U971" s="213" t="s">
        <v>538</v>
      </c>
      <c r="V971" s="213">
        <v>1</v>
      </c>
      <c r="W971" s="213" t="s">
        <v>545</v>
      </c>
      <c r="X971" s="213" t="s">
        <v>549</v>
      </c>
      <c r="Y971" s="213" t="s">
        <v>546</v>
      </c>
      <c r="Z971" s="212">
        <v>402638</v>
      </c>
      <c r="AA971" s="212">
        <v>21806039</v>
      </c>
      <c r="AB971" s="217">
        <v>0.20635200000000001</v>
      </c>
      <c r="AC971" s="217">
        <v>0.332092</v>
      </c>
      <c r="AD971" s="212">
        <f t="shared" si="15"/>
        <v>4499719.7597280005</v>
      </c>
    </row>
    <row r="972" spans="2:30" x14ac:dyDescent="0.15">
      <c r="B972" s="213">
        <v>17197004003</v>
      </c>
      <c r="C972" s="213">
        <v>17197004786</v>
      </c>
      <c r="D972" s="213">
        <v>17197001604</v>
      </c>
      <c r="E972" s="213" t="s">
        <v>533</v>
      </c>
      <c r="F972" s="213" t="s">
        <v>534</v>
      </c>
      <c r="G972" s="213" t="s">
        <v>377</v>
      </c>
      <c r="H972" s="213" t="s">
        <v>535</v>
      </c>
      <c r="I972" s="213"/>
      <c r="J972" s="213" t="s">
        <v>542</v>
      </c>
      <c r="K972" s="213" t="s">
        <v>543</v>
      </c>
      <c r="L972" s="213" t="s">
        <v>382</v>
      </c>
      <c r="M972" s="213"/>
      <c r="N972" s="213"/>
      <c r="O972" s="213"/>
      <c r="P972" s="213"/>
      <c r="Q972" s="213"/>
      <c r="R972" s="213"/>
      <c r="S972" s="213" t="s">
        <v>544</v>
      </c>
      <c r="T972" s="213"/>
      <c r="U972" s="213" t="s">
        <v>538</v>
      </c>
      <c r="V972" s="213">
        <v>2</v>
      </c>
      <c r="W972" s="213" t="s">
        <v>545</v>
      </c>
      <c r="X972" s="213" t="s">
        <v>540</v>
      </c>
      <c r="Y972" s="213" t="s">
        <v>546</v>
      </c>
      <c r="Z972" s="212">
        <v>402638</v>
      </c>
      <c r="AA972" s="212">
        <v>21806039</v>
      </c>
      <c r="AB972" s="217">
        <v>0.46915000000000001</v>
      </c>
      <c r="AC972" s="217">
        <v>0.75502599999999997</v>
      </c>
      <c r="AD972" s="212">
        <f t="shared" si="15"/>
        <v>10230303.19685</v>
      </c>
    </row>
    <row r="973" spans="2:30" x14ac:dyDescent="0.15">
      <c r="B973" s="213">
        <v>17197004239</v>
      </c>
      <c r="C973" s="213">
        <v>17197001622</v>
      </c>
      <c r="D973" s="213">
        <v>17197001623</v>
      </c>
      <c r="E973" s="213" t="s">
        <v>533</v>
      </c>
      <c r="F973" s="213" t="s">
        <v>534</v>
      </c>
      <c r="G973" s="213" t="s">
        <v>377</v>
      </c>
      <c r="H973" s="213" t="s">
        <v>547</v>
      </c>
      <c r="I973" s="213"/>
      <c r="J973" s="213"/>
      <c r="K973" s="213"/>
      <c r="L973" s="213"/>
      <c r="M973" s="213"/>
      <c r="N973" s="213"/>
      <c r="O973" s="213"/>
      <c r="P973" s="213"/>
      <c r="Q973" s="213"/>
      <c r="R973" s="213"/>
      <c r="S973" s="213" t="s">
        <v>602</v>
      </c>
      <c r="T973" s="213"/>
      <c r="U973" s="213" t="s">
        <v>538</v>
      </c>
      <c r="V973" s="213">
        <v>1</v>
      </c>
      <c r="W973" s="213" t="s">
        <v>582</v>
      </c>
      <c r="X973" s="213" t="s">
        <v>540</v>
      </c>
      <c r="Y973" s="213" t="s">
        <v>541</v>
      </c>
      <c r="Z973" s="212">
        <v>0</v>
      </c>
      <c r="AA973" s="212">
        <v>0</v>
      </c>
      <c r="AB973" s="217">
        <v>0.10580000000000001</v>
      </c>
      <c r="AC973" s="217">
        <v>0.170268</v>
      </c>
      <c r="AD973" s="212">
        <f t="shared" si="15"/>
        <v>0</v>
      </c>
    </row>
    <row r="974" spans="2:30" x14ac:dyDescent="0.15">
      <c r="B974" s="213">
        <v>17197005463</v>
      </c>
      <c r="C974" s="213">
        <v>17197004789</v>
      </c>
      <c r="D974" s="213">
        <v>17197001484</v>
      </c>
      <c r="E974" s="213" t="s">
        <v>533</v>
      </c>
      <c r="F974" s="213" t="s">
        <v>534</v>
      </c>
      <c r="G974" s="213" t="s">
        <v>377</v>
      </c>
      <c r="H974" s="213" t="s">
        <v>551</v>
      </c>
      <c r="I974" s="213"/>
      <c r="J974" s="213" t="s">
        <v>535</v>
      </c>
      <c r="K974" s="213" t="s">
        <v>615</v>
      </c>
      <c r="L974" s="213"/>
      <c r="M974" s="213"/>
      <c r="N974" s="213"/>
      <c r="O974" s="213"/>
      <c r="P974" s="213"/>
      <c r="Q974" s="213"/>
      <c r="R974" s="213"/>
      <c r="S974" s="213" t="s">
        <v>663</v>
      </c>
      <c r="T974" s="213"/>
      <c r="U974" s="213" t="s">
        <v>538</v>
      </c>
      <c r="V974" s="213">
        <v>1</v>
      </c>
      <c r="W974" s="213" t="s">
        <v>539</v>
      </c>
      <c r="X974" s="213" t="s">
        <v>554</v>
      </c>
      <c r="Y974" s="213" t="s">
        <v>540</v>
      </c>
      <c r="Z974" s="212">
        <v>106033</v>
      </c>
      <c r="AA974" s="212">
        <v>10278418</v>
      </c>
      <c r="AB974" s="217">
        <v>2.0880920000000001</v>
      </c>
      <c r="AC974" s="217">
        <v>3.3604660000000002</v>
      </c>
      <c r="AD974" s="212">
        <f t="shared" si="15"/>
        <v>21462282.398456</v>
      </c>
    </row>
    <row r="975" spans="2:30" x14ac:dyDescent="0.15">
      <c r="B975" s="213">
        <v>17197005986</v>
      </c>
      <c r="C975" s="213">
        <v>17197001537</v>
      </c>
      <c r="D975" s="213">
        <v>17197001493</v>
      </c>
      <c r="E975" s="213" t="s">
        <v>533</v>
      </c>
      <c r="F975" s="213" t="s">
        <v>534</v>
      </c>
      <c r="G975" s="213" t="s">
        <v>377</v>
      </c>
      <c r="H975" s="213" t="s">
        <v>535</v>
      </c>
      <c r="I975" s="213"/>
      <c r="J975" s="213" t="s">
        <v>542</v>
      </c>
      <c r="K975" s="213" t="s">
        <v>382</v>
      </c>
      <c r="L975" s="213"/>
      <c r="M975" s="213"/>
      <c r="N975" s="213"/>
      <c r="O975" s="213"/>
      <c r="P975" s="213"/>
      <c r="Q975" s="213"/>
      <c r="R975" s="213"/>
      <c r="S975" s="213" t="s">
        <v>601</v>
      </c>
      <c r="T975" s="213"/>
      <c r="U975" s="213" t="s">
        <v>538</v>
      </c>
      <c r="V975" s="213">
        <v>2</v>
      </c>
      <c r="W975" s="213" t="s">
        <v>582</v>
      </c>
      <c r="X975" s="213" t="s">
        <v>540</v>
      </c>
      <c r="Y975" s="213" t="s">
        <v>540</v>
      </c>
      <c r="Z975" s="212">
        <v>381760</v>
      </c>
      <c r="AA975" s="212">
        <v>5478080</v>
      </c>
      <c r="AB975" s="217">
        <v>1.13364</v>
      </c>
      <c r="AC975" s="217">
        <v>1.8244199999999999</v>
      </c>
      <c r="AD975" s="212">
        <f t="shared" si="15"/>
        <v>6210170.6112000002</v>
      </c>
    </row>
    <row r="976" spans="2:30" x14ac:dyDescent="0.15">
      <c r="B976" s="213">
        <v>17197006060</v>
      </c>
      <c r="C976" s="213">
        <v>17197001483</v>
      </c>
      <c r="D976" s="213">
        <v>17197004791</v>
      </c>
      <c r="E976" s="213" t="s">
        <v>533</v>
      </c>
      <c r="F976" s="213" t="s">
        <v>534</v>
      </c>
      <c r="G976" s="213" t="s">
        <v>377</v>
      </c>
      <c r="H976" s="213" t="s">
        <v>547</v>
      </c>
      <c r="I976" s="213"/>
      <c r="J976" s="213" t="s">
        <v>551</v>
      </c>
      <c r="K976" s="213" t="s">
        <v>615</v>
      </c>
      <c r="L976" s="213"/>
      <c r="M976" s="213"/>
      <c r="N976" s="213"/>
      <c r="O976" s="213"/>
      <c r="P976" s="213"/>
      <c r="Q976" s="213"/>
      <c r="R976" s="213"/>
      <c r="S976" s="213" t="s">
        <v>581</v>
      </c>
      <c r="T976" s="213"/>
      <c r="U976" s="213" t="s">
        <v>538</v>
      </c>
      <c r="V976" s="213">
        <v>2</v>
      </c>
      <c r="W976" s="213" t="s">
        <v>582</v>
      </c>
      <c r="X976" s="213" t="s">
        <v>540</v>
      </c>
      <c r="Y976" s="213" t="s">
        <v>540</v>
      </c>
      <c r="Z976" s="212">
        <v>107353</v>
      </c>
      <c r="AA976" s="212">
        <v>10405458</v>
      </c>
      <c r="AB976" s="217">
        <v>4.7681589999999998</v>
      </c>
      <c r="AC976" s="217">
        <v>7.6736230000000001</v>
      </c>
      <c r="AD976" s="212">
        <f t="shared" si="15"/>
        <v>49614878.211821996</v>
      </c>
    </row>
    <row r="977" spans="2:30" x14ac:dyDescent="0.15">
      <c r="B977" s="213">
        <v>17197006205</v>
      </c>
      <c r="C977" s="213">
        <v>17197001623</v>
      </c>
      <c r="D977" s="213">
        <v>17197001624</v>
      </c>
      <c r="E977" s="213" t="s">
        <v>533</v>
      </c>
      <c r="F977" s="213" t="s">
        <v>534</v>
      </c>
      <c r="G977" s="213" t="s">
        <v>377</v>
      </c>
      <c r="H977" s="213" t="s">
        <v>543</v>
      </c>
      <c r="I977" s="213"/>
      <c r="J977" s="213"/>
      <c r="K977" s="213"/>
      <c r="L977" s="213"/>
      <c r="M977" s="213"/>
      <c r="N977" s="213"/>
      <c r="O977" s="213"/>
      <c r="P977" s="213"/>
      <c r="Q977" s="213"/>
      <c r="R977" s="213"/>
      <c r="S977" s="213"/>
      <c r="T977" s="213"/>
      <c r="U977" s="213" t="s">
        <v>559</v>
      </c>
      <c r="V977" s="213">
        <v>1</v>
      </c>
      <c r="W977" s="213" t="s">
        <v>560</v>
      </c>
      <c r="X977" s="213" t="s">
        <v>541</v>
      </c>
      <c r="Y977" s="213" t="s">
        <v>541</v>
      </c>
      <c r="Z977" s="212">
        <v>0</v>
      </c>
      <c r="AA977" s="212">
        <v>0</v>
      </c>
      <c r="AB977" s="217">
        <v>0.41064299999999998</v>
      </c>
      <c r="AC977" s="217">
        <v>0.66086800000000001</v>
      </c>
      <c r="AD977" s="212">
        <f t="shared" si="15"/>
        <v>0</v>
      </c>
    </row>
    <row r="978" spans="2:30" x14ac:dyDescent="0.15">
      <c r="B978" s="213">
        <v>17197006258</v>
      </c>
      <c r="C978" s="213">
        <v>17197004510</v>
      </c>
      <c r="D978" s="213">
        <v>17197004512</v>
      </c>
      <c r="E978" s="213" t="s">
        <v>533</v>
      </c>
      <c r="F978" s="213" t="s">
        <v>534</v>
      </c>
      <c r="G978" s="213" t="s">
        <v>377</v>
      </c>
      <c r="H978" s="213" t="s">
        <v>381</v>
      </c>
      <c r="I978" s="213"/>
      <c r="J978" s="213" t="s">
        <v>382</v>
      </c>
      <c r="K978" s="213"/>
      <c r="L978" s="213"/>
      <c r="M978" s="213"/>
      <c r="N978" s="213"/>
      <c r="O978" s="213"/>
      <c r="P978" s="213"/>
      <c r="Q978" s="213"/>
      <c r="R978" s="213"/>
      <c r="S978" s="213" t="s">
        <v>651</v>
      </c>
      <c r="T978" s="213"/>
      <c r="U978" s="213" t="s">
        <v>559</v>
      </c>
      <c r="V978" s="213">
        <v>1</v>
      </c>
      <c r="W978" s="213" t="s">
        <v>539</v>
      </c>
      <c r="X978" s="213" t="s">
        <v>541</v>
      </c>
      <c r="Y978" s="213" t="s">
        <v>541</v>
      </c>
      <c r="Z978" s="212">
        <v>686560</v>
      </c>
      <c r="AA978" s="212">
        <v>11555960</v>
      </c>
      <c r="AB978" s="217">
        <v>0.48671500000000001</v>
      </c>
      <c r="AC978" s="217">
        <v>0.78329300000000002</v>
      </c>
      <c r="AD978" s="212">
        <f t="shared" si="15"/>
        <v>5624459.0713999998</v>
      </c>
    </row>
    <row r="979" spans="2:30" x14ac:dyDescent="0.15">
      <c r="B979" s="213">
        <v>17197006537</v>
      </c>
      <c r="C979" s="213">
        <v>17197004787</v>
      </c>
      <c r="D979" s="213">
        <v>17197004788</v>
      </c>
      <c r="E979" s="213" t="s">
        <v>533</v>
      </c>
      <c r="F979" s="213" t="s">
        <v>534</v>
      </c>
      <c r="G979" s="213" t="s">
        <v>377</v>
      </c>
      <c r="H979" s="213" t="s">
        <v>547</v>
      </c>
      <c r="I979" s="213"/>
      <c r="J979" s="213"/>
      <c r="K979" s="213"/>
      <c r="L979" s="213"/>
      <c r="M979" s="213"/>
      <c r="N979" s="213"/>
      <c r="O979" s="213"/>
      <c r="P979" s="213"/>
      <c r="Q979" s="213"/>
      <c r="R979" s="213"/>
      <c r="S979" s="213"/>
      <c r="T979" s="213"/>
      <c r="U979" s="213" t="s">
        <v>538</v>
      </c>
      <c r="V979" s="213">
        <v>2</v>
      </c>
      <c r="W979" s="213" t="s">
        <v>582</v>
      </c>
      <c r="X979" s="213" t="s">
        <v>540</v>
      </c>
      <c r="Y979" s="213" t="s">
        <v>541</v>
      </c>
      <c r="Z979" s="212">
        <v>0</v>
      </c>
      <c r="AA979" s="212">
        <v>0</v>
      </c>
      <c r="AB979" s="217">
        <v>0.205538</v>
      </c>
      <c r="AC979" s="217">
        <v>0.33078200000000002</v>
      </c>
      <c r="AD979" s="212">
        <f t="shared" si="15"/>
        <v>0</v>
      </c>
    </row>
    <row r="980" spans="2:30" x14ac:dyDescent="0.15">
      <c r="B980" s="213">
        <v>17197006538</v>
      </c>
      <c r="C980" s="213">
        <v>17197001571</v>
      </c>
      <c r="D980" s="213">
        <v>17197001580</v>
      </c>
      <c r="E980" s="213" t="s">
        <v>533</v>
      </c>
      <c r="F980" s="213" t="s">
        <v>534</v>
      </c>
      <c r="G980" s="213" t="s">
        <v>377</v>
      </c>
      <c r="H980" s="213" t="s">
        <v>547</v>
      </c>
      <c r="I980" s="213"/>
      <c r="J980" s="213" t="s">
        <v>543</v>
      </c>
      <c r="K980" s="213"/>
      <c r="L980" s="213"/>
      <c r="M980" s="213"/>
      <c r="N980" s="213"/>
      <c r="O980" s="213"/>
      <c r="P980" s="213"/>
      <c r="Q980" s="213"/>
      <c r="R980" s="213"/>
      <c r="S980" s="213" t="s">
        <v>602</v>
      </c>
      <c r="T980" s="213"/>
      <c r="U980" s="213" t="s">
        <v>538</v>
      </c>
      <c r="V980" s="213">
        <v>1</v>
      </c>
      <c r="W980" s="213" t="s">
        <v>582</v>
      </c>
      <c r="X980" s="213" t="s">
        <v>540</v>
      </c>
      <c r="Y980" s="213" t="s">
        <v>541</v>
      </c>
      <c r="Z980" s="212">
        <v>480</v>
      </c>
      <c r="AA980" s="212">
        <v>35280</v>
      </c>
      <c r="AB980" s="217">
        <v>0.37789299999999998</v>
      </c>
      <c r="AC980" s="217">
        <v>0.60816199999999998</v>
      </c>
      <c r="AD980" s="212">
        <f t="shared" si="15"/>
        <v>13332.065039999999</v>
      </c>
    </row>
    <row r="981" spans="2:30" x14ac:dyDescent="0.15">
      <c r="B981" s="213">
        <v>17197006547</v>
      </c>
      <c r="C981" s="213">
        <v>17197004803</v>
      </c>
      <c r="D981" s="213">
        <v>17197004804</v>
      </c>
      <c r="E981" s="213" t="s">
        <v>533</v>
      </c>
      <c r="F981" s="213" t="s">
        <v>534</v>
      </c>
      <c r="G981" s="213" t="s">
        <v>377</v>
      </c>
      <c r="H981" s="213" t="s">
        <v>382</v>
      </c>
      <c r="I981" s="213"/>
      <c r="J981" s="213"/>
      <c r="K981" s="213"/>
      <c r="L981" s="213"/>
      <c r="M981" s="213"/>
      <c r="N981" s="213"/>
      <c r="O981" s="213"/>
      <c r="P981" s="213"/>
      <c r="Q981" s="213"/>
      <c r="R981" s="213"/>
      <c r="S981" s="213"/>
      <c r="T981" s="213"/>
      <c r="U981" s="213" t="s">
        <v>538</v>
      </c>
      <c r="V981" s="213">
        <v>1</v>
      </c>
      <c r="W981" s="213" t="s">
        <v>545</v>
      </c>
      <c r="X981" s="213" t="s">
        <v>541</v>
      </c>
      <c r="Y981" s="213" t="s">
        <v>541</v>
      </c>
      <c r="Z981" s="212">
        <v>3946</v>
      </c>
      <c r="AA981" s="212">
        <v>330695</v>
      </c>
      <c r="AB981" s="217">
        <v>2.9189E-2</v>
      </c>
      <c r="AC981" s="217">
        <v>4.6975000000000003E-2</v>
      </c>
      <c r="AD981" s="212">
        <f t="shared" si="15"/>
        <v>9652.6563549999992</v>
      </c>
    </row>
    <row r="982" spans="2:30" x14ac:dyDescent="0.15">
      <c r="B982" s="213">
        <v>17197006553</v>
      </c>
      <c r="C982" s="213">
        <v>17197004812</v>
      </c>
      <c r="D982" s="213">
        <v>17197004813</v>
      </c>
      <c r="E982" s="213" t="s">
        <v>533</v>
      </c>
      <c r="F982" s="213" t="s">
        <v>534</v>
      </c>
      <c r="G982" s="213" t="s">
        <v>377</v>
      </c>
      <c r="H982" s="213" t="s">
        <v>381</v>
      </c>
      <c r="I982" s="213"/>
      <c r="J982" s="213" t="s">
        <v>382</v>
      </c>
      <c r="K982" s="213"/>
      <c r="L982" s="213"/>
      <c r="M982" s="213"/>
      <c r="N982" s="213"/>
      <c r="O982" s="213"/>
      <c r="P982" s="213"/>
      <c r="Q982" s="213"/>
      <c r="R982" s="213"/>
      <c r="S982" s="213" t="s">
        <v>651</v>
      </c>
      <c r="T982" s="213"/>
      <c r="U982" s="213" t="s">
        <v>559</v>
      </c>
      <c r="V982" s="213">
        <v>1</v>
      </c>
      <c r="W982" s="213" t="s">
        <v>539</v>
      </c>
      <c r="X982" s="213" t="s">
        <v>541</v>
      </c>
      <c r="Y982" s="213" t="s">
        <v>541</v>
      </c>
      <c r="Z982" s="212">
        <v>0</v>
      </c>
      <c r="AA982" s="212">
        <v>0</v>
      </c>
      <c r="AB982" s="217">
        <v>0.97258699999999998</v>
      </c>
      <c r="AC982" s="217">
        <v>1.5652299999999999</v>
      </c>
      <c r="AD982" s="212">
        <f t="shared" si="15"/>
        <v>0</v>
      </c>
    </row>
    <row r="983" spans="2:30" x14ac:dyDescent="0.15">
      <c r="B983" s="213">
        <v>17197006556</v>
      </c>
      <c r="C983" s="213">
        <v>17197004514</v>
      </c>
      <c r="D983" s="213">
        <v>17197006586</v>
      </c>
      <c r="E983" s="213" t="s">
        <v>533</v>
      </c>
      <c r="F983" s="213" t="s">
        <v>534</v>
      </c>
      <c r="G983" s="213" t="s">
        <v>377</v>
      </c>
      <c r="H983" s="213" t="s">
        <v>381</v>
      </c>
      <c r="I983" s="213"/>
      <c r="J983" s="213" t="s">
        <v>382</v>
      </c>
      <c r="K983" s="213"/>
      <c r="L983" s="213"/>
      <c r="M983" s="213"/>
      <c r="N983" s="213"/>
      <c r="O983" s="213"/>
      <c r="P983" s="213"/>
      <c r="Q983" s="213"/>
      <c r="R983" s="213"/>
      <c r="S983" s="213" t="s">
        <v>651</v>
      </c>
      <c r="T983" s="213" t="s">
        <v>651</v>
      </c>
      <c r="U983" s="213" t="s">
        <v>559</v>
      </c>
      <c r="V983" s="213">
        <v>1</v>
      </c>
      <c r="W983" s="213" t="s">
        <v>539</v>
      </c>
      <c r="X983" s="213" t="s">
        <v>541</v>
      </c>
      <c r="Y983" s="213" t="s">
        <v>541</v>
      </c>
      <c r="Z983" s="212">
        <v>910440</v>
      </c>
      <c r="AA983" s="212">
        <v>14335680</v>
      </c>
      <c r="AB983" s="217">
        <v>0.90021099999999998</v>
      </c>
      <c r="AC983" s="217">
        <v>1.4487509999999999</v>
      </c>
      <c r="AD983" s="212">
        <f t="shared" si="15"/>
        <v>12905136.82848</v>
      </c>
    </row>
    <row r="984" spans="2:30" x14ac:dyDescent="0.15">
      <c r="B984" s="213">
        <v>17197007027</v>
      </c>
      <c r="C984" s="213">
        <v>17197005582</v>
      </c>
      <c r="D984" s="213">
        <v>17197005583</v>
      </c>
      <c r="E984" s="213" t="s">
        <v>533</v>
      </c>
      <c r="F984" s="213" t="s">
        <v>534</v>
      </c>
      <c r="G984" s="213" t="s">
        <v>377</v>
      </c>
      <c r="H984" s="213" t="s">
        <v>382</v>
      </c>
      <c r="I984" s="213"/>
      <c r="J984" s="213"/>
      <c r="K984" s="213"/>
      <c r="L984" s="213"/>
      <c r="M984" s="213"/>
      <c r="N984" s="213"/>
      <c r="O984" s="213"/>
      <c r="P984" s="213"/>
      <c r="Q984" s="213"/>
      <c r="R984" s="213"/>
      <c r="S984" s="213" t="s">
        <v>592</v>
      </c>
      <c r="T984" s="213"/>
      <c r="U984" s="213" t="s">
        <v>559</v>
      </c>
      <c r="V984" s="213">
        <v>1</v>
      </c>
      <c r="W984" s="213" t="s">
        <v>539</v>
      </c>
      <c r="X984" s="213" t="s">
        <v>541</v>
      </c>
      <c r="Y984" s="213" t="s">
        <v>541</v>
      </c>
      <c r="Z984" s="212">
        <v>0</v>
      </c>
      <c r="AA984" s="212">
        <v>0</v>
      </c>
      <c r="AB984" s="217">
        <v>3.7377539999999998</v>
      </c>
      <c r="AC984" s="217">
        <v>6.0153439999999998</v>
      </c>
      <c r="AD984" s="212">
        <f t="shared" si="15"/>
        <v>0</v>
      </c>
    </row>
    <row r="985" spans="2:30" x14ac:dyDescent="0.15">
      <c r="B985" s="213">
        <v>17197007028</v>
      </c>
      <c r="C985" s="213">
        <v>17197005583</v>
      </c>
      <c r="D985" s="213">
        <v>17197005584</v>
      </c>
      <c r="E985" s="213" t="s">
        <v>533</v>
      </c>
      <c r="F985" s="213" t="s">
        <v>534</v>
      </c>
      <c r="G985" s="213" t="s">
        <v>377</v>
      </c>
      <c r="H985" s="213" t="s">
        <v>382</v>
      </c>
      <c r="I985" s="213"/>
      <c r="J985" s="213"/>
      <c r="K985" s="213"/>
      <c r="L985" s="213"/>
      <c r="M985" s="213"/>
      <c r="N985" s="213"/>
      <c r="O985" s="213"/>
      <c r="P985" s="213"/>
      <c r="Q985" s="213"/>
      <c r="R985" s="213"/>
      <c r="S985" s="213" t="s">
        <v>592</v>
      </c>
      <c r="T985" s="213"/>
      <c r="U985" s="213" t="s">
        <v>559</v>
      </c>
      <c r="V985" s="213">
        <v>1</v>
      </c>
      <c r="W985" s="213" t="s">
        <v>539</v>
      </c>
      <c r="X985" s="213" t="s">
        <v>541</v>
      </c>
      <c r="Y985" s="213" t="s">
        <v>541</v>
      </c>
      <c r="Z985" s="212">
        <v>0</v>
      </c>
      <c r="AA985" s="212">
        <v>0</v>
      </c>
      <c r="AB985" s="217">
        <v>0.18296200000000001</v>
      </c>
      <c r="AC985" s="217">
        <v>0.29444900000000002</v>
      </c>
      <c r="AD985" s="212">
        <f t="shared" si="15"/>
        <v>0</v>
      </c>
    </row>
    <row r="986" spans="2:30" x14ac:dyDescent="0.15">
      <c r="B986" s="213">
        <v>17197007034</v>
      </c>
      <c r="C986" s="213">
        <v>17197005584</v>
      </c>
      <c r="D986" s="213">
        <v>17197005588</v>
      </c>
      <c r="E986" s="213" t="s">
        <v>533</v>
      </c>
      <c r="F986" s="213" t="s">
        <v>534</v>
      </c>
      <c r="G986" s="213" t="s">
        <v>377</v>
      </c>
      <c r="H986" s="213" t="s">
        <v>382</v>
      </c>
      <c r="I986" s="213"/>
      <c r="J986" s="213"/>
      <c r="K986" s="213"/>
      <c r="L986" s="213"/>
      <c r="M986" s="213"/>
      <c r="N986" s="213"/>
      <c r="O986" s="213"/>
      <c r="P986" s="213"/>
      <c r="Q986" s="213"/>
      <c r="R986" s="213"/>
      <c r="S986" s="213" t="s">
        <v>592</v>
      </c>
      <c r="T986" s="213" t="s">
        <v>593</v>
      </c>
      <c r="U986" s="213" t="s">
        <v>559</v>
      </c>
      <c r="V986" s="213">
        <v>1</v>
      </c>
      <c r="W986" s="213" t="s">
        <v>539</v>
      </c>
      <c r="X986" s="213" t="s">
        <v>541</v>
      </c>
      <c r="Y986" s="213" t="s">
        <v>541</v>
      </c>
      <c r="Z986" s="212">
        <v>0</v>
      </c>
      <c r="AA986" s="212">
        <v>0</v>
      </c>
      <c r="AB986" s="217">
        <v>1.5826519999999999</v>
      </c>
      <c r="AC986" s="217">
        <v>2.547037</v>
      </c>
      <c r="AD986" s="212">
        <f t="shared" si="15"/>
        <v>0</v>
      </c>
    </row>
    <row r="987" spans="2:30" x14ac:dyDescent="0.15">
      <c r="B987" s="213">
        <v>17197007042</v>
      </c>
      <c r="C987" s="213">
        <v>17197005587</v>
      </c>
      <c r="D987" s="213">
        <v>17197005592</v>
      </c>
      <c r="E987" s="213" t="s">
        <v>533</v>
      </c>
      <c r="F987" s="213" t="s">
        <v>534</v>
      </c>
      <c r="G987" s="213" t="s">
        <v>377</v>
      </c>
      <c r="H987" s="213" t="s">
        <v>382</v>
      </c>
      <c r="I987" s="213"/>
      <c r="J987" s="213"/>
      <c r="K987" s="213"/>
      <c r="L987" s="213"/>
      <c r="M987" s="213"/>
      <c r="N987" s="213"/>
      <c r="O987" s="213"/>
      <c r="P987" s="213"/>
      <c r="Q987" s="213"/>
      <c r="R987" s="213"/>
      <c r="S987" s="213" t="s">
        <v>592</v>
      </c>
      <c r="T987" s="213"/>
      <c r="U987" s="213" t="s">
        <v>559</v>
      </c>
      <c r="V987" s="213">
        <v>1</v>
      </c>
      <c r="W987" s="213" t="s">
        <v>539</v>
      </c>
      <c r="X987" s="213" t="s">
        <v>541</v>
      </c>
      <c r="Y987" s="213" t="s">
        <v>541</v>
      </c>
      <c r="Z987" s="212">
        <v>378200</v>
      </c>
      <c r="AA987" s="212">
        <v>5154600</v>
      </c>
      <c r="AB987" s="217">
        <v>0.15121499999999999</v>
      </c>
      <c r="AC987" s="217">
        <v>0.24335799999999999</v>
      </c>
      <c r="AD987" s="212">
        <f t="shared" si="15"/>
        <v>779452.83899999992</v>
      </c>
    </row>
    <row r="988" spans="2:30" x14ac:dyDescent="0.15">
      <c r="B988" s="213">
        <v>17197007043</v>
      </c>
      <c r="C988" s="213">
        <v>17197005592</v>
      </c>
      <c r="D988" s="213">
        <v>17197005593</v>
      </c>
      <c r="E988" s="213" t="s">
        <v>533</v>
      </c>
      <c r="F988" s="213" t="s">
        <v>534</v>
      </c>
      <c r="G988" s="213" t="s">
        <v>377</v>
      </c>
      <c r="H988" s="213" t="s">
        <v>382</v>
      </c>
      <c r="I988" s="213"/>
      <c r="J988" s="213"/>
      <c r="K988" s="213"/>
      <c r="L988" s="213"/>
      <c r="M988" s="213"/>
      <c r="N988" s="213"/>
      <c r="O988" s="213"/>
      <c r="P988" s="213"/>
      <c r="Q988" s="213"/>
      <c r="R988" s="213"/>
      <c r="S988" s="213" t="s">
        <v>592</v>
      </c>
      <c r="T988" s="213"/>
      <c r="U988" s="213" t="s">
        <v>559</v>
      </c>
      <c r="V988" s="213">
        <v>1</v>
      </c>
      <c r="W988" s="213" t="s">
        <v>539</v>
      </c>
      <c r="X988" s="213" t="s">
        <v>541</v>
      </c>
      <c r="Y988" s="213" t="s">
        <v>541</v>
      </c>
      <c r="Z988" s="212">
        <v>378200</v>
      </c>
      <c r="AA988" s="212">
        <v>5154600</v>
      </c>
      <c r="AB988" s="217">
        <v>0.22817899999999999</v>
      </c>
      <c r="AC988" s="217">
        <v>0.36721900000000002</v>
      </c>
      <c r="AD988" s="212">
        <f t="shared" si="15"/>
        <v>1176171.4734</v>
      </c>
    </row>
    <row r="989" spans="2:30" x14ac:dyDescent="0.15">
      <c r="B989" s="213">
        <v>17197008251</v>
      </c>
      <c r="C989" s="213">
        <v>17197001479</v>
      </c>
      <c r="D989" s="213">
        <v>17197006601</v>
      </c>
      <c r="E989" s="213" t="s">
        <v>533</v>
      </c>
      <c r="F989" s="213" t="s">
        <v>534</v>
      </c>
      <c r="G989" s="213" t="s">
        <v>377</v>
      </c>
      <c r="H989" s="213" t="s">
        <v>535</v>
      </c>
      <c r="I989" s="213"/>
      <c r="J989" s="213" t="s">
        <v>382</v>
      </c>
      <c r="K989" s="213" t="s">
        <v>536</v>
      </c>
      <c r="L989" s="213"/>
      <c r="M989" s="213"/>
      <c r="N989" s="213"/>
      <c r="O989" s="213"/>
      <c r="P989" s="213"/>
      <c r="Q989" s="213"/>
      <c r="R989" s="213"/>
      <c r="S989" s="213" t="s">
        <v>537</v>
      </c>
      <c r="T989" s="213" t="s">
        <v>596</v>
      </c>
      <c r="U989" s="213" t="s">
        <v>538</v>
      </c>
      <c r="V989" s="213">
        <v>2</v>
      </c>
      <c r="W989" s="213" t="s">
        <v>539</v>
      </c>
      <c r="X989" s="213" t="s">
        <v>541</v>
      </c>
      <c r="Y989" s="213" t="s">
        <v>540</v>
      </c>
      <c r="Z989" s="212">
        <v>24669</v>
      </c>
      <c r="AA989" s="212">
        <v>2261348</v>
      </c>
      <c r="AB989" s="217">
        <v>1.7073000000000001E-2</v>
      </c>
      <c r="AC989" s="217">
        <v>2.7477000000000001E-2</v>
      </c>
      <c r="AD989" s="212">
        <f t="shared" si="15"/>
        <v>38607.994404000005</v>
      </c>
    </row>
    <row r="990" spans="2:30" x14ac:dyDescent="0.15">
      <c r="B990" s="213">
        <v>17197008263</v>
      </c>
      <c r="C990" s="213">
        <v>17197004801</v>
      </c>
      <c r="D990" s="213">
        <v>17197006613</v>
      </c>
      <c r="E990" s="213" t="s">
        <v>533</v>
      </c>
      <c r="F990" s="213" t="s">
        <v>534</v>
      </c>
      <c r="G990" s="213" t="s">
        <v>377</v>
      </c>
      <c r="H990" s="213" t="s">
        <v>535</v>
      </c>
      <c r="I990" s="213"/>
      <c r="J990" s="213" t="s">
        <v>382</v>
      </c>
      <c r="K990" s="213" t="s">
        <v>536</v>
      </c>
      <c r="L990" s="213"/>
      <c r="M990" s="213"/>
      <c r="N990" s="213"/>
      <c r="O990" s="213"/>
      <c r="P990" s="213"/>
      <c r="Q990" s="213"/>
      <c r="R990" s="213"/>
      <c r="S990" s="213" t="s">
        <v>537</v>
      </c>
      <c r="T990" s="213" t="s">
        <v>596</v>
      </c>
      <c r="U990" s="213" t="s">
        <v>538</v>
      </c>
      <c r="V990" s="213">
        <v>2</v>
      </c>
      <c r="W990" s="213" t="s">
        <v>539</v>
      </c>
      <c r="X990" s="213" t="s">
        <v>541</v>
      </c>
      <c r="Y990" s="213" t="s">
        <v>540</v>
      </c>
      <c r="Z990" s="212">
        <v>24669</v>
      </c>
      <c r="AA990" s="212">
        <v>2261348</v>
      </c>
      <c r="AB990" s="217">
        <v>0.12364600000000001</v>
      </c>
      <c r="AC990" s="217">
        <v>0.19899</v>
      </c>
      <c r="AD990" s="212">
        <f t="shared" si="15"/>
        <v>279606.634808</v>
      </c>
    </row>
    <row r="991" spans="2:30" x14ac:dyDescent="0.15">
      <c r="B991" s="213">
        <v>17197008942</v>
      </c>
      <c r="C991" s="213">
        <v>17197001452</v>
      </c>
      <c r="D991" s="213">
        <v>17197007161</v>
      </c>
      <c r="E991" s="213" t="s">
        <v>533</v>
      </c>
      <c r="F991" s="213" t="s">
        <v>534</v>
      </c>
      <c r="G991" s="213" t="s">
        <v>377</v>
      </c>
      <c r="H991" s="213" t="s">
        <v>535</v>
      </c>
      <c r="I991" s="213"/>
      <c r="J991" s="213"/>
      <c r="K991" s="213"/>
      <c r="L991" s="213"/>
      <c r="M991" s="213"/>
      <c r="N991" s="213"/>
      <c r="O991" s="213"/>
      <c r="P991" s="213"/>
      <c r="Q991" s="213"/>
      <c r="R991" s="213"/>
      <c r="S991" s="213" t="s">
        <v>681</v>
      </c>
      <c r="T991" s="213"/>
      <c r="U991" s="213" t="s">
        <v>559</v>
      </c>
      <c r="V991" s="213">
        <v>1</v>
      </c>
      <c r="W991" s="213" t="s">
        <v>560</v>
      </c>
      <c r="X991" s="213" t="s">
        <v>541</v>
      </c>
      <c r="Y991" s="213" t="s">
        <v>541</v>
      </c>
      <c r="Z991" s="212">
        <v>14376</v>
      </c>
      <c r="AA991" s="212">
        <v>1731008</v>
      </c>
      <c r="AB991" s="217">
        <v>0.48193799999999998</v>
      </c>
      <c r="AC991" s="217">
        <v>0.77560499999999999</v>
      </c>
      <c r="AD991" s="212">
        <f t="shared" si="15"/>
        <v>834238.53350399993</v>
      </c>
    </row>
    <row r="992" spans="2:30" x14ac:dyDescent="0.15">
      <c r="B992" s="213">
        <v>17197008951</v>
      </c>
      <c r="C992" s="213">
        <v>17197007172</v>
      </c>
      <c r="D992" s="213">
        <v>17197007169</v>
      </c>
      <c r="E992" s="213" t="s">
        <v>533</v>
      </c>
      <c r="F992" s="213" t="s">
        <v>534</v>
      </c>
      <c r="G992" s="213" t="s">
        <v>377</v>
      </c>
      <c r="H992" s="213" t="s">
        <v>381</v>
      </c>
      <c r="I992" s="213"/>
      <c r="J992" s="213" t="s">
        <v>382</v>
      </c>
      <c r="K992" s="213"/>
      <c r="L992" s="213"/>
      <c r="M992" s="213"/>
      <c r="N992" s="213"/>
      <c r="O992" s="213"/>
      <c r="P992" s="213"/>
      <c r="Q992" s="213"/>
      <c r="R992" s="213"/>
      <c r="S992" s="213" t="s">
        <v>647</v>
      </c>
      <c r="T992" s="213"/>
      <c r="U992" s="213" t="s">
        <v>538</v>
      </c>
      <c r="V992" s="213">
        <v>2</v>
      </c>
      <c r="W992" s="213" t="s">
        <v>545</v>
      </c>
      <c r="X992" s="213" t="s">
        <v>549</v>
      </c>
      <c r="Y992" s="213" t="s">
        <v>580</v>
      </c>
      <c r="Z992" s="212">
        <v>522946</v>
      </c>
      <c r="AA992" s="212">
        <v>20497490</v>
      </c>
      <c r="AB992" s="217">
        <v>0.314635</v>
      </c>
      <c r="AC992" s="217">
        <v>0.50635699999999995</v>
      </c>
      <c r="AD992" s="212">
        <f t="shared" si="15"/>
        <v>6449227.7661499996</v>
      </c>
    </row>
    <row r="993" spans="2:30" x14ac:dyDescent="0.15">
      <c r="B993" s="213">
        <v>17197008974</v>
      </c>
      <c r="C993" s="213">
        <v>17197007193</v>
      </c>
      <c r="D993" s="213">
        <v>17197004808</v>
      </c>
      <c r="E993" s="213" t="s">
        <v>533</v>
      </c>
      <c r="F993" s="213" t="s">
        <v>534</v>
      </c>
      <c r="G993" s="213" t="s">
        <v>377</v>
      </c>
      <c r="H993" s="213" t="s">
        <v>382</v>
      </c>
      <c r="I993" s="213"/>
      <c r="J993" s="213" t="s">
        <v>542</v>
      </c>
      <c r="K993" s="213"/>
      <c r="L993" s="213"/>
      <c r="M993" s="213"/>
      <c r="N993" s="213"/>
      <c r="O993" s="213"/>
      <c r="P993" s="213"/>
      <c r="Q993" s="213"/>
      <c r="R993" s="213"/>
      <c r="S993" s="213" t="s">
        <v>606</v>
      </c>
      <c r="T993" s="213"/>
      <c r="U993" s="213" t="s">
        <v>538</v>
      </c>
      <c r="V993" s="213">
        <v>1</v>
      </c>
      <c r="W993" s="213" t="s">
        <v>545</v>
      </c>
      <c r="X993" s="213" t="s">
        <v>549</v>
      </c>
      <c r="Y993" s="213" t="s">
        <v>541</v>
      </c>
      <c r="Z993" s="212">
        <v>160</v>
      </c>
      <c r="AA993" s="212">
        <v>13680</v>
      </c>
      <c r="AB993" s="217">
        <v>0.50942500000000002</v>
      </c>
      <c r="AC993" s="217">
        <v>0.81984299999999999</v>
      </c>
      <c r="AD993" s="212">
        <f t="shared" si="15"/>
        <v>6968.9340000000002</v>
      </c>
    </row>
    <row r="994" spans="2:30" x14ac:dyDescent="0.15">
      <c r="B994" s="213">
        <v>17197008978</v>
      </c>
      <c r="C994" s="213">
        <v>17197005582</v>
      </c>
      <c r="D994" s="213">
        <v>17197007194</v>
      </c>
      <c r="E994" s="213" t="s">
        <v>533</v>
      </c>
      <c r="F994" s="213" t="s">
        <v>534</v>
      </c>
      <c r="G994" s="213" t="s">
        <v>377</v>
      </c>
      <c r="H994" s="213" t="s">
        <v>381</v>
      </c>
      <c r="I994" s="213"/>
      <c r="J994" s="213" t="s">
        <v>382</v>
      </c>
      <c r="K994" s="213"/>
      <c r="L994" s="213"/>
      <c r="M994" s="213"/>
      <c r="N994" s="213"/>
      <c r="O994" s="213"/>
      <c r="P994" s="213"/>
      <c r="Q994" s="213"/>
      <c r="R994" s="213"/>
      <c r="S994" s="213" t="s">
        <v>647</v>
      </c>
      <c r="T994" s="213"/>
      <c r="U994" s="213" t="s">
        <v>538</v>
      </c>
      <c r="V994" s="213">
        <v>1</v>
      </c>
      <c r="W994" s="213" t="s">
        <v>582</v>
      </c>
      <c r="X994" s="213" t="s">
        <v>549</v>
      </c>
      <c r="Y994" s="213" t="s">
        <v>580</v>
      </c>
      <c r="Z994" s="212">
        <v>225440</v>
      </c>
      <c r="AA994" s="212">
        <v>2913712</v>
      </c>
      <c r="AB994" s="217">
        <v>9.7706000000000001E-2</v>
      </c>
      <c r="AC994" s="217">
        <v>0.15724299999999999</v>
      </c>
      <c r="AD994" s="212">
        <f t="shared" si="15"/>
        <v>284687.14467200002</v>
      </c>
    </row>
    <row r="995" spans="2:30" x14ac:dyDescent="0.15">
      <c r="B995" s="213">
        <v>17197009012</v>
      </c>
      <c r="C995" s="213">
        <v>17197007227</v>
      </c>
      <c r="D995" s="213">
        <v>17197007239</v>
      </c>
      <c r="E995" s="213" t="s">
        <v>533</v>
      </c>
      <c r="F995" s="213" t="s">
        <v>534</v>
      </c>
      <c r="G995" s="213" t="s">
        <v>377</v>
      </c>
      <c r="H995" s="213" t="s">
        <v>381</v>
      </c>
      <c r="I995" s="213"/>
      <c r="J995" s="213"/>
      <c r="K995" s="213"/>
      <c r="L995" s="213"/>
      <c r="M995" s="213"/>
      <c r="N995" s="213"/>
      <c r="O995" s="213"/>
      <c r="P995" s="213"/>
      <c r="Q995" s="213"/>
      <c r="R995" s="213"/>
      <c r="S995" s="213" t="s">
        <v>591</v>
      </c>
      <c r="T995" s="213"/>
      <c r="U995" s="213" t="s">
        <v>559</v>
      </c>
      <c r="V995" s="213">
        <v>1</v>
      </c>
      <c r="W995" s="213" t="s">
        <v>560</v>
      </c>
      <c r="X995" s="213" t="s">
        <v>541</v>
      </c>
      <c r="Y995" s="213" t="s">
        <v>541</v>
      </c>
      <c r="Z995" s="212">
        <v>0</v>
      </c>
      <c r="AA995" s="212">
        <v>0</v>
      </c>
      <c r="AB995" s="217">
        <v>0.18413099999999999</v>
      </c>
      <c r="AC995" s="217">
        <v>0.29633100000000001</v>
      </c>
      <c r="AD995" s="212">
        <f t="shared" si="15"/>
        <v>0</v>
      </c>
    </row>
    <row r="996" spans="2:30" x14ac:dyDescent="0.15">
      <c r="B996" s="213">
        <v>17197009013</v>
      </c>
      <c r="C996" s="213">
        <v>17197007226</v>
      </c>
      <c r="D996" s="213">
        <v>17197007227</v>
      </c>
      <c r="E996" s="213" t="s">
        <v>533</v>
      </c>
      <c r="F996" s="213" t="s">
        <v>534</v>
      </c>
      <c r="G996" s="213" t="s">
        <v>377</v>
      </c>
      <c r="H996" s="213" t="s">
        <v>381</v>
      </c>
      <c r="I996" s="213"/>
      <c r="J996" s="213"/>
      <c r="K996" s="213"/>
      <c r="L996" s="213"/>
      <c r="M996" s="213"/>
      <c r="N996" s="213"/>
      <c r="O996" s="213"/>
      <c r="P996" s="213"/>
      <c r="Q996" s="213"/>
      <c r="R996" s="213"/>
      <c r="S996" s="213" t="s">
        <v>591</v>
      </c>
      <c r="T996" s="213"/>
      <c r="U996" s="213" t="s">
        <v>559</v>
      </c>
      <c r="V996" s="213">
        <v>1</v>
      </c>
      <c r="W996" s="213" t="s">
        <v>560</v>
      </c>
      <c r="X996" s="213" t="s">
        <v>541</v>
      </c>
      <c r="Y996" s="213" t="s">
        <v>541</v>
      </c>
      <c r="Z996" s="212">
        <v>0</v>
      </c>
      <c r="AA996" s="212">
        <v>0</v>
      </c>
      <c r="AB996" s="217">
        <v>5.7818000000000001E-2</v>
      </c>
      <c r="AC996" s="217">
        <v>9.3049999999999994E-2</v>
      </c>
      <c r="AD996" s="212">
        <f t="shared" si="15"/>
        <v>0</v>
      </c>
    </row>
    <row r="997" spans="2:30" x14ac:dyDescent="0.15">
      <c r="B997" s="213">
        <v>17197009015</v>
      </c>
      <c r="C997" s="213">
        <v>17197007229</v>
      </c>
      <c r="D997" s="213">
        <v>17197007228</v>
      </c>
      <c r="E997" s="213" t="s">
        <v>533</v>
      </c>
      <c r="F997" s="213" t="s">
        <v>534</v>
      </c>
      <c r="G997" s="213" t="s">
        <v>377</v>
      </c>
      <c r="H997" s="213" t="s">
        <v>381</v>
      </c>
      <c r="I997" s="213"/>
      <c r="J997" s="213"/>
      <c r="K997" s="213"/>
      <c r="L997" s="213"/>
      <c r="M997" s="213"/>
      <c r="N997" s="213"/>
      <c r="O997" s="213"/>
      <c r="P997" s="213"/>
      <c r="Q997" s="213"/>
      <c r="R997" s="213"/>
      <c r="S997" s="213" t="s">
        <v>591</v>
      </c>
      <c r="T997" s="213"/>
      <c r="U997" s="213" t="s">
        <v>559</v>
      </c>
      <c r="V997" s="213">
        <v>1</v>
      </c>
      <c r="W997" s="213" t="s">
        <v>560</v>
      </c>
      <c r="X997" s="213" t="s">
        <v>541</v>
      </c>
      <c r="Y997" s="213" t="s">
        <v>541</v>
      </c>
      <c r="Z997" s="212">
        <v>0</v>
      </c>
      <c r="AA997" s="212">
        <v>0</v>
      </c>
      <c r="AB997" s="217">
        <v>6.9569000000000006E-2</v>
      </c>
      <c r="AC997" s="217">
        <v>0.111961</v>
      </c>
      <c r="AD997" s="212">
        <f t="shared" si="15"/>
        <v>0</v>
      </c>
    </row>
    <row r="998" spans="2:30" x14ac:dyDescent="0.15">
      <c r="B998" s="213">
        <v>17197009029</v>
      </c>
      <c r="C998" s="213">
        <v>17197007239</v>
      </c>
      <c r="D998" s="213">
        <v>17197007230</v>
      </c>
      <c r="E998" s="213" t="s">
        <v>533</v>
      </c>
      <c r="F998" s="213" t="s">
        <v>534</v>
      </c>
      <c r="G998" s="213" t="s">
        <v>377</v>
      </c>
      <c r="H998" s="213" t="s">
        <v>381</v>
      </c>
      <c r="I998" s="213"/>
      <c r="J998" s="213"/>
      <c r="K998" s="213"/>
      <c r="L998" s="213"/>
      <c r="M998" s="213"/>
      <c r="N998" s="213"/>
      <c r="O998" s="213"/>
      <c r="P998" s="213"/>
      <c r="Q998" s="213"/>
      <c r="R998" s="213"/>
      <c r="S998" s="213" t="s">
        <v>591</v>
      </c>
      <c r="T998" s="213"/>
      <c r="U998" s="213" t="s">
        <v>559</v>
      </c>
      <c r="V998" s="213">
        <v>1</v>
      </c>
      <c r="W998" s="213" t="s">
        <v>560</v>
      </c>
      <c r="X998" s="213" t="s">
        <v>541</v>
      </c>
      <c r="Y998" s="213" t="s">
        <v>541</v>
      </c>
      <c r="Z998" s="212">
        <v>0</v>
      </c>
      <c r="AA998" s="212">
        <v>0</v>
      </c>
      <c r="AB998" s="217">
        <v>2.9349E-2</v>
      </c>
      <c r="AC998" s="217">
        <v>4.7232000000000003E-2</v>
      </c>
      <c r="AD998" s="212">
        <f t="shared" si="15"/>
        <v>0</v>
      </c>
    </row>
    <row r="999" spans="2:30" x14ac:dyDescent="0.15">
      <c r="B999" s="213">
        <v>17197009033</v>
      </c>
      <c r="C999" s="213">
        <v>17197007240</v>
      </c>
      <c r="D999" s="213">
        <v>17197007217</v>
      </c>
      <c r="E999" s="213" t="s">
        <v>533</v>
      </c>
      <c r="F999" s="213" t="s">
        <v>534</v>
      </c>
      <c r="G999" s="213" t="s">
        <v>377</v>
      </c>
      <c r="H999" s="213" t="s">
        <v>381</v>
      </c>
      <c r="I999" s="213"/>
      <c r="J999" s="213"/>
      <c r="K999" s="213"/>
      <c r="L999" s="213"/>
      <c r="M999" s="213"/>
      <c r="N999" s="213"/>
      <c r="O999" s="213"/>
      <c r="P999" s="213"/>
      <c r="Q999" s="213"/>
      <c r="R999" s="213"/>
      <c r="S999" s="213" t="s">
        <v>591</v>
      </c>
      <c r="T999" s="213"/>
      <c r="U999" s="213" t="s">
        <v>559</v>
      </c>
      <c r="V999" s="213">
        <v>1</v>
      </c>
      <c r="W999" s="213" t="s">
        <v>560</v>
      </c>
      <c r="X999" s="213" t="s">
        <v>541</v>
      </c>
      <c r="Y999" s="213" t="s">
        <v>541</v>
      </c>
      <c r="Z999" s="212">
        <v>0</v>
      </c>
      <c r="AA999" s="212">
        <v>0</v>
      </c>
      <c r="AB999" s="217">
        <v>0.27129999999999999</v>
      </c>
      <c r="AC999" s="217">
        <v>0.436616</v>
      </c>
      <c r="AD999" s="212">
        <f t="shared" si="15"/>
        <v>0</v>
      </c>
    </row>
    <row r="1000" spans="2:30" x14ac:dyDescent="0.15">
      <c r="B1000" s="213">
        <v>17197009253</v>
      </c>
      <c r="C1000" s="213">
        <v>17197007380</v>
      </c>
      <c r="D1000" s="213">
        <v>17197001706</v>
      </c>
      <c r="E1000" s="213" t="s">
        <v>533</v>
      </c>
      <c r="F1000" s="213" t="s">
        <v>534</v>
      </c>
      <c r="G1000" s="213" t="s">
        <v>377</v>
      </c>
      <c r="H1000" s="213" t="s">
        <v>382</v>
      </c>
      <c r="I1000" s="213"/>
      <c r="J1000" s="213" t="s">
        <v>551</v>
      </c>
      <c r="K1000" s="213" t="s">
        <v>555</v>
      </c>
      <c r="L1000" s="213"/>
      <c r="M1000" s="213"/>
      <c r="N1000" s="213"/>
      <c r="O1000" s="213"/>
      <c r="P1000" s="213"/>
      <c r="Q1000" s="213"/>
      <c r="R1000" s="213"/>
      <c r="S1000" s="213" t="s">
        <v>556</v>
      </c>
      <c r="T1000" s="213"/>
      <c r="U1000" s="213" t="s">
        <v>538</v>
      </c>
      <c r="V1000" s="213">
        <v>2</v>
      </c>
      <c r="W1000" s="213" t="s">
        <v>582</v>
      </c>
      <c r="X1000" s="213" t="s">
        <v>549</v>
      </c>
      <c r="Y1000" s="213" t="s">
        <v>580</v>
      </c>
      <c r="Z1000" s="212">
        <v>846321</v>
      </c>
      <c r="AA1000" s="212">
        <v>33452495</v>
      </c>
      <c r="AB1000" s="217">
        <v>1.2709269999999999</v>
      </c>
      <c r="AC1000" s="217">
        <v>2.045363</v>
      </c>
      <c r="AD1000" s="212">
        <f t="shared" si="15"/>
        <v>42515679.112865001</v>
      </c>
    </row>
    <row r="1001" spans="2:30" x14ac:dyDescent="0.15">
      <c r="B1001" s="213">
        <v>17197009260</v>
      </c>
      <c r="C1001" s="213">
        <v>17197007386</v>
      </c>
      <c r="D1001" s="213">
        <v>17197004786</v>
      </c>
      <c r="E1001" s="213" t="s">
        <v>533</v>
      </c>
      <c r="F1001" s="213" t="s">
        <v>534</v>
      </c>
      <c r="G1001" s="213" t="s">
        <v>377</v>
      </c>
      <c r="H1001" s="213" t="s">
        <v>535</v>
      </c>
      <c r="I1001" s="213"/>
      <c r="J1001" s="213" t="s">
        <v>542</v>
      </c>
      <c r="K1001" s="213" t="s">
        <v>543</v>
      </c>
      <c r="L1001" s="213" t="s">
        <v>382</v>
      </c>
      <c r="M1001" s="213"/>
      <c r="N1001" s="213"/>
      <c r="O1001" s="213"/>
      <c r="P1001" s="213"/>
      <c r="Q1001" s="213"/>
      <c r="R1001" s="213"/>
      <c r="S1001" s="213" t="s">
        <v>544</v>
      </c>
      <c r="T1001" s="213"/>
      <c r="U1001" s="213" t="s">
        <v>538</v>
      </c>
      <c r="V1001" s="213">
        <v>1</v>
      </c>
      <c r="W1001" s="213" t="s">
        <v>545</v>
      </c>
      <c r="X1001" s="213" t="s">
        <v>549</v>
      </c>
      <c r="Y1001" s="213" t="s">
        <v>546</v>
      </c>
      <c r="Z1001" s="212">
        <v>402638</v>
      </c>
      <c r="AA1001" s="212">
        <v>21806039</v>
      </c>
      <c r="AB1001" s="217">
        <v>0.47660799999999998</v>
      </c>
      <c r="AC1001" s="217">
        <v>0.76702800000000004</v>
      </c>
      <c r="AD1001" s="212">
        <f t="shared" si="15"/>
        <v>10392932.635712</v>
      </c>
    </row>
    <row r="1002" spans="2:30" x14ac:dyDescent="0.15">
      <c r="B1002" s="213">
        <v>17197009303</v>
      </c>
      <c r="C1002" s="213">
        <v>17197007422</v>
      </c>
      <c r="D1002" s="213">
        <v>17197007426</v>
      </c>
      <c r="E1002" s="213" t="s">
        <v>533</v>
      </c>
      <c r="F1002" s="213" t="s">
        <v>534</v>
      </c>
      <c r="G1002" s="213" t="s">
        <v>377</v>
      </c>
      <c r="H1002" s="213" t="s">
        <v>551</v>
      </c>
      <c r="I1002" s="213"/>
      <c r="J1002" s="213" t="s">
        <v>535</v>
      </c>
      <c r="K1002" s="213"/>
      <c r="L1002" s="213"/>
      <c r="M1002" s="213"/>
      <c r="N1002" s="213"/>
      <c r="O1002" s="213"/>
      <c r="P1002" s="213"/>
      <c r="Q1002" s="213"/>
      <c r="R1002" s="213"/>
      <c r="S1002" s="213" t="s">
        <v>594</v>
      </c>
      <c r="T1002" s="213"/>
      <c r="U1002" s="213" t="s">
        <v>559</v>
      </c>
      <c r="V1002" s="213">
        <v>1</v>
      </c>
      <c r="W1002" s="213" t="s">
        <v>560</v>
      </c>
      <c r="X1002" s="213" t="s">
        <v>541</v>
      </c>
      <c r="Y1002" s="213" t="s">
        <v>541</v>
      </c>
      <c r="Z1002" s="212">
        <v>0</v>
      </c>
      <c r="AA1002" s="212">
        <v>0</v>
      </c>
      <c r="AB1002" s="217">
        <v>0.24610000000000001</v>
      </c>
      <c r="AC1002" s="217">
        <v>0.396061</v>
      </c>
      <c r="AD1002" s="212">
        <f t="shared" si="15"/>
        <v>0</v>
      </c>
    </row>
    <row r="1003" spans="2:30" x14ac:dyDescent="0.15">
      <c r="B1003" s="213">
        <v>17197009315</v>
      </c>
      <c r="C1003" s="213">
        <v>17197007436</v>
      </c>
      <c r="D1003" s="213">
        <v>17197004793</v>
      </c>
      <c r="E1003" s="213" t="s">
        <v>533</v>
      </c>
      <c r="F1003" s="213" t="s">
        <v>534</v>
      </c>
      <c r="G1003" s="213" t="s">
        <v>377</v>
      </c>
      <c r="H1003" s="213" t="s">
        <v>535</v>
      </c>
      <c r="I1003" s="213"/>
      <c r="J1003" s="213" t="s">
        <v>382</v>
      </c>
      <c r="K1003" s="213" t="s">
        <v>536</v>
      </c>
      <c r="L1003" s="213"/>
      <c r="M1003" s="213"/>
      <c r="N1003" s="213"/>
      <c r="O1003" s="213"/>
      <c r="P1003" s="213"/>
      <c r="Q1003" s="213"/>
      <c r="R1003" s="213"/>
      <c r="S1003" s="213" t="s">
        <v>537</v>
      </c>
      <c r="T1003" s="213"/>
      <c r="U1003" s="213" t="s">
        <v>538</v>
      </c>
      <c r="V1003" s="213">
        <v>2</v>
      </c>
      <c r="W1003" s="213" t="s">
        <v>545</v>
      </c>
      <c r="X1003" s="213" t="s">
        <v>549</v>
      </c>
      <c r="Y1003" s="213" t="s">
        <v>540</v>
      </c>
      <c r="Z1003" s="212">
        <v>26829</v>
      </c>
      <c r="AA1003" s="212">
        <v>2434428</v>
      </c>
      <c r="AB1003" s="217">
        <v>0.114523</v>
      </c>
      <c r="AC1003" s="217">
        <v>0.184307</v>
      </c>
      <c r="AD1003" s="212">
        <f t="shared" si="15"/>
        <v>278797.997844</v>
      </c>
    </row>
    <row r="1004" spans="2:30" x14ac:dyDescent="0.15">
      <c r="B1004" s="213">
        <v>17197009319</v>
      </c>
      <c r="C1004" s="213">
        <v>17197007441</v>
      </c>
      <c r="D1004" s="213">
        <v>17197007439</v>
      </c>
      <c r="E1004" s="213" t="s">
        <v>533</v>
      </c>
      <c r="F1004" s="213" t="s">
        <v>534</v>
      </c>
      <c r="G1004" s="213" t="s">
        <v>377</v>
      </c>
      <c r="H1004" s="213" t="s">
        <v>535</v>
      </c>
      <c r="I1004" s="213"/>
      <c r="J1004" s="213" t="s">
        <v>382</v>
      </c>
      <c r="K1004" s="213" t="s">
        <v>536</v>
      </c>
      <c r="L1004" s="213"/>
      <c r="M1004" s="213"/>
      <c r="N1004" s="213"/>
      <c r="O1004" s="213"/>
      <c r="P1004" s="213"/>
      <c r="Q1004" s="213"/>
      <c r="R1004" s="213"/>
      <c r="S1004" s="213" t="s">
        <v>537</v>
      </c>
      <c r="T1004" s="213"/>
      <c r="U1004" s="213" t="s">
        <v>538</v>
      </c>
      <c r="V1004" s="213">
        <v>2</v>
      </c>
      <c r="W1004" s="213" t="s">
        <v>545</v>
      </c>
      <c r="X1004" s="213" t="s">
        <v>549</v>
      </c>
      <c r="Y1004" s="213" t="s">
        <v>540</v>
      </c>
      <c r="Z1004" s="212">
        <v>25709</v>
      </c>
      <c r="AA1004" s="212">
        <v>2350988</v>
      </c>
      <c r="AB1004" s="217">
        <v>0.21437100000000001</v>
      </c>
      <c r="AC1004" s="217">
        <v>0.344997</v>
      </c>
      <c r="AD1004" s="212">
        <f t="shared" si="15"/>
        <v>503983.64854800003</v>
      </c>
    </row>
    <row r="1005" spans="2:30" x14ac:dyDescent="0.15">
      <c r="B1005" s="213">
        <v>17197009340</v>
      </c>
      <c r="C1005" s="213">
        <v>17197001412</v>
      </c>
      <c r="D1005" s="213">
        <v>17197007461</v>
      </c>
      <c r="E1005" s="213" t="s">
        <v>533</v>
      </c>
      <c r="F1005" s="213" t="s">
        <v>534</v>
      </c>
      <c r="G1005" s="213" t="s">
        <v>377</v>
      </c>
      <c r="H1005" s="213" t="s">
        <v>535</v>
      </c>
      <c r="I1005" s="213"/>
      <c r="J1005" s="213" t="s">
        <v>382</v>
      </c>
      <c r="K1005" s="213" t="s">
        <v>536</v>
      </c>
      <c r="L1005" s="213"/>
      <c r="M1005" s="213"/>
      <c r="N1005" s="213"/>
      <c r="O1005" s="213"/>
      <c r="P1005" s="213"/>
      <c r="Q1005" s="213"/>
      <c r="R1005" s="213"/>
      <c r="S1005" s="213" t="s">
        <v>550</v>
      </c>
      <c r="T1005" s="213"/>
      <c r="U1005" s="213" t="s">
        <v>538</v>
      </c>
      <c r="V1005" s="213">
        <v>1</v>
      </c>
      <c r="W1005" s="213" t="s">
        <v>545</v>
      </c>
      <c r="X1005" s="213" t="s">
        <v>549</v>
      </c>
      <c r="Y1005" s="213" t="s">
        <v>540</v>
      </c>
      <c r="Z1005" s="212">
        <v>66683</v>
      </c>
      <c r="AA1005" s="212">
        <v>7416364</v>
      </c>
      <c r="AB1005" s="217">
        <v>0.72130300000000003</v>
      </c>
      <c r="AC1005" s="217">
        <v>1.1608270000000001</v>
      </c>
      <c r="AD1005" s="212">
        <f t="shared" si="15"/>
        <v>5349445.6022920003</v>
      </c>
    </row>
    <row r="1006" spans="2:30" x14ac:dyDescent="0.15">
      <c r="B1006" s="213">
        <v>17031001509</v>
      </c>
      <c r="C1006" s="213">
        <v>17031000536</v>
      </c>
      <c r="D1006" s="213">
        <v>17031000534</v>
      </c>
      <c r="E1006" s="213" t="s">
        <v>533</v>
      </c>
      <c r="F1006" s="213" t="s">
        <v>534</v>
      </c>
      <c r="G1006" s="213" t="s">
        <v>365</v>
      </c>
      <c r="H1006" s="213" t="s">
        <v>382</v>
      </c>
      <c r="I1006" s="213"/>
      <c r="J1006" s="213" t="s">
        <v>535</v>
      </c>
      <c r="K1006" s="213" t="s">
        <v>552</v>
      </c>
      <c r="L1006" s="213" t="s">
        <v>557</v>
      </c>
      <c r="M1006" s="213" t="s">
        <v>543</v>
      </c>
      <c r="N1006" s="213"/>
      <c r="O1006" s="213"/>
      <c r="P1006" s="213"/>
      <c r="Q1006" s="213"/>
      <c r="R1006" s="213"/>
      <c r="S1006" s="213" t="s">
        <v>650</v>
      </c>
      <c r="T1006" s="213"/>
      <c r="U1006" s="213" t="s">
        <v>559</v>
      </c>
      <c r="V1006" s="213">
        <v>1</v>
      </c>
      <c r="W1006" s="213" t="s">
        <v>539</v>
      </c>
      <c r="X1006" s="213" t="s">
        <v>541</v>
      </c>
      <c r="Y1006" s="213" t="s">
        <v>541</v>
      </c>
      <c r="Z1006" s="212">
        <v>2686</v>
      </c>
      <c r="AA1006" s="212">
        <v>254944</v>
      </c>
      <c r="AB1006" s="217">
        <v>0.13777800000000001</v>
      </c>
      <c r="AC1006" s="217">
        <v>0.22173200000000001</v>
      </c>
      <c r="AD1006" s="212">
        <f t="shared" si="15"/>
        <v>35125.674432</v>
      </c>
    </row>
    <row r="1007" spans="2:30" x14ac:dyDescent="0.15">
      <c r="B1007" s="213">
        <v>17031001938</v>
      </c>
      <c r="C1007" s="213">
        <v>17031004657</v>
      </c>
      <c r="D1007" s="213">
        <v>17031004521</v>
      </c>
      <c r="E1007" s="213" t="s">
        <v>533</v>
      </c>
      <c r="F1007" s="213" t="s">
        <v>534</v>
      </c>
      <c r="G1007" s="213" t="s">
        <v>365</v>
      </c>
      <c r="H1007" s="213" t="s">
        <v>381</v>
      </c>
      <c r="I1007" s="213"/>
      <c r="J1007" s="213" t="s">
        <v>542</v>
      </c>
      <c r="K1007" s="213" t="s">
        <v>547</v>
      </c>
      <c r="L1007" s="213" t="s">
        <v>382</v>
      </c>
      <c r="M1007" s="213"/>
      <c r="N1007" s="213"/>
      <c r="O1007" s="213"/>
      <c r="P1007" s="213"/>
      <c r="Q1007" s="213"/>
      <c r="R1007" s="213"/>
      <c r="S1007" s="213" t="s">
        <v>579</v>
      </c>
      <c r="T1007" s="213"/>
      <c r="U1007" s="213" t="s">
        <v>538</v>
      </c>
      <c r="V1007" s="213">
        <v>3</v>
      </c>
      <c r="W1007" s="213" t="s">
        <v>545</v>
      </c>
      <c r="X1007" s="213" t="s">
        <v>549</v>
      </c>
      <c r="Y1007" s="213" t="s">
        <v>580</v>
      </c>
      <c r="Z1007" s="212">
        <v>2794758</v>
      </c>
      <c r="AA1007" s="212">
        <v>85265824</v>
      </c>
      <c r="AB1007" s="217">
        <v>0.42139300000000002</v>
      </c>
      <c r="AC1007" s="217">
        <v>0.67816799999999999</v>
      </c>
      <c r="AD1007" s="212">
        <f t="shared" si="15"/>
        <v>35930421.372832</v>
      </c>
    </row>
    <row r="1008" spans="2:30" x14ac:dyDescent="0.15">
      <c r="B1008" s="213">
        <v>17031001940</v>
      </c>
      <c r="C1008" s="213">
        <v>17031000824</v>
      </c>
      <c r="D1008" s="213">
        <v>17031000812</v>
      </c>
      <c r="E1008" s="213" t="s">
        <v>533</v>
      </c>
      <c r="F1008" s="213" t="s">
        <v>534</v>
      </c>
      <c r="G1008" s="213" t="s">
        <v>365</v>
      </c>
      <c r="H1008" s="213" t="s">
        <v>535</v>
      </c>
      <c r="I1008" s="213"/>
      <c r="J1008" s="213" t="s">
        <v>542</v>
      </c>
      <c r="K1008" s="213" t="s">
        <v>572</v>
      </c>
      <c r="L1008" s="213" t="s">
        <v>547</v>
      </c>
      <c r="M1008" s="213" t="s">
        <v>382</v>
      </c>
      <c r="N1008" s="213"/>
      <c r="O1008" s="213"/>
      <c r="P1008" s="213"/>
      <c r="Q1008" s="213"/>
      <c r="R1008" s="213"/>
      <c r="S1008" s="213" t="s">
        <v>601</v>
      </c>
      <c r="T1008" s="213"/>
      <c r="U1008" s="213" t="s">
        <v>538</v>
      </c>
      <c r="V1008" s="213">
        <v>2</v>
      </c>
      <c r="W1008" s="213" t="s">
        <v>545</v>
      </c>
      <c r="X1008" s="213" t="s">
        <v>549</v>
      </c>
      <c r="Y1008" s="213" t="s">
        <v>540</v>
      </c>
      <c r="Z1008" s="212">
        <v>1560</v>
      </c>
      <c r="AA1008" s="212">
        <v>135120</v>
      </c>
      <c r="AB1008" s="217">
        <v>1.454353</v>
      </c>
      <c r="AC1008" s="217">
        <v>2.3405589999999998</v>
      </c>
      <c r="AD1008" s="212">
        <f t="shared" si="15"/>
        <v>196512.17736</v>
      </c>
    </row>
    <row r="1009" spans="2:30" x14ac:dyDescent="0.15">
      <c r="B1009" s="213">
        <v>17031001943</v>
      </c>
      <c r="C1009" s="213">
        <v>17031000862</v>
      </c>
      <c r="D1009" s="213">
        <v>17031004669</v>
      </c>
      <c r="E1009" s="213" t="s">
        <v>533</v>
      </c>
      <c r="F1009" s="213" t="s">
        <v>534</v>
      </c>
      <c r="G1009" s="213" t="s">
        <v>365</v>
      </c>
      <c r="H1009" s="213" t="s">
        <v>535</v>
      </c>
      <c r="I1009" s="213"/>
      <c r="J1009" s="213" t="s">
        <v>542</v>
      </c>
      <c r="K1009" s="213" t="s">
        <v>572</v>
      </c>
      <c r="L1009" s="213" t="s">
        <v>547</v>
      </c>
      <c r="M1009" s="213" t="s">
        <v>382</v>
      </c>
      <c r="N1009" s="213" t="s">
        <v>552</v>
      </c>
      <c r="O1009" s="213" t="s">
        <v>381</v>
      </c>
      <c r="P1009" s="213"/>
      <c r="Q1009" s="213"/>
      <c r="R1009" s="213"/>
      <c r="S1009" s="213" t="s">
        <v>601</v>
      </c>
      <c r="T1009" s="213" t="s">
        <v>692</v>
      </c>
      <c r="U1009" s="213" t="s">
        <v>538</v>
      </c>
      <c r="V1009" s="213">
        <v>2</v>
      </c>
      <c r="W1009" s="213" t="s">
        <v>545</v>
      </c>
      <c r="X1009" s="213" t="s">
        <v>549</v>
      </c>
      <c r="Y1009" s="213" t="s">
        <v>540</v>
      </c>
      <c r="Z1009" s="212">
        <v>2000</v>
      </c>
      <c r="AA1009" s="212">
        <v>169600</v>
      </c>
      <c r="AB1009" s="217">
        <v>1.7375579999999999</v>
      </c>
      <c r="AC1009" s="217">
        <v>2.7963339999999999</v>
      </c>
      <c r="AD1009" s="212">
        <f t="shared" si="15"/>
        <v>294689.83679999999</v>
      </c>
    </row>
    <row r="1010" spans="2:30" x14ac:dyDescent="0.15">
      <c r="B1010" s="213">
        <v>17031001944</v>
      </c>
      <c r="C1010" s="213">
        <v>17031000914</v>
      </c>
      <c r="D1010" s="213">
        <v>17031000900</v>
      </c>
      <c r="E1010" s="213" t="s">
        <v>533</v>
      </c>
      <c r="F1010" s="213" t="s">
        <v>534</v>
      </c>
      <c r="G1010" s="213" t="s">
        <v>365</v>
      </c>
      <c r="H1010" s="213" t="s">
        <v>557</v>
      </c>
      <c r="I1010" s="213"/>
      <c r="J1010" s="213" t="s">
        <v>381</v>
      </c>
      <c r="K1010" s="213" t="s">
        <v>535</v>
      </c>
      <c r="L1010" s="213" t="s">
        <v>552</v>
      </c>
      <c r="M1010" s="213" t="s">
        <v>551</v>
      </c>
      <c r="N1010" s="213" t="s">
        <v>543</v>
      </c>
      <c r="O1010" s="213" t="s">
        <v>382</v>
      </c>
      <c r="P1010" s="213"/>
      <c r="Q1010" s="213"/>
      <c r="R1010" s="213"/>
      <c r="S1010" s="213" t="s">
        <v>570</v>
      </c>
      <c r="T1010" s="213"/>
      <c r="U1010" s="213" t="s">
        <v>538</v>
      </c>
      <c r="V1010" s="213">
        <v>2</v>
      </c>
      <c r="W1010" s="213" t="s">
        <v>545</v>
      </c>
      <c r="X1010" s="213" t="s">
        <v>540</v>
      </c>
      <c r="Y1010" s="213" t="s">
        <v>575</v>
      </c>
      <c r="Z1010" s="212">
        <v>1867611</v>
      </c>
      <c r="AA1010" s="212">
        <v>92080429</v>
      </c>
      <c r="AB1010" s="217">
        <v>0.53015999999999996</v>
      </c>
      <c r="AC1010" s="217">
        <v>0.85321100000000005</v>
      </c>
      <c r="AD1010" s="212">
        <f t="shared" si="15"/>
        <v>48817360.238639995</v>
      </c>
    </row>
    <row r="1011" spans="2:30" x14ac:dyDescent="0.15">
      <c r="B1011" s="213">
        <v>17031001948</v>
      </c>
      <c r="C1011" s="213">
        <v>17031000936</v>
      </c>
      <c r="D1011" s="213">
        <v>17031000929</v>
      </c>
      <c r="E1011" s="213" t="s">
        <v>533</v>
      </c>
      <c r="F1011" s="213" t="s">
        <v>534</v>
      </c>
      <c r="G1011" s="213" t="s">
        <v>365</v>
      </c>
      <c r="H1011" s="213" t="s">
        <v>557</v>
      </c>
      <c r="I1011" s="213"/>
      <c r="J1011" s="213" t="s">
        <v>381</v>
      </c>
      <c r="K1011" s="213" t="s">
        <v>535</v>
      </c>
      <c r="L1011" s="213" t="s">
        <v>552</v>
      </c>
      <c r="M1011" s="213" t="s">
        <v>551</v>
      </c>
      <c r="N1011" s="213" t="s">
        <v>543</v>
      </c>
      <c r="O1011" s="213" t="s">
        <v>382</v>
      </c>
      <c r="P1011" s="213"/>
      <c r="Q1011" s="213"/>
      <c r="R1011" s="213"/>
      <c r="S1011" s="213" t="s">
        <v>570</v>
      </c>
      <c r="T1011" s="213" t="s">
        <v>690</v>
      </c>
      <c r="U1011" s="213" t="s">
        <v>538</v>
      </c>
      <c r="V1011" s="213">
        <v>2</v>
      </c>
      <c r="W1011" s="213" t="s">
        <v>545</v>
      </c>
      <c r="X1011" s="213" t="s">
        <v>554</v>
      </c>
      <c r="Y1011" s="213" t="s">
        <v>575</v>
      </c>
      <c r="Z1011" s="212">
        <v>1592913</v>
      </c>
      <c r="AA1011" s="212">
        <v>89110420</v>
      </c>
      <c r="AB1011" s="217">
        <v>5.3003000000000002E-2</v>
      </c>
      <c r="AC1011" s="217">
        <v>8.5301000000000002E-2</v>
      </c>
      <c r="AD1011" s="212">
        <f t="shared" si="15"/>
        <v>4723119.5912600001</v>
      </c>
    </row>
    <row r="1012" spans="2:30" x14ac:dyDescent="0.15">
      <c r="B1012" s="213">
        <v>17031001952</v>
      </c>
      <c r="C1012" s="213">
        <v>17031004678</v>
      </c>
      <c r="D1012" s="213">
        <v>17031000783</v>
      </c>
      <c r="E1012" s="213" t="s">
        <v>533</v>
      </c>
      <c r="F1012" s="213" t="s">
        <v>534</v>
      </c>
      <c r="G1012" s="213" t="s">
        <v>365</v>
      </c>
      <c r="H1012" s="213" t="s">
        <v>381</v>
      </c>
      <c r="I1012" s="213"/>
      <c r="J1012" s="213" t="s">
        <v>535</v>
      </c>
      <c r="K1012" s="213" t="s">
        <v>382</v>
      </c>
      <c r="L1012" s="213"/>
      <c r="M1012" s="213"/>
      <c r="N1012" s="213"/>
      <c r="O1012" s="213"/>
      <c r="P1012" s="213"/>
      <c r="Q1012" s="213"/>
      <c r="R1012" s="213"/>
      <c r="S1012" s="213" t="s">
        <v>647</v>
      </c>
      <c r="T1012" s="213"/>
      <c r="U1012" s="213" t="s">
        <v>538</v>
      </c>
      <c r="V1012" s="213">
        <v>2</v>
      </c>
      <c r="W1012" s="213" t="s">
        <v>545</v>
      </c>
      <c r="X1012" s="213" t="s">
        <v>541</v>
      </c>
      <c r="Y1012" s="213" t="s">
        <v>580</v>
      </c>
      <c r="Z1012" s="212">
        <v>73073</v>
      </c>
      <c r="AA1012" s="212">
        <v>3691429</v>
      </c>
      <c r="AB1012" s="217">
        <v>1.9039E-2</v>
      </c>
      <c r="AC1012" s="217">
        <v>3.0641000000000002E-2</v>
      </c>
      <c r="AD1012" s="212">
        <f t="shared" si="15"/>
        <v>70281.116731000002</v>
      </c>
    </row>
    <row r="1013" spans="2:30" x14ac:dyDescent="0.15">
      <c r="B1013" s="213">
        <v>17031001961</v>
      </c>
      <c r="C1013" s="213">
        <v>17031001241</v>
      </c>
      <c r="D1013" s="213">
        <v>17031001200</v>
      </c>
      <c r="E1013" s="213" t="s">
        <v>533</v>
      </c>
      <c r="F1013" s="213" t="s">
        <v>534</v>
      </c>
      <c r="G1013" s="213" t="s">
        <v>365</v>
      </c>
      <c r="H1013" s="213" t="s">
        <v>557</v>
      </c>
      <c r="I1013" s="213"/>
      <c r="J1013" s="213" t="s">
        <v>381</v>
      </c>
      <c r="K1013" s="213" t="s">
        <v>535</v>
      </c>
      <c r="L1013" s="213" t="s">
        <v>552</v>
      </c>
      <c r="M1013" s="213" t="s">
        <v>551</v>
      </c>
      <c r="N1013" s="213" t="s">
        <v>543</v>
      </c>
      <c r="O1013" s="213" t="s">
        <v>382</v>
      </c>
      <c r="P1013" s="213"/>
      <c r="Q1013" s="213"/>
      <c r="R1013" s="213"/>
      <c r="S1013" s="213" t="s">
        <v>570</v>
      </c>
      <c r="T1013" s="213"/>
      <c r="U1013" s="213" t="s">
        <v>538</v>
      </c>
      <c r="V1013" s="213">
        <v>2</v>
      </c>
      <c r="W1013" s="213" t="s">
        <v>545</v>
      </c>
      <c r="X1013" s="213" t="s">
        <v>540</v>
      </c>
      <c r="Y1013" s="213" t="s">
        <v>575</v>
      </c>
      <c r="Z1013" s="212">
        <v>1938863</v>
      </c>
      <c r="AA1013" s="212">
        <v>84396379</v>
      </c>
      <c r="AB1013" s="217">
        <v>1.7749740000000001</v>
      </c>
      <c r="AC1013" s="217">
        <v>2.8565489999999998</v>
      </c>
      <c r="AD1013" s="212">
        <f t="shared" si="15"/>
        <v>149801378.419146</v>
      </c>
    </row>
    <row r="1014" spans="2:30" x14ac:dyDescent="0.15">
      <c r="B1014" s="213">
        <v>17031001965</v>
      </c>
      <c r="C1014" s="213">
        <v>17031001453</v>
      </c>
      <c r="D1014" s="213">
        <v>17031004712</v>
      </c>
      <c r="E1014" s="213" t="s">
        <v>533</v>
      </c>
      <c r="F1014" s="213" t="s">
        <v>534</v>
      </c>
      <c r="G1014" s="213" t="s">
        <v>365</v>
      </c>
      <c r="H1014" s="213" t="s">
        <v>551</v>
      </c>
      <c r="I1014" s="213"/>
      <c r="J1014" s="213"/>
      <c r="K1014" s="213"/>
      <c r="L1014" s="213"/>
      <c r="M1014" s="213"/>
      <c r="N1014" s="213"/>
      <c r="O1014" s="213"/>
      <c r="P1014" s="213"/>
      <c r="Q1014" s="213"/>
      <c r="R1014" s="213"/>
      <c r="S1014" s="213" t="s">
        <v>628</v>
      </c>
      <c r="T1014" s="213"/>
      <c r="U1014" s="213" t="s">
        <v>538</v>
      </c>
      <c r="V1014" s="213">
        <v>1</v>
      </c>
      <c r="W1014" s="213" t="s">
        <v>560</v>
      </c>
      <c r="X1014" s="213" t="s">
        <v>541</v>
      </c>
      <c r="Y1014" s="213" t="s">
        <v>541</v>
      </c>
      <c r="Z1014" s="212">
        <v>0</v>
      </c>
      <c r="AA1014" s="212">
        <v>0</v>
      </c>
      <c r="AB1014" s="217">
        <v>1.907653</v>
      </c>
      <c r="AC1014" s="217">
        <v>3.0700759999999998</v>
      </c>
      <c r="AD1014" s="212">
        <f t="shared" si="15"/>
        <v>0</v>
      </c>
    </row>
    <row r="1015" spans="2:30" x14ac:dyDescent="0.15">
      <c r="B1015" s="213">
        <v>17031001974</v>
      </c>
      <c r="C1015" s="213">
        <v>17031000992</v>
      </c>
      <c r="D1015" s="213">
        <v>17031000958</v>
      </c>
      <c r="E1015" s="213" t="s">
        <v>533</v>
      </c>
      <c r="F1015" s="213" t="s">
        <v>534</v>
      </c>
      <c r="G1015" s="213" t="s">
        <v>365</v>
      </c>
      <c r="H1015" s="213" t="s">
        <v>547</v>
      </c>
      <c r="I1015" s="213"/>
      <c r="J1015" s="213"/>
      <c r="K1015" s="213"/>
      <c r="L1015" s="213"/>
      <c r="M1015" s="213"/>
      <c r="N1015" s="213"/>
      <c r="O1015" s="213"/>
      <c r="P1015" s="213"/>
      <c r="Q1015" s="213"/>
      <c r="R1015" s="213"/>
      <c r="S1015" s="213"/>
      <c r="T1015" s="213"/>
      <c r="U1015" s="213" t="s">
        <v>538</v>
      </c>
      <c r="V1015" s="213">
        <v>2</v>
      </c>
      <c r="W1015" s="213" t="s">
        <v>545</v>
      </c>
      <c r="X1015" s="213" t="s">
        <v>540</v>
      </c>
      <c r="Y1015" s="213" t="s">
        <v>541</v>
      </c>
      <c r="Z1015" s="212">
        <v>0</v>
      </c>
      <c r="AA1015" s="212">
        <v>0</v>
      </c>
      <c r="AB1015" s="217">
        <v>0.44772899999999999</v>
      </c>
      <c r="AC1015" s="217">
        <v>0.72055199999999997</v>
      </c>
      <c r="AD1015" s="212">
        <f t="shared" si="15"/>
        <v>0</v>
      </c>
    </row>
    <row r="1016" spans="2:30" x14ac:dyDescent="0.15">
      <c r="B1016" s="213">
        <v>17031001975</v>
      </c>
      <c r="C1016" s="213">
        <v>17031001114</v>
      </c>
      <c r="D1016" s="213">
        <v>17031001023</v>
      </c>
      <c r="E1016" s="213" t="s">
        <v>533</v>
      </c>
      <c r="F1016" s="213" t="s">
        <v>534</v>
      </c>
      <c r="G1016" s="213" t="s">
        <v>365</v>
      </c>
      <c r="H1016" s="213" t="s">
        <v>543</v>
      </c>
      <c r="I1016" s="213"/>
      <c r="J1016" s="213" t="s">
        <v>542</v>
      </c>
      <c r="K1016" s="213"/>
      <c r="L1016" s="213"/>
      <c r="M1016" s="213"/>
      <c r="N1016" s="213"/>
      <c r="O1016" s="213"/>
      <c r="P1016" s="213"/>
      <c r="Q1016" s="213"/>
      <c r="R1016" s="213"/>
      <c r="S1016" s="213" t="s">
        <v>630</v>
      </c>
      <c r="T1016" s="213"/>
      <c r="U1016" s="213" t="s">
        <v>538</v>
      </c>
      <c r="V1016" s="213">
        <v>4</v>
      </c>
      <c r="W1016" s="213" t="s">
        <v>545</v>
      </c>
      <c r="X1016" s="213" t="s">
        <v>549</v>
      </c>
      <c r="Y1016" s="213" t="s">
        <v>580</v>
      </c>
      <c r="Z1016" s="212">
        <v>2463629</v>
      </c>
      <c r="AA1016" s="212">
        <v>64091127</v>
      </c>
      <c r="AB1016" s="217">
        <v>3.7237619999999998</v>
      </c>
      <c r="AC1016" s="217">
        <v>5.992826</v>
      </c>
      <c r="AD1016" s="212">
        <f t="shared" si="15"/>
        <v>238660103.259774</v>
      </c>
    </row>
    <row r="1017" spans="2:30" x14ac:dyDescent="0.15">
      <c r="B1017" s="213">
        <v>17031002089</v>
      </c>
      <c r="C1017" s="213">
        <v>17031007598</v>
      </c>
      <c r="D1017" s="213">
        <v>17031004626</v>
      </c>
      <c r="E1017" s="213" t="s">
        <v>533</v>
      </c>
      <c r="F1017" s="213" t="s">
        <v>534</v>
      </c>
      <c r="G1017" s="213" t="s">
        <v>365</v>
      </c>
      <c r="H1017" s="213" t="s">
        <v>535</v>
      </c>
      <c r="I1017" s="213"/>
      <c r="J1017" s="213" t="s">
        <v>547</v>
      </c>
      <c r="K1017" s="213"/>
      <c r="L1017" s="213"/>
      <c r="M1017" s="213"/>
      <c r="N1017" s="213"/>
      <c r="O1017" s="213"/>
      <c r="P1017" s="213"/>
      <c r="Q1017" s="213"/>
      <c r="R1017" s="213"/>
      <c r="S1017" s="213" t="s">
        <v>548</v>
      </c>
      <c r="T1017" s="213"/>
      <c r="U1017" s="213" t="s">
        <v>538</v>
      </c>
      <c r="V1017" s="213">
        <v>1</v>
      </c>
      <c r="W1017" s="213" t="s">
        <v>545</v>
      </c>
      <c r="X1017" s="213" t="s">
        <v>549</v>
      </c>
      <c r="Y1017" s="213" t="s">
        <v>546</v>
      </c>
      <c r="Z1017" s="212">
        <v>662357</v>
      </c>
      <c r="AA1017" s="212">
        <v>30359562</v>
      </c>
      <c r="AB1017" s="217">
        <v>1.0150969999999999</v>
      </c>
      <c r="AC1017" s="217">
        <v>1.633643</v>
      </c>
      <c r="AD1017" s="212">
        <f t="shared" si="15"/>
        <v>30817900.307513997</v>
      </c>
    </row>
    <row r="1018" spans="2:30" x14ac:dyDescent="0.15">
      <c r="B1018" s="213">
        <v>17031002091</v>
      </c>
      <c r="C1018" s="213">
        <v>17031004625</v>
      </c>
      <c r="D1018" s="213">
        <v>17031007596</v>
      </c>
      <c r="E1018" s="213" t="s">
        <v>533</v>
      </c>
      <c r="F1018" s="213" t="s">
        <v>534</v>
      </c>
      <c r="G1018" s="213" t="s">
        <v>365</v>
      </c>
      <c r="H1018" s="213" t="s">
        <v>535</v>
      </c>
      <c r="I1018" s="213"/>
      <c r="J1018" s="213" t="s">
        <v>547</v>
      </c>
      <c r="K1018" s="213"/>
      <c r="L1018" s="213"/>
      <c r="M1018" s="213"/>
      <c r="N1018" s="213"/>
      <c r="O1018" s="213"/>
      <c r="P1018" s="213"/>
      <c r="Q1018" s="213"/>
      <c r="R1018" s="213"/>
      <c r="S1018" s="213" t="s">
        <v>548</v>
      </c>
      <c r="T1018" s="213"/>
      <c r="U1018" s="213" t="s">
        <v>538</v>
      </c>
      <c r="V1018" s="213">
        <v>2</v>
      </c>
      <c r="W1018" s="213" t="s">
        <v>545</v>
      </c>
      <c r="X1018" s="213" t="s">
        <v>549</v>
      </c>
      <c r="Y1018" s="213" t="s">
        <v>546</v>
      </c>
      <c r="Z1018" s="212">
        <v>662357</v>
      </c>
      <c r="AA1018" s="212">
        <v>30359562</v>
      </c>
      <c r="AB1018" s="217">
        <v>0.926867</v>
      </c>
      <c r="AC1018" s="217">
        <v>1.4916499999999999</v>
      </c>
      <c r="AD1018" s="212">
        <f t="shared" si="15"/>
        <v>28139276.152254</v>
      </c>
    </row>
    <row r="1019" spans="2:30" x14ac:dyDescent="0.15">
      <c r="B1019" s="213">
        <v>17031002093</v>
      </c>
      <c r="C1019" s="213">
        <v>17031000566</v>
      </c>
      <c r="D1019" s="213">
        <v>17031000565</v>
      </c>
      <c r="E1019" s="213" t="s">
        <v>533</v>
      </c>
      <c r="F1019" s="213" t="s">
        <v>534</v>
      </c>
      <c r="G1019" s="213" t="s">
        <v>365</v>
      </c>
      <c r="H1019" s="213" t="s">
        <v>382</v>
      </c>
      <c r="I1019" s="213"/>
      <c r="J1019" s="213" t="s">
        <v>547</v>
      </c>
      <c r="K1019" s="213"/>
      <c r="L1019" s="213"/>
      <c r="M1019" s="213"/>
      <c r="N1019" s="213"/>
      <c r="O1019" s="213"/>
      <c r="P1019" s="213"/>
      <c r="Q1019" s="213"/>
      <c r="R1019" s="213"/>
      <c r="S1019" s="213" t="s">
        <v>583</v>
      </c>
      <c r="T1019" s="213"/>
      <c r="U1019" s="213" t="s">
        <v>538</v>
      </c>
      <c r="V1019" s="213">
        <v>4</v>
      </c>
      <c r="W1019" s="213" t="s">
        <v>545</v>
      </c>
      <c r="X1019" s="213" t="s">
        <v>540</v>
      </c>
      <c r="Y1019" s="213" t="s">
        <v>541</v>
      </c>
      <c r="Z1019" s="212">
        <v>0</v>
      </c>
      <c r="AA1019" s="212">
        <v>0</v>
      </c>
      <c r="AB1019" s="217">
        <v>1.2385390000000001</v>
      </c>
      <c r="AC1019" s="217">
        <v>1.993239</v>
      </c>
      <c r="AD1019" s="212">
        <f t="shared" si="15"/>
        <v>0</v>
      </c>
    </row>
    <row r="1020" spans="2:30" x14ac:dyDescent="0.15">
      <c r="B1020" s="213">
        <v>17031002095</v>
      </c>
      <c r="C1020" s="213">
        <v>17031000437</v>
      </c>
      <c r="D1020" s="213">
        <v>17031000434</v>
      </c>
      <c r="E1020" s="213" t="s">
        <v>533</v>
      </c>
      <c r="F1020" s="213" t="s">
        <v>534</v>
      </c>
      <c r="G1020" s="213" t="s">
        <v>365</v>
      </c>
      <c r="H1020" s="213" t="s">
        <v>557</v>
      </c>
      <c r="I1020" s="213"/>
      <c r="J1020" s="213" t="s">
        <v>552</v>
      </c>
      <c r="K1020" s="213" t="s">
        <v>543</v>
      </c>
      <c r="L1020" s="213" t="s">
        <v>382</v>
      </c>
      <c r="M1020" s="213"/>
      <c r="N1020" s="213"/>
      <c r="O1020" s="213"/>
      <c r="P1020" s="213"/>
      <c r="Q1020" s="213"/>
      <c r="R1020" s="213"/>
      <c r="S1020" s="213" t="s">
        <v>570</v>
      </c>
      <c r="T1020" s="213"/>
      <c r="U1020" s="213" t="s">
        <v>538</v>
      </c>
      <c r="V1020" s="213">
        <v>2</v>
      </c>
      <c r="W1020" s="213" t="s">
        <v>545</v>
      </c>
      <c r="X1020" s="213" t="s">
        <v>554</v>
      </c>
      <c r="Y1020" s="213" t="s">
        <v>549</v>
      </c>
      <c r="Z1020" s="212">
        <v>198228</v>
      </c>
      <c r="AA1020" s="212">
        <v>13742383</v>
      </c>
      <c r="AB1020" s="217">
        <v>0.54181400000000002</v>
      </c>
      <c r="AC1020" s="217">
        <v>0.87196799999999997</v>
      </c>
      <c r="AD1020" s="212">
        <f t="shared" si="15"/>
        <v>7445815.5027620001</v>
      </c>
    </row>
    <row r="1021" spans="2:30" x14ac:dyDescent="0.15">
      <c r="B1021" s="213">
        <v>17031002096</v>
      </c>
      <c r="C1021" s="213">
        <v>17031000462</v>
      </c>
      <c r="D1021" s="213">
        <v>17031000437</v>
      </c>
      <c r="E1021" s="213" t="s">
        <v>533</v>
      </c>
      <c r="F1021" s="213" t="s">
        <v>534</v>
      </c>
      <c r="G1021" s="213" t="s">
        <v>365</v>
      </c>
      <c r="H1021" s="213" t="s">
        <v>557</v>
      </c>
      <c r="I1021" s="213"/>
      <c r="J1021" s="213" t="s">
        <v>535</v>
      </c>
      <c r="K1021" s="213" t="s">
        <v>552</v>
      </c>
      <c r="L1021" s="213" t="s">
        <v>543</v>
      </c>
      <c r="M1021" s="213" t="s">
        <v>382</v>
      </c>
      <c r="N1021" s="213"/>
      <c r="O1021" s="213"/>
      <c r="P1021" s="213"/>
      <c r="Q1021" s="213"/>
      <c r="R1021" s="213"/>
      <c r="S1021" s="213" t="s">
        <v>570</v>
      </c>
      <c r="T1021" s="213"/>
      <c r="U1021" s="213" t="s">
        <v>538</v>
      </c>
      <c r="V1021" s="213">
        <v>2</v>
      </c>
      <c r="W1021" s="213" t="s">
        <v>545</v>
      </c>
      <c r="X1021" s="213" t="s">
        <v>554</v>
      </c>
      <c r="Y1021" s="213" t="s">
        <v>546</v>
      </c>
      <c r="Z1021" s="212">
        <v>890889</v>
      </c>
      <c r="AA1021" s="212">
        <v>46967563</v>
      </c>
      <c r="AB1021" s="217">
        <v>0.49052000000000001</v>
      </c>
      <c r="AC1021" s="217">
        <v>0.78941799999999995</v>
      </c>
      <c r="AD1021" s="212">
        <f t="shared" si="15"/>
        <v>23038529.002760001</v>
      </c>
    </row>
    <row r="1022" spans="2:30" x14ac:dyDescent="0.15">
      <c r="B1022" s="213">
        <v>17031002123</v>
      </c>
      <c r="C1022" s="213">
        <v>17031004607</v>
      </c>
      <c r="D1022" s="213">
        <v>17031004606</v>
      </c>
      <c r="E1022" s="213" t="s">
        <v>533</v>
      </c>
      <c r="F1022" s="213" t="s">
        <v>534</v>
      </c>
      <c r="G1022" s="213" t="s">
        <v>365</v>
      </c>
      <c r="H1022" s="213" t="s">
        <v>382</v>
      </c>
      <c r="I1022" s="213"/>
      <c r="J1022" s="213" t="s">
        <v>547</v>
      </c>
      <c r="K1022" s="213"/>
      <c r="L1022" s="213"/>
      <c r="M1022" s="213"/>
      <c r="N1022" s="213"/>
      <c r="O1022" s="213"/>
      <c r="P1022" s="213"/>
      <c r="Q1022" s="213"/>
      <c r="R1022" s="213"/>
      <c r="S1022" s="213" t="s">
        <v>608</v>
      </c>
      <c r="T1022" s="213"/>
      <c r="U1022" s="213" t="s">
        <v>538</v>
      </c>
      <c r="V1022" s="213">
        <v>3</v>
      </c>
      <c r="W1022" s="213" t="s">
        <v>566</v>
      </c>
      <c r="X1022" s="213" t="s">
        <v>549</v>
      </c>
      <c r="Y1022" s="213" t="s">
        <v>554</v>
      </c>
      <c r="Z1022" s="212">
        <v>0</v>
      </c>
      <c r="AA1022" s="212">
        <v>0</v>
      </c>
      <c r="AB1022" s="217">
        <v>0.87966699999999998</v>
      </c>
      <c r="AC1022" s="217">
        <v>1.415689</v>
      </c>
      <c r="AD1022" s="212">
        <f t="shared" si="15"/>
        <v>0</v>
      </c>
    </row>
    <row r="1023" spans="2:30" x14ac:dyDescent="0.15">
      <c r="B1023" s="213">
        <v>17031002165</v>
      </c>
      <c r="C1023" s="213">
        <v>17031001272</v>
      </c>
      <c r="D1023" s="213">
        <v>17031001241</v>
      </c>
      <c r="E1023" s="213" t="s">
        <v>533</v>
      </c>
      <c r="F1023" s="213" t="s">
        <v>534</v>
      </c>
      <c r="G1023" s="213" t="s">
        <v>365</v>
      </c>
      <c r="H1023" s="213" t="s">
        <v>557</v>
      </c>
      <c r="I1023" s="213" t="s">
        <v>543</v>
      </c>
      <c r="J1023" s="213" t="s">
        <v>381</v>
      </c>
      <c r="K1023" s="213" t="s">
        <v>535</v>
      </c>
      <c r="L1023" s="213" t="s">
        <v>552</v>
      </c>
      <c r="M1023" s="213" t="s">
        <v>551</v>
      </c>
      <c r="N1023" s="213" t="s">
        <v>543</v>
      </c>
      <c r="O1023" s="213" t="s">
        <v>382</v>
      </c>
      <c r="P1023" s="213"/>
      <c r="Q1023" s="213"/>
      <c r="R1023" s="213"/>
      <c r="S1023" s="213" t="s">
        <v>570</v>
      </c>
      <c r="T1023" s="213"/>
      <c r="U1023" s="213" t="s">
        <v>538</v>
      </c>
      <c r="V1023" s="213">
        <v>2</v>
      </c>
      <c r="W1023" s="213" t="s">
        <v>545</v>
      </c>
      <c r="X1023" s="213" t="s">
        <v>540</v>
      </c>
      <c r="Y1023" s="213" t="s">
        <v>575</v>
      </c>
      <c r="Z1023" s="212">
        <v>1939303</v>
      </c>
      <c r="AA1023" s="212">
        <v>84438899</v>
      </c>
      <c r="AB1023" s="217">
        <v>1.263585</v>
      </c>
      <c r="AC1023" s="217">
        <v>2.033547</v>
      </c>
      <c r="AD1023" s="212">
        <f t="shared" si="15"/>
        <v>106695726.19291499</v>
      </c>
    </row>
    <row r="1024" spans="2:30" x14ac:dyDescent="0.15">
      <c r="B1024" s="213">
        <v>17031002168</v>
      </c>
      <c r="C1024" s="213">
        <v>17031004697</v>
      </c>
      <c r="D1024" s="213">
        <v>17031001284</v>
      </c>
      <c r="E1024" s="213" t="s">
        <v>533</v>
      </c>
      <c r="F1024" s="213" t="s">
        <v>534</v>
      </c>
      <c r="G1024" s="213" t="s">
        <v>365</v>
      </c>
      <c r="H1024" s="213" t="s">
        <v>547</v>
      </c>
      <c r="I1024" s="213"/>
      <c r="J1024" s="213" t="s">
        <v>577</v>
      </c>
      <c r="K1024" s="213" t="s">
        <v>615</v>
      </c>
      <c r="L1024" s="213"/>
      <c r="M1024" s="213"/>
      <c r="N1024" s="213"/>
      <c r="O1024" s="213"/>
      <c r="P1024" s="213"/>
      <c r="Q1024" s="213"/>
      <c r="R1024" s="213"/>
      <c r="S1024" s="213" t="s">
        <v>581</v>
      </c>
      <c r="T1024" s="213"/>
      <c r="U1024" s="213" t="s">
        <v>538</v>
      </c>
      <c r="V1024" s="213">
        <v>2</v>
      </c>
      <c r="W1024" s="213" t="s">
        <v>582</v>
      </c>
      <c r="X1024" s="213" t="s">
        <v>540</v>
      </c>
      <c r="Y1024" s="213" t="s">
        <v>541</v>
      </c>
      <c r="Z1024" s="212">
        <v>0</v>
      </c>
      <c r="AA1024" s="212">
        <v>0</v>
      </c>
      <c r="AB1024" s="217">
        <v>0.118881</v>
      </c>
      <c r="AC1024" s="217">
        <v>0.19132099999999999</v>
      </c>
      <c r="AD1024" s="212">
        <f t="shared" si="15"/>
        <v>0</v>
      </c>
    </row>
    <row r="1025" spans="2:30" x14ac:dyDescent="0.15">
      <c r="B1025" s="213">
        <v>17031002172</v>
      </c>
      <c r="C1025" s="213">
        <v>17031001375</v>
      </c>
      <c r="D1025" s="213">
        <v>17031001303</v>
      </c>
      <c r="E1025" s="213" t="s">
        <v>533</v>
      </c>
      <c r="F1025" s="213" t="s">
        <v>534</v>
      </c>
      <c r="G1025" s="213" t="s">
        <v>365</v>
      </c>
      <c r="H1025" s="213" t="s">
        <v>557</v>
      </c>
      <c r="I1025" s="213"/>
      <c r="J1025" s="213" t="s">
        <v>381</v>
      </c>
      <c r="K1025" s="213" t="s">
        <v>535</v>
      </c>
      <c r="L1025" s="213" t="s">
        <v>552</v>
      </c>
      <c r="M1025" s="213" t="s">
        <v>551</v>
      </c>
      <c r="N1025" s="213" t="s">
        <v>615</v>
      </c>
      <c r="O1025" s="213" t="s">
        <v>543</v>
      </c>
      <c r="P1025" s="213" t="s">
        <v>382</v>
      </c>
      <c r="Q1025" s="213"/>
      <c r="R1025" s="213"/>
      <c r="S1025" s="213" t="s">
        <v>570</v>
      </c>
      <c r="T1025" s="213"/>
      <c r="U1025" s="213" t="s">
        <v>538</v>
      </c>
      <c r="V1025" s="213">
        <v>2</v>
      </c>
      <c r="W1025" s="213" t="s">
        <v>545</v>
      </c>
      <c r="X1025" s="213" t="s">
        <v>554</v>
      </c>
      <c r="Y1025" s="213" t="s">
        <v>546</v>
      </c>
      <c r="Z1025" s="212">
        <v>1236177</v>
      </c>
      <c r="AA1025" s="212">
        <v>46570627</v>
      </c>
      <c r="AB1025" s="217">
        <v>1.1331549999999999</v>
      </c>
      <c r="AC1025" s="217">
        <v>1.8236399999999999</v>
      </c>
      <c r="AD1025" s="212">
        <f t="shared" si="15"/>
        <v>52771738.838184997</v>
      </c>
    </row>
    <row r="1026" spans="2:30" x14ac:dyDescent="0.15">
      <c r="B1026" s="213">
        <v>17031002176</v>
      </c>
      <c r="C1026" s="213">
        <v>17031001357</v>
      </c>
      <c r="D1026" s="213">
        <v>17031001373</v>
      </c>
      <c r="E1026" s="213" t="s">
        <v>533</v>
      </c>
      <c r="F1026" s="213" t="s">
        <v>534</v>
      </c>
      <c r="G1026" s="213" t="s">
        <v>365</v>
      </c>
      <c r="H1026" s="213" t="s">
        <v>551</v>
      </c>
      <c r="I1026" s="213"/>
      <c r="J1026" s="213" t="s">
        <v>381</v>
      </c>
      <c r="K1026" s="213" t="s">
        <v>535</v>
      </c>
      <c r="L1026" s="213" t="s">
        <v>552</v>
      </c>
      <c r="M1026" s="213"/>
      <c r="N1026" s="213"/>
      <c r="O1026" s="213"/>
      <c r="P1026" s="213"/>
      <c r="Q1026" s="213"/>
      <c r="R1026" s="213"/>
      <c r="S1026" s="213" t="s">
        <v>628</v>
      </c>
      <c r="T1026" s="213"/>
      <c r="U1026" s="213" t="s">
        <v>538</v>
      </c>
      <c r="V1026" s="213">
        <v>1</v>
      </c>
      <c r="W1026" s="213" t="s">
        <v>545</v>
      </c>
      <c r="X1026" s="213" t="s">
        <v>541</v>
      </c>
      <c r="Y1026" s="213" t="s">
        <v>541</v>
      </c>
      <c r="Z1026" s="212">
        <v>4866</v>
      </c>
      <c r="AA1026" s="212">
        <v>481347</v>
      </c>
      <c r="AB1026" s="217">
        <v>0.14591899999999999</v>
      </c>
      <c r="AC1026" s="217">
        <v>0.23483399999999999</v>
      </c>
      <c r="AD1026" s="212">
        <f t="shared" si="15"/>
        <v>70237.672892999995</v>
      </c>
    </row>
    <row r="1027" spans="2:30" x14ac:dyDescent="0.15">
      <c r="B1027" s="213">
        <v>17031002191</v>
      </c>
      <c r="C1027" s="213">
        <v>17031000737</v>
      </c>
      <c r="D1027" s="213">
        <v>17031000738</v>
      </c>
      <c r="E1027" s="213" t="s">
        <v>533</v>
      </c>
      <c r="F1027" s="213" t="s">
        <v>534</v>
      </c>
      <c r="G1027" s="213" t="s">
        <v>365</v>
      </c>
      <c r="H1027" s="213" t="s">
        <v>535</v>
      </c>
      <c r="I1027" s="213"/>
      <c r="J1027" s="213"/>
      <c r="K1027" s="213"/>
      <c r="L1027" s="213"/>
      <c r="M1027" s="213"/>
      <c r="N1027" s="213"/>
      <c r="O1027" s="213"/>
      <c r="P1027" s="213"/>
      <c r="Q1027" s="213"/>
      <c r="R1027" s="213"/>
      <c r="S1027" s="213" t="s">
        <v>624</v>
      </c>
      <c r="T1027" s="213" t="s">
        <v>625</v>
      </c>
      <c r="U1027" s="213" t="s">
        <v>538</v>
      </c>
      <c r="V1027" s="213">
        <v>2</v>
      </c>
      <c r="W1027" s="213" t="s">
        <v>582</v>
      </c>
      <c r="X1027" s="213" t="s">
        <v>554</v>
      </c>
      <c r="Y1027" s="213" t="s">
        <v>554</v>
      </c>
      <c r="Z1027" s="212">
        <v>0</v>
      </c>
      <c r="AA1027" s="212">
        <v>0</v>
      </c>
      <c r="AB1027" s="217">
        <v>0.123795</v>
      </c>
      <c r="AC1027" s="217">
        <v>0.19922899999999999</v>
      </c>
      <c r="AD1027" s="212">
        <f t="shared" si="15"/>
        <v>0</v>
      </c>
    </row>
    <row r="1028" spans="2:30" x14ac:dyDescent="0.15">
      <c r="B1028" s="213">
        <v>17031002198</v>
      </c>
      <c r="C1028" s="213">
        <v>17031007571</v>
      </c>
      <c r="D1028" s="213">
        <v>17031000299</v>
      </c>
      <c r="E1028" s="213" t="s">
        <v>533</v>
      </c>
      <c r="F1028" s="213" t="s">
        <v>534</v>
      </c>
      <c r="G1028" s="213" t="s">
        <v>365</v>
      </c>
      <c r="H1028" s="213" t="s">
        <v>382</v>
      </c>
      <c r="I1028" s="213"/>
      <c r="J1028" s="213" t="s">
        <v>552</v>
      </c>
      <c r="K1028" s="213"/>
      <c r="L1028" s="213"/>
      <c r="M1028" s="213"/>
      <c r="N1028" s="213"/>
      <c r="O1028" s="213"/>
      <c r="P1028" s="213"/>
      <c r="Q1028" s="213"/>
      <c r="R1028" s="213"/>
      <c r="S1028" s="213" t="s">
        <v>586</v>
      </c>
      <c r="T1028" s="213"/>
      <c r="U1028" s="213" t="s">
        <v>538</v>
      </c>
      <c r="V1028" s="213">
        <v>2</v>
      </c>
      <c r="W1028" s="213" t="s">
        <v>582</v>
      </c>
      <c r="X1028" s="213" t="s">
        <v>549</v>
      </c>
      <c r="Y1028" s="213" t="s">
        <v>580</v>
      </c>
      <c r="Z1028" s="212">
        <v>623896</v>
      </c>
      <c r="AA1028" s="212">
        <v>48919515</v>
      </c>
      <c r="AB1028" s="217">
        <v>0.61305799999999999</v>
      </c>
      <c r="AC1028" s="217">
        <v>0.98662399999999995</v>
      </c>
      <c r="AD1028" s="212">
        <f t="shared" si="15"/>
        <v>29990500.026870001</v>
      </c>
    </row>
    <row r="1029" spans="2:30" x14ac:dyDescent="0.15">
      <c r="B1029" s="213">
        <v>17031002206</v>
      </c>
      <c r="C1029" s="213">
        <v>17031000301</v>
      </c>
      <c r="D1029" s="213">
        <v>17031000298</v>
      </c>
      <c r="E1029" s="213" t="s">
        <v>533</v>
      </c>
      <c r="F1029" s="213" t="s">
        <v>534</v>
      </c>
      <c r="G1029" s="213" t="s">
        <v>365</v>
      </c>
      <c r="H1029" s="213" t="s">
        <v>382</v>
      </c>
      <c r="I1029" s="213"/>
      <c r="J1029" s="213" t="s">
        <v>547</v>
      </c>
      <c r="K1029" s="213"/>
      <c r="L1029" s="213"/>
      <c r="M1029" s="213"/>
      <c r="N1029" s="213"/>
      <c r="O1029" s="213"/>
      <c r="P1029" s="213"/>
      <c r="Q1029" s="213"/>
      <c r="R1029" s="213"/>
      <c r="S1029" s="213" t="s">
        <v>608</v>
      </c>
      <c r="T1029" s="213"/>
      <c r="U1029" s="213" t="s">
        <v>538</v>
      </c>
      <c r="V1029" s="213">
        <v>3</v>
      </c>
      <c r="W1029" s="213" t="s">
        <v>566</v>
      </c>
      <c r="X1029" s="213" t="s">
        <v>549</v>
      </c>
      <c r="Y1029" s="213" t="s">
        <v>554</v>
      </c>
      <c r="Z1029" s="212">
        <v>1760</v>
      </c>
      <c r="AA1029" s="212">
        <v>158480</v>
      </c>
      <c r="AB1029" s="217">
        <v>0.85831599999999997</v>
      </c>
      <c r="AC1029" s="217">
        <v>1.3813279999999999</v>
      </c>
      <c r="AD1029" s="212">
        <f t="shared" si="15"/>
        <v>136025.91967999999</v>
      </c>
    </row>
    <row r="1030" spans="2:30" x14ac:dyDescent="0.15">
      <c r="B1030" s="213">
        <v>17031002207</v>
      </c>
      <c r="C1030" s="213">
        <v>17031004602</v>
      </c>
      <c r="D1030" s="213">
        <v>17031007754</v>
      </c>
      <c r="E1030" s="213" t="s">
        <v>533</v>
      </c>
      <c r="F1030" s="213" t="s">
        <v>534</v>
      </c>
      <c r="G1030" s="213" t="s">
        <v>365</v>
      </c>
      <c r="H1030" s="213" t="s">
        <v>382</v>
      </c>
      <c r="I1030" s="213"/>
      <c r="J1030" s="213" t="s">
        <v>535</v>
      </c>
      <c r="K1030" s="213" t="s">
        <v>547</v>
      </c>
      <c r="L1030" s="213"/>
      <c r="M1030" s="213"/>
      <c r="N1030" s="213"/>
      <c r="O1030" s="213"/>
      <c r="P1030" s="213"/>
      <c r="Q1030" s="213"/>
      <c r="R1030" s="213"/>
      <c r="S1030" s="213" t="s">
        <v>608</v>
      </c>
      <c r="T1030" s="213"/>
      <c r="U1030" s="213" t="s">
        <v>538</v>
      </c>
      <c r="V1030" s="213">
        <v>3</v>
      </c>
      <c r="W1030" s="213" t="s">
        <v>566</v>
      </c>
      <c r="X1030" s="213" t="s">
        <v>549</v>
      </c>
      <c r="Y1030" s="213" t="s">
        <v>549</v>
      </c>
      <c r="Z1030" s="212">
        <v>15951</v>
      </c>
      <c r="AA1030" s="212">
        <v>1564397</v>
      </c>
      <c r="AB1030" s="217">
        <v>2.2397559999999999</v>
      </c>
      <c r="AC1030" s="217">
        <v>3.6045449999999999</v>
      </c>
      <c r="AD1030" s="212">
        <f t="shared" ref="AD1030:AD1093" si="16">AA1030*AB1030</f>
        <v>3503867.5671319999</v>
      </c>
    </row>
    <row r="1031" spans="2:30" x14ac:dyDescent="0.15">
      <c r="B1031" s="213">
        <v>17031002209</v>
      </c>
      <c r="C1031" s="213">
        <v>17031000293</v>
      </c>
      <c r="D1031" s="213">
        <v>17031004602</v>
      </c>
      <c r="E1031" s="213" t="s">
        <v>533</v>
      </c>
      <c r="F1031" s="213" t="s">
        <v>534</v>
      </c>
      <c r="G1031" s="213" t="s">
        <v>365</v>
      </c>
      <c r="H1031" s="213" t="s">
        <v>382</v>
      </c>
      <c r="I1031" s="213"/>
      <c r="J1031" s="213" t="s">
        <v>535</v>
      </c>
      <c r="K1031" s="213" t="s">
        <v>547</v>
      </c>
      <c r="L1031" s="213"/>
      <c r="M1031" s="213"/>
      <c r="N1031" s="213"/>
      <c r="O1031" s="213"/>
      <c r="P1031" s="213"/>
      <c r="Q1031" s="213"/>
      <c r="R1031" s="213"/>
      <c r="S1031" s="213" t="s">
        <v>608</v>
      </c>
      <c r="T1031" s="213"/>
      <c r="U1031" s="213" t="s">
        <v>538</v>
      </c>
      <c r="V1031" s="213">
        <v>3</v>
      </c>
      <c r="W1031" s="213" t="s">
        <v>566</v>
      </c>
      <c r="X1031" s="213" t="s">
        <v>549</v>
      </c>
      <c r="Y1031" s="213" t="s">
        <v>549</v>
      </c>
      <c r="Z1031" s="212">
        <v>15951</v>
      </c>
      <c r="AA1031" s="212">
        <v>1564397</v>
      </c>
      <c r="AB1031" s="217">
        <v>1.2297199999999999</v>
      </c>
      <c r="AC1031" s="217">
        <v>1.979047</v>
      </c>
      <c r="AD1031" s="212">
        <f t="shared" si="16"/>
        <v>1923770.2788399998</v>
      </c>
    </row>
    <row r="1032" spans="2:30" x14ac:dyDescent="0.15">
      <c r="B1032" s="213">
        <v>17031002216</v>
      </c>
      <c r="C1032" s="213">
        <v>17031000601</v>
      </c>
      <c r="D1032" s="213">
        <v>17031000558</v>
      </c>
      <c r="E1032" s="213" t="s">
        <v>533</v>
      </c>
      <c r="F1032" s="213" t="s">
        <v>534</v>
      </c>
      <c r="G1032" s="213" t="s">
        <v>365</v>
      </c>
      <c r="H1032" s="213" t="s">
        <v>557</v>
      </c>
      <c r="I1032" s="213"/>
      <c r="J1032" s="213" t="s">
        <v>535</v>
      </c>
      <c r="K1032" s="213" t="s">
        <v>552</v>
      </c>
      <c r="L1032" s="213" t="s">
        <v>543</v>
      </c>
      <c r="M1032" s="213" t="s">
        <v>382</v>
      </c>
      <c r="N1032" s="213"/>
      <c r="O1032" s="213"/>
      <c r="P1032" s="213"/>
      <c r="Q1032" s="213"/>
      <c r="R1032" s="213"/>
      <c r="S1032" s="213" t="s">
        <v>570</v>
      </c>
      <c r="T1032" s="213"/>
      <c r="U1032" s="213" t="s">
        <v>538</v>
      </c>
      <c r="V1032" s="213">
        <v>2</v>
      </c>
      <c r="W1032" s="213" t="s">
        <v>545</v>
      </c>
      <c r="X1032" s="213" t="s">
        <v>540</v>
      </c>
      <c r="Y1032" s="213" t="s">
        <v>580</v>
      </c>
      <c r="Z1032" s="212">
        <v>1550052</v>
      </c>
      <c r="AA1032" s="212">
        <v>61534331</v>
      </c>
      <c r="AB1032" s="217">
        <v>0.55990799999999996</v>
      </c>
      <c r="AC1032" s="217">
        <v>0.90108600000000005</v>
      </c>
      <c r="AD1032" s="212">
        <f t="shared" si="16"/>
        <v>34453564.201547995</v>
      </c>
    </row>
    <row r="1033" spans="2:30" x14ac:dyDescent="0.15">
      <c r="B1033" s="213">
        <v>17031002219</v>
      </c>
      <c r="C1033" s="213">
        <v>17031004578</v>
      </c>
      <c r="D1033" s="213">
        <v>17031004577</v>
      </c>
      <c r="E1033" s="213" t="s">
        <v>533</v>
      </c>
      <c r="F1033" s="213" t="s">
        <v>534</v>
      </c>
      <c r="G1033" s="213" t="s">
        <v>365</v>
      </c>
      <c r="H1033" s="213" t="s">
        <v>382</v>
      </c>
      <c r="I1033" s="213"/>
      <c r="J1033" s="213" t="s">
        <v>547</v>
      </c>
      <c r="K1033" s="213"/>
      <c r="L1033" s="213"/>
      <c r="M1033" s="213"/>
      <c r="N1033" s="213"/>
      <c r="O1033" s="213"/>
      <c r="P1033" s="213"/>
      <c r="Q1033" s="213"/>
      <c r="R1033" s="213"/>
      <c r="S1033" s="213" t="s">
        <v>565</v>
      </c>
      <c r="T1033" s="213"/>
      <c r="U1033" s="213" t="s">
        <v>538</v>
      </c>
      <c r="V1033" s="213">
        <v>2</v>
      </c>
      <c r="W1033" s="213" t="s">
        <v>566</v>
      </c>
      <c r="X1033" s="213" t="s">
        <v>549</v>
      </c>
      <c r="Y1033" s="213" t="s">
        <v>541</v>
      </c>
      <c r="Z1033" s="212">
        <v>0</v>
      </c>
      <c r="AA1033" s="212">
        <v>0</v>
      </c>
      <c r="AB1033" s="217">
        <v>0.67267200000000005</v>
      </c>
      <c r="AC1033" s="217">
        <v>1.0825640000000001</v>
      </c>
      <c r="AD1033" s="212">
        <f t="shared" si="16"/>
        <v>0</v>
      </c>
    </row>
    <row r="1034" spans="2:30" x14ac:dyDescent="0.15">
      <c r="B1034" s="213">
        <v>17031002223</v>
      </c>
      <c r="C1034" s="213">
        <v>17031000543</v>
      </c>
      <c r="D1034" s="213">
        <v>17031006666</v>
      </c>
      <c r="E1034" s="213" t="s">
        <v>533</v>
      </c>
      <c r="F1034" s="213" t="s">
        <v>534</v>
      </c>
      <c r="G1034" s="213" t="s">
        <v>365</v>
      </c>
      <c r="H1034" s="213" t="s">
        <v>382</v>
      </c>
      <c r="I1034" s="213"/>
      <c r="J1034" s="213"/>
      <c r="K1034" s="213"/>
      <c r="L1034" s="213"/>
      <c r="M1034" s="213"/>
      <c r="N1034" s="213"/>
      <c r="O1034" s="213"/>
      <c r="P1034" s="213"/>
      <c r="Q1034" s="213"/>
      <c r="R1034" s="213"/>
      <c r="S1034" s="213"/>
      <c r="T1034" s="213" t="s">
        <v>626</v>
      </c>
      <c r="U1034" s="213" t="s">
        <v>559</v>
      </c>
      <c r="V1034" s="213">
        <v>1</v>
      </c>
      <c r="W1034" s="213" t="s">
        <v>539</v>
      </c>
      <c r="X1034" s="213" t="s">
        <v>541</v>
      </c>
      <c r="Y1034" s="213" t="s">
        <v>541</v>
      </c>
      <c r="Z1034" s="212">
        <v>0</v>
      </c>
      <c r="AA1034" s="212">
        <v>0</v>
      </c>
      <c r="AB1034" s="217">
        <v>0.60232600000000003</v>
      </c>
      <c r="AC1034" s="217">
        <v>0.96935199999999999</v>
      </c>
      <c r="AD1034" s="212">
        <f t="shared" si="16"/>
        <v>0</v>
      </c>
    </row>
    <row r="1035" spans="2:30" x14ac:dyDescent="0.15">
      <c r="B1035" s="213">
        <v>17031002226</v>
      </c>
      <c r="C1035" s="213">
        <v>17031006684</v>
      </c>
      <c r="D1035" s="213">
        <v>17031006673</v>
      </c>
      <c r="E1035" s="213" t="s">
        <v>533</v>
      </c>
      <c r="F1035" s="213" t="s">
        <v>534</v>
      </c>
      <c r="G1035" s="213" t="s">
        <v>365</v>
      </c>
      <c r="H1035" s="213" t="s">
        <v>382</v>
      </c>
      <c r="I1035" s="213"/>
      <c r="J1035" s="213" t="s">
        <v>535</v>
      </c>
      <c r="K1035" s="213" t="s">
        <v>552</v>
      </c>
      <c r="L1035" s="213" t="s">
        <v>572</v>
      </c>
      <c r="M1035" s="213" t="s">
        <v>557</v>
      </c>
      <c r="N1035" s="213" t="s">
        <v>543</v>
      </c>
      <c r="O1035" s="213"/>
      <c r="P1035" s="213"/>
      <c r="Q1035" s="213"/>
      <c r="R1035" s="213"/>
      <c r="S1035" s="213" t="s">
        <v>650</v>
      </c>
      <c r="T1035" s="213" t="s">
        <v>626</v>
      </c>
      <c r="U1035" s="213" t="s">
        <v>559</v>
      </c>
      <c r="V1035" s="213">
        <v>1</v>
      </c>
      <c r="W1035" s="213" t="s">
        <v>539</v>
      </c>
      <c r="X1035" s="213" t="s">
        <v>541</v>
      </c>
      <c r="Y1035" s="213" t="s">
        <v>541</v>
      </c>
      <c r="Z1035" s="212">
        <v>2686</v>
      </c>
      <c r="AA1035" s="212">
        <v>254944</v>
      </c>
      <c r="AB1035" s="217">
        <v>0.81534600000000002</v>
      </c>
      <c r="AC1035" s="217">
        <v>1.3121750000000001</v>
      </c>
      <c r="AD1035" s="212">
        <f t="shared" si="16"/>
        <v>207867.57062400001</v>
      </c>
    </row>
    <row r="1036" spans="2:30" x14ac:dyDescent="0.15">
      <c r="B1036" s="213">
        <v>17031002243</v>
      </c>
      <c r="C1036" s="213">
        <v>17031000512</v>
      </c>
      <c r="D1036" s="213">
        <v>17031000480</v>
      </c>
      <c r="E1036" s="213" t="s">
        <v>533</v>
      </c>
      <c r="F1036" s="213" t="s">
        <v>534</v>
      </c>
      <c r="G1036" s="213" t="s">
        <v>365</v>
      </c>
      <c r="H1036" s="213" t="s">
        <v>590</v>
      </c>
      <c r="I1036" s="213"/>
      <c r="J1036" s="213"/>
      <c r="K1036" s="213"/>
      <c r="L1036" s="213"/>
      <c r="M1036" s="213"/>
      <c r="N1036" s="213"/>
      <c r="O1036" s="213"/>
      <c r="P1036" s="213"/>
      <c r="Q1036" s="213"/>
      <c r="R1036" s="213"/>
      <c r="S1036" s="213"/>
      <c r="T1036" s="213"/>
      <c r="U1036" s="213" t="s">
        <v>559</v>
      </c>
      <c r="V1036" s="213">
        <v>1</v>
      </c>
      <c r="W1036" s="213" t="s">
        <v>560</v>
      </c>
      <c r="X1036" s="213" t="s">
        <v>541</v>
      </c>
      <c r="Y1036" s="213" t="s">
        <v>541</v>
      </c>
      <c r="Z1036" s="212">
        <v>0</v>
      </c>
      <c r="AA1036" s="212">
        <v>0</v>
      </c>
      <c r="AB1036" s="217">
        <v>0.69134799999999996</v>
      </c>
      <c r="AC1036" s="217">
        <v>1.112619</v>
      </c>
      <c r="AD1036" s="212">
        <f t="shared" si="16"/>
        <v>0</v>
      </c>
    </row>
    <row r="1037" spans="2:30" x14ac:dyDescent="0.15">
      <c r="B1037" s="213">
        <v>17031002249</v>
      </c>
      <c r="C1037" s="213">
        <v>17031004652</v>
      </c>
      <c r="D1037" s="213">
        <v>17031004651</v>
      </c>
      <c r="E1037" s="213" t="s">
        <v>533</v>
      </c>
      <c r="F1037" s="213" t="s">
        <v>534</v>
      </c>
      <c r="G1037" s="213" t="s">
        <v>365</v>
      </c>
      <c r="H1037" s="213" t="s">
        <v>382</v>
      </c>
      <c r="I1037" s="213"/>
      <c r="J1037" s="213" t="s">
        <v>572</v>
      </c>
      <c r="K1037" s="213" t="s">
        <v>547</v>
      </c>
      <c r="L1037" s="213"/>
      <c r="M1037" s="213"/>
      <c r="N1037" s="213"/>
      <c r="O1037" s="213"/>
      <c r="P1037" s="213"/>
      <c r="Q1037" s="213"/>
      <c r="R1037" s="213"/>
      <c r="S1037" s="213" t="s">
        <v>583</v>
      </c>
      <c r="T1037" s="213"/>
      <c r="U1037" s="213" t="s">
        <v>538</v>
      </c>
      <c r="V1037" s="213">
        <v>3</v>
      </c>
      <c r="W1037" s="213" t="s">
        <v>545</v>
      </c>
      <c r="X1037" s="213" t="s">
        <v>549</v>
      </c>
      <c r="Y1037" s="213" t="s">
        <v>580</v>
      </c>
      <c r="Z1037" s="212">
        <v>1094661</v>
      </c>
      <c r="AA1037" s="212">
        <v>33314885</v>
      </c>
      <c r="AB1037" s="217">
        <v>0.68447400000000003</v>
      </c>
      <c r="AC1037" s="217">
        <v>1.101556</v>
      </c>
      <c r="AD1037" s="212">
        <f t="shared" si="16"/>
        <v>22803172.595490001</v>
      </c>
    </row>
    <row r="1038" spans="2:30" x14ac:dyDescent="0.15">
      <c r="B1038" s="213">
        <v>17031002289</v>
      </c>
      <c r="C1038" s="213">
        <v>17031000665</v>
      </c>
      <c r="D1038" s="213">
        <v>17031000663</v>
      </c>
      <c r="E1038" s="213" t="s">
        <v>533</v>
      </c>
      <c r="F1038" s="213" t="s">
        <v>534</v>
      </c>
      <c r="G1038" s="213" t="s">
        <v>365</v>
      </c>
      <c r="H1038" s="213" t="s">
        <v>381</v>
      </c>
      <c r="I1038" s="213"/>
      <c r="J1038" s="213" t="s">
        <v>542</v>
      </c>
      <c r="K1038" s="213" t="s">
        <v>577</v>
      </c>
      <c r="L1038" s="213" t="s">
        <v>572</v>
      </c>
      <c r="M1038" s="213" t="s">
        <v>547</v>
      </c>
      <c r="N1038" s="213" t="s">
        <v>382</v>
      </c>
      <c r="O1038" s="213"/>
      <c r="P1038" s="213"/>
      <c r="Q1038" s="213"/>
      <c r="R1038" s="213"/>
      <c r="S1038" s="213" t="s">
        <v>579</v>
      </c>
      <c r="T1038" s="213"/>
      <c r="U1038" s="213" t="s">
        <v>538</v>
      </c>
      <c r="V1038" s="213">
        <v>4</v>
      </c>
      <c r="W1038" s="213" t="s">
        <v>545</v>
      </c>
      <c r="X1038" s="213" t="s">
        <v>540</v>
      </c>
      <c r="Y1038" s="213" t="s">
        <v>549</v>
      </c>
      <c r="Z1038" s="212">
        <v>107481</v>
      </c>
      <c r="AA1038" s="212">
        <v>7708982</v>
      </c>
      <c r="AB1038" s="217">
        <v>0.40699600000000002</v>
      </c>
      <c r="AC1038" s="217">
        <v>0.65499799999999997</v>
      </c>
      <c r="AD1038" s="212">
        <f t="shared" si="16"/>
        <v>3137524.8380720001</v>
      </c>
    </row>
    <row r="1039" spans="2:30" x14ac:dyDescent="0.15">
      <c r="B1039" s="213">
        <v>17031002293</v>
      </c>
      <c r="C1039" s="213">
        <v>17031001298</v>
      </c>
      <c r="D1039" s="213">
        <v>17031001287</v>
      </c>
      <c r="E1039" s="213" t="s">
        <v>533</v>
      </c>
      <c r="F1039" s="213" t="s">
        <v>534</v>
      </c>
      <c r="G1039" s="213" t="s">
        <v>365</v>
      </c>
      <c r="H1039" s="213" t="s">
        <v>543</v>
      </c>
      <c r="I1039" s="213"/>
      <c r="J1039" s="213" t="s">
        <v>557</v>
      </c>
      <c r="K1039" s="213"/>
      <c r="L1039" s="213"/>
      <c r="M1039" s="213"/>
      <c r="N1039" s="213"/>
      <c r="O1039" s="213"/>
      <c r="P1039" s="213"/>
      <c r="Q1039" s="213"/>
      <c r="R1039" s="213"/>
      <c r="S1039" s="213" t="s">
        <v>558</v>
      </c>
      <c r="T1039" s="213"/>
      <c r="U1039" s="213" t="s">
        <v>559</v>
      </c>
      <c r="V1039" s="213">
        <v>1</v>
      </c>
      <c r="W1039" s="213" t="s">
        <v>560</v>
      </c>
      <c r="X1039" s="213" t="s">
        <v>541</v>
      </c>
      <c r="Y1039" s="213" t="s">
        <v>541</v>
      </c>
      <c r="Z1039" s="212">
        <v>0</v>
      </c>
      <c r="AA1039" s="212">
        <v>0</v>
      </c>
      <c r="AB1039" s="217">
        <v>0.35377199999999998</v>
      </c>
      <c r="AC1039" s="217">
        <v>0.56934300000000004</v>
      </c>
      <c r="AD1039" s="212">
        <f t="shared" si="16"/>
        <v>0</v>
      </c>
    </row>
    <row r="1040" spans="2:30" x14ac:dyDescent="0.15">
      <c r="B1040" s="213">
        <v>17031002295</v>
      </c>
      <c r="C1040" s="213">
        <v>17031001049</v>
      </c>
      <c r="D1040" s="213">
        <v>17031001025</v>
      </c>
      <c r="E1040" s="213" t="s">
        <v>533</v>
      </c>
      <c r="F1040" s="213" t="s">
        <v>534</v>
      </c>
      <c r="G1040" s="213" t="s">
        <v>365</v>
      </c>
      <c r="H1040" s="213" t="s">
        <v>535</v>
      </c>
      <c r="I1040" s="213"/>
      <c r="J1040" s="213" t="s">
        <v>542</v>
      </c>
      <c r="K1040" s="213" t="s">
        <v>572</v>
      </c>
      <c r="L1040" s="213"/>
      <c r="M1040" s="213"/>
      <c r="N1040" s="213"/>
      <c r="O1040" s="213"/>
      <c r="P1040" s="213"/>
      <c r="Q1040" s="213"/>
      <c r="R1040" s="213"/>
      <c r="S1040" s="213" t="s">
        <v>544</v>
      </c>
      <c r="T1040" s="213"/>
      <c r="U1040" s="213" t="s">
        <v>538</v>
      </c>
      <c r="V1040" s="213">
        <v>2</v>
      </c>
      <c r="W1040" s="213" t="s">
        <v>545</v>
      </c>
      <c r="X1040" s="213" t="s">
        <v>549</v>
      </c>
      <c r="Y1040" s="213" t="s">
        <v>549</v>
      </c>
      <c r="Z1040" s="212">
        <v>8958</v>
      </c>
      <c r="AA1040" s="212">
        <v>744576</v>
      </c>
      <c r="AB1040" s="217">
        <v>0.652841</v>
      </c>
      <c r="AC1040" s="217">
        <v>1.0506489999999999</v>
      </c>
      <c r="AD1040" s="212">
        <f t="shared" si="16"/>
        <v>486089.74041600002</v>
      </c>
    </row>
    <row r="1041" spans="2:30" x14ac:dyDescent="0.15">
      <c r="B1041" s="213">
        <v>17031002296</v>
      </c>
      <c r="C1041" s="213">
        <v>17031000668</v>
      </c>
      <c r="D1041" s="213">
        <v>17031000661</v>
      </c>
      <c r="E1041" s="213" t="s">
        <v>533</v>
      </c>
      <c r="F1041" s="213" t="s">
        <v>534</v>
      </c>
      <c r="G1041" s="213" t="s">
        <v>365</v>
      </c>
      <c r="H1041" s="213" t="s">
        <v>535</v>
      </c>
      <c r="I1041" s="213"/>
      <c r="J1041" s="213" t="s">
        <v>572</v>
      </c>
      <c r="K1041" s="213"/>
      <c r="L1041" s="213"/>
      <c r="M1041" s="213"/>
      <c r="N1041" s="213"/>
      <c r="O1041" s="213"/>
      <c r="P1041" s="213"/>
      <c r="Q1041" s="213"/>
      <c r="R1041" s="213"/>
      <c r="S1041" s="213" t="s">
        <v>624</v>
      </c>
      <c r="T1041" s="213"/>
      <c r="U1041" s="213" t="s">
        <v>538</v>
      </c>
      <c r="V1041" s="213">
        <v>2</v>
      </c>
      <c r="W1041" s="213" t="s">
        <v>582</v>
      </c>
      <c r="X1041" s="213" t="s">
        <v>541</v>
      </c>
      <c r="Y1041" s="213" t="s">
        <v>540</v>
      </c>
      <c r="Z1041" s="212">
        <v>772</v>
      </c>
      <c r="AA1041" s="212">
        <v>74800</v>
      </c>
      <c r="AB1041" s="217">
        <v>8.1625000000000003E-2</v>
      </c>
      <c r="AC1041" s="217">
        <v>0.13136200000000001</v>
      </c>
      <c r="AD1041" s="212">
        <f t="shared" si="16"/>
        <v>6105.55</v>
      </c>
    </row>
    <row r="1042" spans="2:30" x14ac:dyDescent="0.15">
      <c r="B1042" s="213">
        <v>17031002297</v>
      </c>
      <c r="C1042" s="213">
        <v>17031001094</v>
      </c>
      <c r="D1042" s="213">
        <v>17031001096</v>
      </c>
      <c r="E1042" s="213" t="s">
        <v>533</v>
      </c>
      <c r="F1042" s="213" t="s">
        <v>534</v>
      </c>
      <c r="G1042" s="213" t="s">
        <v>365</v>
      </c>
      <c r="H1042" s="213" t="s">
        <v>571</v>
      </c>
      <c r="I1042" s="213"/>
      <c r="J1042" s="213" t="s">
        <v>552</v>
      </c>
      <c r="K1042" s="213" t="s">
        <v>577</v>
      </c>
      <c r="L1042" s="213" t="s">
        <v>543</v>
      </c>
      <c r="M1042" s="213"/>
      <c r="N1042" s="213"/>
      <c r="O1042" s="213"/>
      <c r="P1042" s="213"/>
      <c r="Q1042" s="213"/>
      <c r="R1042" s="213"/>
      <c r="S1042" s="213" t="s">
        <v>573</v>
      </c>
      <c r="T1042" s="213"/>
      <c r="U1042" s="213" t="s">
        <v>538</v>
      </c>
      <c r="V1042" s="213">
        <v>1</v>
      </c>
      <c r="W1042" s="213" t="s">
        <v>545</v>
      </c>
      <c r="X1042" s="213" t="s">
        <v>554</v>
      </c>
      <c r="Y1042" s="213" t="s">
        <v>580</v>
      </c>
      <c r="Z1042" s="212">
        <v>200894</v>
      </c>
      <c r="AA1042" s="212">
        <v>10762925</v>
      </c>
      <c r="AB1042" s="217">
        <v>8.3282999999999996E-2</v>
      </c>
      <c r="AC1042" s="217">
        <v>0.13403100000000001</v>
      </c>
      <c r="AD1042" s="212">
        <f t="shared" si="16"/>
        <v>896368.68277499999</v>
      </c>
    </row>
    <row r="1043" spans="2:30" x14ac:dyDescent="0.15">
      <c r="B1043" s="213">
        <v>17031002299</v>
      </c>
      <c r="C1043" s="213">
        <v>17031001349</v>
      </c>
      <c r="D1043" s="213">
        <v>17031001298</v>
      </c>
      <c r="E1043" s="213" t="s">
        <v>533</v>
      </c>
      <c r="F1043" s="213" t="s">
        <v>534</v>
      </c>
      <c r="G1043" s="213" t="s">
        <v>365</v>
      </c>
      <c r="H1043" s="213" t="s">
        <v>543</v>
      </c>
      <c r="I1043" s="213"/>
      <c r="J1043" s="213" t="s">
        <v>557</v>
      </c>
      <c r="K1043" s="213"/>
      <c r="L1043" s="213"/>
      <c r="M1043" s="213"/>
      <c r="N1043" s="213"/>
      <c r="O1043" s="213"/>
      <c r="P1043" s="213"/>
      <c r="Q1043" s="213"/>
      <c r="R1043" s="213"/>
      <c r="S1043" s="213" t="s">
        <v>558</v>
      </c>
      <c r="T1043" s="213"/>
      <c r="U1043" s="213" t="s">
        <v>559</v>
      </c>
      <c r="V1043" s="213">
        <v>1</v>
      </c>
      <c r="W1043" s="213" t="s">
        <v>560</v>
      </c>
      <c r="X1043" s="213" t="s">
        <v>541</v>
      </c>
      <c r="Y1043" s="213" t="s">
        <v>541</v>
      </c>
      <c r="Z1043" s="212">
        <v>0</v>
      </c>
      <c r="AA1043" s="212">
        <v>0</v>
      </c>
      <c r="AB1043" s="217">
        <v>0.51014400000000004</v>
      </c>
      <c r="AC1043" s="217">
        <v>0.82099900000000003</v>
      </c>
      <c r="AD1043" s="212">
        <f t="shared" si="16"/>
        <v>0</v>
      </c>
    </row>
    <row r="1044" spans="2:30" x14ac:dyDescent="0.15">
      <c r="B1044" s="213">
        <v>17031002302</v>
      </c>
      <c r="C1044" s="213">
        <v>99999023008</v>
      </c>
      <c r="D1044" s="213">
        <v>17031001404</v>
      </c>
      <c r="E1044" s="213" t="s">
        <v>533</v>
      </c>
      <c r="F1044" s="213" t="s">
        <v>534</v>
      </c>
      <c r="G1044" s="213" t="s">
        <v>365</v>
      </c>
      <c r="H1044" s="213" t="s">
        <v>557</v>
      </c>
      <c r="I1044" s="213"/>
      <c r="J1044" s="213" t="s">
        <v>569</v>
      </c>
      <c r="K1044" s="213" t="s">
        <v>551</v>
      </c>
      <c r="L1044" s="213" t="s">
        <v>543</v>
      </c>
      <c r="M1044" s="213" t="s">
        <v>382</v>
      </c>
      <c r="N1044" s="213"/>
      <c r="O1044" s="213"/>
      <c r="P1044" s="213"/>
      <c r="Q1044" s="213"/>
      <c r="R1044" s="213"/>
      <c r="S1044" s="213" t="s">
        <v>570</v>
      </c>
      <c r="T1044" s="213"/>
      <c r="U1044" s="213" t="s">
        <v>538</v>
      </c>
      <c r="V1044" s="213">
        <v>2</v>
      </c>
      <c r="W1044" s="213" t="s">
        <v>545</v>
      </c>
      <c r="X1044" s="213" t="s">
        <v>540</v>
      </c>
      <c r="Y1044" s="213" t="s">
        <v>540</v>
      </c>
      <c r="Z1044" s="212">
        <v>17428</v>
      </c>
      <c r="AA1044" s="212">
        <v>1416948</v>
      </c>
      <c r="AB1044" s="217">
        <v>0.40150400000000003</v>
      </c>
      <c r="AC1044" s="217">
        <v>0.64615999999999996</v>
      </c>
      <c r="AD1044" s="212">
        <f t="shared" si="16"/>
        <v>568910.28979200008</v>
      </c>
    </row>
    <row r="1045" spans="2:30" x14ac:dyDescent="0.15">
      <c r="B1045" s="213">
        <v>17031002304</v>
      </c>
      <c r="C1045" s="213">
        <v>17031007015</v>
      </c>
      <c r="D1045" s="213">
        <v>17031001347</v>
      </c>
      <c r="E1045" s="213" t="s">
        <v>533</v>
      </c>
      <c r="F1045" s="213" t="s">
        <v>534</v>
      </c>
      <c r="G1045" s="213" t="s">
        <v>365</v>
      </c>
      <c r="H1045" s="213" t="s">
        <v>543</v>
      </c>
      <c r="I1045" s="213"/>
      <c r="J1045" s="213"/>
      <c r="K1045" s="213"/>
      <c r="L1045" s="213"/>
      <c r="M1045" s="213"/>
      <c r="N1045" s="213"/>
      <c r="O1045" s="213"/>
      <c r="P1045" s="213"/>
      <c r="Q1045" s="213"/>
      <c r="R1045" s="213"/>
      <c r="S1045" s="213" t="s">
        <v>604</v>
      </c>
      <c r="T1045" s="213" t="s">
        <v>669</v>
      </c>
      <c r="U1045" s="213" t="s">
        <v>538</v>
      </c>
      <c r="V1045" s="213">
        <v>2</v>
      </c>
      <c r="W1045" s="213" t="s">
        <v>545</v>
      </c>
      <c r="X1045" s="213" t="s">
        <v>554</v>
      </c>
      <c r="Y1045" s="213" t="s">
        <v>546</v>
      </c>
      <c r="Z1045" s="212">
        <v>6400</v>
      </c>
      <c r="AA1045" s="212">
        <v>597639</v>
      </c>
      <c r="AB1045" s="217">
        <v>1.0120279999999999</v>
      </c>
      <c r="AC1045" s="217">
        <v>1.6287039999999999</v>
      </c>
      <c r="AD1045" s="212">
        <f t="shared" si="16"/>
        <v>604827.40189199999</v>
      </c>
    </row>
    <row r="1046" spans="2:30" x14ac:dyDescent="0.15">
      <c r="B1046" s="213">
        <v>17031002307</v>
      </c>
      <c r="C1046" s="213">
        <v>17031001385</v>
      </c>
      <c r="D1046" s="213">
        <v>17031001387</v>
      </c>
      <c r="E1046" s="213" t="s">
        <v>533</v>
      </c>
      <c r="F1046" s="213" t="s">
        <v>534</v>
      </c>
      <c r="G1046" s="213" t="s">
        <v>365</v>
      </c>
      <c r="H1046" s="213" t="s">
        <v>557</v>
      </c>
      <c r="I1046" s="213"/>
      <c r="J1046" s="213"/>
      <c r="K1046" s="213"/>
      <c r="L1046" s="213"/>
      <c r="M1046" s="213"/>
      <c r="N1046" s="213"/>
      <c r="O1046" s="213"/>
      <c r="P1046" s="213"/>
      <c r="Q1046" s="213"/>
      <c r="R1046" s="213"/>
      <c r="S1046" s="213"/>
      <c r="T1046" s="213"/>
      <c r="U1046" s="213" t="s">
        <v>559</v>
      </c>
      <c r="V1046" s="213">
        <v>1</v>
      </c>
      <c r="W1046" s="213" t="s">
        <v>560</v>
      </c>
      <c r="X1046" s="213" t="s">
        <v>541</v>
      </c>
      <c r="Y1046" s="213" t="s">
        <v>541</v>
      </c>
      <c r="Z1046" s="212">
        <v>160</v>
      </c>
      <c r="AA1046" s="212">
        <v>12640</v>
      </c>
      <c r="AB1046" s="217">
        <v>0.180342</v>
      </c>
      <c r="AC1046" s="217">
        <v>0.29023199999999999</v>
      </c>
      <c r="AD1046" s="212">
        <f t="shared" si="16"/>
        <v>2279.52288</v>
      </c>
    </row>
    <row r="1047" spans="2:30" x14ac:dyDescent="0.15">
      <c r="B1047" s="213">
        <v>17031002313</v>
      </c>
      <c r="C1047" s="213">
        <v>17031001565</v>
      </c>
      <c r="D1047" s="213">
        <v>17031007613</v>
      </c>
      <c r="E1047" s="213" t="s">
        <v>533</v>
      </c>
      <c r="F1047" s="213" t="s">
        <v>534</v>
      </c>
      <c r="G1047" s="213" t="s">
        <v>365</v>
      </c>
      <c r="H1047" s="213" t="s">
        <v>535</v>
      </c>
      <c r="I1047" s="213"/>
      <c r="J1047" s="213" t="s">
        <v>382</v>
      </c>
      <c r="K1047" s="213" t="s">
        <v>536</v>
      </c>
      <c r="L1047" s="213"/>
      <c r="M1047" s="213"/>
      <c r="N1047" s="213"/>
      <c r="O1047" s="213"/>
      <c r="P1047" s="213"/>
      <c r="Q1047" s="213"/>
      <c r="R1047" s="213"/>
      <c r="S1047" s="213" t="s">
        <v>537</v>
      </c>
      <c r="T1047" s="213"/>
      <c r="U1047" s="213" t="s">
        <v>538</v>
      </c>
      <c r="V1047" s="213">
        <v>2</v>
      </c>
      <c r="W1047" s="213" t="s">
        <v>582</v>
      </c>
      <c r="X1047" s="213" t="s">
        <v>549</v>
      </c>
      <c r="Y1047" s="213" t="s">
        <v>540</v>
      </c>
      <c r="Z1047" s="212">
        <v>3620</v>
      </c>
      <c r="AA1047" s="212">
        <v>328320</v>
      </c>
      <c r="AB1047" s="217">
        <v>2.5687509999999998</v>
      </c>
      <c r="AC1047" s="217">
        <v>4.1340120000000002</v>
      </c>
      <c r="AD1047" s="212">
        <f t="shared" si="16"/>
        <v>843372.32831999997</v>
      </c>
    </row>
    <row r="1048" spans="2:30" x14ac:dyDescent="0.15">
      <c r="B1048" s="213">
        <v>17031002333</v>
      </c>
      <c r="C1048" s="213">
        <v>17031001543</v>
      </c>
      <c r="D1048" s="213">
        <v>17031001489</v>
      </c>
      <c r="E1048" s="213" t="s">
        <v>533</v>
      </c>
      <c r="F1048" s="213" t="s">
        <v>534</v>
      </c>
      <c r="G1048" s="213" t="s">
        <v>365</v>
      </c>
      <c r="H1048" s="213" t="s">
        <v>382</v>
      </c>
      <c r="I1048" s="213"/>
      <c r="J1048" s="213" t="s">
        <v>551</v>
      </c>
      <c r="K1048" s="213" t="s">
        <v>555</v>
      </c>
      <c r="L1048" s="213" t="s">
        <v>552</v>
      </c>
      <c r="M1048" s="213"/>
      <c r="N1048" s="213"/>
      <c r="O1048" s="213"/>
      <c r="P1048" s="213"/>
      <c r="Q1048" s="213"/>
      <c r="R1048" s="213"/>
      <c r="S1048" s="213" t="s">
        <v>556</v>
      </c>
      <c r="T1048" s="213"/>
      <c r="U1048" s="213" t="s">
        <v>538</v>
      </c>
      <c r="V1048" s="213">
        <v>2</v>
      </c>
      <c r="W1048" s="213" t="s">
        <v>545</v>
      </c>
      <c r="X1048" s="213" t="s">
        <v>540</v>
      </c>
      <c r="Y1048" s="213" t="s">
        <v>580</v>
      </c>
      <c r="Z1048" s="212">
        <v>845989</v>
      </c>
      <c r="AA1048" s="212">
        <v>33419591</v>
      </c>
      <c r="AB1048" s="217">
        <v>1.4970330000000001</v>
      </c>
      <c r="AC1048" s="217">
        <v>2.409246</v>
      </c>
      <c r="AD1048" s="212">
        <f t="shared" si="16"/>
        <v>50030230.573503003</v>
      </c>
    </row>
    <row r="1049" spans="2:30" x14ac:dyDescent="0.15">
      <c r="B1049" s="213">
        <v>17031002340</v>
      </c>
      <c r="C1049" s="213">
        <v>99999024155</v>
      </c>
      <c r="D1049" s="213">
        <v>17031007643</v>
      </c>
      <c r="E1049" s="213" t="s">
        <v>533</v>
      </c>
      <c r="F1049" s="213" t="s">
        <v>534</v>
      </c>
      <c r="G1049" s="213" t="s">
        <v>365</v>
      </c>
      <c r="H1049" s="213" t="s">
        <v>535</v>
      </c>
      <c r="I1049" s="213"/>
      <c r="J1049" s="213" t="s">
        <v>382</v>
      </c>
      <c r="K1049" s="213" t="s">
        <v>536</v>
      </c>
      <c r="L1049" s="213"/>
      <c r="M1049" s="213"/>
      <c r="N1049" s="213"/>
      <c r="O1049" s="213"/>
      <c r="P1049" s="213"/>
      <c r="Q1049" s="213"/>
      <c r="R1049" s="213"/>
      <c r="S1049" s="213" t="s">
        <v>537</v>
      </c>
      <c r="T1049" s="213"/>
      <c r="U1049" s="213" t="s">
        <v>538</v>
      </c>
      <c r="V1049" s="213">
        <v>2</v>
      </c>
      <c r="W1049" s="213" t="s">
        <v>582</v>
      </c>
      <c r="X1049" s="213" t="s">
        <v>549</v>
      </c>
      <c r="Y1049" s="213" t="s">
        <v>540</v>
      </c>
      <c r="Z1049" s="212">
        <v>3276</v>
      </c>
      <c r="AA1049" s="212">
        <v>276324</v>
      </c>
      <c r="AB1049" s="217">
        <v>3.1177619999999999</v>
      </c>
      <c r="AC1049" s="217">
        <v>5.0175609999999997</v>
      </c>
      <c r="AD1049" s="212">
        <f t="shared" si="16"/>
        <v>861512.46688800002</v>
      </c>
    </row>
    <row r="1050" spans="2:30" x14ac:dyDescent="0.15">
      <c r="B1050" s="213">
        <v>17031002341</v>
      </c>
      <c r="C1050" s="213">
        <v>17031001552</v>
      </c>
      <c r="D1050" s="213">
        <v>17031001556</v>
      </c>
      <c r="E1050" s="213" t="s">
        <v>533</v>
      </c>
      <c r="F1050" s="213" t="s">
        <v>534</v>
      </c>
      <c r="G1050" s="213" t="s">
        <v>365</v>
      </c>
      <c r="H1050" s="213" t="s">
        <v>382</v>
      </c>
      <c r="I1050" s="213"/>
      <c r="J1050" s="213"/>
      <c r="K1050" s="213"/>
      <c r="L1050" s="213"/>
      <c r="M1050" s="213"/>
      <c r="N1050" s="213"/>
      <c r="O1050" s="213"/>
      <c r="P1050" s="213"/>
      <c r="Q1050" s="213"/>
      <c r="R1050" s="213"/>
      <c r="S1050" s="213" t="s">
        <v>576</v>
      </c>
      <c r="T1050" s="213"/>
      <c r="U1050" s="213" t="s">
        <v>559</v>
      </c>
      <c r="V1050" s="213">
        <v>1</v>
      </c>
      <c r="W1050" s="213" t="s">
        <v>560</v>
      </c>
      <c r="X1050" s="213" t="s">
        <v>541</v>
      </c>
      <c r="Y1050" s="213" t="s">
        <v>541</v>
      </c>
      <c r="Z1050" s="212">
        <v>0</v>
      </c>
      <c r="AA1050" s="212">
        <v>0</v>
      </c>
      <c r="AB1050" s="217">
        <v>0.17685400000000001</v>
      </c>
      <c r="AC1050" s="217">
        <v>0.28461900000000001</v>
      </c>
      <c r="AD1050" s="212">
        <f t="shared" si="16"/>
        <v>0</v>
      </c>
    </row>
    <row r="1051" spans="2:30" x14ac:dyDescent="0.15">
      <c r="B1051" s="213">
        <v>17031002342</v>
      </c>
      <c r="C1051" s="213">
        <v>17031007636</v>
      </c>
      <c r="D1051" s="213">
        <v>17031001554</v>
      </c>
      <c r="E1051" s="213" t="s">
        <v>533</v>
      </c>
      <c r="F1051" s="213" t="s">
        <v>534</v>
      </c>
      <c r="G1051" s="213" t="s">
        <v>365</v>
      </c>
      <c r="H1051" s="213" t="s">
        <v>382</v>
      </c>
      <c r="I1051" s="213"/>
      <c r="J1051" s="213"/>
      <c r="K1051" s="213"/>
      <c r="L1051" s="213"/>
      <c r="M1051" s="213"/>
      <c r="N1051" s="213"/>
      <c r="O1051" s="213"/>
      <c r="P1051" s="213"/>
      <c r="Q1051" s="213"/>
      <c r="R1051" s="213"/>
      <c r="S1051" s="213" t="s">
        <v>576</v>
      </c>
      <c r="T1051" s="213"/>
      <c r="U1051" s="213" t="s">
        <v>559</v>
      </c>
      <c r="V1051" s="213">
        <v>1</v>
      </c>
      <c r="W1051" s="213" t="s">
        <v>560</v>
      </c>
      <c r="X1051" s="213" t="s">
        <v>541</v>
      </c>
      <c r="Y1051" s="213" t="s">
        <v>541</v>
      </c>
      <c r="Z1051" s="212">
        <v>0</v>
      </c>
      <c r="AA1051" s="212">
        <v>0</v>
      </c>
      <c r="AB1051" s="217">
        <v>8.4518999999999997E-2</v>
      </c>
      <c r="AC1051" s="217">
        <v>0.13602</v>
      </c>
      <c r="AD1051" s="212">
        <f t="shared" si="16"/>
        <v>0</v>
      </c>
    </row>
    <row r="1052" spans="2:30" x14ac:dyDescent="0.15">
      <c r="B1052" s="213">
        <v>17031002359</v>
      </c>
      <c r="C1052" s="213">
        <v>17031000561</v>
      </c>
      <c r="D1052" s="213">
        <v>17031000520</v>
      </c>
      <c r="E1052" s="213" t="s">
        <v>533</v>
      </c>
      <c r="F1052" s="213" t="s">
        <v>534</v>
      </c>
      <c r="G1052" s="213" t="s">
        <v>365</v>
      </c>
      <c r="H1052" s="213" t="s">
        <v>382</v>
      </c>
      <c r="I1052" s="213"/>
      <c r="J1052" s="213" t="s">
        <v>547</v>
      </c>
      <c r="K1052" s="213"/>
      <c r="L1052" s="213"/>
      <c r="M1052" s="213"/>
      <c r="N1052" s="213"/>
      <c r="O1052" s="213"/>
      <c r="P1052" s="213"/>
      <c r="Q1052" s="213"/>
      <c r="R1052" s="213"/>
      <c r="S1052" s="213" t="s">
        <v>608</v>
      </c>
      <c r="T1052" s="213"/>
      <c r="U1052" s="213" t="s">
        <v>538</v>
      </c>
      <c r="V1052" s="213">
        <v>4</v>
      </c>
      <c r="W1052" s="213" t="s">
        <v>566</v>
      </c>
      <c r="X1052" s="213" t="s">
        <v>540</v>
      </c>
      <c r="Y1052" s="213" t="s">
        <v>541</v>
      </c>
      <c r="Z1052" s="212">
        <v>0</v>
      </c>
      <c r="AA1052" s="212">
        <v>0</v>
      </c>
      <c r="AB1052" s="217">
        <v>0.96282100000000004</v>
      </c>
      <c r="AC1052" s="217">
        <v>1.5495140000000001</v>
      </c>
      <c r="AD1052" s="212">
        <f t="shared" si="16"/>
        <v>0</v>
      </c>
    </row>
    <row r="1053" spans="2:30" x14ac:dyDescent="0.15">
      <c r="B1053" s="213">
        <v>17031002376</v>
      </c>
      <c r="C1053" s="213">
        <v>17031001060</v>
      </c>
      <c r="D1053" s="213">
        <v>17031004741</v>
      </c>
      <c r="E1053" s="213" t="s">
        <v>533</v>
      </c>
      <c r="F1053" s="213" t="s">
        <v>534</v>
      </c>
      <c r="G1053" s="213" t="s">
        <v>365</v>
      </c>
      <c r="H1053" s="213" t="s">
        <v>543</v>
      </c>
      <c r="I1053" s="213"/>
      <c r="J1053" s="213"/>
      <c r="K1053" s="213"/>
      <c r="L1053" s="213"/>
      <c r="M1053" s="213"/>
      <c r="N1053" s="213"/>
      <c r="O1053" s="213"/>
      <c r="P1053" s="213"/>
      <c r="Q1053" s="213"/>
      <c r="R1053" s="213"/>
      <c r="S1053" s="213" t="s">
        <v>604</v>
      </c>
      <c r="T1053" s="213"/>
      <c r="U1053" s="213" t="s">
        <v>538</v>
      </c>
      <c r="V1053" s="213">
        <v>2</v>
      </c>
      <c r="W1053" s="213" t="s">
        <v>545</v>
      </c>
      <c r="X1053" s="213" t="s">
        <v>540</v>
      </c>
      <c r="Y1053" s="213" t="s">
        <v>549</v>
      </c>
      <c r="Z1053" s="212">
        <v>0</v>
      </c>
      <c r="AA1053" s="212">
        <v>0</v>
      </c>
      <c r="AB1053" s="217">
        <v>2.6881569999999999</v>
      </c>
      <c r="AC1053" s="217">
        <v>4.3261779999999996</v>
      </c>
      <c r="AD1053" s="212">
        <f t="shared" si="16"/>
        <v>0</v>
      </c>
    </row>
    <row r="1054" spans="2:30" x14ac:dyDescent="0.15">
      <c r="B1054" s="213">
        <v>17031002383</v>
      </c>
      <c r="C1054" s="213">
        <v>17999021964</v>
      </c>
      <c r="D1054" s="213">
        <v>17031001059</v>
      </c>
      <c r="E1054" s="213" t="s">
        <v>533</v>
      </c>
      <c r="F1054" s="213" t="s">
        <v>534</v>
      </c>
      <c r="G1054" s="213" t="s">
        <v>365</v>
      </c>
      <c r="H1054" s="213" t="s">
        <v>381</v>
      </c>
      <c r="I1054" s="213"/>
      <c r="J1054" s="213" t="s">
        <v>382</v>
      </c>
      <c r="K1054" s="213"/>
      <c r="L1054" s="213"/>
      <c r="M1054" s="213"/>
      <c r="N1054" s="213"/>
      <c r="O1054" s="213"/>
      <c r="P1054" s="213"/>
      <c r="Q1054" s="213"/>
      <c r="R1054" s="213"/>
      <c r="S1054" s="213" t="s">
        <v>647</v>
      </c>
      <c r="T1054" s="213"/>
      <c r="U1054" s="213" t="s">
        <v>538</v>
      </c>
      <c r="V1054" s="213">
        <v>2</v>
      </c>
      <c r="W1054" s="213" t="s">
        <v>545</v>
      </c>
      <c r="X1054" s="213" t="s">
        <v>549</v>
      </c>
      <c r="Y1054" s="213" t="s">
        <v>580</v>
      </c>
      <c r="Z1054" s="212">
        <v>522062</v>
      </c>
      <c r="AA1054" s="212">
        <v>20453026</v>
      </c>
      <c r="AB1054" s="217">
        <v>2.0421819999999999</v>
      </c>
      <c r="AC1054" s="217">
        <v>3.2865799999999998</v>
      </c>
      <c r="AD1054" s="212">
        <f t="shared" si="16"/>
        <v>41768801.542732</v>
      </c>
    </row>
    <row r="1055" spans="2:30" x14ac:dyDescent="0.15">
      <c r="B1055" s="213">
        <v>17031002384</v>
      </c>
      <c r="C1055" s="213">
        <v>17031001197</v>
      </c>
      <c r="D1055" s="213">
        <v>17031004667</v>
      </c>
      <c r="E1055" s="213" t="s">
        <v>533</v>
      </c>
      <c r="F1055" s="213" t="s">
        <v>534</v>
      </c>
      <c r="G1055" s="213" t="s">
        <v>365</v>
      </c>
      <c r="H1055" s="213" t="s">
        <v>535</v>
      </c>
      <c r="I1055" s="213"/>
      <c r="J1055" s="213" t="s">
        <v>542</v>
      </c>
      <c r="K1055" s="213" t="s">
        <v>572</v>
      </c>
      <c r="L1055" s="213" t="s">
        <v>547</v>
      </c>
      <c r="M1055" s="213" t="s">
        <v>382</v>
      </c>
      <c r="N1055" s="213"/>
      <c r="O1055" s="213"/>
      <c r="P1055" s="213"/>
      <c r="Q1055" s="213"/>
      <c r="R1055" s="213"/>
      <c r="S1055" s="213" t="s">
        <v>601</v>
      </c>
      <c r="T1055" s="213"/>
      <c r="U1055" s="213" t="s">
        <v>538</v>
      </c>
      <c r="V1055" s="213">
        <v>2</v>
      </c>
      <c r="W1055" s="213" t="s">
        <v>545</v>
      </c>
      <c r="X1055" s="213" t="s">
        <v>549</v>
      </c>
      <c r="Y1055" s="213" t="s">
        <v>540</v>
      </c>
      <c r="Z1055" s="212">
        <v>419634</v>
      </c>
      <c r="AA1055" s="212">
        <v>6492363</v>
      </c>
      <c r="AB1055" s="217">
        <v>2.612285</v>
      </c>
      <c r="AC1055" s="217">
        <v>4.2040740000000003</v>
      </c>
      <c r="AD1055" s="212">
        <f t="shared" si="16"/>
        <v>16959902.479455002</v>
      </c>
    </row>
    <row r="1056" spans="2:30" x14ac:dyDescent="0.15">
      <c r="B1056" s="213">
        <v>17031002385</v>
      </c>
      <c r="C1056" s="213">
        <v>17031007688</v>
      </c>
      <c r="D1056" s="213">
        <v>17031007694</v>
      </c>
      <c r="E1056" s="213" t="s">
        <v>533</v>
      </c>
      <c r="F1056" s="213" t="s">
        <v>534</v>
      </c>
      <c r="G1056" s="213" t="s">
        <v>365</v>
      </c>
      <c r="H1056" s="213" t="s">
        <v>535</v>
      </c>
      <c r="I1056" s="213"/>
      <c r="J1056" s="213" t="s">
        <v>542</v>
      </c>
      <c r="K1056" s="213" t="s">
        <v>572</v>
      </c>
      <c r="L1056" s="213" t="s">
        <v>547</v>
      </c>
      <c r="M1056" s="213" t="s">
        <v>382</v>
      </c>
      <c r="N1056" s="213"/>
      <c r="O1056" s="213"/>
      <c r="P1056" s="213"/>
      <c r="Q1056" s="213"/>
      <c r="R1056" s="213"/>
      <c r="S1056" s="213" t="s">
        <v>601</v>
      </c>
      <c r="T1056" s="213"/>
      <c r="U1056" s="213" t="s">
        <v>538</v>
      </c>
      <c r="V1056" s="213">
        <v>2</v>
      </c>
      <c r="W1056" s="213" t="s">
        <v>545</v>
      </c>
      <c r="X1056" s="213" t="s">
        <v>549</v>
      </c>
      <c r="Y1056" s="213" t="s">
        <v>540</v>
      </c>
      <c r="Z1056" s="212">
        <v>419634</v>
      </c>
      <c r="AA1056" s="212">
        <v>6492363</v>
      </c>
      <c r="AB1056" s="217">
        <v>1.8986430000000001</v>
      </c>
      <c r="AC1056" s="217">
        <v>3.0555759999999998</v>
      </c>
      <c r="AD1056" s="212">
        <f t="shared" si="16"/>
        <v>12326679.563409001</v>
      </c>
    </row>
    <row r="1057" spans="2:30" x14ac:dyDescent="0.15">
      <c r="B1057" s="213">
        <v>17031002386</v>
      </c>
      <c r="C1057" s="213">
        <v>17031000359</v>
      </c>
      <c r="D1057" s="213">
        <v>17031004595</v>
      </c>
      <c r="E1057" s="213" t="s">
        <v>533</v>
      </c>
      <c r="F1057" s="213" t="s">
        <v>534</v>
      </c>
      <c r="G1057" s="213" t="s">
        <v>365</v>
      </c>
      <c r="H1057" s="213" t="s">
        <v>552</v>
      </c>
      <c r="I1057" s="213"/>
      <c r="J1057" s="213" t="s">
        <v>547</v>
      </c>
      <c r="K1057" s="213"/>
      <c r="L1057" s="213"/>
      <c r="M1057" s="213"/>
      <c r="N1057" s="213"/>
      <c r="O1057" s="213"/>
      <c r="P1057" s="213"/>
      <c r="Q1057" s="213"/>
      <c r="R1057" s="213"/>
      <c r="S1057" s="213" t="s">
        <v>589</v>
      </c>
      <c r="T1057" s="213"/>
      <c r="U1057" s="213" t="s">
        <v>538</v>
      </c>
      <c r="V1057" s="213">
        <v>2</v>
      </c>
      <c r="W1057" s="213" t="s">
        <v>545</v>
      </c>
      <c r="X1057" s="213" t="s">
        <v>549</v>
      </c>
      <c r="Y1057" s="213" t="s">
        <v>540</v>
      </c>
      <c r="Z1057" s="212">
        <v>62931</v>
      </c>
      <c r="AA1057" s="212">
        <v>6634428</v>
      </c>
      <c r="AB1057" s="217">
        <v>0.47289199999999998</v>
      </c>
      <c r="AC1057" s="217">
        <v>0.76104799999999995</v>
      </c>
      <c r="AD1057" s="212">
        <f t="shared" si="16"/>
        <v>3137367.9257759997</v>
      </c>
    </row>
    <row r="1058" spans="2:30" x14ac:dyDescent="0.15">
      <c r="B1058" s="213">
        <v>17031002411</v>
      </c>
      <c r="C1058" s="213">
        <v>17999022435</v>
      </c>
      <c r="D1058" s="213">
        <v>17031001224</v>
      </c>
      <c r="E1058" s="213" t="s">
        <v>533</v>
      </c>
      <c r="F1058" s="213" t="s">
        <v>534</v>
      </c>
      <c r="G1058" s="213" t="s">
        <v>365</v>
      </c>
      <c r="H1058" s="213" t="s">
        <v>381</v>
      </c>
      <c r="I1058" s="213"/>
      <c r="J1058" s="213" t="s">
        <v>382</v>
      </c>
      <c r="K1058" s="213"/>
      <c r="L1058" s="213"/>
      <c r="M1058" s="213"/>
      <c r="N1058" s="213"/>
      <c r="O1058" s="213"/>
      <c r="P1058" s="213"/>
      <c r="Q1058" s="213"/>
      <c r="R1058" s="213"/>
      <c r="S1058" s="213" t="s">
        <v>647</v>
      </c>
      <c r="T1058" s="213"/>
      <c r="U1058" s="213" t="s">
        <v>538</v>
      </c>
      <c r="V1058" s="213">
        <v>2</v>
      </c>
      <c r="W1058" s="213" t="s">
        <v>545</v>
      </c>
      <c r="X1058" s="213" t="s">
        <v>549</v>
      </c>
      <c r="Y1058" s="213" t="s">
        <v>580</v>
      </c>
      <c r="Z1058" s="212">
        <v>522946</v>
      </c>
      <c r="AA1058" s="212">
        <v>20497490</v>
      </c>
      <c r="AB1058" s="217">
        <v>1.4114739999999999</v>
      </c>
      <c r="AC1058" s="217">
        <v>2.2715529999999999</v>
      </c>
      <c r="AD1058" s="212">
        <f t="shared" si="16"/>
        <v>28931674.200259998</v>
      </c>
    </row>
    <row r="1059" spans="2:30" x14ac:dyDescent="0.15">
      <c r="B1059" s="213">
        <v>17031002418</v>
      </c>
      <c r="C1059" s="213">
        <v>17031000459</v>
      </c>
      <c r="D1059" s="213">
        <v>17031000409</v>
      </c>
      <c r="E1059" s="213" t="s">
        <v>533</v>
      </c>
      <c r="F1059" s="213" t="s">
        <v>534</v>
      </c>
      <c r="G1059" s="213" t="s">
        <v>365</v>
      </c>
      <c r="H1059" s="213" t="s">
        <v>552</v>
      </c>
      <c r="I1059" s="213"/>
      <c r="J1059" s="213" t="s">
        <v>542</v>
      </c>
      <c r="K1059" s="213" t="s">
        <v>547</v>
      </c>
      <c r="L1059" s="213" t="s">
        <v>563</v>
      </c>
      <c r="M1059" s="213"/>
      <c r="N1059" s="213"/>
      <c r="O1059" s="213"/>
      <c r="P1059" s="213"/>
      <c r="Q1059" s="213"/>
      <c r="R1059" s="213"/>
      <c r="S1059" s="213" t="s">
        <v>564</v>
      </c>
      <c r="T1059" s="213"/>
      <c r="U1059" s="213" t="s">
        <v>538</v>
      </c>
      <c r="V1059" s="213">
        <v>2</v>
      </c>
      <c r="W1059" s="213" t="s">
        <v>545</v>
      </c>
      <c r="X1059" s="213" t="s">
        <v>549</v>
      </c>
      <c r="Y1059" s="213" t="s">
        <v>541</v>
      </c>
      <c r="Z1059" s="212">
        <v>27817</v>
      </c>
      <c r="AA1059" s="212">
        <v>2593647</v>
      </c>
      <c r="AB1059" s="217">
        <v>1.709824</v>
      </c>
      <c r="AC1059" s="217">
        <v>2.7517</v>
      </c>
      <c r="AD1059" s="212">
        <f t="shared" si="16"/>
        <v>4434679.8881280003</v>
      </c>
    </row>
    <row r="1060" spans="2:30" x14ac:dyDescent="0.15">
      <c r="B1060" s="213">
        <v>17031002426</v>
      </c>
      <c r="C1060" s="213">
        <v>17031000756</v>
      </c>
      <c r="D1060" s="213">
        <v>17031000752</v>
      </c>
      <c r="E1060" s="213" t="s">
        <v>533</v>
      </c>
      <c r="F1060" s="213" t="s">
        <v>534</v>
      </c>
      <c r="G1060" s="213" t="s">
        <v>365</v>
      </c>
      <c r="H1060" s="213" t="s">
        <v>535</v>
      </c>
      <c r="I1060" s="213"/>
      <c r="J1060" s="213"/>
      <c r="K1060" s="213"/>
      <c r="L1060" s="213"/>
      <c r="M1060" s="213"/>
      <c r="N1060" s="213"/>
      <c r="O1060" s="213"/>
      <c r="P1060" s="213"/>
      <c r="Q1060" s="213"/>
      <c r="R1060" s="213"/>
      <c r="S1060" s="213" t="s">
        <v>624</v>
      </c>
      <c r="T1060" s="213"/>
      <c r="U1060" s="213" t="s">
        <v>538</v>
      </c>
      <c r="V1060" s="213">
        <v>2</v>
      </c>
      <c r="W1060" s="213" t="s">
        <v>582</v>
      </c>
      <c r="X1060" s="213" t="s">
        <v>554</v>
      </c>
      <c r="Y1060" s="213" t="s">
        <v>554</v>
      </c>
      <c r="Z1060" s="212">
        <v>0</v>
      </c>
      <c r="AA1060" s="212">
        <v>0</v>
      </c>
      <c r="AB1060" s="217">
        <v>0.191196</v>
      </c>
      <c r="AC1060" s="217">
        <v>0.30769999999999997</v>
      </c>
      <c r="AD1060" s="212">
        <f t="shared" si="16"/>
        <v>0</v>
      </c>
    </row>
    <row r="1061" spans="2:30" x14ac:dyDescent="0.15">
      <c r="B1061" s="213">
        <v>17031002438</v>
      </c>
      <c r="C1061" s="213">
        <v>17031004711</v>
      </c>
      <c r="D1061" s="213">
        <v>17031007042</v>
      </c>
      <c r="E1061" s="213" t="s">
        <v>533</v>
      </c>
      <c r="F1061" s="213" t="s">
        <v>534</v>
      </c>
      <c r="G1061" s="213" t="s">
        <v>365</v>
      </c>
      <c r="H1061" s="213" t="s">
        <v>382</v>
      </c>
      <c r="I1061" s="213"/>
      <c r="J1061" s="213"/>
      <c r="K1061" s="213"/>
      <c r="L1061" s="213"/>
      <c r="M1061" s="213"/>
      <c r="N1061" s="213"/>
      <c r="O1061" s="213"/>
      <c r="P1061" s="213"/>
      <c r="Q1061" s="213"/>
      <c r="R1061" s="213"/>
      <c r="S1061" s="213"/>
      <c r="T1061" s="213" t="s">
        <v>675</v>
      </c>
      <c r="U1061" s="213" t="s">
        <v>559</v>
      </c>
      <c r="V1061" s="213">
        <v>1</v>
      </c>
      <c r="W1061" s="213" t="s">
        <v>560</v>
      </c>
      <c r="X1061" s="213" t="s">
        <v>541</v>
      </c>
      <c r="Y1061" s="213" t="s">
        <v>541</v>
      </c>
      <c r="Z1061" s="212">
        <v>0</v>
      </c>
      <c r="AA1061" s="212">
        <v>0</v>
      </c>
      <c r="AB1061" s="217">
        <v>0.68272299999999997</v>
      </c>
      <c r="AC1061" s="217">
        <v>1.098738</v>
      </c>
      <c r="AD1061" s="212">
        <f t="shared" si="16"/>
        <v>0</v>
      </c>
    </row>
    <row r="1062" spans="2:30" x14ac:dyDescent="0.15">
      <c r="B1062" s="213">
        <v>17031002577</v>
      </c>
      <c r="C1062" s="213">
        <v>17031000437</v>
      </c>
      <c r="D1062" s="213">
        <v>17031000438</v>
      </c>
      <c r="E1062" s="213" t="s">
        <v>533</v>
      </c>
      <c r="F1062" s="213" t="s">
        <v>534</v>
      </c>
      <c r="G1062" s="213" t="s">
        <v>365</v>
      </c>
      <c r="H1062" s="213" t="s">
        <v>535</v>
      </c>
      <c r="I1062" s="213"/>
      <c r="J1062" s="213"/>
      <c r="K1062" s="213"/>
      <c r="L1062" s="213"/>
      <c r="M1062" s="213"/>
      <c r="N1062" s="213"/>
      <c r="O1062" s="213"/>
      <c r="P1062" s="213"/>
      <c r="Q1062" s="213"/>
      <c r="R1062" s="213"/>
      <c r="S1062" s="213" t="s">
        <v>548</v>
      </c>
      <c r="T1062" s="213"/>
      <c r="U1062" s="213" t="s">
        <v>538</v>
      </c>
      <c r="V1062" s="213">
        <v>2</v>
      </c>
      <c r="W1062" s="213" t="s">
        <v>545</v>
      </c>
      <c r="X1062" s="213" t="s">
        <v>554</v>
      </c>
      <c r="Y1062" s="213" t="s">
        <v>549</v>
      </c>
      <c r="Z1062" s="212">
        <v>662317</v>
      </c>
      <c r="AA1062" s="212">
        <v>30356922</v>
      </c>
      <c r="AB1062" s="217">
        <v>5.5482999999999998E-2</v>
      </c>
      <c r="AC1062" s="217">
        <v>8.9290999999999995E-2</v>
      </c>
      <c r="AD1062" s="212">
        <f t="shared" si="16"/>
        <v>1684293.103326</v>
      </c>
    </row>
    <row r="1063" spans="2:30" x14ac:dyDescent="0.15">
      <c r="B1063" s="213">
        <v>17031002578</v>
      </c>
      <c r="C1063" s="213">
        <v>17031000521</v>
      </c>
      <c r="D1063" s="213">
        <v>17031007607</v>
      </c>
      <c r="E1063" s="213" t="s">
        <v>533</v>
      </c>
      <c r="F1063" s="213" t="s">
        <v>534</v>
      </c>
      <c r="G1063" s="213" t="s">
        <v>365</v>
      </c>
      <c r="H1063" s="213" t="s">
        <v>382</v>
      </c>
      <c r="I1063" s="213"/>
      <c r="J1063" s="213"/>
      <c r="K1063" s="213"/>
      <c r="L1063" s="213"/>
      <c r="M1063" s="213"/>
      <c r="N1063" s="213"/>
      <c r="O1063" s="213"/>
      <c r="P1063" s="213"/>
      <c r="Q1063" s="213"/>
      <c r="R1063" s="213"/>
      <c r="S1063" s="213"/>
      <c r="T1063" s="213"/>
      <c r="U1063" s="213" t="s">
        <v>559</v>
      </c>
      <c r="V1063" s="213">
        <v>1</v>
      </c>
      <c r="W1063" s="213" t="s">
        <v>560</v>
      </c>
      <c r="X1063" s="213" t="s">
        <v>541</v>
      </c>
      <c r="Y1063" s="213" t="s">
        <v>541</v>
      </c>
      <c r="Z1063" s="212">
        <v>0</v>
      </c>
      <c r="AA1063" s="212">
        <v>0</v>
      </c>
      <c r="AB1063" s="217">
        <v>0.37201800000000002</v>
      </c>
      <c r="AC1063" s="217">
        <v>0.59870599999999996</v>
      </c>
      <c r="AD1063" s="212">
        <f t="shared" si="16"/>
        <v>0</v>
      </c>
    </row>
    <row r="1064" spans="2:30" x14ac:dyDescent="0.15">
      <c r="B1064" s="213">
        <v>17031002589</v>
      </c>
      <c r="C1064" s="213">
        <v>17031004667</v>
      </c>
      <c r="D1064" s="213">
        <v>17031004668</v>
      </c>
      <c r="E1064" s="213" t="s">
        <v>533</v>
      </c>
      <c r="F1064" s="213" t="s">
        <v>534</v>
      </c>
      <c r="G1064" s="213" t="s">
        <v>365</v>
      </c>
      <c r="H1064" s="213" t="s">
        <v>535</v>
      </c>
      <c r="I1064" s="213"/>
      <c r="J1064" s="213" t="s">
        <v>542</v>
      </c>
      <c r="K1064" s="213" t="s">
        <v>572</v>
      </c>
      <c r="L1064" s="213" t="s">
        <v>547</v>
      </c>
      <c r="M1064" s="213" t="s">
        <v>382</v>
      </c>
      <c r="N1064" s="213"/>
      <c r="O1064" s="213"/>
      <c r="P1064" s="213"/>
      <c r="Q1064" s="213"/>
      <c r="R1064" s="213"/>
      <c r="S1064" s="213" t="s">
        <v>601</v>
      </c>
      <c r="T1064" s="213"/>
      <c r="U1064" s="213" t="s">
        <v>538</v>
      </c>
      <c r="V1064" s="213">
        <v>2</v>
      </c>
      <c r="W1064" s="213" t="s">
        <v>545</v>
      </c>
      <c r="X1064" s="213" t="s">
        <v>549</v>
      </c>
      <c r="Y1064" s="213" t="s">
        <v>540</v>
      </c>
      <c r="Z1064" s="212">
        <v>419634</v>
      </c>
      <c r="AA1064" s="212">
        <v>6492363</v>
      </c>
      <c r="AB1064" s="217">
        <v>2.3972190000000002</v>
      </c>
      <c r="AC1064" s="217">
        <v>3.8579569999999999</v>
      </c>
      <c r="AD1064" s="212">
        <f t="shared" si="16"/>
        <v>15563615.938497001</v>
      </c>
    </row>
    <row r="1065" spans="2:30" x14ac:dyDescent="0.15">
      <c r="B1065" s="213">
        <v>17031002596</v>
      </c>
      <c r="C1065" s="213">
        <v>17031004694</v>
      </c>
      <c r="D1065" s="213">
        <v>17031004695</v>
      </c>
      <c r="E1065" s="213" t="s">
        <v>533</v>
      </c>
      <c r="F1065" s="213" t="s">
        <v>534</v>
      </c>
      <c r="G1065" s="213" t="s">
        <v>365</v>
      </c>
      <c r="H1065" s="213" t="s">
        <v>547</v>
      </c>
      <c r="I1065" s="213"/>
      <c r="J1065" s="213" t="s">
        <v>577</v>
      </c>
      <c r="K1065" s="213" t="s">
        <v>551</v>
      </c>
      <c r="L1065" s="213" t="s">
        <v>615</v>
      </c>
      <c r="M1065" s="213"/>
      <c r="N1065" s="213"/>
      <c r="O1065" s="213"/>
      <c r="P1065" s="213"/>
      <c r="Q1065" s="213"/>
      <c r="R1065" s="213"/>
      <c r="S1065" s="213" t="s">
        <v>581</v>
      </c>
      <c r="T1065" s="213"/>
      <c r="U1065" s="213" t="s">
        <v>538</v>
      </c>
      <c r="V1065" s="213">
        <v>2</v>
      </c>
      <c r="W1065" s="213" t="s">
        <v>582</v>
      </c>
      <c r="X1065" s="213" t="s">
        <v>540</v>
      </c>
      <c r="Y1065" s="213" t="s">
        <v>540</v>
      </c>
      <c r="Z1065" s="212">
        <v>103629</v>
      </c>
      <c r="AA1065" s="212">
        <v>10039458</v>
      </c>
      <c r="AB1065" s="217">
        <v>2.0360149999999999</v>
      </c>
      <c r="AC1065" s="217">
        <v>3.2766549999999999</v>
      </c>
      <c r="AD1065" s="212">
        <f t="shared" si="16"/>
        <v>20440487.07987</v>
      </c>
    </row>
    <row r="1066" spans="2:30" x14ac:dyDescent="0.15">
      <c r="B1066" s="213">
        <v>17031002604</v>
      </c>
      <c r="C1066" s="213">
        <v>17031004683</v>
      </c>
      <c r="D1066" s="213">
        <v>17031004684</v>
      </c>
      <c r="E1066" s="213" t="s">
        <v>533</v>
      </c>
      <c r="F1066" s="213" t="s">
        <v>534</v>
      </c>
      <c r="G1066" s="213" t="s">
        <v>365</v>
      </c>
      <c r="H1066" s="213" t="s">
        <v>547</v>
      </c>
      <c r="I1066" s="213"/>
      <c r="J1066" s="213" t="s">
        <v>543</v>
      </c>
      <c r="K1066" s="213"/>
      <c r="L1066" s="213"/>
      <c r="M1066" s="213"/>
      <c r="N1066" s="213"/>
      <c r="O1066" s="213"/>
      <c r="P1066" s="213"/>
      <c r="Q1066" s="213"/>
      <c r="R1066" s="213"/>
      <c r="S1066" s="213" t="s">
        <v>602</v>
      </c>
      <c r="T1066" s="213"/>
      <c r="U1066" s="213" t="s">
        <v>538</v>
      </c>
      <c r="V1066" s="213">
        <v>1</v>
      </c>
      <c r="W1066" s="213" t="s">
        <v>582</v>
      </c>
      <c r="X1066" s="213" t="s">
        <v>540</v>
      </c>
      <c r="Y1066" s="213" t="s">
        <v>541</v>
      </c>
      <c r="Z1066" s="212">
        <v>480</v>
      </c>
      <c r="AA1066" s="212">
        <v>35280</v>
      </c>
      <c r="AB1066" s="217">
        <v>1.8296539999999999</v>
      </c>
      <c r="AC1066" s="217">
        <v>2.9445489999999999</v>
      </c>
      <c r="AD1066" s="212">
        <f t="shared" si="16"/>
        <v>64550.193119999996</v>
      </c>
    </row>
    <row r="1067" spans="2:30" x14ac:dyDescent="0.15">
      <c r="B1067" s="213">
        <v>17031002607</v>
      </c>
      <c r="C1067" s="213">
        <v>17031004685</v>
      </c>
      <c r="D1067" s="213">
        <v>17031004686</v>
      </c>
      <c r="E1067" s="213" t="s">
        <v>533</v>
      </c>
      <c r="F1067" s="213" t="s">
        <v>534</v>
      </c>
      <c r="G1067" s="213" t="s">
        <v>365</v>
      </c>
      <c r="H1067" s="213" t="s">
        <v>547</v>
      </c>
      <c r="I1067" s="213"/>
      <c r="J1067" s="213" t="s">
        <v>543</v>
      </c>
      <c r="K1067" s="213"/>
      <c r="L1067" s="213"/>
      <c r="M1067" s="213"/>
      <c r="N1067" s="213"/>
      <c r="O1067" s="213"/>
      <c r="P1067" s="213"/>
      <c r="Q1067" s="213"/>
      <c r="R1067" s="213"/>
      <c r="S1067" s="213" t="s">
        <v>602</v>
      </c>
      <c r="T1067" s="213"/>
      <c r="U1067" s="213" t="s">
        <v>538</v>
      </c>
      <c r="V1067" s="213">
        <v>2</v>
      </c>
      <c r="W1067" s="213" t="s">
        <v>582</v>
      </c>
      <c r="X1067" s="213" t="s">
        <v>540</v>
      </c>
      <c r="Y1067" s="213" t="s">
        <v>541</v>
      </c>
      <c r="Z1067" s="212">
        <v>480</v>
      </c>
      <c r="AA1067" s="212">
        <v>35280</v>
      </c>
      <c r="AB1067" s="217">
        <v>1.1179749999999999</v>
      </c>
      <c r="AC1067" s="217">
        <v>1.7992109999999999</v>
      </c>
      <c r="AD1067" s="212">
        <f t="shared" si="16"/>
        <v>39442.157999999996</v>
      </c>
    </row>
    <row r="1068" spans="2:30" x14ac:dyDescent="0.15">
      <c r="B1068" s="213">
        <v>17031002683</v>
      </c>
      <c r="C1068" s="213">
        <v>17031001224</v>
      </c>
      <c r="D1068" s="213">
        <v>17999022248</v>
      </c>
      <c r="E1068" s="213" t="s">
        <v>533</v>
      </c>
      <c r="F1068" s="213" t="s">
        <v>534</v>
      </c>
      <c r="G1068" s="213" t="s">
        <v>365</v>
      </c>
      <c r="H1068" s="213" t="s">
        <v>381</v>
      </c>
      <c r="I1068" s="213"/>
      <c r="J1068" s="213" t="s">
        <v>382</v>
      </c>
      <c r="K1068" s="213"/>
      <c r="L1068" s="213"/>
      <c r="M1068" s="213"/>
      <c r="N1068" s="213"/>
      <c r="O1068" s="213"/>
      <c r="P1068" s="213"/>
      <c r="Q1068" s="213"/>
      <c r="R1068" s="213"/>
      <c r="S1068" s="213" t="s">
        <v>647</v>
      </c>
      <c r="T1068" s="213"/>
      <c r="U1068" s="213" t="s">
        <v>538</v>
      </c>
      <c r="V1068" s="213">
        <v>2</v>
      </c>
      <c r="W1068" s="213" t="s">
        <v>545</v>
      </c>
      <c r="X1068" s="213" t="s">
        <v>549</v>
      </c>
      <c r="Y1068" s="213" t="s">
        <v>580</v>
      </c>
      <c r="Z1068" s="212">
        <v>523942</v>
      </c>
      <c r="AA1068" s="212">
        <v>20599306</v>
      </c>
      <c r="AB1068" s="217">
        <v>0.84669000000000005</v>
      </c>
      <c r="AC1068" s="217">
        <v>1.3626180000000001</v>
      </c>
      <c r="AD1068" s="212">
        <f t="shared" si="16"/>
        <v>17441226.39714</v>
      </c>
    </row>
    <row r="1069" spans="2:30" x14ac:dyDescent="0.15">
      <c r="B1069" s="213">
        <v>17031002779</v>
      </c>
      <c r="C1069" s="213">
        <v>17031001218</v>
      </c>
      <c r="D1069" s="213">
        <v>17031001161</v>
      </c>
      <c r="E1069" s="213" t="s">
        <v>533</v>
      </c>
      <c r="F1069" s="213" t="s">
        <v>534</v>
      </c>
      <c r="G1069" s="213" t="s">
        <v>365</v>
      </c>
      <c r="H1069" s="213" t="s">
        <v>543</v>
      </c>
      <c r="I1069" s="213"/>
      <c r="J1069" s="213" t="s">
        <v>577</v>
      </c>
      <c r="K1069" s="213"/>
      <c r="L1069" s="213"/>
      <c r="M1069" s="213"/>
      <c r="N1069" s="213"/>
      <c r="O1069" s="213"/>
      <c r="P1069" s="213"/>
      <c r="Q1069" s="213"/>
      <c r="R1069" s="213"/>
      <c r="S1069" s="213" t="s">
        <v>656</v>
      </c>
      <c r="T1069" s="213"/>
      <c r="U1069" s="213" t="s">
        <v>559</v>
      </c>
      <c r="V1069" s="213">
        <v>1</v>
      </c>
      <c r="W1069" s="213" t="s">
        <v>560</v>
      </c>
      <c r="X1069" s="213" t="s">
        <v>541</v>
      </c>
      <c r="Y1069" s="213" t="s">
        <v>541</v>
      </c>
      <c r="Z1069" s="212">
        <v>0</v>
      </c>
      <c r="AA1069" s="212">
        <v>0</v>
      </c>
      <c r="AB1069" s="217">
        <v>1.886153</v>
      </c>
      <c r="AC1069" s="217">
        <v>3.0354749999999999</v>
      </c>
      <c r="AD1069" s="212">
        <f t="shared" si="16"/>
        <v>0</v>
      </c>
    </row>
    <row r="1070" spans="2:30" x14ac:dyDescent="0.15">
      <c r="B1070" s="213">
        <v>17031002904</v>
      </c>
      <c r="C1070" s="213">
        <v>17031001105</v>
      </c>
      <c r="D1070" s="213">
        <v>17031001102</v>
      </c>
      <c r="E1070" s="213" t="s">
        <v>533</v>
      </c>
      <c r="F1070" s="213" t="s">
        <v>534</v>
      </c>
      <c r="G1070" s="213" t="s">
        <v>365</v>
      </c>
      <c r="H1070" s="213" t="s">
        <v>577</v>
      </c>
      <c r="I1070" s="213"/>
      <c r="J1070" s="213"/>
      <c r="K1070" s="213"/>
      <c r="L1070" s="213"/>
      <c r="M1070" s="213"/>
      <c r="N1070" s="213"/>
      <c r="O1070" s="213"/>
      <c r="P1070" s="213"/>
      <c r="Q1070" s="213"/>
      <c r="R1070" s="213"/>
      <c r="S1070" s="213"/>
      <c r="T1070" s="213"/>
      <c r="U1070" s="213" t="s">
        <v>538</v>
      </c>
      <c r="V1070" s="213">
        <v>1</v>
      </c>
      <c r="W1070" s="213" t="s">
        <v>560</v>
      </c>
      <c r="X1070" s="213" t="s">
        <v>541</v>
      </c>
      <c r="Y1070" s="213" t="s">
        <v>541</v>
      </c>
      <c r="Z1070" s="212">
        <v>0</v>
      </c>
      <c r="AA1070" s="212">
        <v>0</v>
      </c>
      <c r="AB1070" s="217">
        <v>0.38063799999999998</v>
      </c>
      <c r="AC1070" s="217">
        <v>0.61257899999999998</v>
      </c>
      <c r="AD1070" s="212">
        <f t="shared" si="16"/>
        <v>0</v>
      </c>
    </row>
    <row r="1071" spans="2:30" x14ac:dyDescent="0.15">
      <c r="B1071" s="213">
        <v>17031002927</v>
      </c>
      <c r="C1071" s="213">
        <v>17031000634</v>
      </c>
      <c r="D1071" s="213">
        <v>17031000640</v>
      </c>
      <c r="E1071" s="213" t="s">
        <v>533</v>
      </c>
      <c r="F1071" s="213" t="s">
        <v>534</v>
      </c>
      <c r="G1071" s="213" t="s">
        <v>365</v>
      </c>
      <c r="H1071" s="213" t="s">
        <v>547</v>
      </c>
      <c r="I1071" s="213"/>
      <c r="J1071" s="213"/>
      <c r="K1071" s="213"/>
      <c r="L1071" s="213"/>
      <c r="M1071" s="213"/>
      <c r="N1071" s="213"/>
      <c r="O1071" s="213"/>
      <c r="P1071" s="213"/>
      <c r="Q1071" s="213"/>
      <c r="R1071" s="213"/>
      <c r="S1071" s="213" t="s">
        <v>581</v>
      </c>
      <c r="T1071" s="213"/>
      <c r="U1071" s="213" t="s">
        <v>538</v>
      </c>
      <c r="V1071" s="213">
        <v>3</v>
      </c>
      <c r="W1071" s="213" t="s">
        <v>582</v>
      </c>
      <c r="X1071" s="213" t="s">
        <v>554</v>
      </c>
      <c r="Y1071" s="213" t="s">
        <v>541</v>
      </c>
      <c r="Z1071" s="212">
        <v>0</v>
      </c>
      <c r="AA1071" s="212">
        <v>0</v>
      </c>
      <c r="AB1071" s="217">
        <v>0.57788399999999995</v>
      </c>
      <c r="AC1071" s="217">
        <v>0.93001599999999995</v>
      </c>
      <c r="AD1071" s="212">
        <f t="shared" si="16"/>
        <v>0</v>
      </c>
    </row>
    <row r="1072" spans="2:30" x14ac:dyDescent="0.15">
      <c r="B1072" s="213">
        <v>17031002928</v>
      </c>
      <c r="C1072" s="213">
        <v>17031000609</v>
      </c>
      <c r="D1072" s="213">
        <v>17031000634</v>
      </c>
      <c r="E1072" s="213" t="s">
        <v>533</v>
      </c>
      <c r="F1072" s="213" t="s">
        <v>534</v>
      </c>
      <c r="G1072" s="213" t="s">
        <v>365</v>
      </c>
      <c r="H1072" s="213" t="s">
        <v>547</v>
      </c>
      <c r="I1072" s="213"/>
      <c r="J1072" s="213"/>
      <c r="K1072" s="213"/>
      <c r="L1072" s="213"/>
      <c r="M1072" s="213"/>
      <c r="N1072" s="213"/>
      <c r="O1072" s="213"/>
      <c r="P1072" s="213"/>
      <c r="Q1072" s="213"/>
      <c r="R1072" s="213"/>
      <c r="S1072" s="213" t="s">
        <v>581</v>
      </c>
      <c r="T1072" s="213"/>
      <c r="U1072" s="213" t="s">
        <v>538</v>
      </c>
      <c r="V1072" s="213">
        <v>4</v>
      </c>
      <c r="W1072" s="213" t="s">
        <v>582</v>
      </c>
      <c r="X1072" s="213" t="s">
        <v>541</v>
      </c>
      <c r="Y1072" s="213" t="s">
        <v>541</v>
      </c>
      <c r="Z1072" s="212">
        <v>0</v>
      </c>
      <c r="AA1072" s="212">
        <v>0</v>
      </c>
      <c r="AB1072" s="217">
        <v>0.250998</v>
      </c>
      <c r="AC1072" s="217">
        <v>0.40394200000000002</v>
      </c>
      <c r="AD1072" s="212">
        <f t="shared" si="16"/>
        <v>0</v>
      </c>
    </row>
    <row r="1073" spans="2:30" x14ac:dyDescent="0.15">
      <c r="B1073" s="213">
        <v>17031002999</v>
      </c>
      <c r="C1073" s="213">
        <v>17031001299</v>
      </c>
      <c r="D1073" s="213">
        <v>17031001117</v>
      </c>
      <c r="E1073" s="213" t="s">
        <v>533</v>
      </c>
      <c r="F1073" s="213" t="s">
        <v>534</v>
      </c>
      <c r="G1073" s="213" t="s">
        <v>365</v>
      </c>
      <c r="H1073" s="213" t="s">
        <v>551</v>
      </c>
      <c r="I1073" s="213" t="s">
        <v>535</v>
      </c>
      <c r="J1073" s="213"/>
      <c r="K1073" s="213"/>
      <c r="L1073" s="213"/>
      <c r="M1073" s="213"/>
      <c r="N1073" s="213"/>
      <c r="O1073" s="213"/>
      <c r="P1073" s="213"/>
      <c r="Q1073" s="213"/>
      <c r="R1073" s="213"/>
      <c r="S1073" s="213" t="s">
        <v>553</v>
      </c>
      <c r="T1073" s="213"/>
      <c r="U1073" s="213" t="s">
        <v>538</v>
      </c>
      <c r="V1073" s="213">
        <v>2</v>
      </c>
      <c r="W1073" s="213" t="s">
        <v>582</v>
      </c>
      <c r="X1073" s="213" t="s">
        <v>540</v>
      </c>
      <c r="Y1073" s="213" t="s">
        <v>540</v>
      </c>
      <c r="Z1073" s="212">
        <v>0</v>
      </c>
      <c r="AA1073" s="212">
        <v>0</v>
      </c>
      <c r="AB1073" s="217">
        <v>5.0569670000000002</v>
      </c>
      <c r="AC1073" s="217">
        <v>8.1384159999999994</v>
      </c>
      <c r="AD1073" s="212">
        <f t="shared" si="16"/>
        <v>0</v>
      </c>
    </row>
    <row r="1074" spans="2:30" x14ac:dyDescent="0.15">
      <c r="B1074" s="213">
        <v>17031003004</v>
      </c>
      <c r="C1074" s="213">
        <v>17031000909</v>
      </c>
      <c r="D1074" s="213">
        <v>17031000932</v>
      </c>
      <c r="E1074" s="213" t="s">
        <v>533</v>
      </c>
      <c r="F1074" s="213" t="s">
        <v>534</v>
      </c>
      <c r="G1074" s="213" t="s">
        <v>365</v>
      </c>
      <c r="H1074" s="213" t="s">
        <v>557</v>
      </c>
      <c r="I1074" s="213"/>
      <c r="J1074" s="213"/>
      <c r="K1074" s="213"/>
      <c r="L1074" s="213"/>
      <c r="M1074" s="213"/>
      <c r="N1074" s="213"/>
      <c r="O1074" s="213"/>
      <c r="P1074" s="213"/>
      <c r="Q1074" s="213"/>
      <c r="R1074" s="213"/>
      <c r="S1074" s="213" t="s">
        <v>666</v>
      </c>
      <c r="T1074" s="213"/>
      <c r="U1074" s="213" t="s">
        <v>559</v>
      </c>
      <c r="V1074" s="213">
        <v>1</v>
      </c>
      <c r="W1074" s="213" t="s">
        <v>560</v>
      </c>
      <c r="X1074" s="213" t="s">
        <v>541</v>
      </c>
      <c r="Y1074" s="213" t="s">
        <v>541</v>
      </c>
      <c r="Z1074" s="212">
        <v>0</v>
      </c>
      <c r="AA1074" s="212">
        <v>0</v>
      </c>
      <c r="AB1074" s="217">
        <v>0.59883299999999995</v>
      </c>
      <c r="AC1074" s="217">
        <v>0.963731</v>
      </c>
      <c r="AD1074" s="212">
        <f t="shared" si="16"/>
        <v>0</v>
      </c>
    </row>
    <row r="1075" spans="2:30" x14ac:dyDescent="0.15">
      <c r="B1075" s="213">
        <v>17031003007</v>
      </c>
      <c r="C1075" s="213">
        <v>17031000859</v>
      </c>
      <c r="D1075" s="213">
        <v>17031000884</v>
      </c>
      <c r="E1075" s="213" t="s">
        <v>533</v>
      </c>
      <c r="F1075" s="213" t="s">
        <v>534</v>
      </c>
      <c r="G1075" s="213" t="s">
        <v>365</v>
      </c>
      <c r="H1075" s="213" t="s">
        <v>551</v>
      </c>
      <c r="I1075" s="213" t="s">
        <v>535</v>
      </c>
      <c r="J1075" s="213"/>
      <c r="K1075" s="213"/>
      <c r="L1075" s="213"/>
      <c r="M1075" s="213"/>
      <c r="N1075" s="213"/>
      <c r="O1075" s="213"/>
      <c r="P1075" s="213"/>
      <c r="Q1075" s="213"/>
      <c r="R1075" s="213"/>
      <c r="S1075" s="213" t="s">
        <v>553</v>
      </c>
      <c r="T1075" s="213" t="s">
        <v>553</v>
      </c>
      <c r="U1075" s="213" t="s">
        <v>538</v>
      </c>
      <c r="V1075" s="213">
        <v>1</v>
      </c>
      <c r="W1075" s="213" t="s">
        <v>539</v>
      </c>
      <c r="X1075" s="213" t="s">
        <v>554</v>
      </c>
      <c r="Y1075" s="213" t="s">
        <v>541</v>
      </c>
      <c r="Z1075" s="212">
        <v>0</v>
      </c>
      <c r="AA1075" s="212">
        <v>0</v>
      </c>
      <c r="AB1075" s="217">
        <v>0.50601099999999999</v>
      </c>
      <c r="AC1075" s="217">
        <v>0.81434799999999996</v>
      </c>
      <c r="AD1075" s="212">
        <f t="shared" si="16"/>
        <v>0</v>
      </c>
    </row>
    <row r="1076" spans="2:30" x14ac:dyDescent="0.15">
      <c r="B1076" s="213">
        <v>17031003024</v>
      </c>
      <c r="C1076" s="213">
        <v>17031000556</v>
      </c>
      <c r="D1076" s="213">
        <v>17031000554</v>
      </c>
      <c r="E1076" s="213" t="s">
        <v>533</v>
      </c>
      <c r="F1076" s="213" t="s">
        <v>534</v>
      </c>
      <c r="G1076" s="213" t="s">
        <v>365</v>
      </c>
      <c r="H1076" s="213" t="s">
        <v>382</v>
      </c>
      <c r="I1076" s="213"/>
      <c r="J1076" s="213" t="s">
        <v>547</v>
      </c>
      <c r="K1076" s="213"/>
      <c r="L1076" s="213"/>
      <c r="M1076" s="213"/>
      <c r="N1076" s="213"/>
      <c r="O1076" s="213"/>
      <c r="P1076" s="213"/>
      <c r="Q1076" s="213"/>
      <c r="R1076" s="213"/>
      <c r="S1076" s="213" t="s">
        <v>583</v>
      </c>
      <c r="T1076" s="213"/>
      <c r="U1076" s="213" t="s">
        <v>538</v>
      </c>
      <c r="V1076" s="213">
        <v>4</v>
      </c>
      <c r="W1076" s="213" t="s">
        <v>545</v>
      </c>
      <c r="X1076" s="213" t="s">
        <v>554</v>
      </c>
      <c r="Y1076" s="213" t="s">
        <v>541</v>
      </c>
      <c r="Z1076" s="212">
        <v>0</v>
      </c>
      <c r="AA1076" s="212">
        <v>0</v>
      </c>
      <c r="AB1076" s="217">
        <v>0.16600400000000001</v>
      </c>
      <c r="AC1076" s="217">
        <v>0.26715800000000001</v>
      </c>
      <c r="AD1076" s="212">
        <f t="shared" si="16"/>
        <v>0</v>
      </c>
    </row>
    <row r="1077" spans="2:30" x14ac:dyDescent="0.15">
      <c r="B1077" s="213">
        <v>17031003115</v>
      </c>
      <c r="C1077" s="213">
        <v>17031001166</v>
      </c>
      <c r="D1077" s="213">
        <v>17031001100</v>
      </c>
      <c r="E1077" s="213" t="s">
        <v>533</v>
      </c>
      <c r="F1077" s="213" t="s">
        <v>534</v>
      </c>
      <c r="G1077" s="213" t="s">
        <v>365</v>
      </c>
      <c r="H1077" s="213" t="s">
        <v>535</v>
      </c>
      <c r="I1077" s="213"/>
      <c r="J1077" s="213"/>
      <c r="K1077" s="213"/>
      <c r="L1077" s="213"/>
      <c r="M1077" s="213"/>
      <c r="N1077" s="213"/>
      <c r="O1077" s="213"/>
      <c r="P1077" s="213"/>
      <c r="Q1077" s="213"/>
      <c r="R1077" s="213"/>
      <c r="S1077" s="213" t="s">
        <v>597</v>
      </c>
      <c r="T1077" s="213"/>
      <c r="U1077" s="213" t="s">
        <v>538</v>
      </c>
      <c r="V1077" s="213">
        <v>1</v>
      </c>
      <c r="W1077" s="213" t="s">
        <v>539</v>
      </c>
      <c r="X1077" s="213" t="s">
        <v>554</v>
      </c>
      <c r="Y1077" s="213" t="s">
        <v>541</v>
      </c>
      <c r="Z1077" s="212">
        <v>3760</v>
      </c>
      <c r="AA1077" s="212">
        <v>353440</v>
      </c>
      <c r="AB1077" s="217">
        <v>1.2001109999999999</v>
      </c>
      <c r="AC1077" s="217">
        <v>1.9313959999999999</v>
      </c>
      <c r="AD1077" s="212">
        <f t="shared" si="16"/>
        <v>424167.23183999996</v>
      </c>
    </row>
    <row r="1078" spans="2:30" x14ac:dyDescent="0.15">
      <c r="B1078" s="213">
        <v>17031003116</v>
      </c>
      <c r="C1078" s="213">
        <v>17031001131</v>
      </c>
      <c r="D1078" s="213">
        <v>99999022079</v>
      </c>
      <c r="E1078" s="213" t="s">
        <v>533</v>
      </c>
      <c r="F1078" s="213" t="s">
        <v>534</v>
      </c>
      <c r="G1078" s="213" t="s">
        <v>365</v>
      </c>
      <c r="H1078" s="213" t="s">
        <v>551</v>
      </c>
      <c r="I1078" s="213"/>
      <c r="J1078" s="213"/>
      <c r="K1078" s="213"/>
      <c r="L1078" s="213"/>
      <c r="M1078" s="213"/>
      <c r="N1078" s="213"/>
      <c r="O1078" s="213"/>
      <c r="P1078" s="213"/>
      <c r="Q1078" s="213"/>
      <c r="R1078" s="213"/>
      <c r="S1078" s="213" t="s">
        <v>642</v>
      </c>
      <c r="T1078" s="213"/>
      <c r="U1078" s="213" t="s">
        <v>538</v>
      </c>
      <c r="V1078" s="213">
        <v>1</v>
      </c>
      <c r="W1078" s="213" t="s">
        <v>560</v>
      </c>
      <c r="X1078" s="213" t="s">
        <v>554</v>
      </c>
      <c r="Y1078" s="213" t="s">
        <v>541</v>
      </c>
      <c r="Z1078" s="212">
        <v>0</v>
      </c>
      <c r="AA1078" s="212">
        <v>0</v>
      </c>
      <c r="AB1078" s="217">
        <v>0.68635800000000002</v>
      </c>
      <c r="AC1078" s="217">
        <v>1.1045879999999999</v>
      </c>
      <c r="AD1078" s="212">
        <f t="shared" si="16"/>
        <v>0</v>
      </c>
    </row>
    <row r="1079" spans="2:30" x14ac:dyDescent="0.15">
      <c r="B1079" s="213">
        <v>17031003211</v>
      </c>
      <c r="C1079" s="213">
        <v>17031000355</v>
      </c>
      <c r="D1079" s="213">
        <v>17031000328</v>
      </c>
      <c r="E1079" s="213" t="s">
        <v>533</v>
      </c>
      <c r="F1079" s="213" t="s">
        <v>534</v>
      </c>
      <c r="G1079" s="213" t="s">
        <v>365</v>
      </c>
      <c r="H1079" s="213" t="s">
        <v>552</v>
      </c>
      <c r="I1079" s="213"/>
      <c r="J1079" s="213"/>
      <c r="K1079" s="213"/>
      <c r="L1079" s="213"/>
      <c r="M1079" s="213"/>
      <c r="N1079" s="213"/>
      <c r="O1079" s="213"/>
      <c r="P1079" s="213"/>
      <c r="Q1079" s="213"/>
      <c r="R1079" s="213"/>
      <c r="S1079" s="213"/>
      <c r="T1079" s="213"/>
      <c r="U1079" s="213" t="s">
        <v>559</v>
      </c>
      <c r="V1079" s="213">
        <v>1</v>
      </c>
      <c r="W1079" s="213" t="s">
        <v>560</v>
      </c>
      <c r="X1079" s="213" t="s">
        <v>541</v>
      </c>
      <c r="Y1079" s="213" t="s">
        <v>541</v>
      </c>
      <c r="Z1079" s="212">
        <v>0</v>
      </c>
      <c r="AA1079" s="212">
        <v>0</v>
      </c>
      <c r="AB1079" s="217">
        <v>0.67341799999999996</v>
      </c>
      <c r="AC1079" s="217">
        <v>1.0837639999999999</v>
      </c>
      <c r="AD1079" s="212">
        <f t="shared" si="16"/>
        <v>0</v>
      </c>
    </row>
    <row r="1080" spans="2:30" x14ac:dyDescent="0.15">
      <c r="B1080" s="213">
        <v>17031003212</v>
      </c>
      <c r="C1080" s="213">
        <v>17031000353</v>
      </c>
      <c r="D1080" s="213">
        <v>17031000355</v>
      </c>
      <c r="E1080" s="213" t="s">
        <v>533</v>
      </c>
      <c r="F1080" s="213" t="s">
        <v>534</v>
      </c>
      <c r="G1080" s="213" t="s">
        <v>365</v>
      </c>
      <c r="H1080" s="213" t="s">
        <v>552</v>
      </c>
      <c r="I1080" s="213"/>
      <c r="J1080" s="213"/>
      <c r="K1080" s="213"/>
      <c r="L1080" s="213"/>
      <c r="M1080" s="213"/>
      <c r="N1080" s="213"/>
      <c r="O1080" s="213"/>
      <c r="P1080" s="213"/>
      <c r="Q1080" s="213"/>
      <c r="R1080" s="213"/>
      <c r="S1080" s="213"/>
      <c r="T1080" s="213"/>
      <c r="U1080" s="213" t="s">
        <v>559</v>
      </c>
      <c r="V1080" s="213">
        <v>1</v>
      </c>
      <c r="W1080" s="213" t="s">
        <v>560</v>
      </c>
      <c r="X1080" s="213" t="s">
        <v>541</v>
      </c>
      <c r="Y1080" s="213" t="s">
        <v>541</v>
      </c>
      <c r="Z1080" s="212">
        <v>0</v>
      </c>
      <c r="AA1080" s="212">
        <v>0</v>
      </c>
      <c r="AB1080" s="217">
        <v>0.752197</v>
      </c>
      <c r="AC1080" s="217">
        <v>1.210547</v>
      </c>
      <c r="AD1080" s="212">
        <f t="shared" si="16"/>
        <v>0</v>
      </c>
    </row>
    <row r="1081" spans="2:30" x14ac:dyDescent="0.15">
      <c r="B1081" s="213">
        <v>17031003224</v>
      </c>
      <c r="C1081" s="213">
        <v>17031000934</v>
      </c>
      <c r="D1081" s="213">
        <v>17031000882</v>
      </c>
      <c r="E1081" s="213" t="s">
        <v>533</v>
      </c>
      <c r="F1081" s="213" t="s">
        <v>534</v>
      </c>
      <c r="G1081" s="213" t="s">
        <v>365</v>
      </c>
      <c r="H1081" s="213" t="s">
        <v>535</v>
      </c>
      <c r="I1081" s="213"/>
      <c r="J1081" s="213" t="s">
        <v>542</v>
      </c>
      <c r="K1081" s="213" t="s">
        <v>572</v>
      </c>
      <c r="L1081" s="213" t="s">
        <v>547</v>
      </c>
      <c r="M1081" s="213" t="s">
        <v>382</v>
      </c>
      <c r="N1081" s="213" t="s">
        <v>552</v>
      </c>
      <c r="O1081" s="213" t="s">
        <v>381</v>
      </c>
      <c r="P1081" s="213"/>
      <c r="Q1081" s="213"/>
      <c r="R1081" s="213"/>
      <c r="S1081" s="213" t="s">
        <v>601</v>
      </c>
      <c r="T1081" s="213"/>
      <c r="U1081" s="213" t="s">
        <v>538</v>
      </c>
      <c r="V1081" s="213">
        <v>2</v>
      </c>
      <c r="W1081" s="213" t="s">
        <v>545</v>
      </c>
      <c r="X1081" s="213" t="s">
        <v>549</v>
      </c>
      <c r="Y1081" s="213" t="s">
        <v>540</v>
      </c>
      <c r="Z1081" s="212">
        <v>2040</v>
      </c>
      <c r="AA1081" s="212">
        <v>173600</v>
      </c>
      <c r="AB1081" s="217">
        <v>1.0298499999999999</v>
      </c>
      <c r="AC1081" s="217">
        <v>1.6573869999999999</v>
      </c>
      <c r="AD1081" s="212">
        <f t="shared" si="16"/>
        <v>178781.96</v>
      </c>
    </row>
    <row r="1082" spans="2:30" x14ac:dyDescent="0.15">
      <c r="B1082" s="213">
        <v>17031003227</v>
      </c>
      <c r="C1082" s="213">
        <v>17031004583</v>
      </c>
      <c r="D1082" s="213">
        <v>17031004582</v>
      </c>
      <c r="E1082" s="213" t="s">
        <v>533</v>
      </c>
      <c r="F1082" s="213" t="s">
        <v>534</v>
      </c>
      <c r="G1082" s="213" t="s">
        <v>365</v>
      </c>
      <c r="H1082" s="213" t="s">
        <v>382</v>
      </c>
      <c r="I1082" s="213"/>
      <c r="J1082" s="213" t="s">
        <v>547</v>
      </c>
      <c r="K1082" s="213"/>
      <c r="L1082" s="213"/>
      <c r="M1082" s="213"/>
      <c r="N1082" s="213"/>
      <c r="O1082" s="213"/>
      <c r="P1082" s="213"/>
      <c r="Q1082" s="213"/>
      <c r="R1082" s="213"/>
      <c r="S1082" s="213" t="s">
        <v>565</v>
      </c>
      <c r="T1082" s="213"/>
      <c r="U1082" s="213" t="s">
        <v>538</v>
      </c>
      <c r="V1082" s="213">
        <v>2</v>
      </c>
      <c r="W1082" s="213" t="s">
        <v>566</v>
      </c>
      <c r="X1082" s="213" t="s">
        <v>549</v>
      </c>
      <c r="Y1082" s="213" t="s">
        <v>541</v>
      </c>
      <c r="Z1082" s="212">
        <v>0</v>
      </c>
      <c r="AA1082" s="212">
        <v>0</v>
      </c>
      <c r="AB1082" s="217">
        <v>1.6621999999999999</v>
      </c>
      <c r="AC1082" s="217">
        <v>2.6750569999999998</v>
      </c>
      <c r="AD1082" s="212">
        <f t="shared" si="16"/>
        <v>0</v>
      </c>
    </row>
    <row r="1083" spans="2:30" x14ac:dyDescent="0.15">
      <c r="B1083" s="213">
        <v>17031003235</v>
      </c>
      <c r="C1083" s="213">
        <v>17031000665</v>
      </c>
      <c r="D1083" s="213">
        <v>17031000679</v>
      </c>
      <c r="E1083" s="213" t="s">
        <v>533</v>
      </c>
      <c r="F1083" s="213" t="s">
        <v>534</v>
      </c>
      <c r="G1083" s="213" t="s">
        <v>365</v>
      </c>
      <c r="H1083" s="213" t="s">
        <v>381</v>
      </c>
      <c r="I1083" s="213"/>
      <c r="J1083" s="213" t="s">
        <v>382</v>
      </c>
      <c r="K1083" s="213"/>
      <c r="L1083" s="213"/>
      <c r="M1083" s="213"/>
      <c r="N1083" s="213"/>
      <c r="O1083" s="213"/>
      <c r="P1083" s="213"/>
      <c r="Q1083" s="213"/>
      <c r="R1083" s="213"/>
      <c r="S1083" s="213" t="s">
        <v>579</v>
      </c>
      <c r="T1083" s="213"/>
      <c r="U1083" s="213" t="s">
        <v>538</v>
      </c>
      <c r="V1083" s="213">
        <v>2</v>
      </c>
      <c r="W1083" s="213" t="s">
        <v>545</v>
      </c>
      <c r="X1083" s="213" t="s">
        <v>541</v>
      </c>
      <c r="Y1083" s="213" t="s">
        <v>549</v>
      </c>
      <c r="Z1083" s="212">
        <v>2040</v>
      </c>
      <c r="AA1083" s="212">
        <v>161960</v>
      </c>
      <c r="AB1083" s="217">
        <v>0.16564200000000001</v>
      </c>
      <c r="AC1083" s="217">
        <v>0.26657500000000001</v>
      </c>
      <c r="AD1083" s="212">
        <f t="shared" si="16"/>
        <v>26827.378320000003</v>
      </c>
    </row>
    <row r="1084" spans="2:30" x14ac:dyDescent="0.15">
      <c r="B1084" s="213">
        <v>17031003236</v>
      </c>
      <c r="C1084" s="213">
        <v>17031000578</v>
      </c>
      <c r="D1084" s="213">
        <v>17031004653</v>
      </c>
      <c r="E1084" s="213" t="s">
        <v>533</v>
      </c>
      <c r="F1084" s="213" t="s">
        <v>534</v>
      </c>
      <c r="G1084" s="213" t="s">
        <v>365</v>
      </c>
      <c r="H1084" s="213" t="s">
        <v>382</v>
      </c>
      <c r="I1084" s="213"/>
      <c r="J1084" s="213" t="s">
        <v>572</v>
      </c>
      <c r="K1084" s="213" t="s">
        <v>547</v>
      </c>
      <c r="L1084" s="213"/>
      <c r="M1084" s="213"/>
      <c r="N1084" s="213"/>
      <c r="O1084" s="213"/>
      <c r="P1084" s="213"/>
      <c r="Q1084" s="213"/>
      <c r="R1084" s="213"/>
      <c r="S1084" s="213" t="s">
        <v>583</v>
      </c>
      <c r="T1084" s="213"/>
      <c r="U1084" s="213" t="s">
        <v>538</v>
      </c>
      <c r="V1084" s="213">
        <v>3</v>
      </c>
      <c r="W1084" s="213" t="s">
        <v>545</v>
      </c>
      <c r="X1084" s="213" t="s">
        <v>549</v>
      </c>
      <c r="Y1084" s="213" t="s">
        <v>580</v>
      </c>
      <c r="Z1084" s="212">
        <v>1094381</v>
      </c>
      <c r="AA1084" s="212">
        <v>33287005</v>
      </c>
      <c r="AB1084" s="217">
        <v>1.3149900000000001</v>
      </c>
      <c r="AC1084" s="217">
        <v>2.1162749999999999</v>
      </c>
      <c r="AD1084" s="212">
        <f t="shared" si="16"/>
        <v>43772078.704950005</v>
      </c>
    </row>
    <row r="1085" spans="2:30" x14ac:dyDescent="0.15">
      <c r="B1085" s="213">
        <v>17031003240</v>
      </c>
      <c r="C1085" s="213">
        <v>17031000733</v>
      </c>
      <c r="D1085" s="213">
        <v>17031000681</v>
      </c>
      <c r="E1085" s="213" t="s">
        <v>533</v>
      </c>
      <c r="F1085" s="213" t="s">
        <v>534</v>
      </c>
      <c r="G1085" s="213" t="s">
        <v>365</v>
      </c>
      <c r="H1085" s="213" t="s">
        <v>535</v>
      </c>
      <c r="I1085" s="213"/>
      <c r="J1085" s="213" t="s">
        <v>542</v>
      </c>
      <c r="K1085" s="213" t="s">
        <v>572</v>
      </c>
      <c r="L1085" s="213"/>
      <c r="M1085" s="213"/>
      <c r="N1085" s="213"/>
      <c r="O1085" s="213"/>
      <c r="P1085" s="213"/>
      <c r="Q1085" s="213"/>
      <c r="R1085" s="213"/>
      <c r="S1085" s="213" t="s">
        <v>544</v>
      </c>
      <c r="T1085" s="213"/>
      <c r="U1085" s="213" t="s">
        <v>538</v>
      </c>
      <c r="V1085" s="213">
        <v>2</v>
      </c>
      <c r="W1085" s="213" t="s">
        <v>545</v>
      </c>
      <c r="X1085" s="213" t="s">
        <v>554</v>
      </c>
      <c r="Y1085" s="213" t="s">
        <v>549</v>
      </c>
      <c r="Z1085" s="212">
        <v>8958</v>
      </c>
      <c r="AA1085" s="212">
        <v>744576</v>
      </c>
      <c r="AB1085" s="217">
        <v>1.3835489999999999</v>
      </c>
      <c r="AC1085" s="217">
        <v>2.2266110000000001</v>
      </c>
      <c r="AD1085" s="212">
        <f t="shared" si="16"/>
        <v>1030157.380224</v>
      </c>
    </row>
    <row r="1086" spans="2:30" x14ac:dyDescent="0.15">
      <c r="B1086" s="213">
        <v>17031003248</v>
      </c>
      <c r="C1086" s="213">
        <v>17031004597</v>
      </c>
      <c r="D1086" s="213">
        <v>17031004596</v>
      </c>
      <c r="E1086" s="213" t="s">
        <v>533</v>
      </c>
      <c r="F1086" s="213" t="s">
        <v>534</v>
      </c>
      <c r="G1086" s="213" t="s">
        <v>365</v>
      </c>
      <c r="H1086" s="213" t="s">
        <v>382</v>
      </c>
      <c r="I1086" s="213"/>
      <c r="J1086" s="213" t="s">
        <v>535</v>
      </c>
      <c r="K1086" s="213" t="s">
        <v>547</v>
      </c>
      <c r="L1086" s="213"/>
      <c r="M1086" s="213"/>
      <c r="N1086" s="213"/>
      <c r="O1086" s="213"/>
      <c r="P1086" s="213"/>
      <c r="Q1086" s="213"/>
      <c r="R1086" s="213"/>
      <c r="S1086" s="213" t="s">
        <v>608</v>
      </c>
      <c r="T1086" s="213"/>
      <c r="U1086" s="213" t="s">
        <v>538</v>
      </c>
      <c r="V1086" s="213">
        <v>2</v>
      </c>
      <c r="W1086" s="213" t="s">
        <v>566</v>
      </c>
      <c r="X1086" s="213" t="s">
        <v>549</v>
      </c>
      <c r="Y1086" s="213" t="s">
        <v>549</v>
      </c>
      <c r="Z1086" s="212">
        <v>15951</v>
      </c>
      <c r="AA1086" s="212">
        <v>1564397</v>
      </c>
      <c r="AB1086" s="217">
        <v>0.46620200000000001</v>
      </c>
      <c r="AC1086" s="217">
        <v>0.75028099999999998</v>
      </c>
      <c r="AD1086" s="212">
        <f t="shared" si="16"/>
        <v>729325.01019399997</v>
      </c>
    </row>
    <row r="1087" spans="2:30" x14ac:dyDescent="0.15">
      <c r="B1087" s="213">
        <v>17031003259</v>
      </c>
      <c r="C1087" s="213">
        <v>17031000999</v>
      </c>
      <c r="D1087" s="213">
        <v>17031001019</v>
      </c>
      <c r="E1087" s="213" t="s">
        <v>533</v>
      </c>
      <c r="F1087" s="213" t="s">
        <v>534</v>
      </c>
      <c r="G1087" s="213" t="s">
        <v>365</v>
      </c>
      <c r="H1087" s="213" t="s">
        <v>551</v>
      </c>
      <c r="I1087" s="213"/>
      <c r="J1087" s="213" t="s">
        <v>381</v>
      </c>
      <c r="K1087" s="213" t="s">
        <v>552</v>
      </c>
      <c r="L1087" s="213" t="s">
        <v>382</v>
      </c>
      <c r="M1087" s="213"/>
      <c r="N1087" s="213"/>
      <c r="O1087" s="213"/>
      <c r="P1087" s="213"/>
      <c r="Q1087" s="213"/>
      <c r="R1087" s="213"/>
      <c r="S1087" s="213" t="s">
        <v>600</v>
      </c>
      <c r="T1087" s="213"/>
      <c r="U1087" s="213" t="s">
        <v>538</v>
      </c>
      <c r="V1087" s="213">
        <v>1</v>
      </c>
      <c r="W1087" s="213" t="s">
        <v>560</v>
      </c>
      <c r="X1087" s="213" t="s">
        <v>541</v>
      </c>
      <c r="Y1087" s="213" t="s">
        <v>541</v>
      </c>
      <c r="Z1087" s="212">
        <v>0</v>
      </c>
      <c r="AA1087" s="212">
        <v>0</v>
      </c>
      <c r="AB1087" s="217">
        <v>0.45756200000000002</v>
      </c>
      <c r="AC1087" s="217">
        <v>0.73637699999999995</v>
      </c>
      <c r="AD1087" s="212">
        <f t="shared" si="16"/>
        <v>0</v>
      </c>
    </row>
    <row r="1088" spans="2:30" x14ac:dyDescent="0.15">
      <c r="B1088" s="213">
        <v>17031003266</v>
      </c>
      <c r="C1088" s="213">
        <v>17031001100</v>
      </c>
      <c r="D1088" s="213">
        <v>17031001080</v>
      </c>
      <c r="E1088" s="213" t="s">
        <v>533</v>
      </c>
      <c r="F1088" s="213" t="s">
        <v>534</v>
      </c>
      <c r="G1088" s="213" t="s">
        <v>365</v>
      </c>
      <c r="H1088" s="213" t="s">
        <v>535</v>
      </c>
      <c r="I1088" s="213"/>
      <c r="J1088" s="213"/>
      <c r="K1088" s="213"/>
      <c r="L1088" s="213"/>
      <c r="M1088" s="213"/>
      <c r="N1088" s="213"/>
      <c r="O1088" s="213"/>
      <c r="P1088" s="213"/>
      <c r="Q1088" s="213"/>
      <c r="R1088" s="213"/>
      <c r="S1088" s="213" t="s">
        <v>597</v>
      </c>
      <c r="T1088" s="213"/>
      <c r="U1088" s="213" t="s">
        <v>538</v>
      </c>
      <c r="V1088" s="213">
        <v>1</v>
      </c>
      <c r="W1088" s="213" t="s">
        <v>560</v>
      </c>
      <c r="X1088" s="213" t="s">
        <v>554</v>
      </c>
      <c r="Y1088" s="213" t="s">
        <v>541</v>
      </c>
      <c r="Z1088" s="212">
        <v>3760</v>
      </c>
      <c r="AA1088" s="212">
        <v>353440</v>
      </c>
      <c r="AB1088" s="217">
        <v>0.16473599999999999</v>
      </c>
      <c r="AC1088" s="217">
        <v>0.26511699999999999</v>
      </c>
      <c r="AD1088" s="212">
        <f t="shared" si="16"/>
        <v>58224.291839999998</v>
      </c>
    </row>
    <row r="1089" spans="2:30" x14ac:dyDescent="0.15">
      <c r="B1089" s="213">
        <v>17031003268</v>
      </c>
      <c r="C1089" s="213">
        <v>17031000653</v>
      </c>
      <c r="D1089" s="213">
        <v>17031000658</v>
      </c>
      <c r="E1089" s="213" t="s">
        <v>533</v>
      </c>
      <c r="F1089" s="213" t="s">
        <v>534</v>
      </c>
      <c r="G1089" s="213" t="s">
        <v>365</v>
      </c>
      <c r="H1089" s="213" t="s">
        <v>535</v>
      </c>
      <c r="I1089" s="213"/>
      <c r="J1089" s="213" t="s">
        <v>542</v>
      </c>
      <c r="K1089" s="213" t="s">
        <v>577</v>
      </c>
      <c r="L1089" s="213" t="s">
        <v>572</v>
      </c>
      <c r="M1089" s="213"/>
      <c r="N1089" s="213"/>
      <c r="O1089" s="213"/>
      <c r="P1089" s="213"/>
      <c r="Q1089" s="213"/>
      <c r="R1089" s="213"/>
      <c r="S1089" s="213"/>
      <c r="T1089" s="213"/>
      <c r="U1089" s="213" t="s">
        <v>538</v>
      </c>
      <c r="V1089" s="213">
        <v>2</v>
      </c>
      <c r="W1089" s="213" t="s">
        <v>539</v>
      </c>
      <c r="X1089" s="213" t="s">
        <v>541</v>
      </c>
      <c r="Y1089" s="213" t="s">
        <v>554</v>
      </c>
      <c r="Z1089" s="212">
        <v>8186</v>
      </c>
      <c r="AA1089" s="212">
        <v>669776</v>
      </c>
      <c r="AB1089" s="217">
        <v>0.66009200000000001</v>
      </c>
      <c r="AC1089" s="217">
        <v>1.062317</v>
      </c>
      <c r="AD1089" s="212">
        <f t="shared" si="16"/>
        <v>442113.779392</v>
      </c>
    </row>
    <row r="1090" spans="2:30" x14ac:dyDescent="0.15">
      <c r="B1090" s="213">
        <v>17031003276</v>
      </c>
      <c r="C1090" s="213">
        <v>17031000900</v>
      </c>
      <c r="D1090" s="213">
        <v>17031000901</v>
      </c>
      <c r="E1090" s="213" t="s">
        <v>533</v>
      </c>
      <c r="F1090" s="213" t="s">
        <v>534</v>
      </c>
      <c r="G1090" s="213" t="s">
        <v>365</v>
      </c>
      <c r="H1090" s="213" t="s">
        <v>381</v>
      </c>
      <c r="I1090" s="213"/>
      <c r="J1090" s="213" t="s">
        <v>551</v>
      </c>
      <c r="K1090" s="213" t="s">
        <v>543</v>
      </c>
      <c r="L1090" s="213" t="s">
        <v>382</v>
      </c>
      <c r="M1090" s="213"/>
      <c r="N1090" s="213"/>
      <c r="O1090" s="213"/>
      <c r="P1090" s="213"/>
      <c r="Q1090" s="213"/>
      <c r="R1090" s="213"/>
      <c r="S1090" s="213"/>
      <c r="T1090" s="213"/>
      <c r="U1090" s="213" t="s">
        <v>538</v>
      </c>
      <c r="V1090" s="213">
        <v>2</v>
      </c>
      <c r="W1090" s="213" t="s">
        <v>545</v>
      </c>
      <c r="X1090" s="213" t="s">
        <v>541</v>
      </c>
      <c r="Y1090" s="213" t="s">
        <v>580</v>
      </c>
      <c r="Z1090" s="212">
        <v>368574</v>
      </c>
      <c r="AA1090" s="212">
        <v>17101278</v>
      </c>
      <c r="AB1090" s="217">
        <v>0.206762</v>
      </c>
      <c r="AC1090" s="217">
        <v>0.33275300000000002</v>
      </c>
      <c r="AD1090" s="212">
        <f t="shared" si="16"/>
        <v>3535894.441836</v>
      </c>
    </row>
    <row r="1091" spans="2:30" x14ac:dyDescent="0.15">
      <c r="B1091" s="213">
        <v>17031003282</v>
      </c>
      <c r="C1091" s="213">
        <v>17031004648</v>
      </c>
      <c r="D1091" s="213">
        <v>17031000505</v>
      </c>
      <c r="E1091" s="213" t="s">
        <v>533</v>
      </c>
      <c r="F1091" s="213" t="s">
        <v>534</v>
      </c>
      <c r="G1091" s="213" t="s">
        <v>365</v>
      </c>
      <c r="H1091" s="213" t="s">
        <v>382</v>
      </c>
      <c r="I1091" s="213"/>
      <c r="J1091" s="213"/>
      <c r="K1091" s="213"/>
      <c r="L1091" s="213"/>
      <c r="M1091" s="213"/>
      <c r="N1091" s="213"/>
      <c r="O1091" s="213"/>
      <c r="P1091" s="213"/>
      <c r="Q1091" s="213"/>
      <c r="R1091" s="213"/>
      <c r="S1091" s="213" t="s">
        <v>650</v>
      </c>
      <c r="T1091" s="213" t="s">
        <v>626</v>
      </c>
      <c r="U1091" s="213" t="s">
        <v>559</v>
      </c>
      <c r="V1091" s="213">
        <v>1</v>
      </c>
      <c r="W1091" s="213" t="s">
        <v>539</v>
      </c>
      <c r="X1091" s="213" t="s">
        <v>541</v>
      </c>
      <c r="Y1091" s="213" t="s">
        <v>541</v>
      </c>
      <c r="Z1091" s="212">
        <v>1950</v>
      </c>
      <c r="AA1091" s="212">
        <v>187344</v>
      </c>
      <c r="AB1091" s="217">
        <v>0.17352699999999999</v>
      </c>
      <c r="AC1091" s="217">
        <v>0.27926499999999999</v>
      </c>
      <c r="AD1091" s="212">
        <f t="shared" si="16"/>
        <v>32509.242287999998</v>
      </c>
    </row>
    <row r="1092" spans="2:30" x14ac:dyDescent="0.15">
      <c r="B1092" s="213">
        <v>17031003283</v>
      </c>
      <c r="C1092" s="213">
        <v>17031000433</v>
      </c>
      <c r="D1092" s="213">
        <v>17031000413</v>
      </c>
      <c r="E1092" s="213" t="s">
        <v>533</v>
      </c>
      <c r="F1092" s="213" t="s">
        <v>534</v>
      </c>
      <c r="G1092" s="213" t="s">
        <v>365</v>
      </c>
      <c r="H1092" s="213" t="s">
        <v>382</v>
      </c>
      <c r="I1092" s="213"/>
      <c r="J1092" s="213"/>
      <c r="K1092" s="213"/>
      <c r="L1092" s="213"/>
      <c r="M1092" s="213"/>
      <c r="N1092" s="213"/>
      <c r="O1092" s="213"/>
      <c r="P1092" s="213"/>
      <c r="Q1092" s="213"/>
      <c r="R1092" s="213"/>
      <c r="S1092" s="213" t="s">
        <v>586</v>
      </c>
      <c r="T1092" s="213"/>
      <c r="U1092" s="213" t="s">
        <v>538</v>
      </c>
      <c r="V1092" s="213">
        <v>2</v>
      </c>
      <c r="W1092" s="213" t="s">
        <v>582</v>
      </c>
      <c r="X1092" s="213" t="s">
        <v>549</v>
      </c>
      <c r="Y1092" s="213" t="s">
        <v>549</v>
      </c>
      <c r="Z1092" s="212">
        <v>139565</v>
      </c>
      <c r="AA1092" s="212">
        <v>16043772</v>
      </c>
      <c r="AB1092" s="217">
        <v>0.75330399999999997</v>
      </c>
      <c r="AC1092" s="217">
        <v>1.2123280000000001</v>
      </c>
      <c r="AD1092" s="212">
        <f t="shared" si="16"/>
        <v>12085837.622687999</v>
      </c>
    </row>
    <row r="1093" spans="2:30" x14ac:dyDescent="0.15">
      <c r="B1093" s="213">
        <v>17031003296</v>
      </c>
      <c r="C1093" s="213">
        <v>17031000757</v>
      </c>
      <c r="D1093" s="213">
        <v>17031000756</v>
      </c>
      <c r="E1093" s="213" t="s">
        <v>533</v>
      </c>
      <c r="F1093" s="213" t="s">
        <v>534</v>
      </c>
      <c r="G1093" s="213" t="s">
        <v>365</v>
      </c>
      <c r="H1093" s="213" t="s">
        <v>535</v>
      </c>
      <c r="I1093" s="213"/>
      <c r="J1093" s="213"/>
      <c r="K1093" s="213"/>
      <c r="L1093" s="213"/>
      <c r="M1093" s="213"/>
      <c r="N1093" s="213"/>
      <c r="O1093" s="213"/>
      <c r="P1093" s="213"/>
      <c r="Q1093" s="213"/>
      <c r="R1093" s="213"/>
      <c r="S1093" s="213" t="s">
        <v>624</v>
      </c>
      <c r="T1093" s="213" t="s">
        <v>685</v>
      </c>
      <c r="U1093" s="213" t="s">
        <v>538</v>
      </c>
      <c r="V1093" s="213">
        <v>2</v>
      </c>
      <c r="W1093" s="213" t="s">
        <v>582</v>
      </c>
      <c r="X1093" s="213" t="s">
        <v>554</v>
      </c>
      <c r="Y1093" s="213" t="s">
        <v>554</v>
      </c>
      <c r="Z1093" s="212">
        <v>0</v>
      </c>
      <c r="AA1093" s="212">
        <v>0</v>
      </c>
      <c r="AB1093" s="217">
        <v>1.227757</v>
      </c>
      <c r="AC1093" s="217">
        <v>1.9758869999999999</v>
      </c>
      <c r="AD1093" s="212">
        <f t="shared" si="16"/>
        <v>0</v>
      </c>
    </row>
    <row r="1094" spans="2:30" x14ac:dyDescent="0.15">
      <c r="B1094" s="213">
        <v>17031003307</v>
      </c>
      <c r="C1094" s="213">
        <v>17031000771</v>
      </c>
      <c r="D1094" s="213">
        <v>17031000742</v>
      </c>
      <c r="E1094" s="213" t="s">
        <v>533</v>
      </c>
      <c r="F1094" s="213" t="s">
        <v>534</v>
      </c>
      <c r="G1094" s="213" t="s">
        <v>365</v>
      </c>
      <c r="H1094" s="213" t="s">
        <v>381</v>
      </c>
      <c r="I1094" s="213"/>
      <c r="J1094" s="213"/>
      <c r="K1094" s="213"/>
      <c r="L1094" s="213"/>
      <c r="M1094" s="213"/>
      <c r="N1094" s="213"/>
      <c r="O1094" s="213"/>
      <c r="P1094" s="213"/>
      <c r="Q1094" s="213"/>
      <c r="R1094" s="213"/>
      <c r="S1094" s="213" t="s">
        <v>647</v>
      </c>
      <c r="T1094" s="213"/>
      <c r="U1094" s="213" t="s">
        <v>538</v>
      </c>
      <c r="V1094" s="213">
        <v>2</v>
      </c>
      <c r="W1094" s="213" t="s">
        <v>545</v>
      </c>
      <c r="X1094" s="213" t="s">
        <v>541</v>
      </c>
      <c r="Y1094" s="213" t="s">
        <v>541</v>
      </c>
      <c r="Z1094" s="212">
        <v>0</v>
      </c>
      <c r="AA1094" s="212">
        <v>0</v>
      </c>
      <c r="AB1094" s="217">
        <v>1.2751129999999999</v>
      </c>
      <c r="AC1094" s="217">
        <v>2.0520990000000001</v>
      </c>
      <c r="AD1094" s="212">
        <f t="shared" ref="AD1094:AD1157" si="17">AA1094*AB1094</f>
        <v>0</v>
      </c>
    </row>
    <row r="1095" spans="2:30" x14ac:dyDescent="0.15">
      <c r="B1095" s="213">
        <v>17031003328</v>
      </c>
      <c r="C1095" s="213">
        <v>17031000395</v>
      </c>
      <c r="D1095" s="213">
        <v>17031004609</v>
      </c>
      <c r="E1095" s="213" t="s">
        <v>533</v>
      </c>
      <c r="F1095" s="213" t="s">
        <v>534</v>
      </c>
      <c r="G1095" s="213" t="s">
        <v>365</v>
      </c>
      <c r="H1095" s="213" t="s">
        <v>382</v>
      </c>
      <c r="I1095" s="213"/>
      <c r="J1095" s="213" t="s">
        <v>547</v>
      </c>
      <c r="K1095" s="213"/>
      <c r="L1095" s="213"/>
      <c r="M1095" s="213"/>
      <c r="N1095" s="213"/>
      <c r="O1095" s="213"/>
      <c r="P1095" s="213"/>
      <c r="Q1095" s="213"/>
      <c r="R1095" s="213"/>
      <c r="S1095" s="213" t="s">
        <v>608</v>
      </c>
      <c r="T1095" s="213"/>
      <c r="U1095" s="213" t="s">
        <v>538</v>
      </c>
      <c r="V1095" s="213">
        <v>3</v>
      </c>
      <c r="W1095" s="213" t="s">
        <v>545</v>
      </c>
      <c r="X1095" s="213" t="s">
        <v>549</v>
      </c>
      <c r="Y1095" s="213" t="s">
        <v>554</v>
      </c>
      <c r="Z1095" s="212">
        <v>0</v>
      </c>
      <c r="AA1095" s="212">
        <v>0</v>
      </c>
      <c r="AB1095" s="217">
        <v>1.0154000000000001</v>
      </c>
      <c r="AC1095" s="217">
        <v>1.6341319999999999</v>
      </c>
      <c r="AD1095" s="212">
        <f t="shared" si="17"/>
        <v>0</v>
      </c>
    </row>
    <row r="1096" spans="2:30" x14ac:dyDescent="0.15">
      <c r="B1096" s="213">
        <v>17031003333</v>
      </c>
      <c r="C1096" s="213">
        <v>17031000567</v>
      </c>
      <c r="D1096" s="213">
        <v>17031000574</v>
      </c>
      <c r="E1096" s="213" t="s">
        <v>533</v>
      </c>
      <c r="F1096" s="213" t="s">
        <v>534</v>
      </c>
      <c r="G1096" s="213" t="s">
        <v>365</v>
      </c>
      <c r="H1096" s="213" t="s">
        <v>552</v>
      </c>
      <c r="I1096" s="213"/>
      <c r="J1096" s="213" t="s">
        <v>542</v>
      </c>
      <c r="K1096" s="213" t="s">
        <v>547</v>
      </c>
      <c r="L1096" s="213"/>
      <c r="M1096" s="213"/>
      <c r="N1096" s="213"/>
      <c r="O1096" s="213"/>
      <c r="P1096" s="213"/>
      <c r="Q1096" s="213"/>
      <c r="R1096" s="213"/>
      <c r="S1096" s="213" t="s">
        <v>564</v>
      </c>
      <c r="T1096" s="213"/>
      <c r="U1096" s="213" t="s">
        <v>538</v>
      </c>
      <c r="V1096" s="213">
        <v>3</v>
      </c>
      <c r="W1096" s="213" t="s">
        <v>545</v>
      </c>
      <c r="X1096" s="213" t="s">
        <v>541</v>
      </c>
      <c r="Y1096" s="213" t="s">
        <v>541</v>
      </c>
      <c r="Z1096" s="212">
        <v>74113</v>
      </c>
      <c r="AA1096" s="212">
        <v>5380834</v>
      </c>
      <c r="AB1096" s="217">
        <v>1.786279</v>
      </c>
      <c r="AC1096" s="217">
        <v>2.874743</v>
      </c>
      <c r="AD1096" s="212">
        <f t="shared" si="17"/>
        <v>9611670.7766859997</v>
      </c>
    </row>
    <row r="1097" spans="2:30" x14ac:dyDescent="0.15">
      <c r="B1097" s="213">
        <v>17031003485</v>
      </c>
      <c r="C1097" s="213">
        <v>17031000559</v>
      </c>
      <c r="D1097" s="213">
        <v>17031000529</v>
      </c>
      <c r="E1097" s="213" t="s">
        <v>533</v>
      </c>
      <c r="F1097" s="213" t="s">
        <v>534</v>
      </c>
      <c r="G1097" s="213" t="s">
        <v>365</v>
      </c>
      <c r="H1097" s="213" t="s">
        <v>552</v>
      </c>
      <c r="I1097" s="213"/>
      <c r="J1097" s="213" t="s">
        <v>542</v>
      </c>
      <c r="K1097" s="213" t="s">
        <v>547</v>
      </c>
      <c r="L1097" s="213"/>
      <c r="M1097" s="213"/>
      <c r="N1097" s="213"/>
      <c r="O1097" s="213"/>
      <c r="P1097" s="213"/>
      <c r="Q1097" s="213"/>
      <c r="R1097" s="213"/>
      <c r="S1097" s="213" t="s">
        <v>564</v>
      </c>
      <c r="T1097" s="213" t="s">
        <v>640</v>
      </c>
      <c r="U1097" s="213" t="s">
        <v>538</v>
      </c>
      <c r="V1097" s="213">
        <v>3</v>
      </c>
      <c r="W1097" s="213" t="s">
        <v>545</v>
      </c>
      <c r="X1097" s="213" t="s">
        <v>540</v>
      </c>
      <c r="Y1097" s="213" t="s">
        <v>541</v>
      </c>
      <c r="Z1097" s="212">
        <v>74113</v>
      </c>
      <c r="AA1097" s="212">
        <v>5380834</v>
      </c>
      <c r="AB1097" s="217">
        <v>0.90408100000000002</v>
      </c>
      <c r="AC1097" s="217">
        <v>1.4549799999999999</v>
      </c>
      <c r="AD1097" s="212">
        <f t="shared" si="17"/>
        <v>4864709.7835539998</v>
      </c>
    </row>
    <row r="1098" spans="2:30" x14ac:dyDescent="0.15">
      <c r="B1098" s="213">
        <v>17031003486</v>
      </c>
      <c r="C1098" s="213">
        <v>17031007549</v>
      </c>
      <c r="D1098" s="213">
        <v>17031000343</v>
      </c>
      <c r="E1098" s="213" t="s">
        <v>533</v>
      </c>
      <c r="F1098" s="213" t="s">
        <v>534</v>
      </c>
      <c r="G1098" s="213" t="s">
        <v>365</v>
      </c>
      <c r="H1098" s="213" t="s">
        <v>535</v>
      </c>
      <c r="I1098" s="213"/>
      <c r="J1098" s="213" t="s">
        <v>536</v>
      </c>
      <c r="K1098" s="213" t="s">
        <v>382</v>
      </c>
      <c r="L1098" s="213"/>
      <c r="M1098" s="213"/>
      <c r="N1098" s="213"/>
      <c r="O1098" s="213"/>
      <c r="P1098" s="213"/>
      <c r="Q1098" s="213"/>
      <c r="R1098" s="213"/>
      <c r="S1098" s="213" t="s">
        <v>550</v>
      </c>
      <c r="T1098" s="213"/>
      <c r="U1098" s="213" t="s">
        <v>538</v>
      </c>
      <c r="V1098" s="213">
        <v>1</v>
      </c>
      <c r="W1098" s="213" t="s">
        <v>545</v>
      </c>
      <c r="X1098" s="213" t="s">
        <v>549</v>
      </c>
      <c r="Y1098" s="213" t="s">
        <v>540</v>
      </c>
      <c r="Z1098" s="212">
        <v>30222</v>
      </c>
      <c r="AA1098" s="212">
        <v>2834112</v>
      </c>
      <c r="AB1098" s="217">
        <v>0.52369399999999999</v>
      </c>
      <c r="AC1098" s="217">
        <v>0.84280500000000003</v>
      </c>
      <c r="AD1098" s="212">
        <f t="shared" si="17"/>
        <v>1484207.449728</v>
      </c>
    </row>
    <row r="1099" spans="2:30" x14ac:dyDescent="0.15">
      <c r="B1099" s="213">
        <v>17031003492</v>
      </c>
      <c r="C1099" s="213">
        <v>17031000529</v>
      </c>
      <c r="D1099" s="213">
        <v>17031004621</v>
      </c>
      <c r="E1099" s="213" t="s">
        <v>533</v>
      </c>
      <c r="F1099" s="213" t="s">
        <v>534</v>
      </c>
      <c r="G1099" s="213" t="s">
        <v>365</v>
      </c>
      <c r="H1099" s="213" t="s">
        <v>552</v>
      </c>
      <c r="I1099" s="213"/>
      <c r="J1099" s="213" t="s">
        <v>542</v>
      </c>
      <c r="K1099" s="213" t="s">
        <v>547</v>
      </c>
      <c r="L1099" s="213"/>
      <c r="M1099" s="213"/>
      <c r="N1099" s="213"/>
      <c r="O1099" s="213"/>
      <c r="P1099" s="213"/>
      <c r="Q1099" s="213"/>
      <c r="R1099" s="213"/>
      <c r="S1099" s="213" t="s">
        <v>564</v>
      </c>
      <c r="T1099" s="213"/>
      <c r="U1099" s="213" t="s">
        <v>538</v>
      </c>
      <c r="V1099" s="213">
        <v>3</v>
      </c>
      <c r="W1099" s="213" t="s">
        <v>545</v>
      </c>
      <c r="X1099" s="213" t="s">
        <v>540</v>
      </c>
      <c r="Y1099" s="213" t="s">
        <v>541</v>
      </c>
      <c r="Z1099" s="212">
        <v>74113</v>
      </c>
      <c r="AA1099" s="212">
        <v>5380834</v>
      </c>
      <c r="AB1099" s="217">
        <v>1.351256</v>
      </c>
      <c r="AC1099" s="217">
        <v>2.1746400000000001</v>
      </c>
      <c r="AD1099" s="212">
        <f t="shared" si="17"/>
        <v>7270884.2275040001</v>
      </c>
    </row>
    <row r="1100" spans="2:30" x14ac:dyDescent="0.15">
      <c r="B1100" s="213">
        <v>17031003493</v>
      </c>
      <c r="C1100" s="213">
        <v>17031000496</v>
      </c>
      <c r="D1100" s="213">
        <v>17031000485</v>
      </c>
      <c r="E1100" s="213" t="s">
        <v>533</v>
      </c>
      <c r="F1100" s="213" t="s">
        <v>534</v>
      </c>
      <c r="G1100" s="213" t="s">
        <v>365</v>
      </c>
      <c r="H1100" s="213" t="s">
        <v>552</v>
      </c>
      <c r="I1100" s="213"/>
      <c r="J1100" s="213" t="s">
        <v>542</v>
      </c>
      <c r="K1100" s="213" t="s">
        <v>547</v>
      </c>
      <c r="L1100" s="213"/>
      <c r="M1100" s="213"/>
      <c r="N1100" s="213"/>
      <c r="O1100" s="213"/>
      <c r="P1100" s="213"/>
      <c r="Q1100" s="213"/>
      <c r="R1100" s="213"/>
      <c r="S1100" s="213" t="s">
        <v>564</v>
      </c>
      <c r="T1100" s="213"/>
      <c r="U1100" s="213" t="s">
        <v>538</v>
      </c>
      <c r="V1100" s="213">
        <v>2</v>
      </c>
      <c r="W1100" s="213" t="s">
        <v>545</v>
      </c>
      <c r="X1100" s="213" t="s">
        <v>540</v>
      </c>
      <c r="Y1100" s="213" t="s">
        <v>541</v>
      </c>
      <c r="Z1100" s="212">
        <v>0</v>
      </c>
      <c r="AA1100" s="212">
        <v>0</v>
      </c>
      <c r="AB1100" s="217">
        <v>0.19530700000000001</v>
      </c>
      <c r="AC1100" s="217">
        <v>0.31431700000000001</v>
      </c>
      <c r="AD1100" s="212">
        <f t="shared" si="17"/>
        <v>0</v>
      </c>
    </row>
    <row r="1101" spans="2:30" x14ac:dyDescent="0.15">
      <c r="B1101" s="213">
        <v>17031003495</v>
      </c>
      <c r="C1101" s="213">
        <v>17031000936</v>
      </c>
      <c r="D1101" s="213">
        <v>17031000932</v>
      </c>
      <c r="E1101" s="213" t="s">
        <v>533</v>
      </c>
      <c r="F1101" s="213" t="s">
        <v>534</v>
      </c>
      <c r="G1101" s="213" t="s">
        <v>365</v>
      </c>
      <c r="H1101" s="213" t="s">
        <v>557</v>
      </c>
      <c r="I1101" s="213"/>
      <c r="J1101" s="213"/>
      <c r="K1101" s="213"/>
      <c r="L1101" s="213"/>
      <c r="M1101" s="213"/>
      <c r="N1101" s="213"/>
      <c r="O1101" s="213"/>
      <c r="P1101" s="213"/>
      <c r="Q1101" s="213"/>
      <c r="R1101" s="213"/>
      <c r="S1101" s="213" t="s">
        <v>666</v>
      </c>
      <c r="T1101" s="213"/>
      <c r="U1101" s="213" t="s">
        <v>559</v>
      </c>
      <c r="V1101" s="213">
        <v>1</v>
      </c>
      <c r="W1101" s="213" t="s">
        <v>560</v>
      </c>
      <c r="X1101" s="213" t="s">
        <v>541</v>
      </c>
      <c r="Y1101" s="213" t="s">
        <v>541</v>
      </c>
      <c r="Z1101" s="212">
        <v>0</v>
      </c>
      <c r="AA1101" s="212">
        <v>0</v>
      </c>
      <c r="AB1101" s="217">
        <v>0.108419</v>
      </c>
      <c r="AC1101" s="217">
        <v>0.174484</v>
      </c>
      <c r="AD1101" s="212">
        <f t="shared" si="17"/>
        <v>0</v>
      </c>
    </row>
    <row r="1102" spans="2:30" x14ac:dyDescent="0.15">
      <c r="B1102" s="213">
        <v>17031003501</v>
      </c>
      <c r="C1102" s="213">
        <v>17031000343</v>
      </c>
      <c r="D1102" s="213">
        <v>17031004594</v>
      </c>
      <c r="E1102" s="213" t="s">
        <v>533</v>
      </c>
      <c r="F1102" s="213" t="s">
        <v>534</v>
      </c>
      <c r="G1102" s="213" t="s">
        <v>365</v>
      </c>
      <c r="H1102" s="213" t="s">
        <v>535</v>
      </c>
      <c r="I1102" s="213"/>
      <c r="J1102" s="213" t="s">
        <v>552</v>
      </c>
      <c r="K1102" s="213" t="s">
        <v>536</v>
      </c>
      <c r="L1102" s="213" t="s">
        <v>382</v>
      </c>
      <c r="M1102" s="213"/>
      <c r="N1102" s="213"/>
      <c r="O1102" s="213"/>
      <c r="P1102" s="213"/>
      <c r="Q1102" s="213"/>
      <c r="R1102" s="213"/>
      <c r="S1102" s="213" t="s">
        <v>550</v>
      </c>
      <c r="T1102" s="213"/>
      <c r="U1102" s="213" t="s">
        <v>538</v>
      </c>
      <c r="V1102" s="213">
        <v>1</v>
      </c>
      <c r="W1102" s="213" t="s">
        <v>545</v>
      </c>
      <c r="X1102" s="213" t="s">
        <v>549</v>
      </c>
      <c r="Y1102" s="213" t="s">
        <v>540</v>
      </c>
      <c r="Z1102" s="212">
        <v>30498</v>
      </c>
      <c r="AA1102" s="212">
        <v>2859232</v>
      </c>
      <c r="AB1102" s="217">
        <v>0.1042</v>
      </c>
      <c r="AC1102" s="217">
        <v>0.16769400000000001</v>
      </c>
      <c r="AD1102" s="212">
        <f t="shared" si="17"/>
        <v>297931.97440000001</v>
      </c>
    </row>
    <row r="1103" spans="2:30" x14ac:dyDescent="0.15">
      <c r="B1103" s="213">
        <v>17031003504</v>
      </c>
      <c r="C1103" s="213">
        <v>17031000723</v>
      </c>
      <c r="D1103" s="213">
        <v>17031004655</v>
      </c>
      <c r="E1103" s="213" t="s">
        <v>533</v>
      </c>
      <c r="F1103" s="213" t="s">
        <v>534</v>
      </c>
      <c r="G1103" s="213" t="s">
        <v>365</v>
      </c>
      <c r="H1103" s="213" t="s">
        <v>535</v>
      </c>
      <c r="I1103" s="213"/>
      <c r="J1103" s="213"/>
      <c r="K1103" s="213"/>
      <c r="L1103" s="213"/>
      <c r="M1103" s="213"/>
      <c r="N1103" s="213"/>
      <c r="O1103" s="213"/>
      <c r="P1103" s="213"/>
      <c r="Q1103" s="213"/>
      <c r="R1103" s="213"/>
      <c r="S1103" s="213" t="s">
        <v>624</v>
      </c>
      <c r="T1103" s="213"/>
      <c r="U1103" s="213" t="s">
        <v>538</v>
      </c>
      <c r="V1103" s="213">
        <v>2</v>
      </c>
      <c r="W1103" s="213" t="s">
        <v>582</v>
      </c>
      <c r="X1103" s="213" t="s">
        <v>554</v>
      </c>
      <c r="Y1103" s="213" t="s">
        <v>554</v>
      </c>
      <c r="Z1103" s="212">
        <v>0</v>
      </c>
      <c r="AA1103" s="212">
        <v>0</v>
      </c>
      <c r="AB1103" s="217">
        <v>1.558503</v>
      </c>
      <c r="AC1103" s="217">
        <v>2.5081720000000001</v>
      </c>
      <c r="AD1103" s="212">
        <f t="shared" si="17"/>
        <v>0</v>
      </c>
    </row>
    <row r="1104" spans="2:30" x14ac:dyDescent="0.15">
      <c r="B1104" s="213">
        <v>17031003532</v>
      </c>
      <c r="C1104" s="213">
        <v>17031004629</v>
      </c>
      <c r="D1104" s="213">
        <v>17031004628</v>
      </c>
      <c r="E1104" s="213" t="s">
        <v>533</v>
      </c>
      <c r="F1104" s="213" t="s">
        <v>534</v>
      </c>
      <c r="G1104" s="213" t="s">
        <v>365</v>
      </c>
      <c r="H1104" s="213" t="s">
        <v>535</v>
      </c>
      <c r="I1104" s="213"/>
      <c r="J1104" s="213" t="s">
        <v>552</v>
      </c>
      <c r="K1104" s="213" t="s">
        <v>547</v>
      </c>
      <c r="L1104" s="213" t="s">
        <v>551</v>
      </c>
      <c r="M1104" s="213"/>
      <c r="N1104" s="213"/>
      <c r="O1104" s="213"/>
      <c r="P1104" s="213"/>
      <c r="Q1104" s="213"/>
      <c r="R1104" s="213"/>
      <c r="S1104" s="213" t="s">
        <v>548</v>
      </c>
      <c r="T1104" s="213" t="s">
        <v>671</v>
      </c>
      <c r="U1104" s="213" t="s">
        <v>538</v>
      </c>
      <c r="V1104" s="213">
        <v>2</v>
      </c>
      <c r="W1104" s="213" t="s">
        <v>545</v>
      </c>
      <c r="X1104" s="213" t="s">
        <v>554</v>
      </c>
      <c r="Y1104" s="213" t="s">
        <v>546</v>
      </c>
      <c r="Z1104" s="212">
        <v>662317</v>
      </c>
      <c r="AA1104" s="212">
        <v>30356922</v>
      </c>
      <c r="AB1104" s="217">
        <v>0.39371</v>
      </c>
      <c r="AC1104" s="217">
        <v>0.63361699999999999</v>
      </c>
      <c r="AD1104" s="212">
        <f t="shared" si="17"/>
        <v>11951823.76062</v>
      </c>
    </row>
    <row r="1105" spans="2:30" x14ac:dyDescent="0.15">
      <c r="B1105" s="213">
        <v>17031003536</v>
      </c>
      <c r="C1105" s="213">
        <v>17031001489</v>
      </c>
      <c r="D1105" s="213">
        <v>17031001476</v>
      </c>
      <c r="E1105" s="213" t="s">
        <v>533</v>
      </c>
      <c r="F1105" s="213" t="s">
        <v>534</v>
      </c>
      <c r="G1105" s="213" t="s">
        <v>365</v>
      </c>
      <c r="H1105" s="213" t="s">
        <v>382</v>
      </c>
      <c r="I1105" s="213"/>
      <c r="J1105" s="213" t="s">
        <v>551</v>
      </c>
      <c r="K1105" s="213" t="s">
        <v>555</v>
      </c>
      <c r="L1105" s="213" t="s">
        <v>552</v>
      </c>
      <c r="M1105" s="213"/>
      <c r="N1105" s="213"/>
      <c r="O1105" s="213"/>
      <c r="P1105" s="213"/>
      <c r="Q1105" s="213"/>
      <c r="R1105" s="213"/>
      <c r="S1105" s="213" t="s">
        <v>556</v>
      </c>
      <c r="T1105" s="213"/>
      <c r="U1105" s="213" t="s">
        <v>538</v>
      </c>
      <c r="V1105" s="213">
        <v>2</v>
      </c>
      <c r="W1105" s="213" t="s">
        <v>545</v>
      </c>
      <c r="X1105" s="213" t="s">
        <v>540</v>
      </c>
      <c r="Y1105" s="213" t="s">
        <v>580</v>
      </c>
      <c r="Z1105" s="212">
        <v>845989</v>
      </c>
      <c r="AA1105" s="212">
        <v>33419591</v>
      </c>
      <c r="AB1105" s="217">
        <v>0.19497300000000001</v>
      </c>
      <c r="AC1105" s="217">
        <v>0.31378</v>
      </c>
      <c r="AD1105" s="212">
        <f t="shared" si="17"/>
        <v>6515917.9160430003</v>
      </c>
    </row>
    <row r="1106" spans="2:30" x14ac:dyDescent="0.15">
      <c r="B1106" s="213">
        <v>17031003559</v>
      </c>
      <c r="C1106" s="213">
        <v>17031001557</v>
      </c>
      <c r="D1106" s="213">
        <v>17031007625</v>
      </c>
      <c r="E1106" s="213" t="s">
        <v>533</v>
      </c>
      <c r="F1106" s="213" t="s">
        <v>534</v>
      </c>
      <c r="G1106" s="213" t="s">
        <v>365</v>
      </c>
      <c r="H1106" s="213" t="s">
        <v>543</v>
      </c>
      <c r="I1106" s="213"/>
      <c r="J1106" s="213"/>
      <c r="K1106" s="213"/>
      <c r="L1106" s="213"/>
      <c r="M1106" s="213"/>
      <c r="N1106" s="213"/>
      <c r="O1106" s="213"/>
      <c r="P1106" s="213"/>
      <c r="Q1106" s="213"/>
      <c r="R1106" s="213"/>
      <c r="S1106" s="213" t="s">
        <v>670</v>
      </c>
      <c r="T1106" s="213"/>
      <c r="U1106" s="213" t="s">
        <v>559</v>
      </c>
      <c r="V1106" s="213">
        <v>1</v>
      </c>
      <c r="W1106" s="213" t="s">
        <v>560</v>
      </c>
      <c r="X1106" s="213" t="s">
        <v>541</v>
      </c>
      <c r="Y1106" s="213" t="s">
        <v>541</v>
      </c>
      <c r="Z1106" s="212">
        <v>40</v>
      </c>
      <c r="AA1106" s="212">
        <v>3520</v>
      </c>
      <c r="AB1106" s="217">
        <v>2.1988690000000002</v>
      </c>
      <c r="AC1106" s="217">
        <v>3.5387430000000002</v>
      </c>
      <c r="AD1106" s="212">
        <f t="shared" si="17"/>
        <v>7740.0188800000005</v>
      </c>
    </row>
    <row r="1107" spans="2:30" x14ac:dyDescent="0.15">
      <c r="B1107" s="213">
        <v>17031003581</v>
      </c>
      <c r="C1107" s="213">
        <v>17031007797</v>
      </c>
      <c r="D1107" s="213">
        <v>17031000944</v>
      </c>
      <c r="E1107" s="213" t="s">
        <v>533</v>
      </c>
      <c r="F1107" s="213" t="s">
        <v>534</v>
      </c>
      <c r="G1107" s="213" t="s">
        <v>365</v>
      </c>
      <c r="H1107" s="213" t="s">
        <v>557</v>
      </c>
      <c r="I1107" s="213"/>
      <c r="J1107" s="213" t="s">
        <v>381</v>
      </c>
      <c r="K1107" s="213" t="s">
        <v>535</v>
      </c>
      <c r="L1107" s="213" t="s">
        <v>552</v>
      </c>
      <c r="M1107" s="213" t="s">
        <v>551</v>
      </c>
      <c r="N1107" s="213" t="s">
        <v>543</v>
      </c>
      <c r="O1107" s="213" t="s">
        <v>382</v>
      </c>
      <c r="P1107" s="213"/>
      <c r="Q1107" s="213"/>
      <c r="R1107" s="213"/>
      <c r="S1107" s="213" t="s">
        <v>570</v>
      </c>
      <c r="T1107" s="213"/>
      <c r="U1107" s="213" t="s">
        <v>538</v>
      </c>
      <c r="V1107" s="213">
        <v>2</v>
      </c>
      <c r="W1107" s="213" t="s">
        <v>545</v>
      </c>
      <c r="X1107" s="213" t="s">
        <v>540</v>
      </c>
      <c r="Y1107" s="213" t="s">
        <v>575</v>
      </c>
      <c r="Z1107" s="212">
        <v>1872851</v>
      </c>
      <c r="AA1107" s="212">
        <v>81125139</v>
      </c>
      <c r="AB1107" s="217">
        <v>0.47727700000000001</v>
      </c>
      <c r="AC1107" s="217">
        <v>0.76810400000000001</v>
      </c>
      <c r="AD1107" s="212">
        <f t="shared" si="17"/>
        <v>38719162.966503002</v>
      </c>
    </row>
    <row r="1108" spans="2:30" x14ac:dyDescent="0.15">
      <c r="B1108" s="213">
        <v>17031003585</v>
      </c>
      <c r="C1108" s="213">
        <v>17031000881</v>
      </c>
      <c r="D1108" s="213">
        <v>17031000885</v>
      </c>
      <c r="E1108" s="213" t="s">
        <v>533</v>
      </c>
      <c r="F1108" s="213" t="s">
        <v>534</v>
      </c>
      <c r="G1108" s="213" t="s">
        <v>365</v>
      </c>
      <c r="H1108" s="213" t="s">
        <v>557</v>
      </c>
      <c r="I1108" s="213"/>
      <c r="J1108" s="213" t="s">
        <v>381</v>
      </c>
      <c r="K1108" s="213" t="s">
        <v>382</v>
      </c>
      <c r="L1108" s="213"/>
      <c r="M1108" s="213"/>
      <c r="N1108" s="213"/>
      <c r="O1108" s="213"/>
      <c r="P1108" s="213"/>
      <c r="Q1108" s="213"/>
      <c r="R1108" s="213"/>
      <c r="S1108" s="213"/>
      <c r="T1108" s="213"/>
      <c r="U1108" s="213" t="s">
        <v>538</v>
      </c>
      <c r="V1108" s="213">
        <v>1</v>
      </c>
      <c r="W1108" s="213" t="s">
        <v>560</v>
      </c>
      <c r="X1108" s="213" t="s">
        <v>541</v>
      </c>
      <c r="Y1108" s="213" t="s">
        <v>541</v>
      </c>
      <c r="Z1108" s="212">
        <v>0</v>
      </c>
      <c r="AA1108" s="212">
        <v>0</v>
      </c>
      <c r="AB1108" s="217">
        <v>0.24657499999999999</v>
      </c>
      <c r="AC1108" s="217">
        <v>0.39682499999999998</v>
      </c>
      <c r="AD1108" s="212">
        <f t="shared" si="17"/>
        <v>0</v>
      </c>
    </row>
    <row r="1109" spans="2:30" x14ac:dyDescent="0.15">
      <c r="B1109" s="213">
        <v>17031003592</v>
      </c>
      <c r="C1109" s="213">
        <v>17031004749</v>
      </c>
      <c r="D1109" s="213">
        <v>17031001394</v>
      </c>
      <c r="E1109" s="213" t="s">
        <v>533</v>
      </c>
      <c r="F1109" s="213" t="s">
        <v>534</v>
      </c>
      <c r="G1109" s="213" t="s">
        <v>365</v>
      </c>
      <c r="H1109" s="213" t="s">
        <v>551</v>
      </c>
      <c r="I1109" s="213"/>
      <c r="J1109" s="213"/>
      <c r="K1109" s="213"/>
      <c r="L1109" s="213"/>
      <c r="M1109" s="213"/>
      <c r="N1109" s="213"/>
      <c r="O1109" s="213"/>
      <c r="P1109" s="213"/>
      <c r="Q1109" s="213"/>
      <c r="R1109" s="213"/>
      <c r="S1109" s="213" t="s">
        <v>686</v>
      </c>
      <c r="T1109" s="213"/>
      <c r="U1109" s="213" t="s">
        <v>559</v>
      </c>
      <c r="V1109" s="213">
        <v>1</v>
      </c>
      <c r="W1109" s="213" t="s">
        <v>560</v>
      </c>
      <c r="X1109" s="213" t="s">
        <v>541</v>
      </c>
      <c r="Y1109" s="213" t="s">
        <v>541</v>
      </c>
      <c r="Z1109" s="212">
        <v>0</v>
      </c>
      <c r="AA1109" s="212">
        <v>0</v>
      </c>
      <c r="AB1109" s="217">
        <v>0.543404</v>
      </c>
      <c r="AC1109" s="217">
        <v>0.87452600000000003</v>
      </c>
      <c r="AD1109" s="212">
        <f t="shared" si="17"/>
        <v>0</v>
      </c>
    </row>
    <row r="1110" spans="2:30" x14ac:dyDescent="0.15">
      <c r="B1110" s="213">
        <v>17031003607</v>
      </c>
      <c r="C1110" s="213">
        <v>17031000840</v>
      </c>
      <c r="D1110" s="213">
        <v>17031000859</v>
      </c>
      <c r="E1110" s="213" t="s">
        <v>533</v>
      </c>
      <c r="F1110" s="213" t="s">
        <v>534</v>
      </c>
      <c r="G1110" s="213" t="s">
        <v>365</v>
      </c>
      <c r="H1110" s="213" t="s">
        <v>551</v>
      </c>
      <c r="I1110" s="213" t="s">
        <v>535</v>
      </c>
      <c r="J1110" s="213"/>
      <c r="K1110" s="213"/>
      <c r="L1110" s="213"/>
      <c r="M1110" s="213"/>
      <c r="N1110" s="213"/>
      <c r="O1110" s="213"/>
      <c r="P1110" s="213"/>
      <c r="Q1110" s="213"/>
      <c r="R1110" s="213"/>
      <c r="S1110" s="213" t="s">
        <v>553</v>
      </c>
      <c r="T1110" s="213"/>
      <c r="U1110" s="213" t="s">
        <v>538</v>
      </c>
      <c r="V1110" s="213">
        <v>1</v>
      </c>
      <c r="W1110" s="213" t="s">
        <v>560</v>
      </c>
      <c r="X1110" s="213" t="s">
        <v>541</v>
      </c>
      <c r="Y1110" s="213" t="s">
        <v>541</v>
      </c>
      <c r="Z1110" s="212">
        <v>0</v>
      </c>
      <c r="AA1110" s="212">
        <v>0</v>
      </c>
      <c r="AB1110" s="217">
        <v>0.33674999999999999</v>
      </c>
      <c r="AC1110" s="217">
        <v>0.54194699999999996</v>
      </c>
      <c r="AD1110" s="212">
        <f t="shared" si="17"/>
        <v>0</v>
      </c>
    </row>
    <row r="1111" spans="2:30" x14ac:dyDescent="0.15">
      <c r="B1111" s="213">
        <v>17031003610</v>
      </c>
      <c r="C1111" s="213">
        <v>17031001013</v>
      </c>
      <c r="D1111" s="213">
        <v>17031006779</v>
      </c>
      <c r="E1111" s="213" t="s">
        <v>533</v>
      </c>
      <c r="F1111" s="213" t="s">
        <v>534</v>
      </c>
      <c r="G1111" s="213" t="s">
        <v>365</v>
      </c>
      <c r="H1111" s="213" t="s">
        <v>571</v>
      </c>
      <c r="I1111" s="213"/>
      <c r="J1111" s="213" t="s">
        <v>552</v>
      </c>
      <c r="K1111" s="213" t="s">
        <v>572</v>
      </c>
      <c r="L1111" s="213" t="s">
        <v>551</v>
      </c>
      <c r="M1111" s="213" t="s">
        <v>555</v>
      </c>
      <c r="N1111" s="213" t="s">
        <v>543</v>
      </c>
      <c r="O1111" s="213" t="s">
        <v>382</v>
      </c>
      <c r="P1111" s="213" t="s">
        <v>535</v>
      </c>
      <c r="Q1111" s="213" t="s">
        <v>381</v>
      </c>
      <c r="R1111" s="213"/>
      <c r="S1111" s="213" t="s">
        <v>573</v>
      </c>
      <c r="T1111" s="213"/>
      <c r="U1111" s="213" t="s">
        <v>538</v>
      </c>
      <c r="V1111" s="213">
        <v>4</v>
      </c>
      <c r="W1111" s="213" t="s">
        <v>545</v>
      </c>
      <c r="X1111" s="213" t="s">
        <v>554</v>
      </c>
      <c r="Y1111" s="213" t="s">
        <v>575</v>
      </c>
      <c r="Z1111" s="212">
        <v>388467</v>
      </c>
      <c r="AA1111" s="212">
        <v>19916620</v>
      </c>
      <c r="AB1111" s="217">
        <v>0.18170500000000001</v>
      </c>
      <c r="AC1111" s="217">
        <v>0.29242600000000002</v>
      </c>
      <c r="AD1111" s="212">
        <f t="shared" si="17"/>
        <v>3618949.4371000002</v>
      </c>
    </row>
    <row r="1112" spans="2:30" x14ac:dyDescent="0.15">
      <c r="B1112" s="213">
        <v>17031003612</v>
      </c>
      <c r="C1112" s="213">
        <v>17031001024</v>
      </c>
      <c r="D1112" s="213">
        <v>17031001022</v>
      </c>
      <c r="E1112" s="213" t="s">
        <v>533</v>
      </c>
      <c r="F1112" s="213" t="s">
        <v>534</v>
      </c>
      <c r="G1112" s="213" t="s">
        <v>365</v>
      </c>
      <c r="H1112" s="213" t="s">
        <v>571</v>
      </c>
      <c r="I1112" s="213"/>
      <c r="J1112" s="213" t="s">
        <v>552</v>
      </c>
      <c r="K1112" s="213" t="s">
        <v>572</v>
      </c>
      <c r="L1112" s="213" t="s">
        <v>551</v>
      </c>
      <c r="M1112" s="213" t="s">
        <v>555</v>
      </c>
      <c r="N1112" s="213" t="s">
        <v>543</v>
      </c>
      <c r="O1112" s="213" t="s">
        <v>382</v>
      </c>
      <c r="P1112" s="213" t="s">
        <v>535</v>
      </c>
      <c r="Q1112" s="213" t="s">
        <v>381</v>
      </c>
      <c r="R1112" s="213"/>
      <c r="S1112" s="213" t="s">
        <v>573</v>
      </c>
      <c r="T1112" s="213"/>
      <c r="U1112" s="213" t="s">
        <v>538</v>
      </c>
      <c r="V1112" s="213">
        <v>2</v>
      </c>
      <c r="W1112" s="213" t="s">
        <v>545</v>
      </c>
      <c r="X1112" s="213" t="s">
        <v>554</v>
      </c>
      <c r="Y1112" s="213" t="s">
        <v>580</v>
      </c>
      <c r="Z1112" s="212">
        <v>388467</v>
      </c>
      <c r="AA1112" s="212">
        <v>19916620</v>
      </c>
      <c r="AB1112" s="217">
        <v>0.229212</v>
      </c>
      <c r="AC1112" s="217">
        <v>0.36888100000000001</v>
      </c>
      <c r="AD1112" s="212">
        <f t="shared" si="17"/>
        <v>4565128.3034399999</v>
      </c>
    </row>
    <row r="1113" spans="2:30" x14ac:dyDescent="0.15">
      <c r="B1113" s="213">
        <v>17031003615</v>
      </c>
      <c r="C1113" s="213">
        <v>17031000848</v>
      </c>
      <c r="D1113" s="213">
        <v>17031000845</v>
      </c>
      <c r="E1113" s="213" t="s">
        <v>533</v>
      </c>
      <c r="F1113" s="213" t="s">
        <v>534</v>
      </c>
      <c r="G1113" s="213" t="s">
        <v>365</v>
      </c>
      <c r="H1113" s="213" t="s">
        <v>535</v>
      </c>
      <c r="I1113" s="213"/>
      <c r="J1113" s="213" t="s">
        <v>543</v>
      </c>
      <c r="K1113" s="213"/>
      <c r="L1113" s="213"/>
      <c r="M1113" s="213"/>
      <c r="N1113" s="213"/>
      <c r="O1113" s="213"/>
      <c r="P1113" s="213"/>
      <c r="Q1113" s="213"/>
      <c r="R1113" s="213"/>
      <c r="S1113" s="213" t="s">
        <v>553</v>
      </c>
      <c r="T1113" s="213"/>
      <c r="U1113" s="213" t="s">
        <v>538</v>
      </c>
      <c r="V1113" s="213">
        <v>1</v>
      </c>
      <c r="W1113" s="213" t="s">
        <v>539</v>
      </c>
      <c r="X1113" s="213" t="s">
        <v>554</v>
      </c>
      <c r="Y1113" s="213" t="s">
        <v>541</v>
      </c>
      <c r="Z1113" s="212">
        <v>72673</v>
      </c>
      <c r="AA1113" s="212">
        <v>3647669</v>
      </c>
      <c r="AB1113" s="217">
        <v>1.144506</v>
      </c>
      <c r="AC1113" s="217">
        <v>1.8419080000000001</v>
      </c>
      <c r="AD1113" s="212">
        <f t="shared" si="17"/>
        <v>4174779.0565140001</v>
      </c>
    </row>
    <row r="1114" spans="2:30" x14ac:dyDescent="0.15">
      <c r="B1114" s="213">
        <v>17031003616</v>
      </c>
      <c r="C1114" s="213">
        <v>17031000580</v>
      </c>
      <c r="D1114" s="213">
        <v>17031000578</v>
      </c>
      <c r="E1114" s="213" t="s">
        <v>533</v>
      </c>
      <c r="F1114" s="213" t="s">
        <v>534</v>
      </c>
      <c r="G1114" s="213" t="s">
        <v>365</v>
      </c>
      <c r="H1114" s="213" t="s">
        <v>382</v>
      </c>
      <c r="I1114" s="213"/>
      <c r="J1114" s="213" t="s">
        <v>572</v>
      </c>
      <c r="K1114" s="213" t="s">
        <v>547</v>
      </c>
      <c r="L1114" s="213"/>
      <c r="M1114" s="213"/>
      <c r="N1114" s="213"/>
      <c r="O1114" s="213"/>
      <c r="P1114" s="213"/>
      <c r="Q1114" s="213"/>
      <c r="R1114" s="213"/>
      <c r="S1114" s="213" t="s">
        <v>583</v>
      </c>
      <c r="T1114" s="213"/>
      <c r="U1114" s="213" t="s">
        <v>538</v>
      </c>
      <c r="V1114" s="213">
        <v>3</v>
      </c>
      <c r="W1114" s="213" t="s">
        <v>545</v>
      </c>
      <c r="X1114" s="213" t="s">
        <v>549</v>
      </c>
      <c r="Y1114" s="213" t="s">
        <v>580</v>
      </c>
      <c r="Z1114" s="212">
        <v>1094381</v>
      </c>
      <c r="AA1114" s="212">
        <v>33287005</v>
      </c>
      <c r="AB1114" s="217">
        <v>1.252599</v>
      </c>
      <c r="AC1114" s="217">
        <v>2.0158670000000001</v>
      </c>
      <c r="AD1114" s="212">
        <f t="shared" si="17"/>
        <v>41695269.175995</v>
      </c>
    </row>
    <row r="1115" spans="2:30" x14ac:dyDescent="0.15">
      <c r="B1115" s="213">
        <v>17031003617</v>
      </c>
      <c r="C1115" s="213">
        <v>17031000580</v>
      </c>
      <c r="D1115" s="213">
        <v>17031000577</v>
      </c>
      <c r="E1115" s="213" t="s">
        <v>533</v>
      </c>
      <c r="F1115" s="213" t="s">
        <v>534</v>
      </c>
      <c r="G1115" s="213" t="s">
        <v>365</v>
      </c>
      <c r="H1115" s="213" t="s">
        <v>382</v>
      </c>
      <c r="I1115" s="213"/>
      <c r="J1115" s="213" t="s">
        <v>572</v>
      </c>
      <c r="K1115" s="213" t="s">
        <v>547</v>
      </c>
      <c r="L1115" s="213"/>
      <c r="M1115" s="213"/>
      <c r="N1115" s="213"/>
      <c r="O1115" s="213"/>
      <c r="P1115" s="213"/>
      <c r="Q1115" s="213"/>
      <c r="R1115" s="213"/>
      <c r="S1115" s="213" t="s">
        <v>583</v>
      </c>
      <c r="T1115" s="213"/>
      <c r="U1115" s="213" t="s">
        <v>538</v>
      </c>
      <c r="V1115" s="213">
        <v>3</v>
      </c>
      <c r="W1115" s="213" t="s">
        <v>545</v>
      </c>
      <c r="X1115" s="213" t="s">
        <v>549</v>
      </c>
      <c r="Y1115" s="213" t="s">
        <v>580</v>
      </c>
      <c r="Z1115" s="212">
        <v>1094381</v>
      </c>
      <c r="AA1115" s="212">
        <v>33287005</v>
      </c>
      <c r="AB1115" s="217">
        <v>0.29748400000000003</v>
      </c>
      <c r="AC1115" s="217">
        <v>0.47875400000000001</v>
      </c>
      <c r="AD1115" s="212">
        <f t="shared" si="17"/>
        <v>9902351.39542</v>
      </c>
    </row>
    <row r="1116" spans="2:30" x14ac:dyDescent="0.15">
      <c r="B1116" s="213">
        <v>17031003620</v>
      </c>
      <c r="C1116" s="213">
        <v>17031001311</v>
      </c>
      <c r="D1116" s="213">
        <v>17031001329</v>
      </c>
      <c r="E1116" s="213" t="s">
        <v>533</v>
      </c>
      <c r="F1116" s="213" t="s">
        <v>534</v>
      </c>
      <c r="G1116" s="213" t="s">
        <v>365</v>
      </c>
      <c r="H1116" s="213" t="s">
        <v>551</v>
      </c>
      <c r="I1116" s="213"/>
      <c r="J1116" s="213" t="s">
        <v>381</v>
      </c>
      <c r="K1116" s="213" t="s">
        <v>535</v>
      </c>
      <c r="L1116" s="213" t="s">
        <v>552</v>
      </c>
      <c r="M1116" s="213"/>
      <c r="N1116" s="213"/>
      <c r="O1116" s="213"/>
      <c r="P1116" s="213"/>
      <c r="Q1116" s="213"/>
      <c r="R1116" s="213"/>
      <c r="S1116" s="213" t="s">
        <v>603</v>
      </c>
      <c r="T1116" s="213"/>
      <c r="U1116" s="213" t="s">
        <v>538</v>
      </c>
      <c r="V1116" s="213">
        <v>2</v>
      </c>
      <c r="W1116" s="213" t="s">
        <v>545</v>
      </c>
      <c r="X1116" s="213" t="s">
        <v>540</v>
      </c>
      <c r="Y1116" s="213" t="s">
        <v>575</v>
      </c>
      <c r="Z1116" s="212">
        <v>849595</v>
      </c>
      <c r="AA1116" s="212">
        <v>44738315</v>
      </c>
      <c r="AB1116" s="217">
        <v>0.386654</v>
      </c>
      <c r="AC1116" s="217">
        <v>0.62226099999999995</v>
      </c>
      <c r="AD1116" s="212">
        <f t="shared" si="17"/>
        <v>17298248.448010001</v>
      </c>
    </row>
    <row r="1117" spans="2:30" x14ac:dyDescent="0.15">
      <c r="B1117" s="213">
        <v>17031003627</v>
      </c>
      <c r="C1117" s="213">
        <v>17031000808</v>
      </c>
      <c r="D1117" s="213">
        <v>17031000803</v>
      </c>
      <c r="E1117" s="213" t="s">
        <v>533</v>
      </c>
      <c r="F1117" s="213" t="s">
        <v>534</v>
      </c>
      <c r="G1117" s="213" t="s">
        <v>365</v>
      </c>
      <c r="H1117" s="213" t="s">
        <v>543</v>
      </c>
      <c r="I1117" s="213"/>
      <c r="J1117" s="213" t="s">
        <v>535</v>
      </c>
      <c r="K1117" s="213"/>
      <c r="L1117" s="213"/>
      <c r="M1117" s="213"/>
      <c r="N1117" s="213"/>
      <c r="O1117" s="213"/>
      <c r="P1117" s="213"/>
      <c r="Q1117" s="213"/>
      <c r="R1117" s="213"/>
      <c r="S1117" s="213" t="s">
        <v>639</v>
      </c>
      <c r="T1117" s="213"/>
      <c r="U1117" s="213" t="s">
        <v>538</v>
      </c>
      <c r="V1117" s="213">
        <v>2</v>
      </c>
      <c r="W1117" s="213" t="s">
        <v>560</v>
      </c>
      <c r="X1117" s="213" t="s">
        <v>541</v>
      </c>
      <c r="Y1117" s="213" t="s">
        <v>541</v>
      </c>
      <c r="Z1117" s="212">
        <v>3700</v>
      </c>
      <c r="AA1117" s="212">
        <v>323840</v>
      </c>
      <c r="AB1117" s="217">
        <v>0.135773</v>
      </c>
      <c r="AC1117" s="217">
        <v>0.21850600000000001</v>
      </c>
      <c r="AD1117" s="212">
        <f t="shared" si="17"/>
        <v>43968.728320000002</v>
      </c>
    </row>
    <row r="1118" spans="2:30" x14ac:dyDescent="0.15">
      <c r="B1118" s="213">
        <v>17031003628</v>
      </c>
      <c r="C1118" s="213">
        <v>17031000915</v>
      </c>
      <c r="D1118" s="213">
        <v>17031000953</v>
      </c>
      <c r="E1118" s="213" t="s">
        <v>533</v>
      </c>
      <c r="F1118" s="213" t="s">
        <v>534</v>
      </c>
      <c r="G1118" s="213" t="s">
        <v>365</v>
      </c>
      <c r="H1118" s="213" t="s">
        <v>571</v>
      </c>
      <c r="I1118" s="213"/>
      <c r="J1118" s="213" t="s">
        <v>381</v>
      </c>
      <c r="K1118" s="213" t="s">
        <v>535</v>
      </c>
      <c r="L1118" s="213" t="s">
        <v>552</v>
      </c>
      <c r="M1118" s="213" t="s">
        <v>551</v>
      </c>
      <c r="N1118" s="213" t="s">
        <v>382</v>
      </c>
      <c r="O1118" s="213" t="s">
        <v>563</v>
      </c>
      <c r="P1118" s="213" t="s">
        <v>543</v>
      </c>
      <c r="Q1118" s="213"/>
      <c r="R1118" s="213"/>
      <c r="S1118" s="213" t="s">
        <v>573</v>
      </c>
      <c r="T1118" s="213"/>
      <c r="U1118" s="213" t="s">
        <v>538</v>
      </c>
      <c r="V1118" s="213">
        <v>2</v>
      </c>
      <c r="W1118" s="213" t="s">
        <v>545</v>
      </c>
      <c r="X1118" s="213" t="s">
        <v>554</v>
      </c>
      <c r="Y1118" s="213" t="s">
        <v>546</v>
      </c>
      <c r="Z1118" s="212">
        <v>54116</v>
      </c>
      <c r="AA1118" s="212">
        <v>2928472</v>
      </c>
      <c r="AB1118" s="217">
        <v>0.61061299999999996</v>
      </c>
      <c r="AC1118" s="217">
        <v>0.98268800000000001</v>
      </c>
      <c r="AD1118" s="212">
        <f t="shared" si="17"/>
        <v>1788163.0733359999</v>
      </c>
    </row>
    <row r="1119" spans="2:30" x14ac:dyDescent="0.15">
      <c r="B1119" s="213">
        <v>17031003630</v>
      </c>
      <c r="C1119" s="213">
        <v>17031001028</v>
      </c>
      <c r="D1119" s="213">
        <v>17031001016</v>
      </c>
      <c r="E1119" s="213" t="s">
        <v>533</v>
      </c>
      <c r="F1119" s="213" t="s">
        <v>534</v>
      </c>
      <c r="G1119" s="213" t="s">
        <v>365</v>
      </c>
      <c r="H1119" s="213" t="s">
        <v>547</v>
      </c>
      <c r="I1119" s="213"/>
      <c r="J1119" s="213" t="s">
        <v>543</v>
      </c>
      <c r="K1119" s="213"/>
      <c r="L1119" s="213"/>
      <c r="M1119" s="213"/>
      <c r="N1119" s="213"/>
      <c r="O1119" s="213"/>
      <c r="P1119" s="213"/>
      <c r="Q1119" s="213"/>
      <c r="R1119" s="213"/>
      <c r="S1119" s="213" t="s">
        <v>602</v>
      </c>
      <c r="T1119" s="213"/>
      <c r="U1119" s="213" t="s">
        <v>538</v>
      </c>
      <c r="V1119" s="213">
        <v>2</v>
      </c>
      <c r="W1119" s="213" t="s">
        <v>582</v>
      </c>
      <c r="X1119" s="213" t="s">
        <v>540</v>
      </c>
      <c r="Y1119" s="213" t="s">
        <v>540</v>
      </c>
      <c r="Z1119" s="212">
        <v>40</v>
      </c>
      <c r="AA1119" s="212">
        <v>160</v>
      </c>
      <c r="AB1119" s="217">
        <v>1.0078849999999999</v>
      </c>
      <c r="AC1119" s="217">
        <v>1.622036</v>
      </c>
      <c r="AD1119" s="212">
        <f t="shared" si="17"/>
        <v>161.26159999999999</v>
      </c>
    </row>
    <row r="1120" spans="2:30" x14ac:dyDescent="0.15">
      <c r="B1120" s="213">
        <v>17031003633</v>
      </c>
      <c r="C1120" s="213">
        <v>17031001017</v>
      </c>
      <c r="D1120" s="213">
        <v>17031001033</v>
      </c>
      <c r="E1120" s="213" t="s">
        <v>533</v>
      </c>
      <c r="F1120" s="213" t="s">
        <v>534</v>
      </c>
      <c r="G1120" s="213" t="s">
        <v>365</v>
      </c>
      <c r="H1120" s="213" t="s">
        <v>571</v>
      </c>
      <c r="I1120" s="213"/>
      <c r="J1120" s="213" t="s">
        <v>552</v>
      </c>
      <c r="K1120" s="213" t="s">
        <v>572</v>
      </c>
      <c r="L1120" s="213" t="s">
        <v>555</v>
      </c>
      <c r="M1120" s="213" t="s">
        <v>543</v>
      </c>
      <c r="N1120" s="213" t="s">
        <v>382</v>
      </c>
      <c r="O1120" s="213"/>
      <c r="P1120" s="213"/>
      <c r="Q1120" s="213"/>
      <c r="R1120" s="213"/>
      <c r="S1120" s="213" t="s">
        <v>573</v>
      </c>
      <c r="T1120" s="213"/>
      <c r="U1120" s="213" t="s">
        <v>538</v>
      </c>
      <c r="V1120" s="213">
        <v>3</v>
      </c>
      <c r="W1120" s="213" t="s">
        <v>545</v>
      </c>
      <c r="X1120" s="213" t="s">
        <v>554</v>
      </c>
      <c r="Y1120" s="213" t="s">
        <v>575</v>
      </c>
      <c r="Z1120" s="212">
        <v>383371</v>
      </c>
      <c r="AA1120" s="212">
        <v>19455664</v>
      </c>
      <c r="AB1120" s="217">
        <v>1.102012</v>
      </c>
      <c r="AC1120" s="217">
        <v>1.7735190000000001</v>
      </c>
      <c r="AD1120" s="212">
        <f t="shared" si="17"/>
        <v>21440375.195967998</v>
      </c>
    </row>
    <row r="1121" spans="2:30" x14ac:dyDescent="0.15">
      <c r="B1121" s="213">
        <v>17031003637</v>
      </c>
      <c r="C1121" s="213">
        <v>17031001068</v>
      </c>
      <c r="D1121" s="213">
        <v>17031001065</v>
      </c>
      <c r="E1121" s="213" t="s">
        <v>533</v>
      </c>
      <c r="F1121" s="213" t="s">
        <v>534</v>
      </c>
      <c r="G1121" s="213" t="s">
        <v>365</v>
      </c>
      <c r="H1121" s="213" t="s">
        <v>547</v>
      </c>
      <c r="I1121" s="213"/>
      <c r="J1121" s="213" t="s">
        <v>577</v>
      </c>
      <c r="K1121" s="213"/>
      <c r="L1121" s="213"/>
      <c r="M1121" s="213"/>
      <c r="N1121" s="213"/>
      <c r="O1121" s="213"/>
      <c r="P1121" s="213"/>
      <c r="Q1121" s="213"/>
      <c r="R1121" s="213"/>
      <c r="S1121" s="213" t="s">
        <v>581</v>
      </c>
      <c r="T1121" s="213"/>
      <c r="U1121" s="213" t="s">
        <v>538</v>
      </c>
      <c r="V1121" s="213">
        <v>2</v>
      </c>
      <c r="W1121" s="213" t="s">
        <v>582</v>
      </c>
      <c r="X1121" s="213" t="s">
        <v>540</v>
      </c>
      <c r="Y1121" s="213" t="s">
        <v>541</v>
      </c>
      <c r="Z1121" s="212">
        <v>0</v>
      </c>
      <c r="AA1121" s="212">
        <v>0</v>
      </c>
      <c r="AB1121" s="217">
        <v>0.120111</v>
      </c>
      <c r="AC1121" s="217">
        <v>0.1933</v>
      </c>
      <c r="AD1121" s="212">
        <f t="shared" si="17"/>
        <v>0</v>
      </c>
    </row>
    <row r="1122" spans="2:30" x14ac:dyDescent="0.15">
      <c r="B1122" s="213">
        <v>17031003643</v>
      </c>
      <c r="C1122" s="213">
        <v>99999022107</v>
      </c>
      <c r="D1122" s="213">
        <v>17031004739</v>
      </c>
      <c r="E1122" s="213" t="s">
        <v>533</v>
      </c>
      <c r="F1122" s="213" t="s">
        <v>534</v>
      </c>
      <c r="G1122" s="213" t="s">
        <v>365</v>
      </c>
      <c r="H1122" s="213" t="s">
        <v>543</v>
      </c>
      <c r="I1122" s="213"/>
      <c r="J1122" s="213" t="s">
        <v>542</v>
      </c>
      <c r="K1122" s="213" t="s">
        <v>552</v>
      </c>
      <c r="L1122" s="213" t="s">
        <v>661</v>
      </c>
      <c r="M1122" s="213"/>
      <c r="N1122" s="213"/>
      <c r="O1122" s="213"/>
      <c r="P1122" s="213"/>
      <c r="Q1122" s="213"/>
      <c r="R1122" s="213"/>
      <c r="S1122" s="213" t="s">
        <v>630</v>
      </c>
      <c r="T1122" s="213" t="s">
        <v>683</v>
      </c>
      <c r="U1122" s="213" t="s">
        <v>538</v>
      </c>
      <c r="V1122" s="213">
        <v>3</v>
      </c>
      <c r="W1122" s="213" t="s">
        <v>545</v>
      </c>
      <c r="X1122" s="213" t="s">
        <v>540</v>
      </c>
      <c r="Y1122" s="213" t="s">
        <v>575</v>
      </c>
      <c r="Z1122" s="212">
        <v>165367</v>
      </c>
      <c r="AA1122" s="212">
        <v>7958962</v>
      </c>
      <c r="AB1122" s="217">
        <v>2.3972E-2</v>
      </c>
      <c r="AC1122" s="217">
        <v>3.8580000000000003E-2</v>
      </c>
      <c r="AD1122" s="212">
        <f t="shared" si="17"/>
        <v>190792.23706400002</v>
      </c>
    </row>
    <row r="1123" spans="2:30" x14ac:dyDescent="0.15">
      <c r="B1123" s="213">
        <v>17031003656</v>
      </c>
      <c r="C1123" s="213">
        <v>17031001048</v>
      </c>
      <c r="D1123" s="213">
        <v>17031001062</v>
      </c>
      <c r="E1123" s="213" t="s">
        <v>533</v>
      </c>
      <c r="F1123" s="213" t="s">
        <v>534</v>
      </c>
      <c r="G1123" s="213" t="s">
        <v>365</v>
      </c>
      <c r="H1123" s="213" t="s">
        <v>571</v>
      </c>
      <c r="I1123" s="213"/>
      <c r="J1123" s="213" t="s">
        <v>552</v>
      </c>
      <c r="K1123" s="213" t="s">
        <v>572</v>
      </c>
      <c r="L1123" s="213" t="s">
        <v>543</v>
      </c>
      <c r="M1123" s="213"/>
      <c r="N1123" s="213"/>
      <c r="O1123" s="213"/>
      <c r="P1123" s="213"/>
      <c r="Q1123" s="213"/>
      <c r="R1123" s="213"/>
      <c r="S1123" s="213" t="s">
        <v>573</v>
      </c>
      <c r="T1123" s="213"/>
      <c r="U1123" s="213" t="s">
        <v>538</v>
      </c>
      <c r="V1123" s="213">
        <v>2</v>
      </c>
      <c r="W1123" s="213" t="s">
        <v>545</v>
      </c>
      <c r="X1123" s="213" t="s">
        <v>554</v>
      </c>
      <c r="Y1123" s="213" t="s">
        <v>546</v>
      </c>
      <c r="Z1123" s="212">
        <v>186031</v>
      </c>
      <c r="AA1123" s="212">
        <v>9567086</v>
      </c>
      <c r="AB1123" s="217">
        <v>0.91779599999999995</v>
      </c>
      <c r="AC1123" s="217">
        <v>1.477052</v>
      </c>
      <c r="AD1123" s="212">
        <f t="shared" si="17"/>
        <v>8780633.2624559999</v>
      </c>
    </row>
    <row r="1124" spans="2:30" x14ac:dyDescent="0.15">
      <c r="B1124" s="213">
        <v>17031003657</v>
      </c>
      <c r="C1124" s="213">
        <v>17031001062</v>
      </c>
      <c r="D1124" s="213">
        <v>17031001072</v>
      </c>
      <c r="E1124" s="213" t="s">
        <v>533</v>
      </c>
      <c r="F1124" s="213" t="s">
        <v>534</v>
      </c>
      <c r="G1124" s="213" t="s">
        <v>365</v>
      </c>
      <c r="H1124" s="213" t="s">
        <v>571</v>
      </c>
      <c r="I1124" s="213"/>
      <c r="J1124" s="213" t="s">
        <v>552</v>
      </c>
      <c r="K1124" s="213" t="s">
        <v>572</v>
      </c>
      <c r="L1124" s="213" t="s">
        <v>543</v>
      </c>
      <c r="M1124" s="213"/>
      <c r="N1124" s="213"/>
      <c r="O1124" s="213"/>
      <c r="P1124" s="213"/>
      <c r="Q1124" s="213"/>
      <c r="R1124" s="213"/>
      <c r="S1124" s="213" t="s">
        <v>573</v>
      </c>
      <c r="T1124" s="213"/>
      <c r="U1124" s="213" t="s">
        <v>538</v>
      </c>
      <c r="V1124" s="213">
        <v>2</v>
      </c>
      <c r="W1124" s="213" t="s">
        <v>545</v>
      </c>
      <c r="X1124" s="213" t="s">
        <v>554</v>
      </c>
      <c r="Y1124" s="213" t="s">
        <v>546</v>
      </c>
      <c r="Z1124" s="212">
        <v>186031</v>
      </c>
      <c r="AA1124" s="212">
        <v>9567086</v>
      </c>
      <c r="AB1124" s="217">
        <v>0.64177799999999996</v>
      </c>
      <c r="AC1124" s="217">
        <v>1.0328440000000001</v>
      </c>
      <c r="AD1124" s="212">
        <f t="shared" si="17"/>
        <v>6139945.3189079994</v>
      </c>
    </row>
    <row r="1125" spans="2:30" x14ac:dyDescent="0.15">
      <c r="B1125" s="213">
        <v>17031003659</v>
      </c>
      <c r="C1125" s="213">
        <v>17031001070</v>
      </c>
      <c r="D1125" s="213">
        <v>17031001065</v>
      </c>
      <c r="E1125" s="213" t="s">
        <v>533</v>
      </c>
      <c r="F1125" s="213" t="s">
        <v>534</v>
      </c>
      <c r="G1125" s="213" t="s">
        <v>365</v>
      </c>
      <c r="H1125" s="213" t="s">
        <v>547</v>
      </c>
      <c r="I1125" s="213"/>
      <c r="J1125" s="213"/>
      <c r="K1125" s="213"/>
      <c r="L1125" s="213"/>
      <c r="M1125" s="213"/>
      <c r="N1125" s="213"/>
      <c r="O1125" s="213"/>
      <c r="P1125" s="213"/>
      <c r="Q1125" s="213"/>
      <c r="R1125" s="213"/>
      <c r="S1125" s="213" t="s">
        <v>611</v>
      </c>
      <c r="T1125" s="213"/>
      <c r="U1125" s="213" t="s">
        <v>538</v>
      </c>
      <c r="V1125" s="213">
        <v>2</v>
      </c>
      <c r="W1125" s="213" t="s">
        <v>582</v>
      </c>
      <c r="X1125" s="213" t="s">
        <v>540</v>
      </c>
      <c r="Y1125" s="213" t="s">
        <v>541</v>
      </c>
      <c r="Z1125" s="212">
        <v>0</v>
      </c>
      <c r="AA1125" s="212">
        <v>0</v>
      </c>
      <c r="AB1125" s="217">
        <v>0.74909599999999998</v>
      </c>
      <c r="AC1125" s="217">
        <v>1.2055560000000001</v>
      </c>
      <c r="AD1125" s="212">
        <f t="shared" si="17"/>
        <v>0</v>
      </c>
    </row>
    <row r="1126" spans="2:30" x14ac:dyDescent="0.15">
      <c r="B1126" s="213">
        <v>17031003662</v>
      </c>
      <c r="C1126" s="213">
        <v>17031004720</v>
      </c>
      <c r="D1126" s="213">
        <v>17031001176</v>
      </c>
      <c r="E1126" s="213" t="s">
        <v>533</v>
      </c>
      <c r="F1126" s="213" t="s">
        <v>534</v>
      </c>
      <c r="G1126" s="213" t="s">
        <v>365</v>
      </c>
      <c r="H1126" s="213" t="s">
        <v>551</v>
      </c>
      <c r="I1126" s="213"/>
      <c r="J1126" s="213"/>
      <c r="K1126" s="213"/>
      <c r="L1126" s="213"/>
      <c r="M1126" s="213"/>
      <c r="N1126" s="213"/>
      <c r="O1126" s="213"/>
      <c r="P1126" s="213"/>
      <c r="Q1126" s="213"/>
      <c r="R1126" s="213"/>
      <c r="S1126" s="213" t="s">
        <v>600</v>
      </c>
      <c r="T1126" s="213"/>
      <c r="U1126" s="213" t="s">
        <v>538</v>
      </c>
      <c r="V1126" s="213">
        <v>2</v>
      </c>
      <c r="W1126" s="213" t="s">
        <v>582</v>
      </c>
      <c r="X1126" s="213" t="s">
        <v>540</v>
      </c>
      <c r="Y1126" s="213" t="s">
        <v>575</v>
      </c>
      <c r="Z1126" s="212">
        <v>422030</v>
      </c>
      <c r="AA1126" s="212">
        <v>9732094</v>
      </c>
      <c r="AB1126" s="217">
        <v>3.018688</v>
      </c>
      <c r="AC1126" s="217">
        <v>4.858117</v>
      </c>
      <c r="AD1126" s="212">
        <f t="shared" si="17"/>
        <v>29378155.372671999</v>
      </c>
    </row>
    <row r="1127" spans="2:30" x14ac:dyDescent="0.15">
      <c r="B1127" s="213">
        <v>17031003663</v>
      </c>
      <c r="C1127" s="213">
        <v>17031001037</v>
      </c>
      <c r="D1127" s="213">
        <v>17031001117</v>
      </c>
      <c r="E1127" s="213" t="s">
        <v>533</v>
      </c>
      <c r="F1127" s="213" t="s">
        <v>534</v>
      </c>
      <c r="G1127" s="213" t="s">
        <v>365</v>
      </c>
      <c r="H1127" s="213" t="s">
        <v>551</v>
      </c>
      <c r="I1127" s="213" t="s">
        <v>535</v>
      </c>
      <c r="J1127" s="213"/>
      <c r="K1127" s="213"/>
      <c r="L1127" s="213"/>
      <c r="M1127" s="213"/>
      <c r="N1127" s="213"/>
      <c r="O1127" s="213"/>
      <c r="P1127" s="213"/>
      <c r="Q1127" s="213"/>
      <c r="R1127" s="213"/>
      <c r="S1127" s="213" t="s">
        <v>553</v>
      </c>
      <c r="T1127" s="213"/>
      <c r="U1127" s="213" t="s">
        <v>538</v>
      </c>
      <c r="V1127" s="213">
        <v>2</v>
      </c>
      <c r="W1127" s="213" t="s">
        <v>582</v>
      </c>
      <c r="X1127" s="213" t="s">
        <v>540</v>
      </c>
      <c r="Y1127" s="213" t="s">
        <v>540</v>
      </c>
      <c r="Z1127" s="212">
        <v>0</v>
      </c>
      <c r="AA1127" s="212">
        <v>0</v>
      </c>
      <c r="AB1127" s="217">
        <v>2.609845</v>
      </c>
      <c r="AC1127" s="217">
        <v>4.2001470000000003</v>
      </c>
      <c r="AD1127" s="212">
        <f t="shared" si="17"/>
        <v>0</v>
      </c>
    </row>
    <row r="1128" spans="2:30" x14ac:dyDescent="0.15">
      <c r="B1128" s="213">
        <v>17031003669</v>
      </c>
      <c r="C1128" s="213">
        <v>17031000877</v>
      </c>
      <c r="D1128" s="213">
        <v>17031000898</v>
      </c>
      <c r="E1128" s="213" t="s">
        <v>533</v>
      </c>
      <c r="F1128" s="213" t="s">
        <v>534</v>
      </c>
      <c r="G1128" s="213" t="s">
        <v>365</v>
      </c>
      <c r="H1128" s="213" t="s">
        <v>547</v>
      </c>
      <c r="I1128" s="213"/>
      <c r="J1128" s="213" t="s">
        <v>542</v>
      </c>
      <c r="K1128" s="213" t="s">
        <v>543</v>
      </c>
      <c r="L1128" s="213" t="s">
        <v>382</v>
      </c>
      <c r="M1128" s="213"/>
      <c r="N1128" s="213"/>
      <c r="O1128" s="213"/>
      <c r="P1128" s="213"/>
      <c r="Q1128" s="213"/>
      <c r="R1128" s="213"/>
      <c r="S1128" s="213" t="s">
        <v>602</v>
      </c>
      <c r="T1128" s="213" t="s">
        <v>659</v>
      </c>
      <c r="U1128" s="213" t="s">
        <v>538</v>
      </c>
      <c r="V1128" s="213">
        <v>2</v>
      </c>
      <c r="W1128" s="213" t="s">
        <v>545</v>
      </c>
      <c r="X1128" s="213" t="s">
        <v>540</v>
      </c>
      <c r="Y1128" s="213" t="s">
        <v>540</v>
      </c>
      <c r="Z1128" s="212">
        <v>224110</v>
      </c>
      <c r="AA1128" s="212">
        <v>9929890</v>
      </c>
      <c r="AB1128" s="217">
        <v>0.58623199999999998</v>
      </c>
      <c r="AC1128" s="217">
        <v>0.94345100000000004</v>
      </c>
      <c r="AD1128" s="212">
        <f t="shared" si="17"/>
        <v>5821219.2744800001</v>
      </c>
    </row>
    <row r="1129" spans="2:30" x14ac:dyDescent="0.15">
      <c r="B1129" s="213">
        <v>17031003675</v>
      </c>
      <c r="C1129" s="213">
        <v>17031001009</v>
      </c>
      <c r="D1129" s="213">
        <v>17031001021</v>
      </c>
      <c r="E1129" s="213" t="s">
        <v>533</v>
      </c>
      <c r="F1129" s="213" t="s">
        <v>534</v>
      </c>
      <c r="G1129" s="213" t="s">
        <v>365</v>
      </c>
      <c r="H1129" s="213" t="s">
        <v>551</v>
      </c>
      <c r="I1129" s="213"/>
      <c r="J1129" s="213"/>
      <c r="K1129" s="213"/>
      <c r="L1129" s="213"/>
      <c r="M1129" s="213"/>
      <c r="N1129" s="213"/>
      <c r="O1129" s="213"/>
      <c r="P1129" s="213"/>
      <c r="Q1129" s="213"/>
      <c r="R1129" s="213"/>
      <c r="S1129" s="213" t="s">
        <v>600</v>
      </c>
      <c r="T1129" s="213"/>
      <c r="U1129" s="213" t="s">
        <v>538</v>
      </c>
      <c r="V1129" s="213">
        <v>2</v>
      </c>
      <c r="W1129" s="213" t="s">
        <v>582</v>
      </c>
      <c r="X1129" s="213" t="s">
        <v>554</v>
      </c>
      <c r="Y1129" s="213" t="s">
        <v>575</v>
      </c>
      <c r="Z1129" s="212">
        <v>422030</v>
      </c>
      <c r="AA1129" s="212">
        <v>9732094</v>
      </c>
      <c r="AB1129" s="217">
        <v>0.165823</v>
      </c>
      <c r="AC1129" s="217">
        <v>0.26686599999999999</v>
      </c>
      <c r="AD1129" s="212">
        <f t="shared" si="17"/>
        <v>1613805.023362</v>
      </c>
    </row>
    <row r="1130" spans="2:30" x14ac:dyDescent="0.15">
      <c r="B1130" s="213">
        <v>17031003689</v>
      </c>
      <c r="C1130" s="213">
        <v>17031000300</v>
      </c>
      <c r="D1130" s="213">
        <v>17031000289</v>
      </c>
      <c r="E1130" s="213" t="s">
        <v>533</v>
      </c>
      <c r="F1130" s="213" t="s">
        <v>534</v>
      </c>
      <c r="G1130" s="213" t="s">
        <v>365</v>
      </c>
      <c r="H1130" s="213" t="s">
        <v>382</v>
      </c>
      <c r="I1130" s="213"/>
      <c r="J1130" s="213" t="s">
        <v>547</v>
      </c>
      <c r="K1130" s="213"/>
      <c r="L1130" s="213"/>
      <c r="M1130" s="213"/>
      <c r="N1130" s="213"/>
      <c r="O1130" s="213"/>
      <c r="P1130" s="213"/>
      <c r="Q1130" s="213"/>
      <c r="R1130" s="213"/>
      <c r="S1130" s="213" t="s">
        <v>565</v>
      </c>
      <c r="T1130" s="213"/>
      <c r="U1130" s="213" t="s">
        <v>538</v>
      </c>
      <c r="V1130" s="213">
        <v>2</v>
      </c>
      <c r="W1130" s="213" t="s">
        <v>566</v>
      </c>
      <c r="X1130" s="213" t="s">
        <v>549</v>
      </c>
      <c r="Y1130" s="213" t="s">
        <v>541</v>
      </c>
      <c r="Z1130" s="212">
        <v>0</v>
      </c>
      <c r="AA1130" s="212">
        <v>0</v>
      </c>
      <c r="AB1130" s="217">
        <v>0.62988999999999995</v>
      </c>
      <c r="AC1130" s="217">
        <v>1.013711</v>
      </c>
      <c r="AD1130" s="212">
        <f t="shared" si="17"/>
        <v>0</v>
      </c>
    </row>
    <row r="1131" spans="2:30" x14ac:dyDescent="0.15">
      <c r="B1131" s="213">
        <v>17031003696</v>
      </c>
      <c r="C1131" s="213">
        <v>17031000258</v>
      </c>
      <c r="D1131" s="213">
        <v>17031004575</v>
      </c>
      <c r="E1131" s="213" t="s">
        <v>533</v>
      </c>
      <c r="F1131" s="213" t="s">
        <v>534</v>
      </c>
      <c r="G1131" s="213" t="s">
        <v>365</v>
      </c>
      <c r="H1131" s="213" t="s">
        <v>382</v>
      </c>
      <c r="I1131" s="213"/>
      <c r="J1131" s="213" t="s">
        <v>547</v>
      </c>
      <c r="K1131" s="213"/>
      <c r="L1131" s="213"/>
      <c r="M1131" s="213"/>
      <c r="N1131" s="213"/>
      <c r="O1131" s="213"/>
      <c r="P1131" s="213"/>
      <c r="Q1131" s="213"/>
      <c r="R1131" s="213"/>
      <c r="S1131" s="213" t="s">
        <v>565</v>
      </c>
      <c r="T1131" s="213"/>
      <c r="U1131" s="213" t="s">
        <v>538</v>
      </c>
      <c r="V1131" s="213">
        <v>2</v>
      </c>
      <c r="W1131" s="213" t="s">
        <v>566</v>
      </c>
      <c r="X1131" s="213" t="s">
        <v>549</v>
      </c>
      <c r="Y1131" s="213" t="s">
        <v>541</v>
      </c>
      <c r="Z1131" s="212">
        <v>0</v>
      </c>
      <c r="AA1131" s="212">
        <v>0</v>
      </c>
      <c r="AB1131" s="217">
        <v>0.71984199999999998</v>
      </c>
      <c r="AC1131" s="217">
        <v>1.1584760000000001</v>
      </c>
      <c r="AD1131" s="212">
        <f t="shared" si="17"/>
        <v>0</v>
      </c>
    </row>
    <row r="1132" spans="2:30" x14ac:dyDescent="0.15">
      <c r="B1132" s="213">
        <v>17031003782</v>
      </c>
      <c r="C1132" s="213">
        <v>17031000698</v>
      </c>
      <c r="D1132" s="213">
        <v>17031000668</v>
      </c>
      <c r="E1132" s="213" t="s">
        <v>533</v>
      </c>
      <c r="F1132" s="213" t="s">
        <v>534</v>
      </c>
      <c r="G1132" s="213" t="s">
        <v>365</v>
      </c>
      <c r="H1132" s="213" t="s">
        <v>535</v>
      </c>
      <c r="I1132" s="213"/>
      <c r="J1132" s="213" t="s">
        <v>572</v>
      </c>
      <c r="K1132" s="213"/>
      <c r="L1132" s="213"/>
      <c r="M1132" s="213"/>
      <c r="N1132" s="213"/>
      <c r="O1132" s="213"/>
      <c r="P1132" s="213"/>
      <c r="Q1132" s="213"/>
      <c r="R1132" s="213"/>
      <c r="S1132" s="213" t="s">
        <v>624</v>
      </c>
      <c r="T1132" s="213"/>
      <c r="U1132" s="213" t="s">
        <v>538</v>
      </c>
      <c r="V1132" s="213">
        <v>2</v>
      </c>
      <c r="W1132" s="213" t="s">
        <v>582</v>
      </c>
      <c r="X1132" s="213" t="s">
        <v>541</v>
      </c>
      <c r="Y1132" s="213" t="s">
        <v>540</v>
      </c>
      <c r="Z1132" s="212">
        <v>772</v>
      </c>
      <c r="AA1132" s="212">
        <v>74800</v>
      </c>
      <c r="AB1132" s="217">
        <v>0.72874700000000003</v>
      </c>
      <c r="AC1132" s="217">
        <v>1.1728080000000001</v>
      </c>
      <c r="AD1132" s="212">
        <f t="shared" si="17"/>
        <v>54510.275600000001</v>
      </c>
    </row>
    <row r="1133" spans="2:30" x14ac:dyDescent="0.15">
      <c r="B1133" s="213">
        <v>17031003812</v>
      </c>
      <c r="C1133" s="213">
        <v>17031001175</v>
      </c>
      <c r="D1133" s="213">
        <v>17031004740</v>
      </c>
      <c r="E1133" s="213" t="s">
        <v>533</v>
      </c>
      <c r="F1133" s="213" t="s">
        <v>534</v>
      </c>
      <c r="G1133" s="213" t="s">
        <v>365</v>
      </c>
      <c r="H1133" s="213" t="s">
        <v>543</v>
      </c>
      <c r="I1133" s="213"/>
      <c r="J1133" s="213"/>
      <c r="K1133" s="213"/>
      <c r="L1133" s="213"/>
      <c r="M1133" s="213"/>
      <c r="N1133" s="213"/>
      <c r="O1133" s="213"/>
      <c r="P1133" s="213"/>
      <c r="Q1133" s="213"/>
      <c r="R1133" s="213"/>
      <c r="S1133" s="213" t="s">
        <v>617</v>
      </c>
      <c r="T1133" s="213"/>
      <c r="U1133" s="213" t="s">
        <v>559</v>
      </c>
      <c r="V1133" s="213">
        <v>1</v>
      </c>
      <c r="W1133" s="213" t="s">
        <v>560</v>
      </c>
      <c r="X1133" s="213" t="s">
        <v>541</v>
      </c>
      <c r="Y1133" s="213" t="s">
        <v>541</v>
      </c>
      <c r="Z1133" s="212">
        <v>0</v>
      </c>
      <c r="AA1133" s="212">
        <v>0</v>
      </c>
      <c r="AB1133" s="217">
        <v>1.8378730000000001</v>
      </c>
      <c r="AC1133" s="217">
        <v>2.957776</v>
      </c>
      <c r="AD1133" s="212">
        <f t="shared" si="17"/>
        <v>0</v>
      </c>
    </row>
    <row r="1134" spans="2:30" x14ac:dyDescent="0.15">
      <c r="B1134" s="213">
        <v>17031003818</v>
      </c>
      <c r="C1134" s="213">
        <v>17031001331</v>
      </c>
      <c r="D1134" s="213">
        <v>17031001336</v>
      </c>
      <c r="E1134" s="213" t="s">
        <v>533</v>
      </c>
      <c r="F1134" s="213" t="s">
        <v>534</v>
      </c>
      <c r="G1134" s="213" t="s">
        <v>365</v>
      </c>
      <c r="H1134" s="213" t="s">
        <v>557</v>
      </c>
      <c r="I1134" s="213"/>
      <c r="J1134" s="213"/>
      <c r="K1134" s="213"/>
      <c r="L1134" s="213"/>
      <c r="M1134" s="213"/>
      <c r="N1134" s="213"/>
      <c r="O1134" s="213"/>
      <c r="P1134" s="213"/>
      <c r="Q1134" s="213"/>
      <c r="R1134" s="213"/>
      <c r="S1134" s="213" t="s">
        <v>665</v>
      </c>
      <c r="T1134" s="213"/>
      <c r="U1134" s="213" t="s">
        <v>559</v>
      </c>
      <c r="V1134" s="213">
        <v>1</v>
      </c>
      <c r="W1134" s="213" t="s">
        <v>560</v>
      </c>
      <c r="X1134" s="213" t="s">
        <v>541</v>
      </c>
      <c r="Y1134" s="213" t="s">
        <v>541</v>
      </c>
      <c r="Z1134" s="212">
        <v>280</v>
      </c>
      <c r="AA1134" s="212">
        <v>28520</v>
      </c>
      <c r="AB1134" s="217">
        <v>1.4144E-2</v>
      </c>
      <c r="AC1134" s="217">
        <v>2.2762999999999999E-2</v>
      </c>
      <c r="AD1134" s="212">
        <f t="shared" si="17"/>
        <v>403.38688000000002</v>
      </c>
    </row>
    <row r="1135" spans="2:30" x14ac:dyDescent="0.15">
      <c r="B1135" s="213">
        <v>17031003819</v>
      </c>
      <c r="C1135" s="213">
        <v>17031001331</v>
      </c>
      <c r="D1135" s="213">
        <v>99999022676</v>
      </c>
      <c r="E1135" s="213" t="s">
        <v>533</v>
      </c>
      <c r="F1135" s="213" t="s">
        <v>534</v>
      </c>
      <c r="G1135" s="213" t="s">
        <v>365</v>
      </c>
      <c r="H1135" s="213" t="s">
        <v>557</v>
      </c>
      <c r="I1135" s="213"/>
      <c r="J1135" s="213"/>
      <c r="K1135" s="213"/>
      <c r="L1135" s="213"/>
      <c r="M1135" s="213"/>
      <c r="N1135" s="213"/>
      <c r="O1135" s="213"/>
      <c r="P1135" s="213"/>
      <c r="Q1135" s="213"/>
      <c r="R1135" s="213"/>
      <c r="S1135" s="213"/>
      <c r="T1135" s="213"/>
      <c r="U1135" s="213" t="s">
        <v>559</v>
      </c>
      <c r="V1135" s="213">
        <v>1</v>
      </c>
      <c r="W1135" s="213" t="s">
        <v>560</v>
      </c>
      <c r="X1135" s="213" t="s">
        <v>541</v>
      </c>
      <c r="Y1135" s="213" t="s">
        <v>541</v>
      </c>
      <c r="Z1135" s="212">
        <v>0</v>
      </c>
      <c r="AA1135" s="212">
        <v>0</v>
      </c>
      <c r="AB1135" s="217">
        <v>1.4226000000000001E-2</v>
      </c>
      <c r="AC1135" s="217">
        <v>2.2894999999999999E-2</v>
      </c>
      <c r="AD1135" s="212">
        <f t="shared" si="17"/>
        <v>0</v>
      </c>
    </row>
    <row r="1136" spans="2:30" x14ac:dyDescent="0.15">
      <c r="B1136" s="213">
        <v>17031003823</v>
      </c>
      <c r="C1136" s="213">
        <v>17031000782</v>
      </c>
      <c r="D1136" s="213">
        <v>17031000779</v>
      </c>
      <c r="E1136" s="213" t="s">
        <v>533</v>
      </c>
      <c r="F1136" s="213" t="s">
        <v>534</v>
      </c>
      <c r="G1136" s="213" t="s">
        <v>365</v>
      </c>
      <c r="H1136" s="213" t="s">
        <v>381</v>
      </c>
      <c r="I1136" s="213"/>
      <c r="J1136" s="213" t="s">
        <v>382</v>
      </c>
      <c r="K1136" s="213"/>
      <c r="L1136" s="213"/>
      <c r="M1136" s="213"/>
      <c r="N1136" s="213"/>
      <c r="O1136" s="213"/>
      <c r="P1136" s="213"/>
      <c r="Q1136" s="213"/>
      <c r="R1136" s="213"/>
      <c r="S1136" s="213" t="s">
        <v>647</v>
      </c>
      <c r="T1136" s="213"/>
      <c r="U1136" s="213" t="s">
        <v>538</v>
      </c>
      <c r="V1136" s="213">
        <v>2</v>
      </c>
      <c r="W1136" s="213" t="s">
        <v>545</v>
      </c>
      <c r="X1136" s="213" t="s">
        <v>540</v>
      </c>
      <c r="Y1136" s="213" t="s">
        <v>580</v>
      </c>
      <c r="Z1136" s="212">
        <v>1640</v>
      </c>
      <c r="AA1136" s="212">
        <v>150440</v>
      </c>
      <c r="AB1136" s="217">
        <v>0.11390599999999999</v>
      </c>
      <c r="AC1136" s="217">
        <v>0.183314</v>
      </c>
      <c r="AD1136" s="212">
        <f t="shared" si="17"/>
        <v>17136.018639999998</v>
      </c>
    </row>
    <row r="1137" spans="2:30" x14ac:dyDescent="0.15">
      <c r="B1137" s="213">
        <v>17031003835</v>
      </c>
      <c r="C1137" s="213">
        <v>17031000908</v>
      </c>
      <c r="D1137" s="213">
        <v>17031000873</v>
      </c>
      <c r="E1137" s="213" t="s">
        <v>533</v>
      </c>
      <c r="F1137" s="213" t="s">
        <v>534</v>
      </c>
      <c r="G1137" s="213" t="s">
        <v>365</v>
      </c>
      <c r="H1137" s="213" t="s">
        <v>571</v>
      </c>
      <c r="I1137" s="213"/>
      <c r="J1137" s="213" t="s">
        <v>381</v>
      </c>
      <c r="K1137" s="213" t="s">
        <v>535</v>
      </c>
      <c r="L1137" s="213" t="s">
        <v>552</v>
      </c>
      <c r="M1137" s="213" t="s">
        <v>551</v>
      </c>
      <c r="N1137" s="213" t="s">
        <v>382</v>
      </c>
      <c r="O1137" s="213" t="s">
        <v>563</v>
      </c>
      <c r="P1137" s="213"/>
      <c r="Q1137" s="213"/>
      <c r="R1137" s="213"/>
      <c r="S1137" s="213" t="s">
        <v>652</v>
      </c>
      <c r="T1137" s="213"/>
      <c r="U1137" s="213" t="s">
        <v>538</v>
      </c>
      <c r="V1137" s="213">
        <v>2</v>
      </c>
      <c r="W1137" s="213" t="s">
        <v>545</v>
      </c>
      <c r="X1137" s="213" t="s">
        <v>554</v>
      </c>
      <c r="Y1137" s="213" t="s">
        <v>546</v>
      </c>
      <c r="Z1137" s="212">
        <v>83041</v>
      </c>
      <c r="AA1137" s="212">
        <v>4657881</v>
      </c>
      <c r="AB1137" s="217">
        <v>2.7841610000000001</v>
      </c>
      <c r="AC1137" s="217">
        <v>4.4806809999999997</v>
      </c>
      <c r="AD1137" s="212">
        <f t="shared" si="17"/>
        <v>12968290.622841001</v>
      </c>
    </row>
    <row r="1138" spans="2:30" x14ac:dyDescent="0.15">
      <c r="B1138" s="213">
        <v>17031003842</v>
      </c>
      <c r="C1138" s="213">
        <v>17031000773</v>
      </c>
      <c r="D1138" s="213">
        <v>17031000771</v>
      </c>
      <c r="E1138" s="213" t="s">
        <v>533</v>
      </c>
      <c r="F1138" s="213" t="s">
        <v>534</v>
      </c>
      <c r="G1138" s="213" t="s">
        <v>365</v>
      </c>
      <c r="H1138" s="213" t="s">
        <v>381</v>
      </c>
      <c r="I1138" s="213"/>
      <c r="J1138" s="213"/>
      <c r="K1138" s="213"/>
      <c r="L1138" s="213"/>
      <c r="M1138" s="213"/>
      <c r="N1138" s="213"/>
      <c r="O1138" s="213"/>
      <c r="P1138" s="213"/>
      <c r="Q1138" s="213"/>
      <c r="R1138" s="213"/>
      <c r="S1138" s="213" t="s">
        <v>647</v>
      </c>
      <c r="T1138" s="213"/>
      <c r="U1138" s="213" t="s">
        <v>538</v>
      </c>
      <c r="V1138" s="213">
        <v>2</v>
      </c>
      <c r="W1138" s="213" t="s">
        <v>545</v>
      </c>
      <c r="X1138" s="213" t="s">
        <v>541</v>
      </c>
      <c r="Y1138" s="213" t="s">
        <v>541</v>
      </c>
      <c r="Z1138" s="212">
        <v>0</v>
      </c>
      <c r="AA1138" s="212">
        <v>0</v>
      </c>
      <c r="AB1138" s="217">
        <v>0.14535699999999999</v>
      </c>
      <c r="AC1138" s="217">
        <v>0.23393</v>
      </c>
      <c r="AD1138" s="212">
        <f t="shared" si="17"/>
        <v>0</v>
      </c>
    </row>
    <row r="1139" spans="2:30" x14ac:dyDescent="0.15">
      <c r="B1139" s="213">
        <v>17031003848</v>
      </c>
      <c r="C1139" s="213">
        <v>17031001353</v>
      </c>
      <c r="D1139" s="213">
        <v>17031001361</v>
      </c>
      <c r="E1139" s="213" t="s">
        <v>533</v>
      </c>
      <c r="F1139" s="213" t="s">
        <v>534</v>
      </c>
      <c r="G1139" s="213" t="s">
        <v>365</v>
      </c>
      <c r="H1139" s="213" t="s">
        <v>551</v>
      </c>
      <c r="I1139" s="213"/>
      <c r="J1139" s="213"/>
      <c r="K1139" s="213"/>
      <c r="L1139" s="213"/>
      <c r="M1139" s="213"/>
      <c r="N1139" s="213"/>
      <c r="O1139" s="213"/>
      <c r="P1139" s="213"/>
      <c r="Q1139" s="213"/>
      <c r="R1139" s="213"/>
      <c r="S1139" s="213" t="s">
        <v>603</v>
      </c>
      <c r="T1139" s="213"/>
      <c r="U1139" s="213" t="s">
        <v>538</v>
      </c>
      <c r="V1139" s="213">
        <v>2</v>
      </c>
      <c r="W1139" s="213" t="s">
        <v>545</v>
      </c>
      <c r="X1139" s="213" t="s">
        <v>554</v>
      </c>
      <c r="Y1139" s="213" t="s">
        <v>575</v>
      </c>
      <c r="Z1139" s="212">
        <v>1123178</v>
      </c>
      <c r="AA1139" s="212">
        <v>56790848</v>
      </c>
      <c r="AB1139" s="217">
        <v>0.31330400000000003</v>
      </c>
      <c r="AC1139" s="217">
        <v>0.50421499999999997</v>
      </c>
      <c r="AD1139" s="212">
        <f t="shared" si="17"/>
        <v>17792799.841792002</v>
      </c>
    </row>
    <row r="1140" spans="2:30" x14ac:dyDescent="0.15">
      <c r="B1140" s="213">
        <v>17031003849</v>
      </c>
      <c r="C1140" s="213">
        <v>17031001359</v>
      </c>
      <c r="D1140" s="213">
        <v>17031001367</v>
      </c>
      <c r="E1140" s="213" t="s">
        <v>533</v>
      </c>
      <c r="F1140" s="213" t="s">
        <v>534</v>
      </c>
      <c r="G1140" s="213" t="s">
        <v>365</v>
      </c>
      <c r="H1140" s="213" t="s">
        <v>557</v>
      </c>
      <c r="I1140" s="213"/>
      <c r="J1140" s="213" t="s">
        <v>569</v>
      </c>
      <c r="K1140" s="213" t="s">
        <v>535</v>
      </c>
      <c r="L1140" s="213" t="s">
        <v>551</v>
      </c>
      <c r="M1140" s="213" t="s">
        <v>543</v>
      </c>
      <c r="N1140" s="213" t="s">
        <v>382</v>
      </c>
      <c r="O1140" s="213" t="s">
        <v>552</v>
      </c>
      <c r="P1140" s="213"/>
      <c r="Q1140" s="213"/>
      <c r="R1140" s="213"/>
      <c r="S1140" s="213" t="s">
        <v>570</v>
      </c>
      <c r="T1140" s="213"/>
      <c r="U1140" s="213" t="s">
        <v>538</v>
      </c>
      <c r="V1140" s="213">
        <v>2</v>
      </c>
      <c r="W1140" s="213" t="s">
        <v>545</v>
      </c>
      <c r="X1140" s="213" t="s">
        <v>540</v>
      </c>
      <c r="Y1140" s="213" t="s">
        <v>540</v>
      </c>
      <c r="Z1140" s="212">
        <v>566648</v>
      </c>
      <c r="AA1140" s="212">
        <v>11293384</v>
      </c>
      <c r="AB1140" s="217">
        <v>0.113728</v>
      </c>
      <c r="AC1140" s="217">
        <v>0.183027</v>
      </c>
      <c r="AD1140" s="212">
        <f t="shared" si="17"/>
        <v>1284373.9755519999</v>
      </c>
    </row>
    <row r="1141" spans="2:30" x14ac:dyDescent="0.15">
      <c r="B1141" s="213">
        <v>17031003850</v>
      </c>
      <c r="C1141" s="213">
        <v>17031004748</v>
      </c>
      <c r="D1141" s="213">
        <v>17031001359</v>
      </c>
      <c r="E1141" s="213" t="s">
        <v>533</v>
      </c>
      <c r="F1141" s="213" t="s">
        <v>534</v>
      </c>
      <c r="G1141" s="213" t="s">
        <v>365</v>
      </c>
      <c r="H1141" s="213" t="s">
        <v>551</v>
      </c>
      <c r="I1141" s="213"/>
      <c r="J1141" s="213"/>
      <c r="K1141" s="213"/>
      <c r="L1141" s="213"/>
      <c r="M1141" s="213"/>
      <c r="N1141" s="213"/>
      <c r="O1141" s="213"/>
      <c r="P1141" s="213"/>
      <c r="Q1141" s="213"/>
      <c r="R1141" s="213"/>
      <c r="S1141" s="213"/>
      <c r="T1141" s="213"/>
      <c r="U1141" s="213" t="s">
        <v>538</v>
      </c>
      <c r="V1141" s="213">
        <v>1</v>
      </c>
      <c r="W1141" s="213" t="s">
        <v>560</v>
      </c>
      <c r="X1141" s="213" t="s">
        <v>541</v>
      </c>
      <c r="Y1141" s="213" t="s">
        <v>541</v>
      </c>
      <c r="Z1141" s="212">
        <v>103739</v>
      </c>
      <c r="AA1141" s="212">
        <v>2473693</v>
      </c>
      <c r="AB1141" s="217">
        <v>0.47933100000000001</v>
      </c>
      <c r="AC1141" s="217">
        <v>0.77141000000000004</v>
      </c>
      <c r="AD1141" s="212">
        <f t="shared" si="17"/>
        <v>1185717.7393829999</v>
      </c>
    </row>
    <row r="1142" spans="2:30" x14ac:dyDescent="0.15">
      <c r="B1142" s="213">
        <v>17031003853</v>
      </c>
      <c r="C1142" s="213">
        <v>17031001320</v>
      </c>
      <c r="D1142" s="213">
        <v>17031001331</v>
      </c>
      <c r="E1142" s="213" t="s">
        <v>533</v>
      </c>
      <c r="F1142" s="213" t="s">
        <v>534</v>
      </c>
      <c r="G1142" s="213" t="s">
        <v>365</v>
      </c>
      <c r="H1142" s="213" t="s">
        <v>557</v>
      </c>
      <c r="I1142" s="213"/>
      <c r="J1142" s="213"/>
      <c r="K1142" s="213"/>
      <c r="L1142" s="213"/>
      <c r="M1142" s="213"/>
      <c r="N1142" s="213"/>
      <c r="O1142" s="213"/>
      <c r="P1142" s="213"/>
      <c r="Q1142" s="213"/>
      <c r="R1142" s="213"/>
      <c r="S1142" s="213" t="s">
        <v>665</v>
      </c>
      <c r="T1142" s="213"/>
      <c r="U1142" s="213" t="s">
        <v>559</v>
      </c>
      <c r="V1142" s="213">
        <v>1</v>
      </c>
      <c r="W1142" s="213" t="s">
        <v>560</v>
      </c>
      <c r="X1142" s="213" t="s">
        <v>541</v>
      </c>
      <c r="Y1142" s="213" t="s">
        <v>541</v>
      </c>
      <c r="Z1142" s="212">
        <v>280</v>
      </c>
      <c r="AA1142" s="212">
        <v>28520</v>
      </c>
      <c r="AB1142" s="217">
        <v>2.5669000000000001E-2</v>
      </c>
      <c r="AC1142" s="217">
        <v>4.1309999999999999E-2</v>
      </c>
      <c r="AD1142" s="212">
        <f t="shared" si="17"/>
        <v>732.07988</v>
      </c>
    </row>
    <row r="1143" spans="2:30" x14ac:dyDescent="0.15">
      <c r="B1143" s="213">
        <v>17031003856</v>
      </c>
      <c r="C1143" s="213">
        <v>17031001204</v>
      </c>
      <c r="D1143" s="213">
        <v>17031001207</v>
      </c>
      <c r="E1143" s="213" t="s">
        <v>533</v>
      </c>
      <c r="F1143" s="213" t="s">
        <v>534</v>
      </c>
      <c r="G1143" s="213" t="s">
        <v>365</v>
      </c>
      <c r="H1143" s="213" t="s">
        <v>577</v>
      </c>
      <c r="I1143" s="213"/>
      <c r="J1143" s="213"/>
      <c r="K1143" s="213"/>
      <c r="L1143" s="213"/>
      <c r="M1143" s="213"/>
      <c r="N1143" s="213"/>
      <c r="O1143" s="213"/>
      <c r="P1143" s="213"/>
      <c r="Q1143" s="213"/>
      <c r="R1143" s="213"/>
      <c r="S1143" s="213"/>
      <c r="T1143" s="213"/>
      <c r="U1143" s="213" t="s">
        <v>538</v>
      </c>
      <c r="V1143" s="213">
        <v>1</v>
      </c>
      <c r="W1143" s="213" t="s">
        <v>560</v>
      </c>
      <c r="X1143" s="213" t="s">
        <v>541</v>
      </c>
      <c r="Y1143" s="213" t="s">
        <v>541</v>
      </c>
      <c r="Z1143" s="212">
        <v>0</v>
      </c>
      <c r="AA1143" s="212">
        <v>0</v>
      </c>
      <c r="AB1143" s="217">
        <v>0.23660900000000001</v>
      </c>
      <c r="AC1143" s="217">
        <v>0.38078600000000001</v>
      </c>
      <c r="AD1143" s="212">
        <f t="shared" si="17"/>
        <v>0</v>
      </c>
    </row>
    <row r="1144" spans="2:30" x14ac:dyDescent="0.15">
      <c r="B1144" s="213">
        <v>17031003861</v>
      </c>
      <c r="C1144" s="213">
        <v>17031001179</v>
      </c>
      <c r="D1144" s="213">
        <v>17031007908</v>
      </c>
      <c r="E1144" s="213" t="s">
        <v>533</v>
      </c>
      <c r="F1144" s="213" t="s">
        <v>534</v>
      </c>
      <c r="G1144" s="213" t="s">
        <v>365</v>
      </c>
      <c r="H1144" s="213" t="s">
        <v>577</v>
      </c>
      <c r="I1144" s="213"/>
      <c r="J1144" s="213"/>
      <c r="K1144" s="213"/>
      <c r="L1144" s="213"/>
      <c r="M1144" s="213"/>
      <c r="N1144" s="213"/>
      <c r="O1144" s="213"/>
      <c r="P1144" s="213"/>
      <c r="Q1144" s="213"/>
      <c r="R1144" s="213"/>
      <c r="S1144" s="213"/>
      <c r="T1144" s="213"/>
      <c r="U1144" s="213" t="s">
        <v>538</v>
      </c>
      <c r="V1144" s="213">
        <v>1</v>
      </c>
      <c r="W1144" s="213" t="s">
        <v>560</v>
      </c>
      <c r="X1144" s="213" t="s">
        <v>541</v>
      </c>
      <c r="Y1144" s="213" t="s">
        <v>541</v>
      </c>
      <c r="Z1144" s="212">
        <v>0</v>
      </c>
      <c r="AA1144" s="212">
        <v>0</v>
      </c>
      <c r="AB1144" s="217">
        <v>0.54055699999999995</v>
      </c>
      <c r="AC1144" s="217">
        <v>0.86994300000000002</v>
      </c>
      <c r="AD1144" s="212">
        <f t="shared" si="17"/>
        <v>0</v>
      </c>
    </row>
    <row r="1145" spans="2:30" x14ac:dyDescent="0.15">
      <c r="B1145" s="213">
        <v>17031003863</v>
      </c>
      <c r="C1145" s="213">
        <v>17031001187</v>
      </c>
      <c r="D1145" s="213">
        <v>17031001209</v>
      </c>
      <c r="E1145" s="213" t="s">
        <v>533</v>
      </c>
      <c r="F1145" s="213" t="s">
        <v>534</v>
      </c>
      <c r="G1145" s="213" t="s">
        <v>365</v>
      </c>
      <c r="H1145" s="213" t="s">
        <v>543</v>
      </c>
      <c r="I1145" s="213"/>
      <c r="J1145" s="213"/>
      <c r="K1145" s="213"/>
      <c r="L1145" s="213"/>
      <c r="M1145" s="213"/>
      <c r="N1145" s="213"/>
      <c r="O1145" s="213"/>
      <c r="P1145" s="213"/>
      <c r="Q1145" s="213"/>
      <c r="R1145" s="213"/>
      <c r="S1145" s="213" t="s">
        <v>604</v>
      </c>
      <c r="T1145" s="213"/>
      <c r="U1145" s="213" t="s">
        <v>538</v>
      </c>
      <c r="V1145" s="213">
        <v>2</v>
      </c>
      <c r="W1145" s="213" t="s">
        <v>545</v>
      </c>
      <c r="X1145" s="213" t="s">
        <v>554</v>
      </c>
      <c r="Y1145" s="213" t="s">
        <v>546</v>
      </c>
      <c r="Z1145" s="212">
        <v>6400</v>
      </c>
      <c r="AA1145" s="212">
        <v>597639</v>
      </c>
      <c r="AB1145" s="217">
        <v>0.74676100000000001</v>
      </c>
      <c r="AC1145" s="217">
        <v>1.2017979999999999</v>
      </c>
      <c r="AD1145" s="212">
        <f t="shared" si="17"/>
        <v>446293.497279</v>
      </c>
    </row>
    <row r="1146" spans="2:30" x14ac:dyDescent="0.15">
      <c r="B1146" s="213">
        <v>17031003867</v>
      </c>
      <c r="C1146" s="213">
        <v>17031000801</v>
      </c>
      <c r="D1146" s="213">
        <v>17031000793</v>
      </c>
      <c r="E1146" s="213" t="s">
        <v>533</v>
      </c>
      <c r="F1146" s="213" t="s">
        <v>534</v>
      </c>
      <c r="G1146" s="213" t="s">
        <v>365</v>
      </c>
      <c r="H1146" s="213" t="s">
        <v>543</v>
      </c>
      <c r="I1146" s="213"/>
      <c r="J1146" s="213" t="s">
        <v>382</v>
      </c>
      <c r="K1146" s="213"/>
      <c r="L1146" s="213"/>
      <c r="M1146" s="213"/>
      <c r="N1146" s="213"/>
      <c r="O1146" s="213"/>
      <c r="P1146" s="213"/>
      <c r="Q1146" s="213"/>
      <c r="R1146" s="213"/>
      <c r="S1146" s="213" t="s">
        <v>639</v>
      </c>
      <c r="T1146" s="213"/>
      <c r="U1146" s="213" t="s">
        <v>538</v>
      </c>
      <c r="V1146" s="213">
        <v>2</v>
      </c>
      <c r="W1146" s="213" t="s">
        <v>560</v>
      </c>
      <c r="X1146" s="213" t="s">
        <v>541</v>
      </c>
      <c r="Y1146" s="213" t="s">
        <v>549</v>
      </c>
      <c r="Z1146" s="212">
        <v>2548647</v>
      </c>
      <c r="AA1146" s="212">
        <v>66220527</v>
      </c>
      <c r="AB1146" s="217">
        <v>0.318276</v>
      </c>
      <c r="AC1146" s="217">
        <v>0.51221700000000003</v>
      </c>
      <c r="AD1146" s="212">
        <f t="shared" si="17"/>
        <v>21076404.451452002</v>
      </c>
    </row>
    <row r="1147" spans="2:30" x14ac:dyDescent="0.15">
      <c r="B1147" s="213">
        <v>17031003870</v>
      </c>
      <c r="C1147" s="213">
        <v>17031001335</v>
      </c>
      <c r="D1147" s="213">
        <v>17031001354</v>
      </c>
      <c r="E1147" s="213" t="s">
        <v>533</v>
      </c>
      <c r="F1147" s="213" t="s">
        <v>534</v>
      </c>
      <c r="G1147" s="213" t="s">
        <v>365</v>
      </c>
      <c r="H1147" s="213" t="s">
        <v>382</v>
      </c>
      <c r="I1147" s="213"/>
      <c r="J1147" s="213" t="s">
        <v>542</v>
      </c>
      <c r="K1147" s="213" t="s">
        <v>555</v>
      </c>
      <c r="L1147" s="213"/>
      <c r="M1147" s="213"/>
      <c r="N1147" s="213"/>
      <c r="O1147" s="213"/>
      <c r="P1147" s="213"/>
      <c r="Q1147" s="213"/>
      <c r="R1147" s="213"/>
      <c r="S1147" s="213" t="s">
        <v>556</v>
      </c>
      <c r="T1147" s="213"/>
      <c r="U1147" s="213" t="s">
        <v>538</v>
      </c>
      <c r="V1147" s="213">
        <v>2</v>
      </c>
      <c r="W1147" s="213" t="s">
        <v>545</v>
      </c>
      <c r="X1147" s="213" t="s">
        <v>540</v>
      </c>
      <c r="Y1147" s="213" t="s">
        <v>540</v>
      </c>
      <c r="Z1147" s="212">
        <v>53566</v>
      </c>
      <c r="AA1147" s="212">
        <v>2591704</v>
      </c>
      <c r="AB1147" s="217">
        <v>0.33068799999999998</v>
      </c>
      <c r="AC1147" s="217">
        <v>0.53219300000000003</v>
      </c>
      <c r="AD1147" s="212">
        <f t="shared" si="17"/>
        <v>857045.4123519999</v>
      </c>
    </row>
    <row r="1148" spans="2:30" x14ac:dyDescent="0.15">
      <c r="B1148" s="213">
        <v>17031003871</v>
      </c>
      <c r="C1148" s="213">
        <v>17031001354</v>
      </c>
      <c r="D1148" s="213">
        <v>17031001374</v>
      </c>
      <c r="E1148" s="213" t="s">
        <v>533</v>
      </c>
      <c r="F1148" s="213" t="s">
        <v>534</v>
      </c>
      <c r="G1148" s="213" t="s">
        <v>365</v>
      </c>
      <c r="H1148" s="213" t="s">
        <v>382</v>
      </c>
      <c r="I1148" s="213"/>
      <c r="J1148" s="213" t="s">
        <v>542</v>
      </c>
      <c r="K1148" s="213" t="s">
        <v>555</v>
      </c>
      <c r="L1148" s="213"/>
      <c r="M1148" s="213"/>
      <c r="N1148" s="213"/>
      <c r="O1148" s="213"/>
      <c r="P1148" s="213"/>
      <c r="Q1148" s="213"/>
      <c r="R1148" s="213"/>
      <c r="S1148" s="213" t="s">
        <v>556</v>
      </c>
      <c r="T1148" s="213"/>
      <c r="U1148" s="213" t="s">
        <v>538</v>
      </c>
      <c r="V1148" s="213">
        <v>2</v>
      </c>
      <c r="W1148" s="213" t="s">
        <v>545</v>
      </c>
      <c r="X1148" s="213" t="s">
        <v>540</v>
      </c>
      <c r="Y1148" s="213" t="s">
        <v>540</v>
      </c>
      <c r="Z1148" s="212">
        <v>53566</v>
      </c>
      <c r="AA1148" s="212">
        <v>2591704</v>
      </c>
      <c r="AB1148" s="217">
        <v>0.25470599999999999</v>
      </c>
      <c r="AC1148" s="217">
        <v>0.40991</v>
      </c>
      <c r="AD1148" s="212">
        <f t="shared" si="17"/>
        <v>660122.55902399996</v>
      </c>
    </row>
    <row r="1149" spans="2:30" x14ac:dyDescent="0.15">
      <c r="B1149" s="213">
        <v>17031003873</v>
      </c>
      <c r="C1149" s="213">
        <v>17031000752</v>
      </c>
      <c r="D1149" s="213">
        <v>17031000748</v>
      </c>
      <c r="E1149" s="213" t="s">
        <v>533</v>
      </c>
      <c r="F1149" s="213" t="s">
        <v>534</v>
      </c>
      <c r="G1149" s="213" t="s">
        <v>365</v>
      </c>
      <c r="H1149" s="213" t="s">
        <v>535</v>
      </c>
      <c r="I1149" s="213"/>
      <c r="J1149" s="213"/>
      <c r="K1149" s="213"/>
      <c r="L1149" s="213"/>
      <c r="M1149" s="213"/>
      <c r="N1149" s="213"/>
      <c r="O1149" s="213"/>
      <c r="P1149" s="213"/>
      <c r="Q1149" s="213"/>
      <c r="R1149" s="213"/>
      <c r="S1149" s="213" t="s">
        <v>624</v>
      </c>
      <c r="T1149" s="213"/>
      <c r="U1149" s="213" t="s">
        <v>538</v>
      </c>
      <c r="V1149" s="213">
        <v>2</v>
      </c>
      <c r="W1149" s="213" t="s">
        <v>582</v>
      </c>
      <c r="X1149" s="213" t="s">
        <v>554</v>
      </c>
      <c r="Y1149" s="213" t="s">
        <v>554</v>
      </c>
      <c r="Z1149" s="212">
        <v>0</v>
      </c>
      <c r="AA1149" s="212">
        <v>0</v>
      </c>
      <c r="AB1149" s="217">
        <v>0.256212</v>
      </c>
      <c r="AC1149" s="217">
        <v>0.41233399999999998</v>
      </c>
      <c r="AD1149" s="212">
        <f t="shared" si="17"/>
        <v>0</v>
      </c>
    </row>
    <row r="1150" spans="2:30" x14ac:dyDescent="0.15">
      <c r="B1150" s="213">
        <v>17031003876</v>
      </c>
      <c r="C1150" s="213">
        <v>17031004762</v>
      </c>
      <c r="D1150" s="213">
        <v>17031000792</v>
      </c>
      <c r="E1150" s="213" t="s">
        <v>533</v>
      </c>
      <c r="F1150" s="213" t="s">
        <v>534</v>
      </c>
      <c r="G1150" s="213" t="s">
        <v>365</v>
      </c>
      <c r="H1150" s="213" t="s">
        <v>382</v>
      </c>
      <c r="I1150" s="213"/>
      <c r="J1150" s="213"/>
      <c r="K1150" s="213"/>
      <c r="L1150" s="213"/>
      <c r="M1150" s="213"/>
      <c r="N1150" s="213"/>
      <c r="O1150" s="213"/>
      <c r="P1150" s="213"/>
      <c r="Q1150" s="213"/>
      <c r="R1150" s="213"/>
      <c r="S1150" s="213"/>
      <c r="T1150" s="213" t="s">
        <v>688</v>
      </c>
      <c r="U1150" s="213" t="s">
        <v>559</v>
      </c>
      <c r="V1150" s="213">
        <v>1</v>
      </c>
      <c r="W1150" s="213" t="s">
        <v>560</v>
      </c>
      <c r="X1150" s="213" t="s">
        <v>541</v>
      </c>
      <c r="Y1150" s="213" t="s">
        <v>541</v>
      </c>
      <c r="Z1150" s="212">
        <v>600</v>
      </c>
      <c r="AA1150" s="212">
        <v>33400</v>
      </c>
      <c r="AB1150" s="217">
        <v>0.56392799999999998</v>
      </c>
      <c r="AC1150" s="217">
        <v>0.90755600000000003</v>
      </c>
      <c r="AD1150" s="212">
        <f t="shared" si="17"/>
        <v>18835.195199999998</v>
      </c>
    </row>
    <row r="1151" spans="2:30" x14ac:dyDescent="0.15">
      <c r="B1151" s="213">
        <v>17031003877</v>
      </c>
      <c r="C1151" s="213">
        <v>17031004651</v>
      </c>
      <c r="D1151" s="213">
        <v>17031000555</v>
      </c>
      <c r="E1151" s="213" t="s">
        <v>533</v>
      </c>
      <c r="F1151" s="213" t="s">
        <v>534</v>
      </c>
      <c r="G1151" s="213" t="s">
        <v>365</v>
      </c>
      <c r="H1151" s="213" t="s">
        <v>382</v>
      </c>
      <c r="I1151" s="213"/>
      <c r="J1151" s="213" t="s">
        <v>572</v>
      </c>
      <c r="K1151" s="213" t="s">
        <v>547</v>
      </c>
      <c r="L1151" s="213"/>
      <c r="M1151" s="213"/>
      <c r="N1151" s="213"/>
      <c r="O1151" s="213"/>
      <c r="P1151" s="213"/>
      <c r="Q1151" s="213"/>
      <c r="R1151" s="213"/>
      <c r="S1151" s="213" t="s">
        <v>583</v>
      </c>
      <c r="T1151" s="213"/>
      <c r="U1151" s="213" t="s">
        <v>538</v>
      </c>
      <c r="V1151" s="213">
        <v>3</v>
      </c>
      <c r="W1151" s="213" t="s">
        <v>545</v>
      </c>
      <c r="X1151" s="213" t="s">
        <v>549</v>
      </c>
      <c r="Y1151" s="213" t="s">
        <v>580</v>
      </c>
      <c r="Z1151" s="212">
        <v>1094661</v>
      </c>
      <c r="AA1151" s="212">
        <v>33314885</v>
      </c>
      <c r="AB1151" s="217">
        <v>0.210149</v>
      </c>
      <c r="AC1151" s="217">
        <v>0.33820299999999998</v>
      </c>
      <c r="AD1151" s="212">
        <f t="shared" si="17"/>
        <v>7001089.7678650003</v>
      </c>
    </row>
    <row r="1152" spans="2:30" x14ac:dyDescent="0.15">
      <c r="B1152" s="213">
        <v>17031003879</v>
      </c>
      <c r="C1152" s="213">
        <v>17031000576</v>
      </c>
      <c r="D1152" s="213">
        <v>17031000575</v>
      </c>
      <c r="E1152" s="213" t="s">
        <v>533</v>
      </c>
      <c r="F1152" s="213" t="s">
        <v>534</v>
      </c>
      <c r="G1152" s="213" t="s">
        <v>365</v>
      </c>
      <c r="H1152" s="213" t="s">
        <v>382</v>
      </c>
      <c r="I1152" s="213"/>
      <c r="J1152" s="213" t="s">
        <v>572</v>
      </c>
      <c r="K1152" s="213" t="s">
        <v>547</v>
      </c>
      <c r="L1152" s="213"/>
      <c r="M1152" s="213"/>
      <c r="N1152" s="213"/>
      <c r="O1152" s="213"/>
      <c r="P1152" s="213"/>
      <c r="Q1152" s="213"/>
      <c r="R1152" s="213"/>
      <c r="S1152" s="213" t="s">
        <v>583</v>
      </c>
      <c r="T1152" s="213"/>
      <c r="U1152" s="213" t="s">
        <v>538</v>
      </c>
      <c r="V1152" s="213">
        <v>3</v>
      </c>
      <c r="W1152" s="213" t="s">
        <v>545</v>
      </c>
      <c r="X1152" s="213" t="s">
        <v>540</v>
      </c>
      <c r="Y1152" s="213" t="s">
        <v>580</v>
      </c>
      <c r="Z1152" s="212">
        <v>1094381</v>
      </c>
      <c r="AA1152" s="212">
        <v>33287005</v>
      </c>
      <c r="AB1152" s="217">
        <v>0.53433900000000001</v>
      </c>
      <c r="AC1152" s="217">
        <v>0.85993600000000003</v>
      </c>
      <c r="AD1152" s="212">
        <f t="shared" si="17"/>
        <v>17786544.964694999</v>
      </c>
    </row>
    <row r="1153" spans="2:30" x14ac:dyDescent="0.15">
      <c r="B1153" s="213">
        <v>17031003880</v>
      </c>
      <c r="C1153" s="213">
        <v>17031000573</v>
      </c>
      <c r="D1153" s="213">
        <v>17031000572</v>
      </c>
      <c r="E1153" s="213" t="s">
        <v>533</v>
      </c>
      <c r="F1153" s="213" t="s">
        <v>534</v>
      </c>
      <c r="G1153" s="213" t="s">
        <v>365</v>
      </c>
      <c r="H1153" s="213" t="s">
        <v>382</v>
      </c>
      <c r="I1153" s="213"/>
      <c r="J1153" s="213" t="s">
        <v>572</v>
      </c>
      <c r="K1153" s="213" t="s">
        <v>547</v>
      </c>
      <c r="L1153" s="213"/>
      <c r="M1153" s="213"/>
      <c r="N1153" s="213"/>
      <c r="O1153" s="213"/>
      <c r="P1153" s="213"/>
      <c r="Q1153" s="213"/>
      <c r="R1153" s="213"/>
      <c r="S1153" s="213" t="s">
        <v>583</v>
      </c>
      <c r="T1153" s="213"/>
      <c r="U1153" s="213" t="s">
        <v>538</v>
      </c>
      <c r="V1153" s="213">
        <v>3</v>
      </c>
      <c r="W1153" s="213" t="s">
        <v>545</v>
      </c>
      <c r="X1153" s="213" t="s">
        <v>540</v>
      </c>
      <c r="Y1153" s="213" t="s">
        <v>580</v>
      </c>
      <c r="Z1153" s="212">
        <v>1094381</v>
      </c>
      <c r="AA1153" s="212">
        <v>33287005</v>
      </c>
      <c r="AB1153" s="217">
        <v>0.91156199999999998</v>
      </c>
      <c r="AC1153" s="217">
        <v>1.4670190000000001</v>
      </c>
      <c r="AD1153" s="212">
        <f t="shared" si="17"/>
        <v>30343168.851810001</v>
      </c>
    </row>
    <row r="1154" spans="2:30" x14ac:dyDescent="0.15">
      <c r="B1154" s="213">
        <v>17031003896</v>
      </c>
      <c r="C1154" s="213">
        <v>17031000501</v>
      </c>
      <c r="D1154" s="213">
        <v>17031000490</v>
      </c>
      <c r="E1154" s="213" t="s">
        <v>533</v>
      </c>
      <c r="F1154" s="213" t="s">
        <v>534</v>
      </c>
      <c r="G1154" s="213" t="s">
        <v>365</v>
      </c>
      <c r="H1154" s="213" t="s">
        <v>382</v>
      </c>
      <c r="I1154" s="213"/>
      <c r="J1154" s="213"/>
      <c r="K1154" s="213"/>
      <c r="L1154" s="213"/>
      <c r="M1154" s="213"/>
      <c r="N1154" s="213"/>
      <c r="O1154" s="213"/>
      <c r="P1154" s="213"/>
      <c r="Q1154" s="213"/>
      <c r="R1154" s="213"/>
      <c r="S1154" s="213" t="s">
        <v>586</v>
      </c>
      <c r="T1154" s="213" t="s">
        <v>689</v>
      </c>
      <c r="U1154" s="213" t="s">
        <v>538</v>
      </c>
      <c r="V1154" s="213">
        <v>2</v>
      </c>
      <c r="W1154" s="213" t="s">
        <v>582</v>
      </c>
      <c r="X1154" s="213" t="s">
        <v>554</v>
      </c>
      <c r="Y1154" s="213" t="s">
        <v>549</v>
      </c>
      <c r="Z1154" s="212">
        <v>146165</v>
      </c>
      <c r="AA1154" s="212">
        <v>16419172</v>
      </c>
      <c r="AB1154" s="217">
        <v>0.20158899999999999</v>
      </c>
      <c r="AC1154" s="217">
        <v>0.32442599999999999</v>
      </c>
      <c r="AD1154" s="212">
        <f t="shared" si="17"/>
        <v>3309924.4643079997</v>
      </c>
    </row>
    <row r="1155" spans="2:30" x14ac:dyDescent="0.15">
      <c r="B1155" s="213">
        <v>17031003922</v>
      </c>
      <c r="C1155" s="213">
        <v>17031000575</v>
      </c>
      <c r="D1155" s="213">
        <v>17031000573</v>
      </c>
      <c r="E1155" s="213" t="s">
        <v>533</v>
      </c>
      <c r="F1155" s="213" t="s">
        <v>534</v>
      </c>
      <c r="G1155" s="213" t="s">
        <v>365</v>
      </c>
      <c r="H1155" s="213" t="s">
        <v>382</v>
      </c>
      <c r="I1155" s="213"/>
      <c r="J1155" s="213" t="s">
        <v>572</v>
      </c>
      <c r="K1155" s="213" t="s">
        <v>547</v>
      </c>
      <c r="L1155" s="213"/>
      <c r="M1155" s="213"/>
      <c r="N1155" s="213"/>
      <c r="O1155" s="213"/>
      <c r="P1155" s="213"/>
      <c r="Q1155" s="213"/>
      <c r="R1155" s="213"/>
      <c r="S1155" s="213" t="s">
        <v>583</v>
      </c>
      <c r="T1155" s="213"/>
      <c r="U1155" s="213" t="s">
        <v>538</v>
      </c>
      <c r="V1155" s="213">
        <v>3</v>
      </c>
      <c r="W1155" s="213" t="s">
        <v>545</v>
      </c>
      <c r="X1155" s="213" t="s">
        <v>540</v>
      </c>
      <c r="Y1155" s="213" t="s">
        <v>580</v>
      </c>
      <c r="Z1155" s="212">
        <v>1094381</v>
      </c>
      <c r="AA1155" s="212">
        <v>33287005</v>
      </c>
      <c r="AB1155" s="217">
        <v>0.27815699999999999</v>
      </c>
      <c r="AC1155" s="217">
        <v>0.44764999999999999</v>
      </c>
      <c r="AD1155" s="212">
        <f t="shared" si="17"/>
        <v>9259013.4497849997</v>
      </c>
    </row>
    <row r="1156" spans="2:30" x14ac:dyDescent="0.15">
      <c r="B1156" s="213">
        <v>17031003925</v>
      </c>
      <c r="C1156" s="213">
        <v>17031000625</v>
      </c>
      <c r="D1156" s="213">
        <v>17031000647</v>
      </c>
      <c r="E1156" s="213" t="s">
        <v>533</v>
      </c>
      <c r="F1156" s="213" t="s">
        <v>534</v>
      </c>
      <c r="G1156" s="213" t="s">
        <v>365</v>
      </c>
      <c r="H1156" s="213" t="s">
        <v>551</v>
      </c>
      <c r="I1156" s="213"/>
      <c r="J1156" s="213"/>
      <c r="K1156" s="213"/>
      <c r="L1156" s="213"/>
      <c r="M1156" s="213"/>
      <c r="N1156" s="213"/>
      <c r="O1156" s="213"/>
      <c r="P1156" s="213"/>
      <c r="Q1156" s="213"/>
      <c r="R1156" s="213"/>
      <c r="S1156" s="213" t="s">
        <v>600</v>
      </c>
      <c r="T1156" s="213"/>
      <c r="U1156" s="213" t="s">
        <v>538</v>
      </c>
      <c r="V1156" s="213">
        <v>1</v>
      </c>
      <c r="W1156" s="213" t="s">
        <v>539</v>
      </c>
      <c r="X1156" s="213" t="s">
        <v>541</v>
      </c>
      <c r="Y1156" s="213" t="s">
        <v>541</v>
      </c>
      <c r="Z1156" s="212">
        <v>192774</v>
      </c>
      <c r="AA1156" s="212">
        <v>6267418</v>
      </c>
      <c r="AB1156" s="217">
        <v>0.435504</v>
      </c>
      <c r="AC1156" s="217">
        <v>0.700878</v>
      </c>
      <c r="AD1156" s="212">
        <f t="shared" si="17"/>
        <v>2729485.608672</v>
      </c>
    </row>
    <row r="1157" spans="2:30" x14ac:dyDescent="0.15">
      <c r="B1157" s="213">
        <v>17031003928</v>
      </c>
      <c r="C1157" s="213">
        <v>17031001163</v>
      </c>
      <c r="D1157" s="213">
        <v>17031006712</v>
      </c>
      <c r="E1157" s="213" t="s">
        <v>533</v>
      </c>
      <c r="F1157" s="213" t="s">
        <v>534</v>
      </c>
      <c r="G1157" s="213" t="s">
        <v>365</v>
      </c>
      <c r="H1157" s="213" t="s">
        <v>571</v>
      </c>
      <c r="I1157" s="213"/>
      <c r="J1157" s="213"/>
      <c r="K1157" s="213"/>
      <c r="L1157" s="213"/>
      <c r="M1157" s="213"/>
      <c r="N1157" s="213"/>
      <c r="O1157" s="213"/>
      <c r="P1157" s="213"/>
      <c r="Q1157" s="213"/>
      <c r="R1157" s="213"/>
      <c r="S1157" s="213" t="s">
        <v>573</v>
      </c>
      <c r="T1157" s="213" t="s">
        <v>643</v>
      </c>
      <c r="U1157" s="213" t="s">
        <v>538</v>
      </c>
      <c r="V1157" s="213">
        <v>1</v>
      </c>
      <c r="W1157" s="213" t="s">
        <v>545</v>
      </c>
      <c r="X1157" s="213" t="s">
        <v>541</v>
      </c>
      <c r="Y1157" s="213" t="s">
        <v>546</v>
      </c>
      <c r="Z1157" s="212">
        <v>0</v>
      </c>
      <c r="AA1157" s="212">
        <v>0</v>
      </c>
      <c r="AB1157" s="217">
        <v>0.69272299999999998</v>
      </c>
      <c r="AC1157" s="217">
        <v>1.114832</v>
      </c>
      <c r="AD1157" s="212">
        <f t="shared" si="17"/>
        <v>0</v>
      </c>
    </row>
    <row r="1158" spans="2:30" x14ac:dyDescent="0.15">
      <c r="B1158" s="213">
        <v>17031003932</v>
      </c>
      <c r="C1158" s="213">
        <v>17031001099</v>
      </c>
      <c r="D1158" s="213">
        <v>17031001097</v>
      </c>
      <c r="E1158" s="213" t="s">
        <v>533</v>
      </c>
      <c r="F1158" s="213" t="s">
        <v>534</v>
      </c>
      <c r="G1158" s="213" t="s">
        <v>365</v>
      </c>
      <c r="H1158" s="213" t="s">
        <v>571</v>
      </c>
      <c r="I1158" s="213"/>
      <c r="J1158" s="213" t="s">
        <v>552</v>
      </c>
      <c r="K1158" s="213" t="s">
        <v>572</v>
      </c>
      <c r="L1158" s="213" t="s">
        <v>543</v>
      </c>
      <c r="M1158" s="213"/>
      <c r="N1158" s="213"/>
      <c r="O1158" s="213"/>
      <c r="P1158" s="213"/>
      <c r="Q1158" s="213"/>
      <c r="R1158" s="213"/>
      <c r="S1158" s="213" t="s">
        <v>573</v>
      </c>
      <c r="T1158" s="213"/>
      <c r="U1158" s="213" t="s">
        <v>538</v>
      </c>
      <c r="V1158" s="213">
        <v>2</v>
      </c>
      <c r="W1158" s="213" t="s">
        <v>545</v>
      </c>
      <c r="X1158" s="213" t="s">
        <v>554</v>
      </c>
      <c r="Y1158" s="213" t="s">
        <v>580</v>
      </c>
      <c r="Z1158" s="212">
        <v>207614</v>
      </c>
      <c r="AA1158" s="212">
        <v>11389044</v>
      </c>
      <c r="AB1158" s="217">
        <v>0.12875500000000001</v>
      </c>
      <c r="AC1158" s="217">
        <v>0.20721200000000001</v>
      </c>
      <c r="AD1158" s="212">
        <f t="shared" ref="AD1158:AD1221" si="18">AA1158*AB1158</f>
        <v>1466396.3602200001</v>
      </c>
    </row>
    <row r="1159" spans="2:30" x14ac:dyDescent="0.15">
      <c r="B1159" s="213">
        <v>17031003934</v>
      </c>
      <c r="C1159" s="213">
        <v>17031000613</v>
      </c>
      <c r="D1159" s="213">
        <v>17031004742</v>
      </c>
      <c r="E1159" s="213" t="s">
        <v>533</v>
      </c>
      <c r="F1159" s="213" t="s">
        <v>534</v>
      </c>
      <c r="G1159" s="213" t="s">
        <v>365</v>
      </c>
      <c r="H1159" s="213" t="s">
        <v>547</v>
      </c>
      <c r="I1159" s="213"/>
      <c r="J1159" s="213" t="s">
        <v>627</v>
      </c>
      <c r="K1159" s="213"/>
      <c r="L1159" s="213"/>
      <c r="M1159" s="213"/>
      <c r="N1159" s="213"/>
      <c r="O1159" s="213"/>
      <c r="P1159" s="213"/>
      <c r="Q1159" s="213"/>
      <c r="R1159" s="213"/>
      <c r="S1159" s="213"/>
      <c r="T1159" s="213"/>
      <c r="U1159" s="213" t="s">
        <v>538</v>
      </c>
      <c r="V1159" s="213">
        <v>4</v>
      </c>
      <c r="W1159" s="213" t="s">
        <v>545</v>
      </c>
      <c r="X1159" s="213" t="s">
        <v>554</v>
      </c>
      <c r="Y1159" s="213" t="s">
        <v>541</v>
      </c>
      <c r="Z1159" s="212">
        <v>0</v>
      </c>
      <c r="AA1159" s="212">
        <v>0</v>
      </c>
      <c r="AB1159" s="217">
        <v>0.190722</v>
      </c>
      <c r="AC1159" s="217">
        <v>0.30693799999999999</v>
      </c>
      <c r="AD1159" s="212">
        <f t="shared" si="18"/>
        <v>0</v>
      </c>
    </row>
    <row r="1160" spans="2:30" x14ac:dyDescent="0.15">
      <c r="B1160" s="213">
        <v>17031003937</v>
      </c>
      <c r="C1160" s="213">
        <v>17031001265</v>
      </c>
      <c r="D1160" s="213">
        <v>17031001275</v>
      </c>
      <c r="E1160" s="213" t="s">
        <v>533</v>
      </c>
      <c r="F1160" s="213" t="s">
        <v>534</v>
      </c>
      <c r="G1160" s="213" t="s">
        <v>365</v>
      </c>
      <c r="H1160" s="213" t="s">
        <v>557</v>
      </c>
      <c r="I1160" s="213"/>
      <c r="J1160" s="213"/>
      <c r="K1160" s="213"/>
      <c r="L1160" s="213"/>
      <c r="M1160" s="213"/>
      <c r="N1160" s="213"/>
      <c r="O1160" s="213"/>
      <c r="P1160" s="213"/>
      <c r="Q1160" s="213"/>
      <c r="R1160" s="213"/>
      <c r="S1160" s="213"/>
      <c r="T1160" s="213"/>
      <c r="U1160" s="213" t="s">
        <v>559</v>
      </c>
      <c r="V1160" s="213">
        <v>1</v>
      </c>
      <c r="W1160" s="213" t="s">
        <v>560</v>
      </c>
      <c r="X1160" s="213" t="s">
        <v>541</v>
      </c>
      <c r="Y1160" s="213" t="s">
        <v>541</v>
      </c>
      <c r="Z1160" s="212">
        <v>0</v>
      </c>
      <c r="AA1160" s="212">
        <v>0</v>
      </c>
      <c r="AB1160" s="217">
        <v>0.60385100000000003</v>
      </c>
      <c r="AC1160" s="217">
        <v>0.97180599999999995</v>
      </c>
      <c r="AD1160" s="212">
        <f t="shared" si="18"/>
        <v>0</v>
      </c>
    </row>
    <row r="1161" spans="2:30" x14ac:dyDescent="0.15">
      <c r="B1161" s="213">
        <v>17031003940</v>
      </c>
      <c r="C1161" s="213">
        <v>17031001362</v>
      </c>
      <c r="D1161" s="213">
        <v>17031001376</v>
      </c>
      <c r="E1161" s="213" t="s">
        <v>533</v>
      </c>
      <c r="F1161" s="213" t="s">
        <v>534</v>
      </c>
      <c r="G1161" s="213" t="s">
        <v>365</v>
      </c>
      <c r="H1161" s="213" t="s">
        <v>557</v>
      </c>
      <c r="I1161" s="213"/>
      <c r="J1161" s="213" t="s">
        <v>382</v>
      </c>
      <c r="K1161" s="213" t="s">
        <v>552</v>
      </c>
      <c r="L1161" s="213" t="s">
        <v>555</v>
      </c>
      <c r="M1161" s="213"/>
      <c r="N1161" s="213"/>
      <c r="O1161" s="213"/>
      <c r="P1161" s="213"/>
      <c r="Q1161" s="213"/>
      <c r="R1161" s="213"/>
      <c r="S1161" s="213"/>
      <c r="T1161" s="213"/>
      <c r="U1161" s="213" t="s">
        <v>538</v>
      </c>
      <c r="V1161" s="213">
        <v>1</v>
      </c>
      <c r="W1161" s="213" t="s">
        <v>560</v>
      </c>
      <c r="X1161" s="213" t="s">
        <v>554</v>
      </c>
      <c r="Y1161" s="213" t="s">
        <v>549</v>
      </c>
      <c r="Z1161" s="212">
        <v>282618</v>
      </c>
      <c r="AA1161" s="212">
        <v>11494532</v>
      </c>
      <c r="AB1161" s="217">
        <v>0.28295799999999999</v>
      </c>
      <c r="AC1161" s="217">
        <v>0.455378</v>
      </c>
      <c r="AD1161" s="212">
        <f t="shared" si="18"/>
        <v>3252469.785656</v>
      </c>
    </row>
    <row r="1162" spans="2:30" x14ac:dyDescent="0.15">
      <c r="B1162" s="213">
        <v>17031003950</v>
      </c>
      <c r="C1162" s="213">
        <v>17031000401</v>
      </c>
      <c r="D1162" s="213">
        <v>17031004784</v>
      </c>
      <c r="E1162" s="213" t="s">
        <v>533</v>
      </c>
      <c r="F1162" s="213" t="s">
        <v>534</v>
      </c>
      <c r="G1162" s="213" t="s">
        <v>365</v>
      </c>
      <c r="H1162" s="213" t="s">
        <v>382</v>
      </c>
      <c r="I1162" s="213"/>
      <c r="J1162" s="213"/>
      <c r="K1162" s="213"/>
      <c r="L1162" s="213"/>
      <c r="M1162" s="213"/>
      <c r="N1162" s="213"/>
      <c r="O1162" s="213"/>
      <c r="P1162" s="213"/>
      <c r="Q1162" s="213"/>
      <c r="R1162" s="213"/>
      <c r="S1162" s="213" t="s">
        <v>646</v>
      </c>
      <c r="T1162" s="213"/>
      <c r="U1162" s="213" t="s">
        <v>559</v>
      </c>
      <c r="V1162" s="213">
        <v>1</v>
      </c>
      <c r="W1162" s="213" t="s">
        <v>560</v>
      </c>
      <c r="X1162" s="213" t="s">
        <v>541</v>
      </c>
      <c r="Y1162" s="213" t="s">
        <v>541</v>
      </c>
      <c r="Z1162" s="212">
        <v>0</v>
      </c>
      <c r="AA1162" s="212">
        <v>0</v>
      </c>
      <c r="AB1162" s="217">
        <v>3.3148849999999999</v>
      </c>
      <c r="AC1162" s="217">
        <v>5.3348009999999997</v>
      </c>
      <c r="AD1162" s="212">
        <f t="shared" si="18"/>
        <v>0</v>
      </c>
    </row>
    <row r="1163" spans="2:30" x14ac:dyDescent="0.15">
      <c r="B1163" s="213">
        <v>17031003957</v>
      </c>
      <c r="C1163" s="213">
        <v>17031000684</v>
      </c>
      <c r="D1163" s="213">
        <v>17031000674</v>
      </c>
      <c r="E1163" s="213" t="s">
        <v>533</v>
      </c>
      <c r="F1163" s="213" t="s">
        <v>534</v>
      </c>
      <c r="G1163" s="213" t="s">
        <v>365</v>
      </c>
      <c r="H1163" s="213" t="s">
        <v>381</v>
      </c>
      <c r="I1163" s="213"/>
      <c r="J1163" s="213" t="s">
        <v>542</v>
      </c>
      <c r="K1163" s="213" t="s">
        <v>577</v>
      </c>
      <c r="L1163" s="213" t="s">
        <v>572</v>
      </c>
      <c r="M1163" s="213" t="s">
        <v>547</v>
      </c>
      <c r="N1163" s="213" t="s">
        <v>382</v>
      </c>
      <c r="O1163" s="213"/>
      <c r="P1163" s="213"/>
      <c r="Q1163" s="213"/>
      <c r="R1163" s="213"/>
      <c r="S1163" s="213" t="s">
        <v>579</v>
      </c>
      <c r="T1163" s="213" t="s">
        <v>640</v>
      </c>
      <c r="U1163" s="213" t="s">
        <v>538</v>
      </c>
      <c r="V1163" s="213">
        <v>4</v>
      </c>
      <c r="W1163" s="213" t="s">
        <v>545</v>
      </c>
      <c r="X1163" s="213" t="s">
        <v>540</v>
      </c>
      <c r="Y1163" s="213" t="s">
        <v>549</v>
      </c>
      <c r="Z1163" s="212">
        <v>2437713</v>
      </c>
      <c r="AA1163" s="212">
        <v>67580400</v>
      </c>
      <c r="AB1163" s="217">
        <v>0.68950900000000004</v>
      </c>
      <c r="AC1163" s="217">
        <v>1.1096600000000001</v>
      </c>
      <c r="AD1163" s="212">
        <f t="shared" si="18"/>
        <v>46597294.023600005</v>
      </c>
    </row>
    <row r="1164" spans="2:30" x14ac:dyDescent="0.15">
      <c r="B1164" s="213">
        <v>17031003973</v>
      </c>
      <c r="C1164" s="213">
        <v>17031000903</v>
      </c>
      <c r="D1164" s="213">
        <v>17031000889</v>
      </c>
      <c r="E1164" s="213" t="s">
        <v>533</v>
      </c>
      <c r="F1164" s="213" t="s">
        <v>534</v>
      </c>
      <c r="G1164" s="213" t="s">
        <v>365</v>
      </c>
      <c r="H1164" s="213" t="s">
        <v>543</v>
      </c>
      <c r="I1164" s="213"/>
      <c r="J1164" s="213" t="s">
        <v>542</v>
      </c>
      <c r="K1164" s="213"/>
      <c r="L1164" s="213"/>
      <c r="M1164" s="213"/>
      <c r="N1164" s="213"/>
      <c r="O1164" s="213"/>
      <c r="P1164" s="213"/>
      <c r="Q1164" s="213"/>
      <c r="R1164" s="213"/>
      <c r="S1164" s="213" t="s">
        <v>630</v>
      </c>
      <c r="T1164" s="213"/>
      <c r="U1164" s="213" t="s">
        <v>538</v>
      </c>
      <c r="V1164" s="213">
        <v>2</v>
      </c>
      <c r="W1164" s="213" t="s">
        <v>545</v>
      </c>
      <c r="X1164" s="213" t="s">
        <v>540</v>
      </c>
      <c r="Y1164" s="213" t="s">
        <v>580</v>
      </c>
      <c r="Z1164" s="212">
        <v>2463629</v>
      </c>
      <c r="AA1164" s="212">
        <v>64091127</v>
      </c>
      <c r="AB1164" s="217">
        <v>0.18421599999999999</v>
      </c>
      <c r="AC1164" s="217">
        <v>0.29646800000000001</v>
      </c>
      <c r="AD1164" s="212">
        <f t="shared" si="18"/>
        <v>11806611.051431999</v>
      </c>
    </row>
    <row r="1165" spans="2:30" x14ac:dyDescent="0.15">
      <c r="B1165" s="213">
        <v>17031003974</v>
      </c>
      <c r="C1165" s="213">
        <v>17031000889</v>
      </c>
      <c r="D1165" s="213">
        <v>17031000875</v>
      </c>
      <c r="E1165" s="213" t="s">
        <v>533</v>
      </c>
      <c r="F1165" s="213" t="s">
        <v>534</v>
      </c>
      <c r="G1165" s="213" t="s">
        <v>365</v>
      </c>
      <c r="H1165" s="213" t="s">
        <v>543</v>
      </c>
      <c r="I1165" s="213"/>
      <c r="J1165" s="213" t="s">
        <v>542</v>
      </c>
      <c r="K1165" s="213"/>
      <c r="L1165" s="213"/>
      <c r="M1165" s="213"/>
      <c r="N1165" s="213"/>
      <c r="O1165" s="213"/>
      <c r="P1165" s="213"/>
      <c r="Q1165" s="213"/>
      <c r="R1165" s="213"/>
      <c r="S1165" s="213" t="s">
        <v>630</v>
      </c>
      <c r="T1165" s="213"/>
      <c r="U1165" s="213" t="s">
        <v>538</v>
      </c>
      <c r="V1165" s="213">
        <v>2</v>
      </c>
      <c r="W1165" s="213" t="s">
        <v>545</v>
      </c>
      <c r="X1165" s="213" t="s">
        <v>540</v>
      </c>
      <c r="Y1165" s="213" t="s">
        <v>580</v>
      </c>
      <c r="Z1165" s="212">
        <v>2463629</v>
      </c>
      <c r="AA1165" s="212">
        <v>64091127</v>
      </c>
      <c r="AB1165" s="217">
        <v>0.36756899999999998</v>
      </c>
      <c r="AC1165" s="217">
        <v>0.59154499999999999</v>
      </c>
      <c r="AD1165" s="212">
        <f t="shared" si="18"/>
        <v>23557911.460262999</v>
      </c>
    </row>
    <row r="1166" spans="2:30" x14ac:dyDescent="0.15">
      <c r="B1166" s="213">
        <v>17031003977</v>
      </c>
      <c r="C1166" s="213">
        <v>17031000705</v>
      </c>
      <c r="D1166" s="213">
        <v>17031000695</v>
      </c>
      <c r="E1166" s="213" t="s">
        <v>533</v>
      </c>
      <c r="F1166" s="213" t="s">
        <v>534</v>
      </c>
      <c r="G1166" s="213" t="s">
        <v>365</v>
      </c>
      <c r="H1166" s="213" t="s">
        <v>543</v>
      </c>
      <c r="I1166" s="213"/>
      <c r="J1166" s="213" t="s">
        <v>542</v>
      </c>
      <c r="K1166" s="213" t="s">
        <v>547</v>
      </c>
      <c r="L1166" s="213"/>
      <c r="M1166" s="213"/>
      <c r="N1166" s="213"/>
      <c r="O1166" s="213"/>
      <c r="P1166" s="213"/>
      <c r="Q1166" s="213"/>
      <c r="R1166" s="213"/>
      <c r="S1166" s="213" t="s">
        <v>630</v>
      </c>
      <c r="T1166" s="213"/>
      <c r="U1166" s="213" t="s">
        <v>538</v>
      </c>
      <c r="V1166" s="213">
        <v>2</v>
      </c>
      <c r="W1166" s="213" t="s">
        <v>545</v>
      </c>
      <c r="X1166" s="213" t="s">
        <v>554</v>
      </c>
      <c r="Y1166" s="213" t="s">
        <v>549</v>
      </c>
      <c r="Z1166" s="212">
        <v>173950</v>
      </c>
      <c r="AA1166" s="212">
        <v>12511548</v>
      </c>
      <c r="AB1166" s="217">
        <v>0.25978600000000002</v>
      </c>
      <c r="AC1166" s="217">
        <v>0.41808499999999998</v>
      </c>
      <c r="AD1166" s="212">
        <f t="shared" si="18"/>
        <v>3250325.0087280003</v>
      </c>
    </row>
    <row r="1167" spans="2:30" x14ac:dyDescent="0.15">
      <c r="B1167" s="213">
        <v>17031003978</v>
      </c>
      <c r="C1167" s="213">
        <v>17031000695</v>
      </c>
      <c r="D1167" s="213">
        <v>17031000689</v>
      </c>
      <c r="E1167" s="213" t="s">
        <v>533</v>
      </c>
      <c r="F1167" s="213" t="s">
        <v>534</v>
      </c>
      <c r="G1167" s="213" t="s">
        <v>365</v>
      </c>
      <c r="H1167" s="213" t="s">
        <v>543</v>
      </c>
      <c r="I1167" s="213"/>
      <c r="J1167" s="213" t="s">
        <v>542</v>
      </c>
      <c r="K1167" s="213" t="s">
        <v>547</v>
      </c>
      <c r="L1167" s="213" t="s">
        <v>382</v>
      </c>
      <c r="M1167" s="213"/>
      <c r="N1167" s="213"/>
      <c r="O1167" s="213"/>
      <c r="P1167" s="213"/>
      <c r="Q1167" s="213"/>
      <c r="R1167" s="213"/>
      <c r="S1167" s="213" t="s">
        <v>630</v>
      </c>
      <c r="T1167" s="213"/>
      <c r="U1167" s="213" t="s">
        <v>538</v>
      </c>
      <c r="V1167" s="213">
        <v>2</v>
      </c>
      <c r="W1167" s="213" t="s">
        <v>545</v>
      </c>
      <c r="X1167" s="213" t="s">
        <v>541</v>
      </c>
      <c r="Y1167" s="213" t="s">
        <v>549</v>
      </c>
      <c r="Z1167" s="212">
        <v>174550</v>
      </c>
      <c r="AA1167" s="212">
        <v>12544948</v>
      </c>
      <c r="AB1167" s="217">
        <v>8.0324000000000007E-2</v>
      </c>
      <c r="AC1167" s="217">
        <v>0.12927</v>
      </c>
      <c r="AD1167" s="212">
        <f t="shared" si="18"/>
        <v>1007660.403152</v>
      </c>
    </row>
    <row r="1168" spans="2:30" x14ac:dyDescent="0.15">
      <c r="B1168" s="213">
        <v>17031003979</v>
      </c>
      <c r="C1168" s="213">
        <v>17031000689</v>
      </c>
      <c r="D1168" s="213">
        <v>17031000685</v>
      </c>
      <c r="E1168" s="213" t="s">
        <v>533</v>
      </c>
      <c r="F1168" s="213" t="s">
        <v>534</v>
      </c>
      <c r="G1168" s="213" t="s">
        <v>365</v>
      </c>
      <c r="H1168" s="213" t="s">
        <v>543</v>
      </c>
      <c r="I1168" s="213"/>
      <c r="J1168" s="213" t="s">
        <v>542</v>
      </c>
      <c r="K1168" s="213" t="s">
        <v>547</v>
      </c>
      <c r="L1168" s="213" t="s">
        <v>382</v>
      </c>
      <c r="M1168" s="213"/>
      <c r="N1168" s="213"/>
      <c r="O1168" s="213"/>
      <c r="P1168" s="213"/>
      <c r="Q1168" s="213"/>
      <c r="R1168" s="213"/>
      <c r="S1168" s="213" t="s">
        <v>630</v>
      </c>
      <c r="T1168" s="213"/>
      <c r="U1168" s="213" t="s">
        <v>538</v>
      </c>
      <c r="V1168" s="213">
        <v>2</v>
      </c>
      <c r="W1168" s="213" t="s">
        <v>545</v>
      </c>
      <c r="X1168" s="213" t="s">
        <v>541</v>
      </c>
      <c r="Y1168" s="213" t="s">
        <v>540</v>
      </c>
      <c r="Z1168" s="212">
        <v>175990</v>
      </c>
      <c r="AA1168" s="212">
        <v>12673508</v>
      </c>
      <c r="AB1168" s="217">
        <v>0.140044</v>
      </c>
      <c r="AC1168" s="217">
        <v>0.225379</v>
      </c>
      <c r="AD1168" s="212">
        <f t="shared" si="18"/>
        <v>1774848.7543520001</v>
      </c>
    </row>
    <row r="1169" spans="2:30" x14ac:dyDescent="0.15">
      <c r="B1169" s="213">
        <v>17031004005</v>
      </c>
      <c r="C1169" s="213">
        <v>17031000664</v>
      </c>
      <c r="D1169" s="213">
        <v>17031004665</v>
      </c>
      <c r="E1169" s="213" t="s">
        <v>533</v>
      </c>
      <c r="F1169" s="213" t="s">
        <v>534</v>
      </c>
      <c r="G1169" s="213" t="s">
        <v>365</v>
      </c>
      <c r="H1169" s="213" t="s">
        <v>381</v>
      </c>
      <c r="I1169" s="213"/>
      <c r="J1169" s="213" t="s">
        <v>542</v>
      </c>
      <c r="K1169" s="213" t="s">
        <v>577</v>
      </c>
      <c r="L1169" s="213" t="s">
        <v>572</v>
      </c>
      <c r="M1169" s="213" t="s">
        <v>547</v>
      </c>
      <c r="N1169" s="213" t="s">
        <v>382</v>
      </c>
      <c r="O1169" s="213"/>
      <c r="P1169" s="213"/>
      <c r="Q1169" s="213"/>
      <c r="R1169" s="213"/>
      <c r="S1169" s="213" t="s">
        <v>579</v>
      </c>
      <c r="T1169" s="213"/>
      <c r="U1169" s="213" t="s">
        <v>538</v>
      </c>
      <c r="V1169" s="213">
        <v>4</v>
      </c>
      <c r="W1169" s="213" t="s">
        <v>545</v>
      </c>
      <c r="X1169" s="213" t="s">
        <v>540</v>
      </c>
      <c r="Y1169" s="213" t="s">
        <v>549</v>
      </c>
      <c r="Z1169" s="212">
        <v>2436993</v>
      </c>
      <c r="AA1169" s="212">
        <v>67512640</v>
      </c>
      <c r="AB1169" s="217">
        <v>0.21277099999999999</v>
      </c>
      <c r="AC1169" s="217">
        <v>0.34242299999999998</v>
      </c>
      <c r="AD1169" s="212">
        <f t="shared" si="18"/>
        <v>14364731.925439999</v>
      </c>
    </row>
    <row r="1170" spans="2:30" x14ac:dyDescent="0.15">
      <c r="B1170" s="213">
        <v>17031004006</v>
      </c>
      <c r="C1170" s="213">
        <v>17031000893</v>
      </c>
      <c r="D1170" s="213">
        <v>17031004716</v>
      </c>
      <c r="E1170" s="213" t="s">
        <v>533</v>
      </c>
      <c r="F1170" s="213" t="s">
        <v>534</v>
      </c>
      <c r="G1170" s="213" t="s">
        <v>365</v>
      </c>
      <c r="H1170" s="213" t="s">
        <v>551</v>
      </c>
      <c r="I1170" s="213"/>
      <c r="J1170" s="213" t="s">
        <v>381</v>
      </c>
      <c r="K1170" s="213" t="s">
        <v>535</v>
      </c>
      <c r="L1170" s="213" t="s">
        <v>552</v>
      </c>
      <c r="M1170" s="213" t="s">
        <v>382</v>
      </c>
      <c r="N1170" s="213"/>
      <c r="O1170" s="213"/>
      <c r="P1170" s="213"/>
      <c r="Q1170" s="213"/>
      <c r="R1170" s="213"/>
      <c r="S1170" s="213" t="s">
        <v>600</v>
      </c>
      <c r="T1170" s="213"/>
      <c r="U1170" s="213" t="s">
        <v>538</v>
      </c>
      <c r="V1170" s="213">
        <v>3</v>
      </c>
      <c r="W1170" s="213" t="s">
        <v>582</v>
      </c>
      <c r="X1170" s="213" t="s">
        <v>540</v>
      </c>
      <c r="Y1170" s="213" t="s">
        <v>575</v>
      </c>
      <c r="Z1170" s="212">
        <v>416894</v>
      </c>
      <c r="AA1170" s="212">
        <v>9270978</v>
      </c>
      <c r="AB1170" s="217">
        <v>0.73901600000000001</v>
      </c>
      <c r="AC1170" s="217">
        <v>1.189333</v>
      </c>
      <c r="AD1170" s="212">
        <f t="shared" si="18"/>
        <v>6851401.0776479999</v>
      </c>
    </row>
    <row r="1171" spans="2:30" x14ac:dyDescent="0.15">
      <c r="B1171" s="213">
        <v>17031004007</v>
      </c>
      <c r="C1171" s="213">
        <v>17031000791</v>
      </c>
      <c r="D1171" s="213">
        <v>17031004758</v>
      </c>
      <c r="E1171" s="213" t="s">
        <v>533</v>
      </c>
      <c r="F1171" s="213" t="s">
        <v>534</v>
      </c>
      <c r="G1171" s="213" t="s">
        <v>365</v>
      </c>
      <c r="H1171" s="213" t="s">
        <v>547</v>
      </c>
      <c r="I1171" s="213"/>
      <c r="J1171" s="213" t="s">
        <v>577</v>
      </c>
      <c r="K1171" s="213"/>
      <c r="L1171" s="213"/>
      <c r="M1171" s="213"/>
      <c r="N1171" s="213"/>
      <c r="O1171" s="213"/>
      <c r="P1171" s="213"/>
      <c r="Q1171" s="213"/>
      <c r="R1171" s="213"/>
      <c r="S1171" s="213" t="s">
        <v>581</v>
      </c>
      <c r="T1171" s="213"/>
      <c r="U1171" s="213" t="s">
        <v>538</v>
      </c>
      <c r="V1171" s="213">
        <v>2</v>
      </c>
      <c r="W1171" s="213" t="s">
        <v>582</v>
      </c>
      <c r="X1171" s="213" t="s">
        <v>540</v>
      </c>
      <c r="Y1171" s="213" t="s">
        <v>541</v>
      </c>
      <c r="Z1171" s="212">
        <v>0</v>
      </c>
      <c r="AA1171" s="212">
        <v>0</v>
      </c>
      <c r="AB1171" s="217">
        <v>0.16733799999999999</v>
      </c>
      <c r="AC1171" s="217">
        <v>0.26930500000000002</v>
      </c>
      <c r="AD1171" s="212">
        <f t="shared" si="18"/>
        <v>0</v>
      </c>
    </row>
    <row r="1172" spans="2:30" x14ac:dyDescent="0.15">
      <c r="B1172" s="213">
        <v>17031004024</v>
      </c>
      <c r="C1172" s="213">
        <v>17031001422</v>
      </c>
      <c r="D1172" s="213">
        <v>17031001421</v>
      </c>
      <c r="E1172" s="213" t="s">
        <v>533</v>
      </c>
      <c r="F1172" s="213" t="s">
        <v>534</v>
      </c>
      <c r="G1172" s="213" t="s">
        <v>365</v>
      </c>
      <c r="H1172" s="213" t="s">
        <v>535</v>
      </c>
      <c r="I1172" s="213"/>
      <c r="J1172" s="213" t="s">
        <v>542</v>
      </c>
      <c r="K1172" s="213" t="s">
        <v>543</v>
      </c>
      <c r="L1172" s="213" t="s">
        <v>382</v>
      </c>
      <c r="M1172" s="213" t="s">
        <v>552</v>
      </c>
      <c r="N1172" s="213"/>
      <c r="O1172" s="213"/>
      <c r="P1172" s="213"/>
      <c r="Q1172" s="213"/>
      <c r="R1172" s="213"/>
      <c r="S1172" s="213" t="s">
        <v>544</v>
      </c>
      <c r="T1172" s="213" t="s">
        <v>621</v>
      </c>
      <c r="U1172" s="213" t="s">
        <v>538</v>
      </c>
      <c r="V1172" s="213">
        <v>2</v>
      </c>
      <c r="W1172" s="213" t="s">
        <v>545</v>
      </c>
      <c r="X1172" s="213" t="s">
        <v>549</v>
      </c>
      <c r="Y1172" s="213" t="s">
        <v>546</v>
      </c>
      <c r="Z1172" s="212">
        <v>605237</v>
      </c>
      <c r="AA1172" s="212">
        <v>24243811</v>
      </c>
      <c r="AB1172" s="217">
        <v>0.154305</v>
      </c>
      <c r="AC1172" s="217">
        <v>0.24833</v>
      </c>
      <c r="AD1172" s="212">
        <f t="shared" si="18"/>
        <v>3740941.2563549997</v>
      </c>
    </row>
    <row r="1173" spans="2:30" x14ac:dyDescent="0.15">
      <c r="B1173" s="213">
        <v>17031004029</v>
      </c>
      <c r="C1173" s="213">
        <v>17031000471</v>
      </c>
      <c r="D1173" s="213">
        <v>17031000480</v>
      </c>
      <c r="E1173" s="213" t="s">
        <v>533</v>
      </c>
      <c r="F1173" s="213" t="s">
        <v>534</v>
      </c>
      <c r="G1173" s="213" t="s">
        <v>365</v>
      </c>
      <c r="H1173" s="213" t="s">
        <v>590</v>
      </c>
      <c r="I1173" s="213"/>
      <c r="J1173" s="213"/>
      <c r="K1173" s="213"/>
      <c r="L1173" s="213"/>
      <c r="M1173" s="213"/>
      <c r="N1173" s="213"/>
      <c r="O1173" s="213"/>
      <c r="P1173" s="213"/>
      <c r="Q1173" s="213"/>
      <c r="R1173" s="213"/>
      <c r="S1173" s="213"/>
      <c r="T1173" s="213"/>
      <c r="U1173" s="213" t="s">
        <v>559</v>
      </c>
      <c r="V1173" s="213">
        <v>1</v>
      </c>
      <c r="W1173" s="213" t="s">
        <v>560</v>
      </c>
      <c r="X1173" s="213" t="s">
        <v>541</v>
      </c>
      <c r="Y1173" s="213" t="s">
        <v>541</v>
      </c>
      <c r="Z1173" s="212">
        <v>0</v>
      </c>
      <c r="AA1173" s="212">
        <v>0</v>
      </c>
      <c r="AB1173" s="217">
        <v>0.13963400000000001</v>
      </c>
      <c r="AC1173" s="217">
        <v>0.224719</v>
      </c>
      <c r="AD1173" s="212">
        <f t="shared" si="18"/>
        <v>0</v>
      </c>
    </row>
    <row r="1174" spans="2:30" x14ac:dyDescent="0.15">
      <c r="B1174" s="213">
        <v>17031004045</v>
      </c>
      <c r="C1174" s="213">
        <v>17031001391</v>
      </c>
      <c r="D1174" s="213">
        <v>17031001397</v>
      </c>
      <c r="E1174" s="213" t="s">
        <v>533</v>
      </c>
      <c r="F1174" s="213" t="s">
        <v>534</v>
      </c>
      <c r="G1174" s="213" t="s">
        <v>365</v>
      </c>
      <c r="H1174" s="213" t="s">
        <v>551</v>
      </c>
      <c r="I1174" s="213"/>
      <c r="J1174" s="213"/>
      <c r="K1174" s="213"/>
      <c r="L1174" s="213"/>
      <c r="M1174" s="213"/>
      <c r="N1174" s="213"/>
      <c r="O1174" s="213"/>
      <c r="P1174" s="213"/>
      <c r="Q1174" s="213"/>
      <c r="R1174" s="213"/>
      <c r="S1174" s="213" t="s">
        <v>603</v>
      </c>
      <c r="T1174" s="213"/>
      <c r="U1174" s="213" t="s">
        <v>538</v>
      </c>
      <c r="V1174" s="213">
        <v>1</v>
      </c>
      <c r="W1174" s="213" t="s">
        <v>545</v>
      </c>
      <c r="X1174" s="213" t="s">
        <v>554</v>
      </c>
      <c r="Y1174" s="213" t="s">
        <v>575</v>
      </c>
      <c r="Z1174" s="212">
        <v>1671878</v>
      </c>
      <c r="AA1174" s="212">
        <v>66618044</v>
      </c>
      <c r="AB1174" s="217">
        <v>0.124469</v>
      </c>
      <c r="AC1174" s="217">
        <v>0.20031399999999999</v>
      </c>
      <c r="AD1174" s="212">
        <f t="shared" si="18"/>
        <v>8291881.3186360002</v>
      </c>
    </row>
    <row r="1175" spans="2:30" x14ac:dyDescent="0.15">
      <c r="B1175" s="213">
        <v>17031004050</v>
      </c>
      <c r="C1175" s="213">
        <v>17031000714</v>
      </c>
      <c r="D1175" s="213">
        <v>17031000698</v>
      </c>
      <c r="E1175" s="213" t="s">
        <v>533</v>
      </c>
      <c r="F1175" s="213" t="s">
        <v>534</v>
      </c>
      <c r="G1175" s="213" t="s">
        <v>365</v>
      </c>
      <c r="H1175" s="213" t="s">
        <v>535</v>
      </c>
      <c r="I1175" s="213"/>
      <c r="J1175" s="213" t="s">
        <v>542</v>
      </c>
      <c r="K1175" s="213" t="s">
        <v>572</v>
      </c>
      <c r="L1175" s="213" t="s">
        <v>547</v>
      </c>
      <c r="M1175" s="213" t="s">
        <v>382</v>
      </c>
      <c r="N1175" s="213"/>
      <c r="O1175" s="213"/>
      <c r="P1175" s="213"/>
      <c r="Q1175" s="213"/>
      <c r="R1175" s="213"/>
      <c r="S1175" s="213" t="s">
        <v>624</v>
      </c>
      <c r="T1175" s="213"/>
      <c r="U1175" s="213" t="s">
        <v>538</v>
      </c>
      <c r="V1175" s="213">
        <v>2</v>
      </c>
      <c r="W1175" s="213" t="s">
        <v>545</v>
      </c>
      <c r="X1175" s="213" t="s">
        <v>554</v>
      </c>
      <c r="Y1175" s="213" t="s">
        <v>549</v>
      </c>
      <c r="Z1175" s="212">
        <v>2212</v>
      </c>
      <c r="AA1175" s="212">
        <v>203360</v>
      </c>
      <c r="AB1175" s="217">
        <v>0.45135799999999998</v>
      </c>
      <c r="AC1175" s="217">
        <v>0.72639200000000004</v>
      </c>
      <c r="AD1175" s="212">
        <f t="shared" si="18"/>
        <v>91788.162880000003</v>
      </c>
    </row>
    <row r="1176" spans="2:30" x14ac:dyDescent="0.15">
      <c r="B1176" s="213">
        <v>17031004064</v>
      </c>
      <c r="C1176" s="213">
        <v>17031000799</v>
      </c>
      <c r="D1176" s="213">
        <v>17031000810</v>
      </c>
      <c r="E1176" s="213" t="s">
        <v>533</v>
      </c>
      <c r="F1176" s="213" t="s">
        <v>534</v>
      </c>
      <c r="G1176" s="213" t="s">
        <v>365</v>
      </c>
      <c r="H1176" s="213" t="s">
        <v>543</v>
      </c>
      <c r="I1176" s="213"/>
      <c r="J1176" s="213" t="s">
        <v>382</v>
      </c>
      <c r="K1176" s="213"/>
      <c r="L1176" s="213"/>
      <c r="M1176" s="213"/>
      <c r="N1176" s="213"/>
      <c r="O1176" s="213"/>
      <c r="P1176" s="213"/>
      <c r="Q1176" s="213"/>
      <c r="R1176" s="213"/>
      <c r="S1176" s="213" t="s">
        <v>639</v>
      </c>
      <c r="T1176" s="213"/>
      <c r="U1176" s="213" t="s">
        <v>538</v>
      </c>
      <c r="V1176" s="213">
        <v>2</v>
      </c>
      <c r="W1176" s="213" t="s">
        <v>560</v>
      </c>
      <c r="X1176" s="213" t="s">
        <v>541</v>
      </c>
      <c r="Y1176" s="213" t="s">
        <v>549</v>
      </c>
      <c r="Z1176" s="212">
        <v>2548047</v>
      </c>
      <c r="AA1176" s="212">
        <v>66187127</v>
      </c>
      <c r="AB1176" s="217">
        <v>0.26181599999999999</v>
      </c>
      <c r="AC1176" s="217">
        <v>0.421352</v>
      </c>
      <c r="AD1176" s="212">
        <f t="shared" si="18"/>
        <v>17328848.842631999</v>
      </c>
    </row>
    <row r="1177" spans="2:30" x14ac:dyDescent="0.15">
      <c r="B1177" s="213">
        <v>17031004069</v>
      </c>
      <c r="C1177" s="213">
        <v>17031000438</v>
      </c>
      <c r="D1177" s="213">
        <v>17031000435</v>
      </c>
      <c r="E1177" s="213" t="s">
        <v>533</v>
      </c>
      <c r="F1177" s="213" t="s">
        <v>534</v>
      </c>
      <c r="G1177" s="213" t="s">
        <v>365</v>
      </c>
      <c r="H1177" s="213" t="s">
        <v>535</v>
      </c>
      <c r="I1177" s="213"/>
      <c r="J1177" s="213"/>
      <c r="K1177" s="213"/>
      <c r="L1177" s="213"/>
      <c r="M1177" s="213"/>
      <c r="N1177" s="213"/>
      <c r="O1177" s="213"/>
      <c r="P1177" s="213"/>
      <c r="Q1177" s="213"/>
      <c r="R1177" s="213"/>
      <c r="S1177" s="213" t="s">
        <v>548</v>
      </c>
      <c r="T1177" s="213"/>
      <c r="U1177" s="213" t="s">
        <v>538</v>
      </c>
      <c r="V1177" s="213">
        <v>1</v>
      </c>
      <c r="W1177" s="213" t="s">
        <v>545</v>
      </c>
      <c r="X1177" s="213" t="s">
        <v>554</v>
      </c>
      <c r="Y1177" s="213" t="s">
        <v>546</v>
      </c>
      <c r="Z1177" s="212">
        <v>662317</v>
      </c>
      <c r="AA1177" s="212">
        <v>30356922</v>
      </c>
      <c r="AB1177" s="217">
        <v>0.220662</v>
      </c>
      <c r="AC1177" s="217">
        <v>0.35512199999999999</v>
      </c>
      <c r="AD1177" s="212">
        <f t="shared" si="18"/>
        <v>6698619.1223639995</v>
      </c>
    </row>
    <row r="1178" spans="2:30" x14ac:dyDescent="0.15">
      <c r="B1178" s="213">
        <v>17031004073</v>
      </c>
      <c r="C1178" s="213">
        <v>17031000623</v>
      </c>
      <c r="D1178" s="213">
        <v>17031000622</v>
      </c>
      <c r="E1178" s="213" t="s">
        <v>533</v>
      </c>
      <c r="F1178" s="213" t="s">
        <v>534</v>
      </c>
      <c r="G1178" s="213" t="s">
        <v>365</v>
      </c>
      <c r="H1178" s="213" t="s">
        <v>551</v>
      </c>
      <c r="I1178" s="213"/>
      <c r="J1178" s="213" t="s">
        <v>535</v>
      </c>
      <c r="K1178" s="213"/>
      <c r="L1178" s="213"/>
      <c r="M1178" s="213"/>
      <c r="N1178" s="213"/>
      <c r="O1178" s="213"/>
      <c r="P1178" s="213"/>
      <c r="Q1178" s="213"/>
      <c r="R1178" s="213"/>
      <c r="S1178" s="213" t="s">
        <v>667</v>
      </c>
      <c r="T1178" s="213"/>
      <c r="U1178" s="213" t="s">
        <v>538</v>
      </c>
      <c r="V1178" s="213">
        <v>2</v>
      </c>
      <c r="W1178" s="213" t="s">
        <v>582</v>
      </c>
      <c r="X1178" s="213" t="s">
        <v>541</v>
      </c>
      <c r="Y1178" s="213" t="s">
        <v>541</v>
      </c>
      <c r="Z1178" s="212">
        <v>0</v>
      </c>
      <c r="AA1178" s="212">
        <v>0</v>
      </c>
      <c r="AB1178" s="217">
        <v>4.9210999999999998E-2</v>
      </c>
      <c r="AC1178" s="217">
        <v>7.9197000000000004E-2</v>
      </c>
      <c r="AD1178" s="212">
        <f t="shared" si="18"/>
        <v>0</v>
      </c>
    </row>
    <row r="1179" spans="2:30" x14ac:dyDescent="0.15">
      <c r="B1179" s="213">
        <v>17031004075</v>
      </c>
      <c r="C1179" s="213">
        <v>17031000571</v>
      </c>
      <c r="D1179" s="213">
        <v>17031000560</v>
      </c>
      <c r="E1179" s="213" t="s">
        <v>533</v>
      </c>
      <c r="F1179" s="213" t="s">
        <v>534</v>
      </c>
      <c r="G1179" s="213" t="s">
        <v>365</v>
      </c>
      <c r="H1179" s="213" t="s">
        <v>382</v>
      </c>
      <c r="I1179" s="213"/>
      <c r="J1179" s="213" t="s">
        <v>547</v>
      </c>
      <c r="K1179" s="213"/>
      <c r="L1179" s="213"/>
      <c r="M1179" s="213"/>
      <c r="N1179" s="213"/>
      <c r="O1179" s="213"/>
      <c r="P1179" s="213"/>
      <c r="Q1179" s="213"/>
      <c r="R1179" s="213"/>
      <c r="S1179" s="213"/>
      <c r="T1179" s="213" t="s">
        <v>674</v>
      </c>
      <c r="U1179" s="213" t="s">
        <v>559</v>
      </c>
      <c r="V1179" s="213">
        <v>1</v>
      </c>
      <c r="W1179" s="213" t="s">
        <v>539</v>
      </c>
      <c r="X1179" s="213" t="s">
        <v>541</v>
      </c>
      <c r="Y1179" s="213" t="s">
        <v>541</v>
      </c>
      <c r="Z1179" s="212">
        <v>0</v>
      </c>
      <c r="AA1179" s="212">
        <v>0</v>
      </c>
      <c r="AB1179" s="217">
        <v>0.48395700000000003</v>
      </c>
      <c r="AC1179" s="217">
        <v>0.77885400000000005</v>
      </c>
      <c r="AD1179" s="212">
        <f t="shared" si="18"/>
        <v>0</v>
      </c>
    </row>
    <row r="1180" spans="2:30" x14ac:dyDescent="0.15">
      <c r="B1180" s="213">
        <v>17031004088</v>
      </c>
      <c r="C1180" s="213">
        <v>17031004663</v>
      </c>
      <c r="D1180" s="213">
        <v>17031000741</v>
      </c>
      <c r="E1180" s="213" t="s">
        <v>533</v>
      </c>
      <c r="F1180" s="213" t="s">
        <v>534</v>
      </c>
      <c r="G1180" s="213" t="s">
        <v>365</v>
      </c>
      <c r="H1180" s="213" t="s">
        <v>381</v>
      </c>
      <c r="I1180" s="213"/>
      <c r="J1180" s="213" t="s">
        <v>542</v>
      </c>
      <c r="K1180" s="213" t="s">
        <v>547</v>
      </c>
      <c r="L1180" s="213" t="s">
        <v>382</v>
      </c>
      <c r="M1180" s="213"/>
      <c r="N1180" s="213"/>
      <c r="O1180" s="213"/>
      <c r="P1180" s="213"/>
      <c r="Q1180" s="213"/>
      <c r="R1180" s="213"/>
      <c r="S1180" s="213" t="s">
        <v>579</v>
      </c>
      <c r="T1180" s="213"/>
      <c r="U1180" s="213" t="s">
        <v>538</v>
      </c>
      <c r="V1180" s="213">
        <v>3</v>
      </c>
      <c r="W1180" s="213" t="s">
        <v>545</v>
      </c>
      <c r="X1180" s="213" t="s">
        <v>549</v>
      </c>
      <c r="Y1180" s="213" t="s">
        <v>580</v>
      </c>
      <c r="Z1180" s="212">
        <v>2414957</v>
      </c>
      <c r="AA1180" s="212">
        <v>66249232</v>
      </c>
      <c r="AB1180" s="217">
        <v>0.19159300000000001</v>
      </c>
      <c r="AC1180" s="217">
        <v>0.30833899999999997</v>
      </c>
      <c r="AD1180" s="212">
        <f t="shared" si="18"/>
        <v>12692889.106576001</v>
      </c>
    </row>
    <row r="1181" spans="2:30" x14ac:dyDescent="0.15">
      <c r="B1181" s="213">
        <v>17031004195</v>
      </c>
      <c r="C1181" s="213">
        <v>17031000478</v>
      </c>
      <c r="D1181" s="213">
        <v>17031004611</v>
      </c>
      <c r="E1181" s="213" t="s">
        <v>533</v>
      </c>
      <c r="F1181" s="213" t="s">
        <v>534</v>
      </c>
      <c r="G1181" s="213" t="s">
        <v>365</v>
      </c>
      <c r="H1181" s="213" t="s">
        <v>382</v>
      </c>
      <c r="I1181" s="213"/>
      <c r="J1181" s="213" t="s">
        <v>547</v>
      </c>
      <c r="K1181" s="213"/>
      <c r="L1181" s="213"/>
      <c r="M1181" s="213"/>
      <c r="N1181" s="213"/>
      <c r="O1181" s="213"/>
      <c r="P1181" s="213"/>
      <c r="Q1181" s="213"/>
      <c r="R1181" s="213"/>
      <c r="S1181" s="213" t="s">
        <v>608</v>
      </c>
      <c r="T1181" s="213"/>
      <c r="U1181" s="213" t="s">
        <v>538</v>
      </c>
      <c r="V1181" s="213">
        <v>3</v>
      </c>
      <c r="W1181" s="213" t="s">
        <v>566</v>
      </c>
      <c r="X1181" s="213" t="s">
        <v>540</v>
      </c>
      <c r="Y1181" s="213" t="s">
        <v>541</v>
      </c>
      <c r="Z1181" s="212">
        <v>0</v>
      </c>
      <c r="AA1181" s="212">
        <v>0</v>
      </c>
      <c r="AB1181" s="217">
        <v>0.14677100000000001</v>
      </c>
      <c r="AC1181" s="217">
        <v>0.236205</v>
      </c>
      <c r="AD1181" s="212">
        <f t="shared" si="18"/>
        <v>0</v>
      </c>
    </row>
    <row r="1182" spans="2:30" x14ac:dyDescent="0.15">
      <c r="B1182" s="213">
        <v>17031004199</v>
      </c>
      <c r="C1182" s="213">
        <v>17031000322</v>
      </c>
      <c r="D1182" s="213">
        <v>17031000326</v>
      </c>
      <c r="E1182" s="213" t="s">
        <v>533</v>
      </c>
      <c r="F1182" s="213" t="s">
        <v>534</v>
      </c>
      <c r="G1182" s="213" t="s">
        <v>365</v>
      </c>
      <c r="H1182" s="213" t="s">
        <v>590</v>
      </c>
      <c r="I1182" s="213"/>
      <c r="J1182" s="213"/>
      <c r="K1182" s="213"/>
      <c r="L1182" s="213"/>
      <c r="M1182" s="213"/>
      <c r="N1182" s="213"/>
      <c r="O1182" s="213"/>
      <c r="P1182" s="213"/>
      <c r="Q1182" s="213"/>
      <c r="R1182" s="213"/>
      <c r="S1182" s="213"/>
      <c r="T1182" s="213"/>
      <c r="U1182" s="213" t="s">
        <v>559</v>
      </c>
      <c r="V1182" s="213">
        <v>1</v>
      </c>
      <c r="W1182" s="213" t="s">
        <v>560</v>
      </c>
      <c r="X1182" s="213" t="s">
        <v>541</v>
      </c>
      <c r="Y1182" s="213" t="s">
        <v>541</v>
      </c>
      <c r="Z1182" s="212">
        <v>0</v>
      </c>
      <c r="AA1182" s="212">
        <v>0</v>
      </c>
      <c r="AB1182" s="217">
        <v>0.89599899999999999</v>
      </c>
      <c r="AC1182" s="217">
        <v>1.4419729999999999</v>
      </c>
      <c r="AD1182" s="212">
        <f t="shared" si="18"/>
        <v>0</v>
      </c>
    </row>
    <row r="1183" spans="2:30" x14ac:dyDescent="0.15">
      <c r="B1183" s="213">
        <v>17031004204</v>
      </c>
      <c r="C1183" s="213">
        <v>17031000339</v>
      </c>
      <c r="D1183" s="213">
        <v>17031000351</v>
      </c>
      <c r="E1183" s="213" t="s">
        <v>533</v>
      </c>
      <c r="F1183" s="213" t="s">
        <v>534</v>
      </c>
      <c r="G1183" s="213" t="s">
        <v>365</v>
      </c>
      <c r="H1183" s="213" t="s">
        <v>590</v>
      </c>
      <c r="I1183" s="213"/>
      <c r="J1183" s="213"/>
      <c r="K1183" s="213"/>
      <c r="L1183" s="213"/>
      <c r="M1183" s="213"/>
      <c r="N1183" s="213"/>
      <c r="O1183" s="213"/>
      <c r="P1183" s="213"/>
      <c r="Q1183" s="213"/>
      <c r="R1183" s="213"/>
      <c r="S1183" s="213"/>
      <c r="T1183" s="213"/>
      <c r="U1183" s="213" t="s">
        <v>559</v>
      </c>
      <c r="V1183" s="213">
        <v>1</v>
      </c>
      <c r="W1183" s="213" t="s">
        <v>560</v>
      </c>
      <c r="X1183" s="213" t="s">
        <v>541</v>
      </c>
      <c r="Y1183" s="213" t="s">
        <v>541</v>
      </c>
      <c r="Z1183" s="212">
        <v>0</v>
      </c>
      <c r="AA1183" s="212">
        <v>0</v>
      </c>
      <c r="AB1183" s="217">
        <v>0.686087</v>
      </c>
      <c r="AC1183" s="217">
        <v>1.1041529999999999</v>
      </c>
      <c r="AD1183" s="212">
        <f t="shared" si="18"/>
        <v>0</v>
      </c>
    </row>
    <row r="1184" spans="2:30" x14ac:dyDescent="0.15">
      <c r="B1184" s="213">
        <v>17031004205</v>
      </c>
      <c r="C1184" s="213">
        <v>17031000348</v>
      </c>
      <c r="D1184" s="213">
        <v>17031000351</v>
      </c>
      <c r="E1184" s="213" t="s">
        <v>533</v>
      </c>
      <c r="F1184" s="213" t="s">
        <v>534</v>
      </c>
      <c r="G1184" s="213" t="s">
        <v>365</v>
      </c>
      <c r="H1184" s="213" t="s">
        <v>590</v>
      </c>
      <c r="I1184" s="213"/>
      <c r="J1184" s="213"/>
      <c r="K1184" s="213"/>
      <c r="L1184" s="213"/>
      <c r="M1184" s="213"/>
      <c r="N1184" s="213"/>
      <c r="O1184" s="213"/>
      <c r="P1184" s="213"/>
      <c r="Q1184" s="213"/>
      <c r="R1184" s="213"/>
      <c r="S1184" s="213"/>
      <c r="T1184" s="213"/>
      <c r="U1184" s="213" t="s">
        <v>559</v>
      </c>
      <c r="V1184" s="213">
        <v>1</v>
      </c>
      <c r="W1184" s="213" t="s">
        <v>560</v>
      </c>
      <c r="X1184" s="213" t="s">
        <v>541</v>
      </c>
      <c r="Y1184" s="213" t="s">
        <v>541</v>
      </c>
      <c r="Z1184" s="212">
        <v>0</v>
      </c>
      <c r="AA1184" s="212">
        <v>0</v>
      </c>
      <c r="AB1184" s="217">
        <v>0.18109</v>
      </c>
      <c r="AC1184" s="217">
        <v>0.29143599999999997</v>
      </c>
      <c r="AD1184" s="212">
        <f t="shared" si="18"/>
        <v>0</v>
      </c>
    </row>
    <row r="1185" spans="2:30" x14ac:dyDescent="0.15">
      <c r="B1185" s="213">
        <v>17031004206</v>
      </c>
      <c r="C1185" s="213">
        <v>17031000332</v>
      </c>
      <c r="D1185" s="213">
        <v>17031000348</v>
      </c>
      <c r="E1185" s="213" t="s">
        <v>533</v>
      </c>
      <c r="F1185" s="213" t="s">
        <v>534</v>
      </c>
      <c r="G1185" s="213" t="s">
        <v>365</v>
      </c>
      <c r="H1185" s="213" t="s">
        <v>590</v>
      </c>
      <c r="I1185" s="213"/>
      <c r="J1185" s="213"/>
      <c r="K1185" s="213"/>
      <c r="L1185" s="213"/>
      <c r="M1185" s="213"/>
      <c r="N1185" s="213"/>
      <c r="O1185" s="213"/>
      <c r="P1185" s="213"/>
      <c r="Q1185" s="213"/>
      <c r="R1185" s="213"/>
      <c r="S1185" s="213"/>
      <c r="T1185" s="213"/>
      <c r="U1185" s="213" t="s">
        <v>559</v>
      </c>
      <c r="V1185" s="213">
        <v>1</v>
      </c>
      <c r="W1185" s="213" t="s">
        <v>560</v>
      </c>
      <c r="X1185" s="213" t="s">
        <v>541</v>
      </c>
      <c r="Y1185" s="213" t="s">
        <v>541</v>
      </c>
      <c r="Z1185" s="212">
        <v>0</v>
      </c>
      <c r="AA1185" s="212">
        <v>0</v>
      </c>
      <c r="AB1185" s="217">
        <v>0.19484599999999999</v>
      </c>
      <c r="AC1185" s="217">
        <v>0.31357499999999999</v>
      </c>
      <c r="AD1185" s="212">
        <f t="shared" si="18"/>
        <v>0</v>
      </c>
    </row>
    <row r="1186" spans="2:30" x14ac:dyDescent="0.15">
      <c r="B1186" s="213">
        <v>17031004210</v>
      </c>
      <c r="C1186" s="213">
        <v>17031000347</v>
      </c>
      <c r="D1186" s="213">
        <v>17031000345</v>
      </c>
      <c r="E1186" s="213" t="s">
        <v>533</v>
      </c>
      <c r="F1186" s="213" t="s">
        <v>534</v>
      </c>
      <c r="G1186" s="213" t="s">
        <v>365</v>
      </c>
      <c r="H1186" s="213" t="s">
        <v>590</v>
      </c>
      <c r="I1186" s="213"/>
      <c r="J1186" s="213"/>
      <c r="K1186" s="213"/>
      <c r="L1186" s="213"/>
      <c r="M1186" s="213"/>
      <c r="N1186" s="213"/>
      <c r="O1186" s="213"/>
      <c r="P1186" s="213"/>
      <c r="Q1186" s="213"/>
      <c r="R1186" s="213"/>
      <c r="S1186" s="213"/>
      <c r="T1186" s="213"/>
      <c r="U1186" s="213" t="s">
        <v>559</v>
      </c>
      <c r="V1186" s="213">
        <v>1</v>
      </c>
      <c r="W1186" s="213" t="s">
        <v>560</v>
      </c>
      <c r="X1186" s="213" t="s">
        <v>541</v>
      </c>
      <c r="Y1186" s="213" t="s">
        <v>541</v>
      </c>
      <c r="Z1186" s="212">
        <v>0</v>
      </c>
      <c r="AA1186" s="212">
        <v>0</v>
      </c>
      <c r="AB1186" s="217">
        <v>0.67853200000000002</v>
      </c>
      <c r="AC1186" s="217">
        <v>1.0919939999999999</v>
      </c>
      <c r="AD1186" s="212">
        <f t="shared" si="18"/>
        <v>0</v>
      </c>
    </row>
    <row r="1187" spans="2:30" x14ac:dyDescent="0.15">
      <c r="B1187" s="213">
        <v>17031004226</v>
      </c>
      <c r="C1187" s="213">
        <v>17031001059</v>
      </c>
      <c r="D1187" s="213">
        <v>17031001042</v>
      </c>
      <c r="E1187" s="213" t="s">
        <v>533</v>
      </c>
      <c r="F1187" s="213" t="s">
        <v>534</v>
      </c>
      <c r="G1187" s="213" t="s">
        <v>365</v>
      </c>
      <c r="H1187" s="213" t="s">
        <v>381</v>
      </c>
      <c r="I1187" s="213"/>
      <c r="J1187" s="213" t="s">
        <v>551</v>
      </c>
      <c r="K1187" s="213" t="s">
        <v>543</v>
      </c>
      <c r="L1187" s="213" t="s">
        <v>382</v>
      </c>
      <c r="M1187" s="213"/>
      <c r="N1187" s="213"/>
      <c r="O1187" s="213"/>
      <c r="P1187" s="213"/>
      <c r="Q1187" s="213"/>
      <c r="R1187" s="213"/>
      <c r="S1187" s="213" t="s">
        <v>647</v>
      </c>
      <c r="T1187" s="213" t="s">
        <v>648</v>
      </c>
      <c r="U1187" s="213" t="s">
        <v>538</v>
      </c>
      <c r="V1187" s="213">
        <v>2</v>
      </c>
      <c r="W1187" s="213" t="s">
        <v>545</v>
      </c>
      <c r="X1187" s="213" t="s">
        <v>549</v>
      </c>
      <c r="Y1187" s="213" t="s">
        <v>580</v>
      </c>
      <c r="Z1187" s="212">
        <v>390262</v>
      </c>
      <c r="AA1187" s="212">
        <v>18299146</v>
      </c>
      <c r="AB1187" s="217">
        <v>1.9041220000000001</v>
      </c>
      <c r="AC1187" s="217">
        <v>3.0643940000000001</v>
      </c>
      <c r="AD1187" s="212">
        <f t="shared" si="18"/>
        <v>34843806.479812004</v>
      </c>
    </row>
    <row r="1188" spans="2:30" x14ac:dyDescent="0.15">
      <c r="B1188" s="213">
        <v>17031004230</v>
      </c>
      <c r="C1188" s="213">
        <v>17031001133</v>
      </c>
      <c r="D1188" s="213">
        <v>17031001138</v>
      </c>
      <c r="E1188" s="213" t="s">
        <v>533</v>
      </c>
      <c r="F1188" s="213" t="s">
        <v>534</v>
      </c>
      <c r="G1188" s="213" t="s">
        <v>365</v>
      </c>
      <c r="H1188" s="213" t="s">
        <v>577</v>
      </c>
      <c r="I1188" s="213"/>
      <c r="J1188" s="213"/>
      <c r="K1188" s="213"/>
      <c r="L1188" s="213"/>
      <c r="M1188" s="213"/>
      <c r="N1188" s="213"/>
      <c r="O1188" s="213"/>
      <c r="P1188" s="213"/>
      <c r="Q1188" s="213"/>
      <c r="R1188" s="213"/>
      <c r="S1188" s="213"/>
      <c r="T1188" s="213" t="s">
        <v>641</v>
      </c>
      <c r="U1188" s="213" t="s">
        <v>538</v>
      </c>
      <c r="V1188" s="213">
        <v>1</v>
      </c>
      <c r="W1188" s="213" t="s">
        <v>560</v>
      </c>
      <c r="X1188" s="213" t="s">
        <v>541</v>
      </c>
      <c r="Y1188" s="213" t="s">
        <v>541</v>
      </c>
      <c r="Z1188" s="212">
        <v>0</v>
      </c>
      <c r="AA1188" s="212">
        <v>0</v>
      </c>
      <c r="AB1188" s="217">
        <v>0.44801000000000002</v>
      </c>
      <c r="AC1188" s="217">
        <v>0.72100299999999995</v>
      </c>
      <c r="AD1188" s="212">
        <f t="shared" si="18"/>
        <v>0</v>
      </c>
    </row>
    <row r="1189" spans="2:30" x14ac:dyDescent="0.15">
      <c r="B1189" s="213">
        <v>17031004241</v>
      </c>
      <c r="C1189" s="213">
        <v>17031001164</v>
      </c>
      <c r="D1189" s="213">
        <v>17031001153</v>
      </c>
      <c r="E1189" s="213" t="s">
        <v>533</v>
      </c>
      <c r="F1189" s="213" t="s">
        <v>534</v>
      </c>
      <c r="G1189" s="213" t="s">
        <v>365</v>
      </c>
      <c r="H1189" s="213" t="s">
        <v>547</v>
      </c>
      <c r="I1189" s="213"/>
      <c r="J1189" s="213" t="s">
        <v>543</v>
      </c>
      <c r="K1189" s="213"/>
      <c r="L1189" s="213"/>
      <c r="M1189" s="213"/>
      <c r="N1189" s="213"/>
      <c r="O1189" s="213"/>
      <c r="P1189" s="213"/>
      <c r="Q1189" s="213"/>
      <c r="R1189" s="213"/>
      <c r="S1189" s="213" t="s">
        <v>602</v>
      </c>
      <c r="T1189" s="213"/>
      <c r="U1189" s="213" t="s">
        <v>538</v>
      </c>
      <c r="V1189" s="213">
        <v>2</v>
      </c>
      <c r="W1189" s="213" t="s">
        <v>582</v>
      </c>
      <c r="X1189" s="213" t="s">
        <v>540</v>
      </c>
      <c r="Y1189" s="213" t="s">
        <v>541</v>
      </c>
      <c r="Z1189" s="212">
        <v>480</v>
      </c>
      <c r="AA1189" s="212">
        <v>35280</v>
      </c>
      <c r="AB1189" s="217">
        <v>0.21712600000000001</v>
      </c>
      <c r="AC1189" s="217">
        <v>0.34943200000000002</v>
      </c>
      <c r="AD1189" s="212">
        <f t="shared" si="18"/>
        <v>7660.2052800000001</v>
      </c>
    </row>
    <row r="1190" spans="2:30" x14ac:dyDescent="0.15">
      <c r="B1190" s="213">
        <v>17031004252</v>
      </c>
      <c r="C1190" s="213">
        <v>17031007626</v>
      </c>
      <c r="D1190" s="213">
        <v>17031001549</v>
      </c>
      <c r="E1190" s="213" t="s">
        <v>533</v>
      </c>
      <c r="F1190" s="213" t="s">
        <v>534</v>
      </c>
      <c r="G1190" s="213" t="s">
        <v>365</v>
      </c>
      <c r="H1190" s="213" t="s">
        <v>382</v>
      </c>
      <c r="I1190" s="213"/>
      <c r="J1190" s="213"/>
      <c r="K1190" s="213"/>
      <c r="L1190" s="213"/>
      <c r="M1190" s="213"/>
      <c r="N1190" s="213"/>
      <c r="O1190" s="213"/>
      <c r="P1190" s="213"/>
      <c r="Q1190" s="213"/>
      <c r="R1190" s="213"/>
      <c r="S1190" s="213" t="s">
        <v>576</v>
      </c>
      <c r="T1190" s="213"/>
      <c r="U1190" s="213" t="s">
        <v>559</v>
      </c>
      <c r="V1190" s="213">
        <v>1</v>
      </c>
      <c r="W1190" s="213" t="s">
        <v>560</v>
      </c>
      <c r="X1190" s="213" t="s">
        <v>541</v>
      </c>
      <c r="Y1190" s="213" t="s">
        <v>541</v>
      </c>
      <c r="Z1190" s="212">
        <v>0</v>
      </c>
      <c r="AA1190" s="212">
        <v>0</v>
      </c>
      <c r="AB1190" s="217">
        <v>0.34805199999999997</v>
      </c>
      <c r="AC1190" s="217">
        <v>0.560137</v>
      </c>
      <c r="AD1190" s="212">
        <f t="shared" si="18"/>
        <v>0</v>
      </c>
    </row>
    <row r="1191" spans="2:30" x14ac:dyDescent="0.15">
      <c r="B1191" s="213">
        <v>17031004253</v>
      </c>
      <c r="C1191" s="213">
        <v>17031001528</v>
      </c>
      <c r="D1191" s="213">
        <v>17031001550</v>
      </c>
      <c r="E1191" s="213" t="s">
        <v>533</v>
      </c>
      <c r="F1191" s="213" t="s">
        <v>534</v>
      </c>
      <c r="G1191" s="213" t="s">
        <v>365</v>
      </c>
      <c r="H1191" s="213" t="s">
        <v>382</v>
      </c>
      <c r="I1191" s="213"/>
      <c r="J1191" s="213"/>
      <c r="K1191" s="213"/>
      <c r="L1191" s="213"/>
      <c r="M1191" s="213"/>
      <c r="N1191" s="213"/>
      <c r="O1191" s="213"/>
      <c r="P1191" s="213"/>
      <c r="Q1191" s="213"/>
      <c r="R1191" s="213"/>
      <c r="S1191" s="213" t="s">
        <v>576</v>
      </c>
      <c r="T1191" s="213"/>
      <c r="U1191" s="213" t="s">
        <v>559</v>
      </c>
      <c r="V1191" s="213">
        <v>1</v>
      </c>
      <c r="W1191" s="213" t="s">
        <v>560</v>
      </c>
      <c r="X1191" s="213" t="s">
        <v>541</v>
      </c>
      <c r="Y1191" s="213" t="s">
        <v>541</v>
      </c>
      <c r="Z1191" s="212">
        <v>0</v>
      </c>
      <c r="AA1191" s="212">
        <v>0</v>
      </c>
      <c r="AB1191" s="217">
        <v>0.94484599999999996</v>
      </c>
      <c r="AC1191" s="217">
        <v>1.520586</v>
      </c>
      <c r="AD1191" s="212">
        <f t="shared" si="18"/>
        <v>0</v>
      </c>
    </row>
    <row r="1192" spans="2:30" x14ac:dyDescent="0.15">
      <c r="B1192" s="213">
        <v>17031004258</v>
      </c>
      <c r="C1192" s="213">
        <v>17031004618</v>
      </c>
      <c r="D1192" s="213">
        <v>17031004617</v>
      </c>
      <c r="E1192" s="213" t="s">
        <v>533</v>
      </c>
      <c r="F1192" s="213" t="s">
        <v>534</v>
      </c>
      <c r="G1192" s="213" t="s">
        <v>365</v>
      </c>
      <c r="H1192" s="213" t="s">
        <v>552</v>
      </c>
      <c r="I1192" s="213"/>
      <c r="J1192" s="213" t="s">
        <v>542</v>
      </c>
      <c r="K1192" s="213" t="s">
        <v>547</v>
      </c>
      <c r="L1192" s="213" t="s">
        <v>563</v>
      </c>
      <c r="M1192" s="213"/>
      <c r="N1192" s="213"/>
      <c r="O1192" s="213"/>
      <c r="P1192" s="213"/>
      <c r="Q1192" s="213"/>
      <c r="R1192" s="213"/>
      <c r="S1192" s="213" t="s">
        <v>564</v>
      </c>
      <c r="T1192" s="213"/>
      <c r="U1192" s="213" t="s">
        <v>538</v>
      </c>
      <c r="V1192" s="213">
        <v>2</v>
      </c>
      <c r="W1192" s="213" t="s">
        <v>545</v>
      </c>
      <c r="X1192" s="213" t="s">
        <v>549</v>
      </c>
      <c r="Y1192" s="213" t="s">
        <v>541</v>
      </c>
      <c r="Z1192" s="212">
        <v>27817</v>
      </c>
      <c r="AA1192" s="212">
        <v>2593647</v>
      </c>
      <c r="AB1192" s="217">
        <v>1.5814600000000001</v>
      </c>
      <c r="AC1192" s="217">
        <v>2.5451190000000001</v>
      </c>
      <c r="AD1192" s="212">
        <f t="shared" si="18"/>
        <v>4101748.9846200002</v>
      </c>
    </row>
    <row r="1193" spans="2:30" x14ac:dyDescent="0.15">
      <c r="B1193" s="213">
        <v>17031004262</v>
      </c>
      <c r="C1193" s="213">
        <v>17031000286</v>
      </c>
      <c r="D1193" s="213">
        <v>17031004615</v>
      </c>
      <c r="E1193" s="213" t="s">
        <v>533</v>
      </c>
      <c r="F1193" s="213" t="s">
        <v>534</v>
      </c>
      <c r="G1193" s="213" t="s">
        <v>365</v>
      </c>
      <c r="H1193" s="213" t="s">
        <v>552</v>
      </c>
      <c r="I1193" s="213"/>
      <c r="J1193" s="213" t="s">
        <v>542</v>
      </c>
      <c r="K1193" s="213" t="s">
        <v>547</v>
      </c>
      <c r="L1193" s="213" t="s">
        <v>563</v>
      </c>
      <c r="M1193" s="213" t="s">
        <v>382</v>
      </c>
      <c r="N1193" s="213"/>
      <c r="O1193" s="213"/>
      <c r="P1193" s="213"/>
      <c r="Q1193" s="213"/>
      <c r="R1193" s="213"/>
      <c r="S1193" s="213" t="s">
        <v>564</v>
      </c>
      <c r="T1193" s="213"/>
      <c r="U1193" s="213" t="s">
        <v>538</v>
      </c>
      <c r="V1193" s="213">
        <v>2</v>
      </c>
      <c r="W1193" s="213" t="s">
        <v>545</v>
      </c>
      <c r="X1193" s="213" t="s">
        <v>549</v>
      </c>
      <c r="Y1193" s="213" t="s">
        <v>541</v>
      </c>
      <c r="Z1193" s="212">
        <v>27817</v>
      </c>
      <c r="AA1193" s="212">
        <v>2593647</v>
      </c>
      <c r="AB1193" s="217">
        <v>1.6337299999999999</v>
      </c>
      <c r="AC1193" s="217">
        <v>2.629238</v>
      </c>
      <c r="AD1193" s="212">
        <f t="shared" si="18"/>
        <v>4237318.9133099997</v>
      </c>
    </row>
    <row r="1194" spans="2:30" x14ac:dyDescent="0.15">
      <c r="B1194" s="213">
        <v>17031004264</v>
      </c>
      <c r="C1194" s="213">
        <v>17031000832</v>
      </c>
      <c r="D1194" s="213">
        <v>17031000850</v>
      </c>
      <c r="E1194" s="213" t="s">
        <v>533</v>
      </c>
      <c r="F1194" s="213" t="s">
        <v>534</v>
      </c>
      <c r="G1194" s="213" t="s">
        <v>365</v>
      </c>
      <c r="H1194" s="213" t="s">
        <v>571</v>
      </c>
      <c r="I1194" s="213"/>
      <c r="J1194" s="213" t="s">
        <v>381</v>
      </c>
      <c r="K1194" s="213" t="s">
        <v>543</v>
      </c>
      <c r="L1194" s="213" t="s">
        <v>382</v>
      </c>
      <c r="M1194" s="213" t="s">
        <v>535</v>
      </c>
      <c r="N1194" s="213" t="s">
        <v>551</v>
      </c>
      <c r="O1194" s="213"/>
      <c r="P1194" s="213"/>
      <c r="Q1194" s="213"/>
      <c r="R1194" s="213"/>
      <c r="S1194" s="213" t="s">
        <v>654</v>
      </c>
      <c r="T1194" s="213"/>
      <c r="U1194" s="213" t="s">
        <v>559</v>
      </c>
      <c r="V1194" s="213">
        <v>1</v>
      </c>
      <c r="W1194" s="213" t="s">
        <v>560</v>
      </c>
      <c r="X1194" s="213" t="s">
        <v>541</v>
      </c>
      <c r="Y1194" s="213" t="s">
        <v>541</v>
      </c>
      <c r="Z1194" s="212">
        <v>72673</v>
      </c>
      <c r="AA1194" s="212">
        <v>3647669</v>
      </c>
      <c r="AB1194" s="217">
        <v>0.10717400000000001</v>
      </c>
      <c r="AC1194" s="217">
        <v>0.17247999999999999</v>
      </c>
      <c r="AD1194" s="212">
        <f t="shared" si="18"/>
        <v>390935.27740600001</v>
      </c>
    </row>
    <row r="1195" spans="2:30" x14ac:dyDescent="0.15">
      <c r="B1195" s="213">
        <v>17031004269</v>
      </c>
      <c r="C1195" s="213">
        <v>17031000796</v>
      </c>
      <c r="D1195" s="213">
        <v>17031000802</v>
      </c>
      <c r="E1195" s="213" t="s">
        <v>533</v>
      </c>
      <c r="F1195" s="213" t="s">
        <v>534</v>
      </c>
      <c r="G1195" s="213" t="s">
        <v>365</v>
      </c>
      <c r="H1195" s="213" t="s">
        <v>543</v>
      </c>
      <c r="I1195" s="213"/>
      <c r="J1195" s="213" t="s">
        <v>382</v>
      </c>
      <c r="K1195" s="213"/>
      <c r="L1195" s="213"/>
      <c r="M1195" s="213"/>
      <c r="N1195" s="213"/>
      <c r="O1195" s="213"/>
      <c r="P1195" s="213"/>
      <c r="Q1195" s="213"/>
      <c r="R1195" s="213"/>
      <c r="S1195" s="213" t="s">
        <v>639</v>
      </c>
      <c r="T1195" s="213"/>
      <c r="U1195" s="213" t="s">
        <v>538</v>
      </c>
      <c r="V1195" s="213">
        <v>2</v>
      </c>
      <c r="W1195" s="213" t="s">
        <v>560</v>
      </c>
      <c r="X1195" s="213" t="s">
        <v>541</v>
      </c>
      <c r="Y1195" s="213" t="s">
        <v>540</v>
      </c>
      <c r="Z1195" s="212">
        <v>2544947</v>
      </c>
      <c r="AA1195" s="212">
        <v>65896687</v>
      </c>
      <c r="AB1195" s="217">
        <v>0.11017100000000001</v>
      </c>
      <c r="AC1195" s="217">
        <v>0.17730299999999999</v>
      </c>
      <c r="AD1195" s="212">
        <f t="shared" si="18"/>
        <v>7259903.9034770001</v>
      </c>
    </row>
    <row r="1196" spans="2:30" x14ac:dyDescent="0.15">
      <c r="B1196" s="213">
        <v>17031004270</v>
      </c>
      <c r="C1196" s="213">
        <v>17031000802</v>
      </c>
      <c r="D1196" s="213">
        <v>17031007918</v>
      </c>
      <c r="E1196" s="213" t="s">
        <v>533</v>
      </c>
      <c r="F1196" s="213" t="s">
        <v>534</v>
      </c>
      <c r="G1196" s="213" t="s">
        <v>365</v>
      </c>
      <c r="H1196" s="213" t="s">
        <v>543</v>
      </c>
      <c r="I1196" s="213"/>
      <c r="J1196" s="213" t="s">
        <v>382</v>
      </c>
      <c r="K1196" s="213"/>
      <c r="L1196" s="213"/>
      <c r="M1196" s="213"/>
      <c r="N1196" s="213"/>
      <c r="O1196" s="213"/>
      <c r="P1196" s="213"/>
      <c r="Q1196" s="213"/>
      <c r="R1196" s="213"/>
      <c r="S1196" s="213" t="s">
        <v>639</v>
      </c>
      <c r="T1196" s="213" t="s">
        <v>702</v>
      </c>
      <c r="U1196" s="213" t="s">
        <v>538</v>
      </c>
      <c r="V1196" s="213">
        <v>2</v>
      </c>
      <c r="W1196" s="213" t="s">
        <v>560</v>
      </c>
      <c r="X1196" s="213" t="s">
        <v>541</v>
      </c>
      <c r="Y1196" s="213" t="s">
        <v>540</v>
      </c>
      <c r="Z1196" s="212">
        <v>2544947</v>
      </c>
      <c r="AA1196" s="212">
        <v>65896687</v>
      </c>
      <c r="AB1196" s="217">
        <v>1.1205290000000001</v>
      </c>
      <c r="AC1196" s="217">
        <v>1.80332</v>
      </c>
      <c r="AD1196" s="212">
        <f t="shared" si="18"/>
        <v>73839148.787423</v>
      </c>
    </row>
    <row r="1197" spans="2:30" x14ac:dyDescent="0.15">
      <c r="B1197" s="213">
        <v>17031004271</v>
      </c>
      <c r="C1197" s="213">
        <v>17031000819</v>
      </c>
      <c r="D1197" s="213">
        <v>17031000815</v>
      </c>
      <c r="E1197" s="213" t="s">
        <v>533</v>
      </c>
      <c r="F1197" s="213" t="s">
        <v>534</v>
      </c>
      <c r="G1197" s="213" t="s">
        <v>365</v>
      </c>
      <c r="H1197" s="213" t="s">
        <v>557</v>
      </c>
      <c r="I1197" s="213"/>
      <c r="J1197" s="213" t="s">
        <v>381</v>
      </c>
      <c r="K1197" s="213"/>
      <c r="L1197" s="213"/>
      <c r="M1197" s="213"/>
      <c r="N1197" s="213"/>
      <c r="O1197" s="213"/>
      <c r="P1197" s="213"/>
      <c r="Q1197" s="213"/>
      <c r="R1197" s="213"/>
      <c r="S1197" s="213"/>
      <c r="T1197" s="213"/>
      <c r="U1197" s="213" t="s">
        <v>538</v>
      </c>
      <c r="V1197" s="213">
        <v>1</v>
      </c>
      <c r="W1197" s="213" t="s">
        <v>560</v>
      </c>
      <c r="X1197" s="213" t="s">
        <v>541</v>
      </c>
      <c r="Y1197" s="213" t="s">
        <v>541</v>
      </c>
      <c r="Z1197" s="212">
        <v>378361</v>
      </c>
      <c r="AA1197" s="212">
        <v>18874952</v>
      </c>
      <c r="AB1197" s="217">
        <v>0.72363500000000003</v>
      </c>
      <c r="AC1197" s="217">
        <v>1.164579</v>
      </c>
      <c r="AD1197" s="212">
        <f t="shared" si="18"/>
        <v>13658575.890520001</v>
      </c>
    </row>
    <row r="1198" spans="2:30" x14ac:dyDescent="0.15">
      <c r="B1198" s="213">
        <v>17031004285</v>
      </c>
      <c r="C1198" s="213">
        <v>17031000699</v>
      </c>
      <c r="D1198" s="213">
        <v>17031000703</v>
      </c>
      <c r="E1198" s="213" t="s">
        <v>533</v>
      </c>
      <c r="F1198" s="213" t="s">
        <v>534</v>
      </c>
      <c r="G1198" s="213" t="s">
        <v>365</v>
      </c>
      <c r="H1198" s="213" t="s">
        <v>571</v>
      </c>
      <c r="I1198" s="213"/>
      <c r="J1198" s="213" t="s">
        <v>535</v>
      </c>
      <c r="K1198" s="213" t="s">
        <v>552</v>
      </c>
      <c r="L1198" s="213" t="s">
        <v>551</v>
      </c>
      <c r="M1198" s="213" t="s">
        <v>563</v>
      </c>
      <c r="N1198" s="213"/>
      <c r="O1198" s="213"/>
      <c r="P1198" s="213"/>
      <c r="Q1198" s="213"/>
      <c r="R1198" s="213"/>
      <c r="S1198" s="213" t="s">
        <v>573</v>
      </c>
      <c r="T1198" s="213" t="s">
        <v>612</v>
      </c>
      <c r="U1198" s="213" t="s">
        <v>538</v>
      </c>
      <c r="V1198" s="213">
        <v>2</v>
      </c>
      <c r="W1198" s="213" t="s">
        <v>545</v>
      </c>
      <c r="X1198" s="213" t="s">
        <v>554</v>
      </c>
      <c r="Y1198" s="213" t="s">
        <v>580</v>
      </c>
      <c r="Z1198" s="212">
        <v>60456</v>
      </c>
      <c r="AA1198" s="212">
        <v>3547604</v>
      </c>
      <c r="AB1198" s="217">
        <v>0.181979</v>
      </c>
      <c r="AC1198" s="217">
        <v>0.29286699999999999</v>
      </c>
      <c r="AD1198" s="212">
        <f t="shared" si="18"/>
        <v>645589.42831600003</v>
      </c>
    </row>
    <row r="1199" spans="2:30" x14ac:dyDescent="0.15">
      <c r="B1199" s="213">
        <v>17031004287</v>
      </c>
      <c r="C1199" s="213">
        <v>17031000745</v>
      </c>
      <c r="D1199" s="213">
        <v>17031000759</v>
      </c>
      <c r="E1199" s="213" t="s">
        <v>533</v>
      </c>
      <c r="F1199" s="213" t="s">
        <v>534</v>
      </c>
      <c r="G1199" s="213" t="s">
        <v>365</v>
      </c>
      <c r="H1199" s="213" t="s">
        <v>571</v>
      </c>
      <c r="I1199" s="213"/>
      <c r="J1199" s="213" t="s">
        <v>381</v>
      </c>
      <c r="K1199" s="213" t="s">
        <v>535</v>
      </c>
      <c r="L1199" s="213" t="s">
        <v>552</v>
      </c>
      <c r="M1199" s="213" t="s">
        <v>551</v>
      </c>
      <c r="N1199" s="213" t="s">
        <v>563</v>
      </c>
      <c r="O1199" s="213" t="s">
        <v>543</v>
      </c>
      <c r="P1199" s="213"/>
      <c r="Q1199" s="213"/>
      <c r="R1199" s="213"/>
      <c r="S1199" s="213" t="s">
        <v>573</v>
      </c>
      <c r="T1199" s="213"/>
      <c r="U1199" s="213" t="s">
        <v>538</v>
      </c>
      <c r="V1199" s="213">
        <v>2</v>
      </c>
      <c r="W1199" s="213" t="s">
        <v>545</v>
      </c>
      <c r="X1199" s="213" t="s">
        <v>554</v>
      </c>
      <c r="Y1199" s="213" t="s">
        <v>580</v>
      </c>
      <c r="Z1199" s="212">
        <v>86092</v>
      </c>
      <c r="AA1199" s="212">
        <v>5124132</v>
      </c>
      <c r="AB1199" s="217">
        <v>0.27328400000000003</v>
      </c>
      <c r="AC1199" s="217">
        <v>0.43980900000000001</v>
      </c>
      <c r="AD1199" s="212">
        <f t="shared" si="18"/>
        <v>1400343.2894880001</v>
      </c>
    </row>
    <row r="1200" spans="2:30" x14ac:dyDescent="0.15">
      <c r="B1200" s="213">
        <v>17031004291</v>
      </c>
      <c r="C1200" s="213">
        <v>17031000953</v>
      </c>
      <c r="D1200" s="213">
        <v>17031000977</v>
      </c>
      <c r="E1200" s="213" t="s">
        <v>533</v>
      </c>
      <c r="F1200" s="213" t="s">
        <v>534</v>
      </c>
      <c r="G1200" s="213" t="s">
        <v>365</v>
      </c>
      <c r="H1200" s="213" t="s">
        <v>571</v>
      </c>
      <c r="I1200" s="213"/>
      <c r="J1200" s="213" t="s">
        <v>381</v>
      </c>
      <c r="K1200" s="213" t="s">
        <v>535</v>
      </c>
      <c r="L1200" s="213" t="s">
        <v>552</v>
      </c>
      <c r="M1200" s="213" t="s">
        <v>551</v>
      </c>
      <c r="N1200" s="213" t="s">
        <v>382</v>
      </c>
      <c r="O1200" s="213" t="s">
        <v>543</v>
      </c>
      <c r="P1200" s="213"/>
      <c r="Q1200" s="213"/>
      <c r="R1200" s="213"/>
      <c r="S1200" s="213" t="s">
        <v>573</v>
      </c>
      <c r="T1200" s="213"/>
      <c r="U1200" s="213" t="s">
        <v>538</v>
      </c>
      <c r="V1200" s="213">
        <v>2</v>
      </c>
      <c r="W1200" s="213" t="s">
        <v>545</v>
      </c>
      <c r="X1200" s="213" t="s">
        <v>554</v>
      </c>
      <c r="Y1200" s="213" t="s">
        <v>546</v>
      </c>
      <c r="Z1200" s="212">
        <v>46520</v>
      </c>
      <c r="AA1200" s="212">
        <v>2270368</v>
      </c>
      <c r="AB1200" s="217">
        <v>0.26273999999999997</v>
      </c>
      <c r="AC1200" s="217">
        <v>0.42283999999999999</v>
      </c>
      <c r="AD1200" s="212">
        <f t="shared" si="18"/>
        <v>596516.48831999989</v>
      </c>
    </row>
    <row r="1201" spans="2:30" x14ac:dyDescent="0.15">
      <c r="B1201" s="213">
        <v>17031004534</v>
      </c>
      <c r="C1201" s="213">
        <v>17031001008</v>
      </c>
      <c r="D1201" s="213">
        <v>17031001007</v>
      </c>
      <c r="E1201" s="213" t="s">
        <v>533</v>
      </c>
      <c r="F1201" s="213" t="s">
        <v>534</v>
      </c>
      <c r="G1201" s="213" t="s">
        <v>365</v>
      </c>
      <c r="H1201" s="213" t="s">
        <v>535</v>
      </c>
      <c r="I1201" s="213"/>
      <c r="J1201" s="213"/>
      <c r="K1201" s="213"/>
      <c r="L1201" s="213"/>
      <c r="M1201" s="213"/>
      <c r="N1201" s="213"/>
      <c r="O1201" s="213"/>
      <c r="P1201" s="213"/>
      <c r="Q1201" s="213"/>
      <c r="R1201" s="213"/>
      <c r="S1201" s="213" t="s">
        <v>553</v>
      </c>
      <c r="T1201" s="213"/>
      <c r="U1201" s="213" t="s">
        <v>538</v>
      </c>
      <c r="V1201" s="213">
        <v>1</v>
      </c>
      <c r="W1201" s="213" t="s">
        <v>582</v>
      </c>
      <c r="X1201" s="213" t="s">
        <v>554</v>
      </c>
      <c r="Y1201" s="213" t="s">
        <v>541</v>
      </c>
      <c r="Z1201" s="212">
        <v>0</v>
      </c>
      <c r="AA1201" s="212">
        <v>0</v>
      </c>
      <c r="AB1201" s="217">
        <v>0.30285400000000001</v>
      </c>
      <c r="AC1201" s="217">
        <v>0.487398</v>
      </c>
      <c r="AD1201" s="212">
        <f t="shared" si="18"/>
        <v>0</v>
      </c>
    </row>
    <row r="1202" spans="2:30" x14ac:dyDescent="0.15">
      <c r="B1202" s="213">
        <v>17031004535</v>
      </c>
      <c r="C1202" s="213">
        <v>17031001020</v>
      </c>
      <c r="D1202" s="213">
        <v>17031001009</v>
      </c>
      <c r="E1202" s="213" t="s">
        <v>533</v>
      </c>
      <c r="F1202" s="213" t="s">
        <v>534</v>
      </c>
      <c r="G1202" s="213" t="s">
        <v>365</v>
      </c>
      <c r="H1202" s="213" t="s">
        <v>551</v>
      </c>
      <c r="I1202" s="213"/>
      <c r="J1202" s="213" t="s">
        <v>381</v>
      </c>
      <c r="K1202" s="213" t="s">
        <v>535</v>
      </c>
      <c r="L1202" s="213" t="s">
        <v>552</v>
      </c>
      <c r="M1202" s="213" t="s">
        <v>382</v>
      </c>
      <c r="N1202" s="213"/>
      <c r="O1202" s="213"/>
      <c r="P1202" s="213"/>
      <c r="Q1202" s="213"/>
      <c r="R1202" s="213"/>
      <c r="S1202" s="213" t="s">
        <v>600</v>
      </c>
      <c r="T1202" s="213"/>
      <c r="U1202" s="213" t="s">
        <v>538</v>
      </c>
      <c r="V1202" s="213">
        <v>1</v>
      </c>
      <c r="W1202" s="213" t="s">
        <v>560</v>
      </c>
      <c r="X1202" s="213" t="s">
        <v>541</v>
      </c>
      <c r="Y1202" s="213" t="s">
        <v>541</v>
      </c>
      <c r="Z1202" s="212">
        <v>5136</v>
      </c>
      <c r="AA1202" s="212">
        <v>461116</v>
      </c>
      <c r="AB1202" s="217">
        <v>0.23375099999999999</v>
      </c>
      <c r="AC1202" s="217">
        <v>0.37618600000000002</v>
      </c>
      <c r="AD1202" s="212">
        <f t="shared" si="18"/>
        <v>107786.326116</v>
      </c>
    </row>
    <row r="1203" spans="2:30" x14ac:dyDescent="0.15">
      <c r="B1203" s="213">
        <v>17031004536</v>
      </c>
      <c r="C1203" s="213">
        <v>17031001006</v>
      </c>
      <c r="D1203" s="213">
        <v>17031001033</v>
      </c>
      <c r="E1203" s="213" t="s">
        <v>533</v>
      </c>
      <c r="F1203" s="213" t="s">
        <v>534</v>
      </c>
      <c r="G1203" s="213" t="s">
        <v>365</v>
      </c>
      <c r="H1203" s="213" t="s">
        <v>543</v>
      </c>
      <c r="I1203" s="213"/>
      <c r="J1203" s="213" t="s">
        <v>542</v>
      </c>
      <c r="K1203" s="213" t="s">
        <v>382</v>
      </c>
      <c r="L1203" s="213"/>
      <c r="M1203" s="213"/>
      <c r="N1203" s="213"/>
      <c r="O1203" s="213"/>
      <c r="P1203" s="213"/>
      <c r="Q1203" s="213"/>
      <c r="R1203" s="213"/>
      <c r="S1203" s="213"/>
      <c r="T1203" s="213"/>
      <c r="U1203" s="213" t="s">
        <v>538</v>
      </c>
      <c r="V1203" s="213">
        <v>1</v>
      </c>
      <c r="W1203" s="213" t="s">
        <v>545</v>
      </c>
      <c r="X1203" s="213" t="s">
        <v>554</v>
      </c>
      <c r="Y1203" s="213" t="s">
        <v>540</v>
      </c>
      <c r="Z1203" s="212">
        <v>224110</v>
      </c>
      <c r="AA1203" s="212">
        <v>9929890</v>
      </c>
      <c r="AB1203" s="217">
        <v>0.45878099999999999</v>
      </c>
      <c r="AC1203" s="217">
        <v>0.73833700000000002</v>
      </c>
      <c r="AD1203" s="212">
        <f t="shared" si="18"/>
        <v>4555644.8640900003</v>
      </c>
    </row>
    <row r="1204" spans="2:30" x14ac:dyDescent="0.15">
      <c r="B1204" s="213">
        <v>17031004580</v>
      </c>
      <c r="C1204" s="213">
        <v>17031001190</v>
      </c>
      <c r="D1204" s="213">
        <v>17031001187</v>
      </c>
      <c r="E1204" s="213" t="s">
        <v>533</v>
      </c>
      <c r="F1204" s="213" t="s">
        <v>534</v>
      </c>
      <c r="G1204" s="213" t="s">
        <v>365</v>
      </c>
      <c r="H1204" s="213" t="s">
        <v>543</v>
      </c>
      <c r="I1204" s="213"/>
      <c r="J1204" s="213"/>
      <c r="K1204" s="213"/>
      <c r="L1204" s="213"/>
      <c r="M1204" s="213"/>
      <c r="N1204" s="213"/>
      <c r="O1204" s="213"/>
      <c r="P1204" s="213"/>
      <c r="Q1204" s="213"/>
      <c r="R1204" s="213"/>
      <c r="S1204" s="213" t="s">
        <v>604</v>
      </c>
      <c r="T1204" s="213"/>
      <c r="U1204" s="213" t="s">
        <v>538</v>
      </c>
      <c r="V1204" s="213">
        <v>1</v>
      </c>
      <c r="W1204" s="213" t="s">
        <v>545</v>
      </c>
      <c r="X1204" s="213" t="s">
        <v>554</v>
      </c>
      <c r="Y1204" s="213" t="s">
        <v>546</v>
      </c>
      <c r="Z1204" s="212">
        <v>6400</v>
      </c>
      <c r="AA1204" s="212">
        <v>597639</v>
      </c>
      <c r="AB1204" s="217">
        <v>6.173E-2</v>
      </c>
      <c r="AC1204" s="217">
        <v>9.9346000000000004E-2</v>
      </c>
      <c r="AD1204" s="212">
        <f t="shared" si="18"/>
        <v>36892.255470000004</v>
      </c>
    </row>
    <row r="1205" spans="2:30" x14ac:dyDescent="0.15">
      <c r="B1205" s="213">
        <v>17031004583</v>
      </c>
      <c r="C1205" s="213">
        <v>17031001205</v>
      </c>
      <c r="D1205" s="213">
        <v>17031001211</v>
      </c>
      <c r="E1205" s="213" t="s">
        <v>533</v>
      </c>
      <c r="F1205" s="213" t="s">
        <v>534</v>
      </c>
      <c r="G1205" s="213" t="s">
        <v>365</v>
      </c>
      <c r="H1205" s="213" t="s">
        <v>577</v>
      </c>
      <c r="I1205" s="213"/>
      <c r="J1205" s="213"/>
      <c r="K1205" s="213"/>
      <c r="L1205" s="213"/>
      <c r="M1205" s="213"/>
      <c r="N1205" s="213"/>
      <c r="O1205" s="213"/>
      <c r="P1205" s="213"/>
      <c r="Q1205" s="213"/>
      <c r="R1205" s="213"/>
      <c r="S1205" s="213"/>
      <c r="T1205" s="213"/>
      <c r="U1205" s="213" t="s">
        <v>559</v>
      </c>
      <c r="V1205" s="213">
        <v>1</v>
      </c>
      <c r="W1205" s="213" t="s">
        <v>560</v>
      </c>
      <c r="X1205" s="213" t="s">
        <v>541</v>
      </c>
      <c r="Y1205" s="213" t="s">
        <v>541</v>
      </c>
      <c r="Z1205" s="212">
        <v>0</v>
      </c>
      <c r="AA1205" s="212">
        <v>0</v>
      </c>
      <c r="AB1205" s="217">
        <v>2.2676999999999999E-2</v>
      </c>
      <c r="AC1205" s="217">
        <v>3.6496000000000001E-2</v>
      </c>
      <c r="AD1205" s="212">
        <f t="shared" si="18"/>
        <v>0</v>
      </c>
    </row>
    <row r="1206" spans="2:30" x14ac:dyDescent="0.15">
      <c r="B1206" s="213">
        <v>17031004587</v>
      </c>
      <c r="C1206" s="213">
        <v>17031001205</v>
      </c>
      <c r="D1206" s="213">
        <v>17031001239</v>
      </c>
      <c r="E1206" s="213" t="s">
        <v>533</v>
      </c>
      <c r="F1206" s="213" t="s">
        <v>534</v>
      </c>
      <c r="G1206" s="213" t="s">
        <v>365</v>
      </c>
      <c r="H1206" s="213" t="s">
        <v>577</v>
      </c>
      <c r="I1206" s="213"/>
      <c r="J1206" s="213"/>
      <c r="K1206" s="213"/>
      <c r="L1206" s="213"/>
      <c r="M1206" s="213"/>
      <c r="N1206" s="213"/>
      <c r="O1206" s="213"/>
      <c r="P1206" s="213"/>
      <c r="Q1206" s="213"/>
      <c r="R1206" s="213"/>
      <c r="S1206" s="213"/>
      <c r="T1206" s="213"/>
      <c r="U1206" s="213" t="s">
        <v>559</v>
      </c>
      <c r="V1206" s="213">
        <v>1</v>
      </c>
      <c r="W1206" s="213" t="s">
        <v>560</v>
      </c>
      <c r="X1206" s="213" t="s">
        <v>541</v>
      </c>
      <c r="Y1206" s="213" t="s">
        <v>541</v>
      </c>
      <c r="Z1206" s="212">
        <v>0</v>
      </c>
      <c r="AA1206" s="212">
        <v>0</v>
      </c>
      <c r="AB1206" s="217">
        <v>0.787852</v>
      </c>
      <c r="AC1206" s="217">
        <v>1.267927</v>
      </c>
      <c r="AD1206" s="212">
        <f t="shared" si="18"/>
        <v>0</v>
      </c>
    </row>
    <row r="1207" spans="2:30" x14ac:dyDescent="0.15">
      <c r="B1207" s="213">
        <v>17031004672</v>
      </c>
      <c r="C1207" s="213">
        <v>17031001134</v>
      </c>
      <c r="D1207" s="213">
        <v>17031001132</v>
      </c>
      <c r="E1207" s="213" t="s">
        <v>533</v>
      </c>
      <c r="F1207" s="213" t="s">
        <v>534</v>
      </c>
      <c r="G1207" s="213" t="s">
        <v>365</v>
      </c>
      <c r="H1207" s="213" t="s">
        <v>543</v>
      </c>
      <c r="I1207" s="213"/>
      <c r="J1207" s="213" t="s">
        <v>577</v>
      </c>
      <c r="K1207" s="213"/>
      <c r="L1207" s="213"/>
      <c r="M1207" s="213"/>
      <c r="N1207" s="213"/>
      <c r="O1207" s="213"/>
      <c r="P1207" s="213"/>
      <c r="Q1207" s="213"/>
      <c r="R1207" s="213"/>
      <c r="S1207" s="213" t="s">
        <v>656</v>
      </c>
      <c r="T1207" s="213" t="s">
        <v>657</v>
      </c>
      <c r="U1207" s="213" t="s">
        <v>559</v>
      </c>
      <c r="V1207" s="213">
        <v>1</v>
      </c>
      <c r="W1207" s="213" t="s">
        <v>560</v>
      </c>
      <c r="X1207" s="213" t="s">
        <v>541</v>
      </c>
      <c r="Y1207" s="213" t="s">
        <v>541</v>
      </c>
      <c r="Z1207" s="212">
        <v>0</v>
      </c>
      <c r="AA1207" s="212">
        <v>0</v>
      </c>
      <c r="AB1207" s="217">
        <v>0.130106</v>
      </c>
      <c r="AC1207" s="217">
        <v>0.20938599999999999</v>
      </c>
      <c r="AD1207" s="212">
        <f t="shared" si="18"/>
        <v>0</v>
      </c>
    </row>
    <row r="1208" spans="2:30" x14ac:dyDescent="0.15">
      <c r="B1208" s="213">
        <v>17031004676</v>
      </c>
      <c r="C1208" s="213">
        <v>17031001150</v>
      </c>
      <c r="D1208" s="213">
        <v>17031001143</v>
      </c>
      <c r="E1208" s="213" t="s">
        <v>533</v>
      </c>
      <c r="F1208" s="213" t="s">
        <v>534</v>
      </c>
      <c r="G1208" s="213" t="s">
        <v>365</v>
      </c>
      <c r="H1208" s="213" t="s">
        <v>543</v>
      </c>
      <c r="I1208" s="213"/>
      <c r="J1208" s="213" t="s">
        <v>577</v>
      </c>
      <c r="K1208" s="213"/>
      <c r="L1208" s="213"/>
      <c r="M1208" s="213"/>
      <c r="N1208" s="213"/>
      <c r="O1208" s="213"/>
      <c r="P1208" s="213"/>
      <c r="Q1208" s="213"/>
      <c r="R1208" s="213"/>
      <c r="S1208" s="213" t="s">
        <v>656</v>
      </c>
      <c r="T1208" s="213" t="s">
        <v>657</v>
      </c>
      <c r="U1208" s="213" t="s">
        <v>559</v>
      </c>
      <c r="V1208" s="213">
        <v>1</v>
      </c>
      <c r="W1208" s="213" t="s">
        <v>560</v>
      </c>
      <c r="X1208" s="213" t="s">
        <v>541</v>
      </c>
      <c r="Y1208" s="213" t="s">
        <v>541</v>
      </c>
      <c r="Z1208" s="212">
        <v>0</v>
      </c>
      <c r="AA1208" s="212">
        <v>0</v>
      </c>
      <c r="AB1208" s="217">
        <v>0.12664</v>
      </c>
      <c r="AC1208" s="217">
        <v>0.20380699999999999</v>
      </c>
      <c r="AD1208" s="212">
        <f t="shared" si="18"/>
        <v>0</v>
      </c>
    </row>
    <row r="1209" spans="2:30" x14ac:dyDescent="0.15">
      <c r="B1209" s="213">
        <v>17031004677</v>
      </c>
      <c r="C1209" s="213">
        <v>17031001161</v>
      </c>
      <c r="D1209" s="213">
        <v>17031001150</v>
      </c>
      <c r="E1209" s="213" t="s">
        <v>533</v>
      </c>
      <c r="F1209" s="213" t="s">
        <v>534</v>
      </c>
      <c r="G1209" s="213" t="s">
        <v>365</v>
      </c>
      <c r="H1209" s="213" t="s">
        <v>543</v>
      </c>
      <c r="I1209" s="213"/>
      <c r="J1209" s="213" t="s">
        <v>577</v>
      </c>
      <c r="K1209" s="213"/>
      <c r="L1209" s="213"/>
      <c r="M1209" s="213"/>
      <c r="N1209" s="213"/>
      <c r="O1209" s="213"/>
      <c r="P1209" s="213"/>
      <c r="Q1209" s="213"/>
      <c r="R1209" s="213"/>
      <c r="S1209" s="213" t="s">
        <v>656</v>
      </c>
      <c r="T1209" s="213"/>
      <c r="U1209" s="213" t="s">
        <v>559</v>
      </c>
      <c r="V1209" s="213">
        <v>1</v>
      </c>
      <c r="W1209" s="213" t="s">
        <v>560</v>
      </c>
      <c r="X1209" s="213" t="s">
        <v>541</v>
      </c>
      <c r="Y1209" s="213" t="s">
        <v>541</v>
      </c>
      <c r="Z1209" s="212">
        <v>0</v>
      </c>
      <c r="AA1209" s="212">
        <v>0</v>
      </c>
      <c r="AB1209" s="217">
        <v>0.27153300000000002</v>
      </c>
      <c r="AC1209" s="217">
        <v>0.43699100000000002</v>
      </c>
      <c r="AD1209" s="212">
        <f t="shared" si="18"/>
        <v>0</v>
      </c>
    </row>
    <row r="1210" spans="2:30" x14ac:dyDescent="0.15">
      <c r="B1210" s="213">
        <v>17031004837</v>
      </c>
      <c r="C1210" s="213">
        <v>17031001211</v>
      </c>
      <c r="D1210" s="213">
        <v>17031001214</v>
      </c>
      <c r="E1210" s="213" t="s">
        <v>533</v>
      </c>
      <c r="F1210" s="213" t="s">
        <v>534</v>
      </c>
      <c r="G1210" s="213" t="s">
        <v>365</v>
      </c>
      <c r="H1210" s="213" t="s">
        <v>577</v>
      </c>
      <c r="I1210" s="213"/>
      <c r="J1210" s="213"/>
      <c r="K1210" s="213"/>
      <c r="L1210" s="213"/>
      <c r="M1210" s="213"/>
      <c r="N1210" s="213"/>
      <c r="O1210" s="213"/>
      <c r="P1210" s="213"/>
      <c r="Q1210" s="213"/>
      <c r="R1210" s="213"/>
      <c r="S1210" s="213"/>
      <c r="T1210" s="213"/>
      <c r="U1210" s="213" t="s">
        <v>559</v>
      </c>
      <c r="V1210" s="213">
        <v>1</v>
      </c>
      <c r="W1210" s="213" t="s">
        <v>560</v>
      </c>
      <c r="X1210" s="213" t="s">
        <v>541</v>
      </c>
      <c r="Y1210" s="213" t="s">
        <v>541</v>
      </c>
      <c r="Z1210" s="212">
        <v>0</v>
      </c>
      <c r="AA1210" s="212">
        <v>0</v>
      </c>
      <c r="AB1210" s="217">
        <v>4.0689000000000003E-2</v>
      </c>
      <c r="AC1210" s="217">
        <v>6.5483E-2</v>
      </c>
      <c r="AD1210" s="212">
        <f t="shared" si="18"/>
        <v>0</v>
      </c>
    </row>
    <row r="1211" spans="2:30" x14ac:dyDescent="0.15">
      <c r="B1211" s="213">
        <v>17031004839</v>
      </c>
      <c r="C1211" s="213">
        <v>17031001214</v>
      </c>
      <c r="D1211" s="213">
        <v>17031001215</v>
      </c>
      <c r="E1211" s="213" t="s">
        <v>533</v>
      </c>
      <c r="F1211" s="213" t="s">
        <v>534</v>
      </c>
      <c r="G1211" s="213" t="s">
        <v>365</v>
      </c>
      <c r="H1211" s="213" t="s">
        <v>577</v>
      </c>
      <c r="I1211" s="213"/>
      <c r="J1211" s="213"/>
      <c r="K1211" s="213"/>
      <c r="L1211" s="213"/>
      <c r="M1211" s="213"/>
      <c r="N1211" s="213"/>
      <c r="O1211" s="213"/>
      <c r="P1211" s="213"/>
      <c r="Q1211" s="213"/>
      <c r="R1211" s="213"/>
      <c r="S1211" s="213"/>
      <c r="T1211" s="213"/>
      <c r="U1211" s="213" t="s">
        <v>559</v>
      </c>
      <c r="V1211" s="213">
        <v>1</v>
      </c>
      <c r="W1211" s="213" t="s">
        <v>560</v>
      </c>
      <c r="X1211" s="213" t="s">
        <v>541</v>
      </c>
      <c r="Y1211" s="213" t="s">
        <v>541</v>
      </c>
      <c r="Z1211" s="212">
        <v>0</v>
      </c>
      <c r="AA1211" s="212">
        <v>0</v>
      </c>
      <c r="AB1211" s="217">
        <v>2.0136000000000001E-2</v>
      </c>
      <c r="AC1211" s="217">
        <v>3.2405000000000003E-2</v>
      </c>
      <c r="AD1211" s="212">
        <f t="shared" si="18"/>
        <v>0</v>
      </c>
    </row>
    <row r="1212" spans="2:30" x14ac:dyDescent="0.15">
      <c r="B1212" s="213">
        <v>17031004842</v>
      </c>
      <c r="C1212" s="213">
        <v>17031001215</v>
      </c>
      <c r="D1212" s="213">
        <v>17031001228</v>
      </c>
      <c r="E1212" s="213" t="s">
        <v>533</v>
      </c>
      <c r="F1212" s="213" t="s">
        <v>534</v>
      </c>
      <c r="G1212" s="213" t="s">
        <v>365</v>
      </c>
      <c r="H1212" s="213" t="s">
        <v>577</v>
      </c>
      <c r="I1212" s="213"/>
      <c r="J1212" s="213"/>
      <c r="K1212" s="213"/>
      <c r="L1212" s="213"/>
      <c r="M1212" s="213"/>
      <c r="N1212" s="213"/>
      <c r="O1212" s="213"/>
      <c r="P1212" s="213"/>
      <c r="Q1212" s="213"/>
      <c r="R1212" s="213"/>
      <c r="S1212" s="213"/>
      <c r="T1212" s="213"/>
      <c r="U1212" s="213" t="s">
        <v>559</v>
      </c>
      <c r="V1212" s="213">
        <v>1</v>
      </c>
      <c r="W1212" s="213" t="s">
        <v>560</v>
      </c>
      <c r="X1212" s="213" t="s">
        <v>541</v>
      </c>
      <c r="Y1212" s="213" t="s">
        <v>541</v>
      </c>
      <c r="Z1212" s="212">
        <v>0</v>
      </c>
      <c r="AA1212" s="212">
        <v>0</v>
      </c>
      <c r="AB1212" s="217">
        <v>1.2626949999999999</v>
      </c>
      <c r="AC1212" s="217">
        <v>2.032114</v>
      </c>
      <c r="AD1212" s="212">
        <f t="shared" si="18"/>
        <v>0</v>
      </c>
    </row>
    <row r="1213" spans="2:30" x14ac:dyDescent="0.15">
      <c r="B1213" s="213">
        <v>17031004886</v>
      </c>
      <c r="C1213" s="213">
        <v>17031001313</v>
      </c>
      <c r="D1213" s="213">
        <v>17031001295</v>
      </c>
      <c r="E1213" s="213" t="s">
        <v>533</v>
      </c>
      <c r="F1213" s="213" t="s">
        <v>534</v>
      </c>
      <c r="G1213" s="213" t="s">
        <v>365</v>
      </c>
      <c r="H1213" s="213" t="s">
        <v>535</v>
      </c>
      <c r="I1213" s="213"/>
      <c r="J1213" s="213" t="s">
        <v>551</v>
      </c>
      <c r="K1213" s="213"/>
      <c r="L1213" s="213"/>
      <c r="M1213" s="213"/>
      <c r="N1213" s="213"/>
      <c r="O1213" s="213"/>
      <c r="P1213" s="213"/>
      <c r="Q1213" s="213"/>
      <c r="R1213" s="213"/>
      <c r="S1213" s="213"/>
      <c r="T1213" s="213"/>
      <c r="U1213" s="213" t="s">
        <v>559</v>
      </c>
      <c r="V1213" s="213">
        <v>1</v>
      </c>
      <c r="W1213" s="213" t="s">
        <v>560</v>
      </c>
      <c r="X1213" s="213" t="s">
        <v>541</v>
      </c>
      <c r="Y1213" s="213" t="s">
        <v>541</v>
      </c>
      <c r="Z1213" s="212">
        <v>0</v>
      </c>
      <c r="AA1213" s="212">
        <v>0</v>
      </c>
      <c r="AB1213" s="217">
        <v>0.71633000000000002</v>
      </c>
      <c r="AC1213" s="217">
        <v>1.1528240000000001</v>
      </c>
      <c r="AD1213" s="212">
        <f t="shared" si="18"/>
        <v>0</v>
      </c>
    </row>
    <row r="1214" spans="2:30" x14ac:dyDescent="0.15">
      <c r="B1214" s="213">
        <v>17031004905</v>
      </c>
      <c r="C1214" s="213">
        <v>17031001522</v>
      </c>
      <c r="D1214" s="213">
        <v>17031001518</v>
      </c>
      <c r="E1214" s="213" t="s">
        <v>533</v>
      </c>
      <c r="F1214" s="213" t="s">
        <v>534</v>
      </c>
      <c r="G1214" s="213" t="s">
        <v>365</v>
      </c>
      <c r="H1214" s="213" t="s">
        <v>382</v>
      </c>
      <c r="I1214" s="213"/>
      <c r="J1214" s="213"/>
      <c r="K1214" s="213"/>
      <c r="L1214" s="213"/>
      <c r="M1214" s="213"/>
      <c r="N1214" s="213"/>
      <c r="O1214" s="213"/>
      <c r="P1214" s="213"/>
      <c r="Q1214" s="213"/>
      <c r="R1214" s="213"/>
      <c r="S1214" s="213" t="s">
        <v>576</v>
      </c>
      <c r="T1214" s="213"/>
      <c r="U1214" s="213" t="s">
        <v>559</v>
      </c>
      <c r="V1214" s="213">
        <v>1</v>
      </c>
      <c r="W1214" s="213" t="s">
        <v>560</v>
      </c>
      <c r="X1214" s="213" t="s">
        <v>541</v>
      </c>
      <c r="Y1214" s="213" t="s">
        <v>541</v>
      </c>
      <c r="Z1214" s="212">
        <v>0</v>
      </c>
      <c r="AA1214" s="212">
        <v>0</v>
      </c>
      <c r="AB1214" s="217">
        <v>0.20543500000000001</v>
      </c>
      <c r="AC1214" s="217">
        <v>0.33061600000000002</v>
      </c>
      <c r="AD1214" s="212">
        <f t="shared" si="18"/>
        <v>0</v>
      </c>
    </row>
    <row r="1215" spans="2:30" x14ac:dyDescent="0.15">
      <c r="B1215" s="213">
        <v>17031005124</v>
      </c>
      <c r="C1215" s="213">
        <v>17031001402</v>
      </c>
      <c r="D1215" s="213">
        <v>17031001403</v>
      </c>
      <c r="E1215" s="213" t="s">
        <v>533</v>
      </c>
      <c r="F1215" s="213" t="s">
        <v>534</v>
      </c>
      <c r="G1215" s="213" t="s">
        <v>365</v>
      </c>
      <c r="H1215" s="213" t="s">
        <v>557</v>
      </c>
      <c r="I1215" s="213"/>
      <c r="J1215" s="213" t="s">
        <v>552</v>
      </c>
      <c r="K1215" s="213"/>
      <c r="L1215" s="213"/>
      <c r="M1215" s="213"/>
      <c r="N1215" s="213"/>
      <c r="O1215" s="213"/>
      <c r="P1215" s="213"/>
      <c r="Q1215" s="213"/>
      <c r="R1215" s="213"/>
      <c r="S1215" s="213" t="s">
        <v>567</v>
      </c>
      <c r="T1215" s="213"/>
      <c r="U1215" s="213" t="s">
        <v>559</v>
      </c>
      <c r="V1215" s="213">
        <v>1</v>
      </c>
      <c r="W1215" s="213" t="s">
        <v>560</v>
      </c>
      <c r="X1215" s="213" t="s">
        <v>541</v>
      </c>
      <c r="Y1215" s="213" t="s">
        <v>541</v>
      </c>
      <c r="Z1215" s="212">
        <v>440</v>
      </c>
      <c r="AA1215" s="212">
        <v>41160</v>
      </c>
      <c r="AB1215" s="217">
        <v>0.17608199999999999</v>
      </c>
      <c r="AC1215" s="217">
        <v>0.28337800000000002</v>
      </c>
      <c r="AD1215" s="212">
        <f t="shared" si="18"/>
        <v>7247.5351199999996</v>
      </c>
    </row>
    <row r="1216" spans="2:30" x14ac:dyDescent="0.15">
      <c r="B1216" s="213">
        <v>17031005160</v>
      </c>
      <c r="C1216" s="213">
        <v>17031000615</v>
      </c>
      <c r="D1216" s="213">
        <v>17031000616</v>
      </c>
      <c r="E1216" s="213" t="s">
        <v>533</v>
      </c>
      <c r="F1216" s="213" t="s">
        <v>534</v>
      </c>
      <c r="G1216" s="213" t="s">
        <v>365</v>
      </c>
      <c r="H1216" s="213" t="s">
        <v>547</v>
      </c>
      <c r="I1216" s="213"/>
      <c r="J1216" s="213" t="s">
        <v>627</v>
      </c>
      <c r="K1216" s="213"/>
      <c r="L1216" s="213"/>
      <c r="M1216" s="213"/>
      <c r="N1216" s="213"/>
      <c r="O1216" s="213"/>
      <c r="P1216" s="213"/>
      <c r="Q1216" s="213"/>
      <c r="R1216" s="213"/>
      <c r="S1216" s="213"/>
      <c r="T1216" s="213"/>
      <c r="U1216" s="213" t="s">
        <v>538</v>
      </c>
      <c r="V1216" s="213">
        <v>4</v>
      </c>
      <c r="W1216" s="213" t="s">
        <v>545</v>
      </c>
      <c r="X1216" s="213" t="s">
        <v>554</v>
      </c>
      <c r="Y1216" s="213" t="s">
        <v>541</v>
      </c>
      <c r="Z1216" s="212">
        <v>0</v>
      </c>
      <c r="AA1216" s="212">
        <v>0</v>
      </c>
      <c r="AB1216" s="217">
        <v>0.45025500000000002</v>
      </c>
      <c r="AC1216" s="217">
        <v>0.72461699999999996</v>
      </c>
      <c r="AD1216" s="212">
        <f t="shared" si="18"/>
        <v>0</v>
      </c>
    </row>
    <row r="1217" spans="2:30" x14ac:dyDescent="0.15">
      <c r="B1217" s="213">
        <v>17031005310</v>
      </c>
      <c r="C1217" s="213">
        <v>17031001449</v>
      </c>
      <c r="D1217" s="213">
        <v>17031001448</v>
      </c>
      <c r="E1217" s="213" t="s">
        <v>533</v>
      </c>
      <c r="F1217" s="213" t="s">
        <v>534</v>
      </c>
      <c r="G1217" s="213" t="s">
        <v>365</v>
      </c>
      <c r="H1217" s="213" t="s">
        <v>551</v>
      </c>
      <c r="I1217" s="213"/>
      <c r="J1217" s="213"/>
      <c r="K1217" s="213"/>
      <c r="L1217" s="213"/>
      <c r="M1217" s="213"/>
      <c r="N1217" s="213"/>
      <c r="O1217" s="213"/>
      <c r="P1217" s="213"/>
      <c r="Q1217" s="213"/>
      <c r="R1217" s="213"/>
      <c r="S1217" s="213"/>
      <c r="T1217" s="213"/>
      <c r="U1217" s="213" t="s">
        <v>559</v>
      </c>
      <c r="V1217" s="213">
        <v>1</v>
      </c>
      <c r="W1217" s="213" t="s">
        <v>560</v>
      </c>
      <c r="X1217" s="213" t="s">
        <v>541</v>
      </c>
      <c r="Y1217" s="213" t="s">
        <v>541</v>
      </c>
      <c r="Z1217" s="212">
        <v>0</v>
      </c>
      <c r="AA1217" s="212">
        <v>0</v>
      </c>
      <c r="AB1217" s="217">
        <v>0.51478299999999999</v>
      </c>
      <c r="AC1217" s="217">
        <v>0.82846500000000001</v>
      </c>
      <c r="AD1217" s="212">
        <f t="shared" si="18"/>
        <v>0</v>
      </c>
    </row>
    <row r="1218" spans="2:30" x14ac:dyDescent="0.15">
      <c r="B1218" s="213">
        <v>17031005319</v>
      </c>
      <c r="C1218" s="213">
        <v>17031000934</v>
      </c>
      <c r="D1218" s="213">
        <v>17031000917</v>
      </c>
      <c r="E1218" s="213" t="s">
        <v>533</v>
      </c>
      <c r="F1218" s="213" t="s">
        <v>534</v>
      </c>
      <c r="G1218" s="213" t="s">
        <v>365</v>
      </c>
      <c r="H1218" s="213" t="s">
        <v>557</v>
      </c>
      <c r="I1218" s="213"/>
      <c r="J1218" s="213" t="s">
        <v>535</v>
      </c>
      <c r="K1218" s="213" t="s">
        <v>382</v>
      </c>
      <c r="L1218" s="213" t="s">
        <v>552</v>
      </c>
      <c r="M1218" s="213" t="s">
        <v>381</v>
      </c>
      <c r="N1218" s="213"/>
      <c r="O1218" s="213"/>
      <c r="P1218" s="213"/>
      <c r="Q1218" s="213"/>
      <c r="R1218" s="213"/>
      <c r="S1218" s="213"/>
      <c r="T1218" s="213"/>
      <c r="U1218" s="213" t="s">
        <v>538</v>
      </c>
      <c r="V1218" s="213">
        <v>1</v>
      </c>
      <c r="W1218" s="213" t="s">
        <v>560</v>
      </c>
      <c r="X1218" s="213" t="s">
        <v>541</v>
      </c>
      <c r="Y1218" s="213" t="s">
        <v>541</v>
      </c>
      <c r="Z1218" s="212">
        <v>0</v>
      </c>
      <c r="AA1218" s="212">
        <v>0</v>
      </c>
      <c r="AB1218" s="217">
        <v>0.26036100000000001</v>
      </c>
      <c r="AC1218" s="217">
        <v>0.41901100000000002</v>
      </c>
      <c r="AD1218" s="212">
        <f t="shared" si="18"/>
        <v>0</v>
      </c>
    </row>
    <row r="1219" spans="2:30" x14ac:dyDescent="0.15">
      <c r="B1219" s="213">
        <v>17031005342</v>
      </c>
      <c r="C1219" s="213">
        <v>17031000325</v>
      </c>
      <c r="D1219" s="213">
        <v>17031000318</v>
      </c>
      <c r="E1219" s="213" t="s">
        <v>533</v>
      </c>
      <c r="F1219" s="213" t="s">
        <v>534</v>
      </c>
      <c r="G1219" s="213" t="s">
        <v>365</v>
      </c>
      <c r="H1219" s="213" t="s">
        <v>590</v>
      </c>
      <c r="I1219" s="213"/>
      <c r="J1219" s="213"/>
      <c r="K1219" s="213"/>
      <c r="L1219" s="213"/>
      <c r="M1219" s="213"/>
      <c r="N1219" s="213"/>
      <c r="O1219" s="213"/>
      <c r="P1219" s="213"/>
      <c r="Q1219" s="213"/>
      <c r="R1219" s="213"/>
      <c r="S1219" s="213"/>
      <c r="T1219" s="213"/>
      <c r="U1219" s="213" t="s">
        <v>559</v>
      </c>
      <c r="V1219" s="213">
        <v>1</v>
      </c>
      <c r="W1219" s="213" t="s">
        <v>560</v>
      </c>
      <c r="X1219" s="213" t="s">
        <v>541</v>
      </c>
      <c r="Y1219" s="213" t="s">
        <v>541</v>
      </c>
      <c r="Z1219" s="212">
        <v>0</v>
      </c>
      <c r="AA1219" s="212">
        <v>0</v>
      </c>
      <c r="AB1219" s="217">
        <v>0.67107399999999995</v>
      </c>
      <c r="AC1219" s="217">
        <v>1.0799920000000001</v>
      </c>
      <c r="AD1219" s="212">
        <f t="shared" si="18"/>
        <v>0</v>
      </c>
    </row>
    <row r="1220" spans="2:30" x14ac:dyDescent="0.15">
      <c r="B1220" s="213">
        <v>17031005366</v>
      </c>
      <c r="C1220" s="213">
        <v>17031001276</v>
      </c>
      <c r="D1220" s="213">
        <v>17031001281</v>
      </c>
      <c r="E1220" s="213" t="s">
        <v>533</v>
      </c>
      <c r="F1220" s="213" t="s">
        <v>534</v>
      </c>
      <c r="G1220" s="213" t="s">
        <v>365</v>
      </c>
      <c r="H1220" s="213" t="s">
        <v>543</v>
      </c>
      <c r="I1220" s="213"/>
      <c r="J1220" s="213"/>
      <c r="K1220" s="213"/>
      <c r="L1220" s="213"/>
      <c r="M1220" s="213"/>
      <c r="N1220" s="213"/>
      <c r="O1220" s="213"/>
      <c r="P1220" s="213"/>
      <c r="Q1220" s="213"/>
      <c r="R1220" s="213"/>
      <c r="S1220" s="213" t="s">
        <v>604</v>
      </c>
      <c r="T1220" s="213"/>
      <c r="U1220" s="213" t="s">
        <v>538</v>
      </c>
      <c r="V1220" s="213">
        <v>2</v>
      </c>
      <c r="W1220" s="213" t="s">
        <v>545</v>
      </c>
      <c r="X1220" s="213" t="s">
        <v>554</v>
      </c>
      <c r="Y1220" s="213" t="s">
        <v>546</v>
      </c>
      <c r="Z1220" s="212">
        <v>6400</v>
      </c>
      <c r="AA1220" s="212">
        <v>597639</v>
      </c>
      <c r="AB1220" s="217">
        <v>0.246253</v>
      </c>
      <c r="AC1220" s="217">
        <v>0.39630599999999999</v>
      </c>
      <c r="AD1220" s="212">
        <f t="shared" si="18"/>
        <v>147170.39666699999</v>
      </c>
    </row>
    <row r="1221" spans="2:30" x14ac:dyDescent="0.15">
      <c r="B1221" s="213">
        <v>17031005369</v>
      </c>
      <c r="C1221" s="213">
        <v>17031001303</v>
      </c>
      <c r="D1221" s="213">
        <v>17031001294</v>
      </c>
      <c r="E1221" s="213" t="s">
        <v>533</v>
      </c>
      <c r="F1221" s="213" t="s">
        <v>534</v>
      </c>
      <c r="G1221" s="213" t="s">
        <v>365</v>
      </c>
      <c r="H1221" s="213" t="s">
        <v>557</v>
      </c>
      <c r="I1221" s="213"/>
      <c r="J1221" s="213" t="s">
        <v>381</v>
      </c>
      <c r="K1221" s="213" t="s">
        <v>535</v>
      </c>
      <c r="L1221" s="213" t="s">
        <v>552</v>
      </c>
      <c r="M1221" s="213" t="s">
        <v>551</v>
      </c>
      <c r="N1221" s="213" t="s">
        <v>615</v>
      </c>
      <c r="O1221" s="213" t="s">
        <v>543</v>
      </c>
      <c r="P1221" s="213" t="s">
        <v>382</v>
      </c>
      <c r="Q1221" s="213"/>
      <c r="R1221" s="213"/>
      <c r="S1221" s="213" t="s">
        <v>570</v>
      </c>
      <c r="T1221" s="213"/>
      <c r="U1221" s="213" t="s">
        <v>538</v>
      </c>
      <c r="V1221" s="213">
        <v>2</v>
      </c>
      <c r="W1221" s="213" t="s">
        <v>545</v>
      </c>
      <c r="X1221" s="213" t="s">
        <v>540</v>
      </c>
      <c r="Y1221" s="213" t="s">
        <v>546</v>
      </c>
      <c r="Z1221" s="212">
        <v>1633902</v>
      </c>
      <c r="AA1221" s="212">
        <v>81131608</v>
      </c>
      <c r="AB1221" s="217">
        <v>0.41764499999999999</v>
      </c>
      <c r="AC1221" s="217">
        <v>0.67213599999999996</v>
      </c>
      <c r="AD1221" s="212">
        <f t="shared" si="18"/>
        <v>33884210.423160002</v>
      </c>
    </row>
    <row r="1222" spans="2:30" x14ac:dyDescent="0.15">
      <c r="B1222" s="213">
        <v>17031005375</v>
      </c>
      <c r="C1222" s="213">
        <v>17031001258</v>
      </c>
      <c r="D1222" s="213">
        <v>17031001249</v>
      </c>
      <c r="E1222" s="213" t="s">
        <v>533</v>
      </c>
      <c r="F1222" s="213" t="s">
        <v>534</v>
      </c>
      <c r="G1222" s="213" t="s">
        <v>365</v>
      </c>
      <c r="H1222" s="213" t="s">
        <v>543</v>
      </c>
      <c r="I1222" s="213"/>
      <c r="J1222" s="213"/>
      <c r="K1222" s="213"/>
      <c r="L1222" s="213"/>
      <c r="M1222" s="213"/>
      <c r="N1222" s="213"/>
      <c r="O1222" s="213"/>
      <c r="P1222" s="213"/>
      <c r="Q1222" s="213"/>
      <c r="R1222" s="213"/>
      <c r="S1222" s="213"/>
      <c r="T1222" s="213"/>
      <c r="U1222" s="213" t="s">
        <v>559</v>
      </c>
      <c r="V1222" s="213">
        <v>1</v>
      </c>
      <c r="W1222" s="213" t="s">
        <v>560</v>
      </c>
      <c r="X1222" s="213" t="s">
        <v>541</v>
      </c>
      <c r="Y1222" s="213" t="s">
        <v>541</v>
      </c>
      <c r="Z1222" s="212">
        <v>0</v>
      </c>
      <c r="AA1222" s="212">
        <v>0</v>
      </c>
      <c r="AB1222" s="217">
        <v>0.172371</v>
      </c>
      <c r="AC1222" s="217">
        <v>0.27740399999999998</v>
      </c>
      <c r="AD1222" s="212">
        <f t="shared" ref="AD1222:AD1285" si="19">AA1222*AB1222</f>
        <v>0</v>
      </c>
    </row>
    <row r="1223" spans="2:30" x14ac:dyDescent="0.15">
      <c r="B1223" s="213">
        <v>17031005383</v>
      </c>
      <c r="C1223" s="213">
        <v>17031000734</v>
      </c>
      <c r="D1223" s="213">
        <v>17031000729</v>
      </c>
      <c r="E1223" s="213" t="s">
        <v>533</v>
      </c>
      <c r="F1223" s="213" t="s">
        <v>534</v>
      </c>
      <c r="G1223" s="213" t="s">
        <v>365</v>
      </c>
      <c r="H1223" s="213" t="s">
        <v>535</v>
      </c>
      <c r="I1223" s="213"/>
      <c r="J1223" s="213"/>
      <c r="K1223" s="213"/>
      <c r="L1223" s="213"/>
      <c r="M1223" s="213"/>
      <c r="N1223" s="213"/>
      <c r="O1223" s="213"/>
      <c r="P1223" s="213"/>
      <c r="Q1223" s="213"/>
      <c r="R1223" s="213"/>
      <c r="S1223" s="213" t="s">
        <v>624</v>
      </c>
      <c r="T1223" s="213" t="s">
        <v>625</v>
      </c>
      <c r="U1223" s="213" t="s">
        <v>538</v>
      </c>
      <c r="V1223" s="213">
        <v>2</v>
      </c>
      <c r="W1223" s="213" t="s">
        <v>582</v>
      </c>
      <c r="X1223" s="213" t="s">
        <v>554</v>
      </c>
      <c r="Y1223" s="213" t="s">
        <v>554</v>
      </c>
      <c r="Z1223" s="212">
        <v>0</v>
      </c>
      <c r="AA1223" s="212">
        <v>0</v>
      </c>
      <c r="AB1223" s="217">
        <v>0.49956099999999998</v>
      </c>
      <c r="AC1223" s="217">
        <v>0.80396699999999999</v>
      </c>
      <c r="AD1223" s="212">
        <f t="shared" si="19"/>
        <v>0</v>
      </c>
    </row>
    <row r="1224" spans="2:30" x14ac:dyDescent="0.15">
      <c r="B1224" s="213">
        <v>17031005458</v>
      </c>
      <c r="C1224" s="213">
        <v>17031001284</v>
      </c>
      <c r="D1224" s="213">
        <v>17031001286</v>
      </c>
      <c r="E1224" s="213" t="s">
        <v>533</v>
      </c>
      <c r="F1224" s="213" t="s">
        <v>534</v>
      </c>
      <c r="G1224" s="213" t="s">
        <v>365</v>
      </c>
      <c r="H1224" s="213" t="s">
        <v>547</v>
      </c>
      <c r="I1224" s="213"/>
      <c r="J1224" s="213"/>
      <c r="K1224" s="213"/>
      <c r="L1224" s="213"/>
      <c r="M1224" s="213"/>
      <c r="N1224" s="213"/>
      <c r="O1224" s="213"/>
      <c r="P1224" s="213"/>
      <c r="Q1224" s="213"/>
      <c r="R1224" s="213"/>
      <c r="S1224" s="213"/>
      <c r="T1224" s="213"/>
      <c r="U1224" s="213" t="s">
        <v>538</v>
      </c>
      <c r="V1224" s="213">
        <v>1</v>
      </c>
      <c r="W1224" s="213" t="s">
        <v>582</v>
      </c>
      <c r="X1224" s="213" t="s">
        <v>541</v>
      </c>
      <c r="Y1224" s="213" t="s">
        <v>541</v>
      </c>
      <c r="Z1224" s="212">
        <v>0</v>
      </c>
      <c r="AA1224" s="212">
        <v>0</v>
      </c>
      <c r="AB1224" s="217">
        <v>0.101754</v>
      </c>
      <c r="AC1224" s="217">
        <v>0.16375799999999999</v>
      </c>
      <c r="AD1224" s="212">
        <f t="shared" si="19"/>
        <v>0</v>
      </c>
    </row>
    <row r="1225" spans="2:30" x14ac:dyDescent="0.15">
      <c r="B1225" s="213">
        <v>17031005471</v>
      </c>
      <c r="C1225" s="213">
        <v>17031000969</v>
      </c>
      <c r="D1225" s="213">
        <v>17031000957</v>
      </c>
      <c r="E1225" s="213" t="s">
        <v>533</v>
      </c>
      <c r="F1225" s="213" t="s">
        <v>534</v>
      </c>
      <c r="G1225" s="213" t="s">
        <v>365</v>
      </c>
      <c r="H1225" s="213" t="s">
        <v>571</v>
      </c>
      <c r="I1225" s="213"/>
      <c r="J1225" s="213" t="s">
        <v>381</v>
      </c>
      <c r="K1225" s="213" t="s">
        <v>535</v>
      </c>
      <c r="L1225" s="213" t="s">
        <v>552</v>
      </c>
      <c r="M1225" s="213" t="s">
        <v>572</v>
      </c>
      <c r="N1225" s="213" t="s">
        <v>551</v>
      </c>
      <c r="O1225" s="213" t="s">
        <v>555</v>
      </c>
      <c r="P1225" s="213" t="s">
        <v>543</v>
      </c>
      <c r="Q1225" s="213" t="s">
        <v>382</v>
      </c>
      <c r="R1225" s="213" t="s">
        <v>563</v>
      </c>
      <c r="S1225" s="213" t="s">
        <v>605</v>
      </c>
      <c r="T1225" s="213" t="s">
        <v>574</v>
      </c>
      <c r="U1225" s="213" t="s">
        <v>538</v>
      </c>
      <c r="V1225" s="213">
        <v>2</v>
      </c>
      <c r="W1225" s="213" t="s">
        <v>545</v>
      </c>
      <c r="X1225" s="213" t="s">
        <v>554</v>
      </c>
      <c r="Y1225" s="213" t="s">
        <v>575</v>
      </c>
      <c r="Z1225" s="212">
        <v>344239</v>
      </c>
      <c r="AA1225" s="212">
        <v>17727348</v>
      </c>
      <c r="AB1225" s="217">
        <v>0.32166400000000001</v>
      </c>
      <c r="AC1225" s="217">
        <v>0.51766900000000005</v>
      </c>
      <c r="AD1225" s="212">
        <f t="shared" si="19"/>
        <v>5702249.667072</v>
      </c>
    </row>
    <row r="1226" spans="2:30" x14ac:dyDescent="0.15">
      <c r="B1226" s="213">
        <v>17031005482</v>
      </c>
      <c r="C1226" s="213">
        <v>17031001031</v>
      </c>
      <c r="D1226" s="213">
        <v>17031000994</v>
      </c>
      <c r="E1226" s="213" t="s">
        <v>533</v>
      </c>
      <c r="F1226" s="213" t="s">
        <v>534</v>
      </c>
      <c r="G1226" s="213" t="s">
        <v>365</v>
      </c>
      <c r="H1226" s="213" t="s">
        <v>571</v>
      </c>
      <c r="I1226" s="213"/>
      <c r="J1226" s="213"/>
      <c r="K1226" s="213"/>
      <c r="L1226" s="213"/>
      <c r="M1226" s="213"/>
      <c r="N1226" s="213"/>
      <c r="O1226" s="213"/>
      <c r="P1226" s="213"/>
      <c r="Q1226" s="213"/>
      <c r="R1226" s="213"/>
      <c r="S1226" s="213"/>
      <c r="T1226" s="213"/>
      <c r="U1226" s="213" t="s">
        <v>559</v>
      </c>
      <c r="V1226" s="213">
        <v>1</v>
      </c>
      <c r="W1226" s="213" t="s">
        <v>560</v>
      </c>
      <c r="X1226" s="213" t="s">
        <v>541</v>
      </c>
      <c r="Y1226" s="213" t="s">
        <v>541</v>
      </c>
      <c r="Z1226" s="212">
        <v>0</v>
      </c>
      <c r="AA1226" s="212">
        <v>0</v>
      </c>
      <c r="AB1226" s="217">
        <v>2.0527229999999999</v>
      </c>
      <c r="AC1226" s="217">
        <v>3.303544</v>
      </c>
      <c r="AD1226" s="212">
        <f t="shared" si="19"/>
        <v>0</v>
      </c>
    </row>
    <row r="1227" spans="2:30" x14ac:dyDescent="0.15">
      <c r="B1227" s="213">
        <v>17031005483</v>
      </c>
      <c r="C1227" s="213">
        <v>17031000995</v>
      </c>
      <c r="D1227" s="213">
        <v>17031000994</v>
      </c>
      <c r="E1227" s="213" t="s">
        <v>533</v>
      </c>
      <c r="F1227" s="213" t="s">
        <v>534</v>
      </c>
      <c r="G1227" s="213" t="s">
        <v>365</v>
      </c>
      <c r="H1227" s="213" t="s">
        <v>571</v>
      </c>
      <c r="I1227" s="213"/>
      <c r="J1227" s="213"/>
      <c r="K1227" s="213"/>
      <c r="L1227" s="213"/>
      <c r="M1227" s="213"/>
      <c r="N1227" s="213"/>
      <c r="O1227" s="213"/>
      <c r="P1227" s="213"/>
      <c r="Q1227" s="213"/>
      <c r="R1227" s="213"/>
      <c r="S1227" s="213"/>
      <c r="T1227" s="213"/>
      <c r="U1227" s="213" t="s">
        <v>559</v>
      </c>
      <c r="V1227" s="213">
        <v>1</v>
      </c>
      <c r="W1227" s="213" t="s">
        <v>560</v>
      </c>
      <c r="X1227" s="213" t="s">
        <v>541</v>
      </c>
      <c r="Y1227" s="213" t="s">
        <v>541</v>
      </c>
      <c r="Z1227" s="212">
        <v>0</v>
      </c>
      <c r="AA1227" s="212">
        <v>0</v>
      </c>
      <c r="AB1227" s="217">
        <v>2.0811130000000002</v>
      </c>
      <c r="AC1227" s="217">
        <v>3.3492329999999999</v>
      </c>
      <c r="AD1227" s="212">
        <f t="shared" si="19"/>
        <v>0</v>
      </c>
    </row>
    <row r="1228" spans="2:30" x14ac:dyDescent="0.15">
      <c r="B1228" s="213">
        <v>17031005488</v>
      </c>
      <c r="C1228" s="213">
        <v>17031000622</v>
      </c>
      <c r="D1228" s="213">
        <v>17031000619</v>
      </c>
      <c r="E1228" s="213" t="s">
        <v>533</v>
      </c>
      <c r="F1228" s="213" t="s">
        <v>534</v>
      </c>
      <c r="G1228" s="213" t="s">
        <v>365</v>
      </c>
      <c r="H1228" s="213" t="s">
        <v>551</v>
      </c>
      <c r="I1228" s="213"/>
      <c r="J1228" s="213" t="s">
        <v>535</v>
      </c>
      <c r="K1228" s="213"/>
      <c r="L1228" s="213"/>
      <c r="M1228" s="213"/>
      <c r="N1228" s="213"/>
      <c r="O1228" s="213"/>
      <c r="P1228" s="213"/>
      <c r="Q1228" s="213"/>
      <c r="R1228" s="213"/>
      <c r="S1228" s="213" t="s">
        <v>667</v>
      </c>
      <c r="T1228" s="213" t="s">
        <v>680</v>
      </c>
      <c r="U1228" s="213" t="s">
        <v>538</v>
      </c>
      <c r="V1228" s="213">
        <v>2</v>
      </c>
      <c r="W1228" s="213" t="s">
        <v>582</v>
      </c>
      <c r="X1228" s="213" t="s">
        <v>541</v>
      </c>
      <c r="Y1228" s="213" t="s">
        <v>541</v>
      </c>
      <c r="Z1228" s="212">
        <v>0</v>
      </c>
      <c r="AA1228" s="212">
        <v>0</v>
      </c>
      <c r="AB1228" s="217">
        <v>0.52766599999999997</v>
      </c>
      <c r="AC1228" s="217">
        <v>0.84919800000000001</v>
      </c>
      <c r="AD1228" s="212">
        <f t="shared" si="19"/>
        <v>0</v>
      </c>
    </row>
    <row r="1229" spans="2:30" x14ac:dyDescent="0.15">
      <c r="B1229" s="213">
        <v>17031005506</v>
      </c>
      <c r="C1229" s="213">
        <v>17031000752</v>
      </c>
      <c r="D1229" s="213">
        <v>17031000759</v>
      </c>
      <c r="E1229" s="213" t="s">
        <v>533</v>
      </c>
      <c r="F1229" s="213" t="s">
        <v>534</v>
      </c>
      <c r="G1229" s="213" t="s">
        <v>365</v>
      </c>
      <c r="H1229" s="213" t="s">
        <v>535</v>
      </c>
      <c r="I1229" s="213"/>
      <c r="J1229" s="213" t="s">
        <v>571</v>
      </c>
      <c r="K1229" s="213" t="s">
        <v>563</v>
      </c>
      <c r="L1229" s="213"/>
      <c r="M1229" s="213"/>
      <c r="N1229" s="213"/>
      <c r="O1229" s="213"/>
      <c r="P1229" s="213"/>
      <c r="Q1229" s="213"/>
      <c r="R1229" s="213"/>
      <c r="S1229" s="213"/>
      <c r="T1229" s="213"/>
      <c r="U1229" s="213" t="s">
        <v>538</v>
      </c>
      <c r="V1229" s="213">
        <v>1</v>
      </c>
      <c r="W1229" s="213" t="s">
        <v>560</v>
      </c>
      <c r="X1229" s="213" t="s">
        <v>541</v>
      </c>
      <c r="Y1229" s="213" t="s">
        <v>541</v>
      </c>
      <c r="Z1229" s="212">
        <v>2080</v>
      </c>
      <c r="AA1229" s="212">
        <v>194640</v>
      </c>
      <c r="AB1229" s="217">
        <v>0.23077300000000001</v>
      </c>
      <c r="AC1229" s="217">
        <v>0.37139299999999997</v>
      </c>
      <c r="AD1229" s="212">
        <f t="shared" si="19"/>
        <v>44917.656719999999</v>
      </c>
    </row>
    <row r="1230" spans="2:30" x14ac:dyDescent="0.15">
      <c r="B1230" s="213">
        <v>17031005507</v>
      </c>
      <c r="C1230" s="213">
        <v>17031000754</v>
      </c>
      <c r="D1230" s="213">
        <v>17031000759</v>
      </c>
      <c r="E1230" s="213" t="s">
        <v>533</v>
      </c>
      <c r="F1230" s="213" t="s">
        <v>534</v>
      </c>
      <c r="G1230" s="213" t="s">
        <v>365</v>
      </c>
      <c r="H1230" s="213" t="s">
        <v>571</v>
      </c>
      <c r="I1230" s="213"/>
      <c r="J1230" s="213" t="s">
        <v>535</v>
      </c>
      <c r="K1230" s="213"/>
      <c r="L1230" s="213"/>
      <c r="M1230" s="213"/>
      <c r="N1230" s="213"/>
      <c r="O1230" s="213"/>
      <c r="P1230" s="213"/>
      <c r="Q1230" s="213"/>
      <c r="R1230" s="213"/>
      <c r="S1230" s="213"/>
      <c r="T1230" s="213"/>
      <c r="U1230" s="213" t="s">
        <v>559</v>
      </c>
      <c r="V1230" s="213">
        <v>1</v>
      </c>
      <c r="W1230" s="213" t="s">
        <v>560</v>
      </c>
      <c r="X1230" s="213" t="s">
        <v>541</v>
      </c>
      <c r="Y1230" s="213" t="s">
        <v>541</v>
      </c>
      <c r="Z1230" s="212">
        <v>0</v>
      </c>
      <c r="AA1230" s="212">
        <v>0</v>
      </c>
      <c r="AB1230" s="217">
        <v>0.22309699999999999</v>
      </c>
      <c r="AC1230" s="217">
        <v>0.359041</v>
      </c>
      <c r="AD1230" s="212">
        <f t="shared" si="19"/>
        <v>0</v>
      </c>
    </row>
    <row r="1231" spans="2:30" x14ac:dyDescent="0.15">
      <c r="B1231" s="213">
        <v>17031005512</v>
      </c>
      <c r="C1231" s="213">
        <v>17031000672</v>
      </c>
      <c r="D1231" s="213">
        <v>17031000670</v>
      </c>
      <c r="E1231" s="213" t="s">
        <v>533</v>
      </c>
      <c r="F1231" s="213" t="s">
        <v>534</v>
      </c>
      <c r="G1231" s="213" t="s">
        <v>365</v>
      </c>
      <c r="H1231" s="213" t="s">
        <v>381</v>
      </c>
      <c r="I1231" s="213"/>
      <c r="J1231" s="213" t="s">
        <v>542</v>
      </c>
      <c r="K1231" s="213" t="s">
        <v>577</v>
      </c>
      <c r="L1231" s="213" t="s">
        <v>572</v>
      </c>
      <c r="M1231" s="213" t="s">
        <v>547</v>
      </c>
      <c r="N1231" s="213" t="s">
        <v>382</v>
      </c>
      <c r="O1231" s="213"/>
      <c r="P1231" s="213"/>
      <c r="Q1231" s="213"/>
      <c r="R1231" s="213"/>
      <c r="S1231" s="213" t="s">
        <v>579</v>
      </c>
      <c r="T1231" s="213"/>
      <c r="U1231" s="213" t="s">
        <v>538</v>
      </c>
      <c r="V1231" s="213">
        <v>4</v>
      </c>
      <c r="W1231" s="213" t="s">
        <v>545</v>
      </c>
      <c r="X1231" s="213" t="s">
        <v>540</v>
      </c>
      <c r="Y1231" s="213" t="s">
        <v>549</v>
      </c>
      <c r="Z1231" s="212">
        <v>2437713</v>
      </c>
      <c r="AA1231" s="212">
        <v>67580400</v>
      </c>
      <c r="AB1231" s="217">
        <v>0.114359</v>
      </c>
      <c r="AC1231" s="217">
        <v>0.18404300000000001</v>
      </c>
      <c r="AD1231" s="212">
        <f t="shared" si="19"/>
        <v>7728426.9636000004</v>
      </c>
    </row>
    <row r="1232" spans="2:30" x14ac:dyDescent="0.15">
      <c r="B1232" s="213">
        <v>17031005640</v>
      </c>
      <c r="C1232" s="213">
        <v>17031001296</v>
      </c>
      <c r="D1232" s="213">
        <v>17031001319</v>
      </c>
      <c r="E1232" s="213" t="s">
        <v>533</v>
      </c>
      <c r="F1232" s="213" t="s">
        <v>534</v>
      </c>
      <c r="G1232" s="213" t="s">
        <v>365</v>
      </c>
      <c r="H1232" s="213" t="s">
        <v>615</v>
      </c>
      <c r="I1232" s="213"/>
      <c r="J1232" s="213" t="s">
        <v>577</v>
      </c>
      <c r="K1232" s="213" t="s">
        <v>551</v>
      </c>
      <c r="L1232" s="213"/>
      <c r="M1232" s="213"/>
      <c r="N1232" s="213"/>
      <c r="O1232" s="213"/>
      <c r="P1232" s="213"/>
      <c r="Q1232" s="213"/>
      <c r="R1232" s="213"/>
      <c r="S1232" s="213"/>
      <c r="T1232" s="213"/>
      <c r="U1232" s="213" t="s">
        <v>559</v>
      </c>
      <c r="V1232" s="213">
        <v>1</v>
      </c>
      <c r="W1232" s="213" t="s">
        <v>560</v>
      </c>
      <c r="X1232" s="213" t="s">
        <v>541</v>
      </c>
      <c r="Y1232" s="213" t="s">
        <v>541</v>
      </c>
      <c r="Z1232" s="212">
        <v>103629</v>
      </c>
      <c r="AA1232" s="212">
        <v>10039458</v>
      </c>
      <c r="AB1232" s="217">
        <v>9.5517000000000005E-2</v>
      </c>
      <c r="AC1232" s="217">
        <v>0.15372</v>
      </c>
      <c r="AD1232" s="212">
        <f t="shared" si="19"/>
        <v>958938.90978600003</v>
      </c>
    </row>
    <row r="1233" spans="2:30" x14ac:dyDescent="0.15">
      <c r="B1233" s="213">
        <v>17031005646</v>
      </c>
      <c r="C1233" s="213">
        <v>17031000644</v>
      </c>
      <c r="D1233" s="213">
        <v>17031000874</v>
      </c>
      <c r="E1233" s="213" t="s">
        <v>533</v>
      </c>
      <c r="F1233" s="213" t="s">
        <v>534</v>
      </c>
      <c r="G1233" s="213" t="s">
        <v>365</v>
      </c>
      <c r="H1233" s="213" t="s">
        <v>547</v>
      </c>
      <c r="I1233" s="213"/>
      <c r="J1233" s="213" t="s">
        <v>627</v>
      </c>
      <c r="K1233" s="213"/>
      <c r="L1233" s="213"/>
      <c r="M1233" s="213"/>
      <c r="N1233" s="213"/>
      <c r="O1233" s="213"/>
      <c r="P1233" s="213"/>
      <c r="Q1233" s="213"/>
      <c r="R1233" s="213"/>
      <c r="S1233" s="213"/>
      <c r="T1233" s="213"/>
      <c r="U1233" s="213" t="s">
        <v>538</v>
      </c>
      <c r="V1233" s="213">
        <v>4</v>
      </c>
      <c r="W1233" s="213" t="s">
        <v>545</v>
      </c>
      <c r="X1233" s="213" t="s">
        <v>540</v>
      </c>
      <c r="Y1233" s="213" t="s">
        <v>541</v>
      </c>
      <c r="Z1233" s="212">
        <v>0</v>
      </c>
      <c r="AA1233" s="212">
        <v>0</v>
      </c>
      <c r="AB1233" s="217">
        <v>4.3660030000000001</v>
      </c>
      <c r="AC1233" s="217">
        <v>7.0264150000000001</v>
      </c>
      <c r="AD1233" s="212">
        <f t="shared" si="19"/>
        <v>0</v>
      </c>
    </row>
    <row r="1234" spans="2:30" x14ac:dyDescent="0.15">
      <c r="B1234" s="213">
        <v>17031005647</v>
      </c>
      <c r="C1234" s="213">
        <v>17031001162</v>
      </c>
      <c r="D1234" s="213">
        <v>17031001165</v>
      </c>
      <c r="E1234" s="213" t="s">
        <v>533</v>
      </c>
      <c r="F1234" s="213" t="s">
        <v>534</v>
      </c>
      <c r="G1234" s="213" t="s">
        <v>365</v>
      </c>
      <c r="H1234" s="213" t="s">
        <v>577</v>
      </c>
      <c r="I1234" s="213"/>
      <c r="J1234" s="213"/>
      <c r="K1234" s="213"/>
      <c r="L1234" s="213"/>
      <c r="M1234" s="213"/>
      <c r="N1234" s="213"/>
      <c r="O1234" s="213"/>
      <c r="P1234" s="213"/>
      <c r="Q1234" s="213"/>
      <c r="R1234" s="213"/>
      <c r="S1234" s="213"/>
      <c r="T1234" s="213"/>
      <c r="U1234" s="213" t="s">
        <v>538</v>
      </c>
      <c r="V1234" s="213">
        <v>1</v>
      </c>
      <c r="W1234" s="213" t="s">
        <v>560</v>
      </c>
      <c r="X1234" s="213" t="s">
        <v>541</v>
      </c>
      <c r="Y1234" s="213" t="s">
        <v>541</v>
      </c>
      <c r="Z1234" s="212">
        <v>0</v>
      </c>
      <c r="AA1234" s="212">
        <v>0</v>
      </c>
      <c r="AB1234" s="217">
        <v>0.14787</v>
      </c>
      <c r="AC1234" s="217">
        <v>0.23797299999999999</v>
      </c>
      <c r="AD1234" s="212">
        <f t="shared" si="19"/>
        <v>0</v>
      </c>
    </row>
    <row r="1235" spans="2:30" x14ac:dyDescent="0.15">
      <c r="B1235" s="213">
        <v>17031005649</v>
      </c>
      <c r="C1235" s="213">
        <v>17031000682</v>
      </c>
      <c r="D1235" s="213">
        <v>17031000697</v>
      </c>
      <c r="E1235" s="213" t="s">
        <v>533</v>
      </c>
      <c r="F1235" s="213" t="s">
        <v>534</v>
      </c>
      <c r="G1235" s="213" t="s">
        <v>365</v>
      </c>
      <c r="H1235" s="213" t="s">
        <v>644</v>
      </c>
      <c r="I1235" s="213"/>
      <c r="J1235" s="213"/>
      <c r="K1235" s="213"/>
      <c r="L1235" s="213"/>
      <c r="M1235" s="213"/>
      <c r="N1235" s="213"/>
      <c r="O1235" s="213"/>
      <c r="P1235" s="213"/>
      <c r="Q1235" s="213"/>
      <c r="R1235" s="213"/>
      <c r="S1235" s="213"/>
      <c r="T1235" s="213"/>
      <c r="U1235" s="213" t="s">
        <v>559</v>
      </c>
      <c r="V1235" s="213">
        <v>1</v>
      </c>
      <c r="W1235" s="213" t="s">
        <v>560</v>
      </c>
      <c r="X1235" s="213" t="s">
        <v>541</v>
      </c>
      <c r="Y1235" s="213" t="s">
        <v>541</v>
      </c>
      <c r="Z1235" s="212">
        <v>0</v>
      </c>
      <c r="AA1235" s="212">
        <v>0</v>
      </c>
      <c r="AB1235" s="217">
        <v>0.16952100000000001</v>
      </c>
      <c r="AC1235" s="217">
        <v>0.27281899999999998</v>
      </c>
      <c r="AD1235" s="212">
        <f t="shared" si="19"/>
        <v>0</v>
      </c>
    </row>
    <row r="1236" spans="2:30" x14ac:dyDescent="0.15">
      <c r="B1236" s="213">
        <v>17031005664</v>
      </c>
      <c r="C1236" s="213">
        <v>17031000614</v>
      </c>
      <c r="D1236" s="213">
        <v>17031000600</v>
      </c>
      <c r="E1236" s="213" t="s">
        <v>533</v>
      </c>
      <c r="F1236" s="213" t="s">
        <v>534</v>
      </c>
      <c r="G1236" s="213" t="s">
        <v>365</v>
      </c>
      <c r="H1236" s="213" t="s">
        <v>543</v>
      </c>
      <c r="I1236" s="213"/>
      <c r="J1236" s="213" t="s">
        <v>542</v>
      </c>
      <c r="K1236" s="213" t="s">
        <v>547</v>
      </c>
      <c r="L1236" s="213"/>
      <c r="M1236" s="213"/>
      <c r="N1236" s="213"/>
      <c r="O1236" s="213"/>
      <c r="P1236" s="213"/>
      <c r="Q1236" s="213"/>
      <c r="R1236" s="213"/>
      <c r="S1236" s="213" t="s">
        <v>630</v>
      </c>
      <c r="T1236" s="213"/>
      <c r="U1236" s="213" t="s">
        <v>538</v>
      </c>
      <c r="V1236" s="213">
        <v>1</v>
      </c>
      <c r="W1236" s="213" t="s">
        <v>545</v>
      </c>
      <c r="X1236" s="213" t="s">
        <v>541</v>
      </c>
      <c r="Y1236" s="213" t="s">
        <v>541</v>
      </c>
      <c r="Z1236" s="212">
        <v>173950</v>
      </c>
      <c r="AA1236" s="212">
        <v>12511548</v>
      </c>
      <c r="AB1236" s="217">
        <v>0.47055599999999997</v>
      </c>
      <c r="AC1236" s="217">
        <v>0.75728799999999996</v>
      </c>
      <c r="AD1236" s="212">
        <f t="shared" si="19"/>
        <v>5887383.9806880001</v>
      </c>
    </row>
    <row r="1237" spans="2:30" x14ac:dyDescent="0.15">
      <c r="B1237" s="213">
        <v>17031005693</v>
      </c>
      <c r="C1237" s="213">
        <v>17031000742</v>
      </c>
      <c r="D1237" s="213">
        <v>17031000746</v>
      </c>
      <c r="E1237" s="213" t="s">
        <v>533</v>
      </c>
      <c r="F1237" s="213" t="s">
        <v>534</v>
      </c>
      <c r="G1237" s="213" t="s">
        <v>365</v>
      </c>
      <c r="H1237" s="213" t="s">
        <v>381</v>
      </c>
      <c r="I1237" s="213"/>
      <c r="J1237" s="213"/>
      <c r="K1237" s="213"/>
      <c r="L1237" s="213"/>
      <c r="M1237" s="213"/>
      <c r="N1237" s="213"/>
      <c r="O1237" s="213"/>
      <c r="P1237" s="213"/>
      <c r="Q1237" s="213"/>
      <c r="R1237" s="213"/>
      <c r="S1237" s="213" t="s">
        <v>647</v>
      </c>
      <c r="T1237" s="213"/>
      <c r="U1237" s="213" t="s">
        <v>538</v>
      </c>
      <c r="V1237" s="213">
        <v>1</v>
      </c>
      <c r="W1237" s="213" t="s">
        <v>545</v>
      </c>
      <c r="X1237" s="213" t="s">
        <v>541</v>
      </c>
      <c r="Y1237" s="213" t="s">
        <v>541</v>
      </c>
      <c r="Z1237" s="212">
        <v>0</v>
      </c>
      <c r="AA1237" s="212">
        <v>0</v>
      </c>
      <c r="AB1237" s="217">
        <v>0.28901199999999999</v>
      </c>
      <c r="AC1237" s="217">
        <v>0.46511999999999998</v>
      </c>
      <c r="AD1237" s="212">
        <f t="shared" si="19"/>
        <v>0</v>
      </c>
    </row>
    <row r="1238" spans="2:30" x14ac:dyDescent="0.15">
      <c r="B1238" s="213">
        <v>17031005740</v>
      </c>
      <c r="C1238" s="213">
        <v>17031000866</v>
      </c>
      <c r="D1238" s="213">
        <v>17031000873</v>
      </c>
      <c r="E1238" s="213" t="s">
        <v>533</v>
      </c>
      <c r="F1238" s="213" t="s">
        <v>534</v>
      </c>
      <c r="G1238" s="213" t="s">
        <v>365</v>
      </c>
      <c r="H1238" s="213" t="s">
        <v>571</v>
      </c>
      <c r="I1238" s="213"/>
      <c r="J1238" s="213" t="s">
        <v>381</v>
      </c>
      <c r="K1238" s="213" t="s">
        <v>535</v>
      </c>
      <c r="L1238" s="213" t="s">
        <v>552</v>
      </c>
      <c r="M1238" s="213" t="s">
        <v>551</v>
      </c>
      <c r="N1238" s="213" t="s">
        <v>382</v>
      </c>
      <c r="O1238" s="213" t="s">
        <v>563</v>
      </c>
      <c r="P1238" s="213"/>
      <c r="Q1238" s="213"/>
      <c r="R1238" s="213"/>
      <c r="S1238" s="213" t="s">
        <v>652</v>
      </c>
      <c r="T1238" s="213"/>
      <c r="U1238" s="213" t="s">
        <v>538</v>
      </c>
      <c r="V1238" s="213">
        <v>2</v>
      </c>
      <c r="W1238" s="213" t="s">
        <v>545</v>
      </c>
      <c r="X1238" s="213" t="s">
        <v>554</v>
      </c>
      <c r="Y1238" s="213" t="s">
        <v>549</v>
      </c>
      <c r="Z1238" s="212">
        <v>83041</v>
      </c>
      <c r="AA1238" s="212">
        <v>4657881</v>
      </c>
      <c r="AB1238" s="217">
        <v>0.34120600000000001</v>
      </c>
      <c r="AC1238" s="217">
        <v>0.54912000000000005</v>
      </c>
      <c r="AD1238" s="212">
        <f t="shared" si="19"/>
        <v>1589296.9444860001</v>
      </c>
    </row>
    <row r="1239" spans="2:30" x14ac:dyDescent="0.15">
      <c r="B1239" s="213">
        <v>17031005853</v>
      </c>
      <c r="C1239" s="213">
        <v>17031000618</v>
      </c>
      <c r="D1239" s="213">
        <v>17031000614</v>
      </c>
      <c r="E1239" s="213" t="s">
        <v>533</v>
      </c>
      <c r="F1239" s="213" t="s">
        <v>534</v>
      </c>
      <c r="G1239" s="213" t="s">
        <v>365</v>
      </c>
      <c r="H1239" s="213" t="s">
        <v>543</v>
      </c>
      <c r="I1239" s="213"/>
      <c r="J1239" s="213" t="s">
        <v>542</v>
      </c>
      <c r="K1239" s="213" t="s">
        <v>547</v>
      </c>
      <c r="L1239" s="213"/>
      <c r="M1239" s="213"/>
      <c r="N1239" s="213"/>
      <c r="O1239" s="213"/>
      <c r="P1239" s="213"/>
      <c r="Q1239" s="213"/>
      <c r="R1239" s="213"/>
      <c r="S1239" s="213" t="s">
        <v>630</v>
      </c>
      <c r="T1239" s="213"/>
      <c r="U1239" s="213" t="s">
        <v>538</v>
      </c>
      <c r="V1239" s="213">
        <v>2</v>
      </c>
      <c r="W1239" s="213" t="s">
        <v>545</v>
      </c>
      <c r="X1239" s="213" t="s">
        <v>541</v>
      </c>
      <c r="Y1239" s="213" t="s">
        <v>541</v>
      </c>
      <c r="Z1239" s="212">
        <v>173950</v>
      </c>
      <c r="AA1239" s="212">
        <v>12511548</v>
      </c>
      <c r="AB1239" s="217">
        <v>0.12146899999999999</v>
      </c>
      <c r="AC1239" s="217">
        <v>0.19548699999999999</v>
      </c>
      <c r="AD1239" s="212">
        <f t="shared" si="19"/>
        <v>1519765.224012</v>
      </c>
    </row>
    <row r="1240" spans="2:30" x14ac:dyDescent="0.15">
      <c r="B1240" s="213">
        <v>17031006133</v>
      </c>
      <c r="C1240" s="213">
        <v>17031000657</v>
      </c>
      <c r="D1240" s="213">
        <v>17031000663</v>
      </c>
      <c r="E1240" s="213" t="s">
        <v>533</v>
      </c>
      <c r="F1240" s="213" t="s">
        <v>534</v>
      </c>
      <c r="G1240" s="213" t="s">
        <v>365</v>
      </c>
      <c r="H1240" s="213" t="s">
        <v>382</v>
      </c>
      <c r="I1240" s="213"/>
      <c r="J1240" s="213" t="s">
        <v>572</v>
      </c>
      <c r="K1240" s="213"/>
      <c r="L1240" s="213"/>
      <c r="M1240" s="213"/>
      <c r="N1240" s="213"/>
      <c r="O1240" s="213"/>
      <c r="P1240" s="213"/>
      <c r="Q1240" s="213"/>
      <c r="R1240" s="213"/>
      <c r="S1240" s="213"/>
      <c r="T1240" s="213"/>
      <c r="U1240" s="213" t="s">
        <v>538</v>
      </c>
      <c r="V1240" s="213">
        <v>1</v>
      </c>
      <c r="W1240" s="213" t="s">
        <v>539</v>
      </c>
      <c r="X1240" s="213" t="s">
        <v>541</v>
      </c>
      <c r="Y1240" s="213" t="s">
        <v>541</v>
      </c>
      <c r="Z1240" s="212">
        <v>560</v>
      </c>
      <c r="AA1240" s="212">
        <v>30240</v>
      </c>
      <c r="AB1240" s="217">
        <v>6.1226999999999997E-2</v>
      </c>
      <c r="AC1240" s="217">
        <v>9.8534999999999998E-2</v>
      </c>
      <c r="AD1240" s="212">
        <f t="shared" si="19"/>
        <v>1851.5044799999998</v>
      </c>
    </row>
    <row r="1241" spans="2:30" x14ac:dyDescent="0.15">
      <c r="B1241" s="213">
        <v>17031006158</v>
      </c>
      <c r="C1241" s="213">
        <v>17031001494</v>
      </c>
      <c r="D1241" s="213">
        <v>17031001498</v>
      </c>
      <c r="E1241" s="213" t="s">
        <v>533</v>
      </c>
      <c r="F1241" s="213" t="s">
        <v>534</v>
      </c>
      <c r="G1241" s="213" t="s">
        <v>365</v>
      </c>
      <c r="H1241" s="213" t="s">
        <v>382</v>
      </c>
      <c r="I1241" s="213"/>
      <c r="J1241" s="213"/>
      <c r="K1241" s="213"/>
      <c r="L1241" s="213"/>
      <c r="M1241" s="213"/>
      <c r="N1241" s="213"/>
      <c r="O1241" s="213"/>
      <c r="P1241" s="213"/>
      <c r="Q1241" s="213"/>
      <c r="R1241" s="213"/>
      <c r="S1241" s="213" t="s">
        <v>576</v>
      </c>
      <c r="T1241" s="213"/>
      <c r="U1241" s="213" t="s">
        <v>559</v>
      </c>
      <c r="V1241" s="213">
        <v>1</v>
      </c>
      <c r="W1241" s="213" t="s">
        <v>560</v>
      </c>
      <c r="X1241" s="213" t="s">
        <v>541</v>
      </c>
      <c r="Y1241" s="213" t="s">
        <v>541</v>
      </c>
      <c r="Z1241" s="212">
        <v>0</v>
      </c>
      <c r="AA1241" s="212">
        <v>0</v>
      </c>
      <c r="AB1241" s="217">
        <v>5.8499000000000002E-2</v>
      </c>
      <c r="AC1241" s="217">
        <v>9.4145999999999994E-2</v>
      </c>
      <c r="AD1241" s="212">
        <f t="shared" si="19"/>
        <v>0</v>
      </c>
    </row>
    <row r="1242" spans="2:30" x14ac:dyDescent="0.15">
      <c r="B1242" s="213">
        <v>17031006169</v>
      </c>
      <c r="C1242" s="213">
        <v>17031000688</v>
      </c>
      <c r="D1242" s="213">
        <v>17031000684</v>
      </c>
      <c r="E1242" s="213" t="s">
        <v>533</v>
      </c>
      <c r="F1242" s="213" t="s">
        <v>534</v>
      </c>
      <c r="G1242" s="213" t="s">
        <v>365</v>
      </c>
      <c r="H1242" s="213" t="s">
        <v>381</v>
      </c>
      <c r="I1242" s="213"/>
      <c r="J1242" s="213"/>
      <c r="K1242" s="213"/>
      <c r="L1242" s="213"/>
      <c r="M1242" s="213"/>
      <c r="N1242" s="213"/>
      <c r="O1242" s="213"/>
      <c r="P1242" s="213"/>
      <c r="Q1242" s="213"/>
      <c r="R1242" s="213"/>
      <c r="S1242" s="213"/>
      <c r="T1242" s="213"/>
      <c r="U1242" s="213" t="s">
        <v>559</v>
      </c>
      <c r="V1242" s="213">
        <v>1</v>
      </c>
      <c r="W1242" s="213" t="s">
        <v>560</v>
      </c>
      <c r="X1242" s="213" t="s">
        <v>541</v>
      </c>
      <c r="Y1242" s="213" t="s">
        <v>541</v>
      </c>
      <c r="Z1242" s="212">
        <v>0</v>
      </c>
      <c r="AA1242" s="212">
        <v>0</v>
      </c>
      <c r="AB1242" s="217">
        <v>0.31592700000000001</v>
      </c>
      <c r="AC1242" s="217">
        <v>0.50843499999999997</v>
      </c>
      <c r="AD1242" s="212">
        <f t="shared" si="19"/>
        <v>0</v>
      </c>
    </row>
    <row r="1243" spans="2:30" x14ac:dyDescent="0.15">
      <c r="B1243" s="213">
        <v>17031006171</v>
      </c>
      <c r="C1243" s="213">
        <v>17031000648</v>
      </c>
      <c r="D1243" s="213">
        <v>17031000677</v>
      </c>
      <c r="E1243" s="213" t="s">
        <v>533</v>
      </c>
      <c r="F1243" s="213" t="s">
        <v>534</v>
      </c>
      <c r="G1243" s="213" t="s">
        <v>365</v>
      </c>
      <c r="H1243" s="213" t="s">
        <v>543</v>
      </c>
      <c r="I1243" s="213"/>
      <c r="J1243" s="213"/>
      <c r="K1243" s="213"/>
      <c r="L1243" s="213"/>
      <c r="M1243" s="213"/>
      <c r="N1243" s="213"/>
      <c r="O1243" s="213"/>
      <c r="P1243" s="213"/>
      <c r="Q1243" s="213"/>
      <c r="R1243" s="213"/>
      <c r="S1243" s="213" t="s">
        <v>639</v>
      </c>
      <c r="T1243" s="213"/>
      <c r="U1243" s="213" t="s">
        <v>538</v>
      </c>
      <c r="V1243" s="213">
        <v>2</v>
      </c>
      <c r="W1243" s="213" t="s">
        <v>560</v>
      </c>
      <c r="X1243" s="213" t="s">
        <v>541</v>
      </c>
      <c r="Y1243" s="213" t="s">
        <v>541</v>
      </c>
      <c r="Z1243" s="212">
        <v>2077130</v>
      </c>
      <c r="AA1243" s="212">
        <v>42495942</v>
      </c>
      <c r="AB1243" s="217">
        <v>0.13519100000000001</v>
      </c>
      <c r="AC1243" s="217">
        <v>0.21756900000000001</v>
      </c>
      <c r="AD1243" s="212">
        <f t="shared" si="19"/>
        <v>5745068.8949220004</v>
      </c>
    </row>
    <row r="1244" spans="2:30" x14ac:dyDescent="0.15">
      <c r="B1244" s="213">
        <v>17031006172</v>
      </c>
      <c r="C1244" s="213">
        <v>17031000677</v>
      </c>
      <c r="D1244" s="213">
        <v>17031000692</v>
      </c>
      <c r="E1244" s="213" t="s">
        <v>533</v>
      </c>
      <c r="F1244" s="213" t="s">
        <v>534</v>
      </c>
      <c r="G1244" s="213" t="s">
        <v>365</v>
      </c>
      <c r="H1244" s="213" t="s">
        <v>543</v>
      </c>
      <c r="I1244" s="213"/>
      <c r="J1244" s="213"/>
      <c r="K1244" s="213"/>
      <c r="L1244" s="213"/>
      <c r="M1244" s="213"/>
      <c r="N1244" s="213"/>
      <c r="O1244" s="213"/>
      <c r="P1244" s="213"/>
      <c r="Q1244" s="213"/>
      <c r="R1244" s="213"/>
      <c r="S1244" s="213" t="s">
        <v>639</v>
      </c>
      <c r="T1244" s="213"/>
      <c r="U1244" s="213" t="s">
        <v>538</v>
      </c>
      <c r="V1244" s="213">
        <v>2</v>
      </c>
      <c r="W1244" s="213" t="s">
        <v>560</v>
      </c>
      <c r="X1244" s="213" t="s">
        <v>541</v>
      </c>
      <c r="Y1244" s="213" t="s">
        <v>541</v>
      </c>
      <c r="Z1244" s="212">
        <v>2077130</v>
      </c>
      <c r="AA1244" s="212">
        <v>42495942</v>
      </c>
      <c r="AB1244" s="217">
        <v>0.42941299999999999</v>
      </c>
      <c r="AC1244" s="217">
        <v>0.69107499999999999</v>
      </c>
      <c r="AD1244" s="212">
        <f t="shared" si="19"/>
        <v>18248309.942045998</v>
      </c>
    </row>
    <row r="1245" spans="2:30" x14ac:dyDescent="0.15">
      <c r="B1245" s="213">
        <v>17031006175</v>
      </c>
      <c r="C1245" s="213">
        <v>17031000673</v>
      </c>
      <c r="D1245" s="213">
        <v>17031000653</v>
      </c>
      <c r="E1245" s="213" t="s">
        <v>533</v>
      </c>
      <c r="F1245" s="213" t="s">
        <v>534</v>
      </c>
      <c r="G1245" s="213" t="s">
        <v>365</v>
      </c>
      <c r="H1245" s="213" t="s">
        <v>577</v>
      </c>
      <c r="I1245" s="213"/>
      <c r="J1245" s="213"/>
      <c r="K1245" s="213"/>
      <c r="L1245" s="213"/>
      <c r="M1245" s="213"/>
      <c r="N1245" s="213"/>
      <c r="O1245" s="213"/>
      <c r="P1245" s="213"/>
      <c r="Q1245" s="213"/>
      <c r="R1245" s="213"/>
      <c r="S1245" s="213"/>
      <c r="T1245" s="213"/>
      <c r="U1245" s="213" t="s">
        <v>538</v>
      </c>
      <c r="V1245" s="213">
        <v>1</v>
      </c>
      <c r="W1245" s="213" t="s">
        <v>560</v>
      </c>
      <c r="X1245" s="213" t="s">
        <v>541</v>
      </c>
      <c r="Y1245" s="213" t="s">
        <v>541</v>
      </c>
      <c r="Z1245" s="212">
        <v>0</v>
      </c>
      <c r="AA1245" s="212">
        <v>0</v>
      </c>
      <c r="AB1245" s="217">
        <v>0.146785</v>
      </c>
      <c r="AC1245" s="217">
        <v>0.23622699999999999</v>
      </c>
      <c r="AD1245" s="212">
        <f t="shared" si="19"/>
        <v>0</v>
      </c>
    </row>
    <row r="1246" spans="2:30" x14ac:dyDescent="0.15">
      <c r="B1246" s="213">
        <v>17031006181</v>
      </c>
      <c r="C1246" s="213">
        <v>17031000645</v>
      </c>
      <c r="D1246" s="213">
        <v>17031000673</v>
      </c>
      <c r="E1246" s="213" t="s">
        <v>533</v>
      </c>
      <c r="F1246" s="213" t="s">
        <v>534</v>
      </c>
      <c r="G1246" s="213" t="s">
        <v>365</v>
      </c>
      <c r="H1246" s="213" t="s">
        <v>547</v>
      </c>
      <c r="I1246" s="213"/>
      <c r="J1246" s="213"/>
      <c r="K1246" s="213"/>
      <c r="L1246" s="213"/>
      <c r="M1246" s="213"/>
      <c r="N1246" s="213"/>
      <c r="O1246" s="213"/>
      <c r="P1246" s="213"/>
      <c r="Q1246" s="213"/>
      <c r="R1246" s="213"/>
      <c r="S1246" s="213" t="s">
        <v>581</v>
      </c>
      <c r="T1246" s="213"/>
      <c r="U1246" s="213" t="s">
        <v>538</v>
      </c>
      <c r="V1246" s="213">
        <v>2</v>
      </c>
      <c r="W1246" s="213" t="s">
        <v>582</v>
      </c>
      <c r="X1246" s="213" t="s">
        <v>540</v>
      </c>
      <c r="Y1246" s="213" t="s">
        <v>541</v>
      </c>
      <c r="Z1246" s="212">
        <v>0</v>
      </c>
      <c r="AA1246" s="212">
        <v>0</v>
      </c>
      <c r="AB1246" s="217">
        <v>0.17441200000000001</v>
      </c>
      <c r="AC1246" s="217">
        <v>0.28069</v>
      </c>
      <c r="AD1246" s="212">
        <f t="shared" si="19"/>
        <v>0</v>
      </c>
    </row>
    <row r="1247" spans="2:30" x14ac:dyDescent="0.15">
      <c r="B1247" s="213">
        <v>17031006182</v>
      </c>
      <c r="C1247" s="213">
        <v>17031000673</v>
      </c>
      <c r="D1247" s="213">
        <v>17031004755</v>
      </c>
      <c r="E1247" s="213" t="s">
        <v>533</v>
      </c>
      <c r="F1247" s="213" t="s">
        <v>534</v>
      </c>
      <c r="G1247" s="213" t="s">
        <v>365</v>
      </c>
      <c r="H1247" s="213" t="s">
        <v>547</v>
      </c>
      <c r="I1247" s="213"/>
      <c r="J1247" s="213" t="s">
        <v>577</v>
      </c>
      <c r="K1247" s="213"/>
      <c r="L1247" s="213"/>
      <c r="M1247" s="213"/>
      <c r="N1247" s="213"/>
      <c r="O1247" s="213"/>
      <c r="P1247" s="213"/>
      <c r="Q1247" s="213"/>
      <c r="R1247" s="213"/>
      <c r="S1247" s="213" t="s">
        <v>581</v>
      </c>
      <c r="T1247" s="213"/>
      <c r="U1247" s="213" t="s">
        <v>538</v>
      </c>
      <c r="V1247" s="213">
        <v>2</v>
      </c>
      <c r="W1247" s="213" t="s">
        <v>582</v>
      </c>
      <c r="X1247" s="213" t="s">
        <v>540</v>
      </c>
      <c r="Y1247" s="213" t="s">
        <v>541</v>
      </c>
      <c r="Z1247" s="212">
        <v>0</v>
      </c>
      <c r="AA1247" s="212">
        <v>0</v>
      </c>
      <c r="AB1247" s="217">
        <v>1.1875500000000001</v>
      </c>
      <c r="AC1247" s="217">
        <v>1.9111800000000001</v>
      </c>
      <c r="AD1247" s="212">
        <f t="shared" si="19"/>
        <v>0</v>
      </c>
    </row>
    <row r="1248" spans="2:30" x14ac:dyDescent="0.15">
      <c r="B1248" s="213">
        <v>17031006188</v>
      </c>
      <c r="C1248" s="213">
        <v>17031001097</v>
      </c>
      <c r="D1248" s="213">
        <v>17031001104</v>
      </c>
      <c r="E1248" s="213" t="s">
        <v>533</v>
      </c>
      <c r="F1248" s="213" t="s">
        <v>534</v>
      </c>
      <c r="G1248" s="213" t="s">
        <v>365</v>
      </c>
      <c r="H1248" s="213" t="s">
        <v>571</v>
      </c>
      <c r="I1248" s="213"/>
      <c r="J1248" s="213" t="s">
        <v>552</v>
      </c>
      <c r="K1248" s="213" t="s">
        <v>543</v>
      </c>
      <c r="L1248" s="213"/>
      <c r="M1248" s="213"/>
      <c r="N1248" s="213"/>
      <c r="O1248" s="213"/>
      <c r="P1248" s="213"/>
      <c r="Q1248" s="213"/>
      <c r="R1248" s="213"/>
      <c r="S1248" s="213" t="s">
        <v>573</v>
      </c>
      <c r="T1248" s="213"/>
      <c r="U1248" s="213" t="s">
        <v>538</v>
      </c>
      <c r="V1248" s="213">
        <v>2</v>
      </c>
      <c r="W1248" s="213" t="s">
        <v>545</v>
      </c>
      <c r="X1248" s="213" t="s">
        <v>554</v>
      </c>
      <c r="Y1248" s="213" t="s">
        <v>546</v>
      </c>
      <c r="Z1248" s="212">
        <v>200894</v>
      </c>
      <c r="AA1248" s="212">
        <v>10762925</v>
      </c>
      <c r="AB1248" s="217">
        <v>1.082589</v>
      </c>
      <c r="AC1248" s="217">
        <v>1.7422610000000001</v>
      </c>
      <c r="AD1248" s="212">
        <f t="shared" si="19"/>
        <v>11651824.212825</v>
      </c>
    </row>
    <row r="1249" spans="2:30" x14ac:dyDescent="0.15">
      <c r="B1249" s="213">
        <v>17031006190</v>
      </c>
      <c r="C1249" s="213">
        <v>17031001128</v>
      </c>
      <c r="D1249" s="213">
        <v>17031001098</v>
      </c>
      <c r="E1249" s="213" t="s">
        <v>533</v>
      </c>
      <c r="F1249" s="213" t="s">
        <v>534</v>
      </c>
      <c r="G1249" s="213" t="s">
        <v>365</v>
      </c>
      <c r="H1249" s="213" t="s">
        <v>543</v>
      </c>
      <c r="I1249" s="213"/>
      <c r="J1249" s="213" t="s">
        <v>577</v>
      </c>
      <c r="K1249" s="213"/>
      <c r="L1249" s="213"/>
      <c r="M1249" s="213"/>
      <c r="N1249" s="213"/>
      <c r="O1249" s="213"/>
      <c r="P1249" s="213"/>
      <c r="Q1249" s="213"/>
      <c r="R1249" s="213"/>
      <c r="S1249" s="213"/>
      <c r="T1249" s="213"/>
      <c r="U1249" s="213" t="s">
        <v>559</v>
      </c>
      <c r="V1249" s="213">
        <v>1</v>
      </c>
      <c r="W1249" s="213" t="s">
        <v>560</v>
      </c>
      <c r="X1249" s="213" t="s">
        <v>541</v>
      </c>
      <c r="Y1249" s="213" t="s">
        <v>541</v>
      </c>
      <c r="Z1249" s="212">
        <v>0</v>
      </c>
      <c r="AA1249" s="212">
        <v>0</v>
      </c>
      <c r="AB1249" s="217">
        <v>0.123796</v>
      </c>
      <c r="AC1249" s="217">
        <v>0.19923099999999999</v>
      </c>
      <c r="AD1249" s="212">
        <f t="shared" si="19"/>
        <v>0</v>
      </c>
    </row>
    <row r="1250" spans="2:30" x14ac:dyDescent="0.15">
      <c r="B1250" s="213">
        <v>17031006192</v>
      </c>
      <c r="C1250" s="213">
        <v>17031001113</v>
      </c>
      <c r="D1250" s="213">
        <v>17031004741</v>
      </c>
      <c r="E1250" s="213" t="s">
        <v>533</v>
      </c>
      <c r="F1250" s="213" t="s">
        <v>534</v>
      </c>
      <c r="G1250" s="213" t="s">
        <v>365</v>
      </c>
      <c r="H1250" s="213" t="s">
        <v>543</v>
      </c>
      <c r="I1250" s="213"/>
      <c r="J1250" s="213"/>
      <c r="K1250" s="213"/>
      <c r="L1250" s="213"/>
      <c r="M1250" s="213"/>
      <c r="N1250" s="213"/>
      <c r="O1250" s="213"/>
      <c r="P1250" s="213"/>
      <c r="Q1250" s="213"/>
      <c r="R1250" s="213"/>
      <c r="S1250" s="213" t="s">
        <v>604</v>
      </c>
      <c r="T1250" s="213"/>
      <c r="U1250" s="213" t="s">
        <v>538</v>
      </c>
      <c r="V1250" s="213">
        <v>1</v>
      </c>
      <c r="W1250" s="213" t="s">
        <v>545</v>
      </c>
      <c r="X1250" s="213" t="s">
        <v>554</v>
      </c>
      <c r="Y1250" s="213" t="s">
        <v>546</v>
      </c>
      <c r="Z1250" s="212">
        <v>0</v>
      </c>
      <c r="AA1250" s="212">
        <v>0</v>
      </c>
      <c r="AB1250" s="217">
        <v>8.8622999999999993E-2</v>
      </c>
      <c r="AC1250" s="217">
        <v>0.142625</v>
      </c>
      <c r="AD1250" s="212">
        <f t="shared" si="19"/>
        <v>0</v>
      </c>
    </row>
    <row r="1251" spans="2:30" x14ac:dyDescent="0.15">
      <c r="B1251" s="213">
        <v>17031006229</v>
      </c>
      <c r="C1251" s="213">
        <v>17031000916</v>
      </c>
      <c r="D1251" s="213">
        <v>17031000917</v>
      </c>
      <c r="E1251" s="213" t="s">
        <v>533</v>
      </c>
      <c r="F1251" s="213" t="s">
        <v>534</v>
      </c>
      <c r="G1251" s="213" t="s">
        <v>365</v>
      </c>
      <c r="H1251" s="213" t="s">
        <v>557</v>
      </c>
      <c r="I1251" s="213"/>
      <c r="J1251" s="213" t="s">
        <v>535</v>
      </c>
      <c r="K1251" s="213" t="s">
        <v>382</v>
      </c>
      <c r="L1251" s="213"/>
      <c r="M1251" s="213"/>
      <c r="N1251" s="213"/>
      <c r="O1251" s="213"/>
      <c r="P1251" s="213"/>
      <c r="Q1251" s="213"/>
      <c r="R1251" s="213"/>
      <c r="S1251" s="213"/>
      <c r="T1251" s="213"/>
      <c r="U1251" s="213" t="s">
        <v>538</v>
      </c>
      <c r="V1251" s="213">
        <v>1</v>
      </c>
      <c r="W1251" s="213" t="s">
        <v>560</v>
      </c>
      <c r="X1251" s="213" t="s">
        <v>541</v>
      </c>
      <c r="Y1251" s="213" t="s">
        <v>541</v>
      </c>
      <c r="Z1251" s="212">
        <v>72310</v>
      </c>
      <c r="AA1251" s="212">
        <v>1751075</v>
      </c>
      <c r="AB1251" s="217">
        <v>0.206673</v>
      </c>
      <c r="AC1251" s="217">
        <v>0.33260800000000001</v>
      </c>
      <c r="AD1251" s="212">
        <f t="shared" si="19"/>
        <v>361899.92347500002</v>
      </c>
    </row>
    <row r="1252" spans="2:30" x14ac:dyDescent="0.15">
      <c r="B1252" s="213">
        <v>17031006235</v>
      </c>
      <c r="C1252" s="213">
        <v>17031000309</v>
      </c>
      <c r="D1252" s="213">
        <v>17031000333</v>
      </c>
      <c r="E1252" s="213" t="s">
        <v>533</v>
      </c>
      <c r="F1252" s="213" t="s">
        <v>534</v>
      </c>
      <c r="G1252" s="213" t="s">
        <v>365</v>
      </c>
      <c r="H1252" s="213" t="s">
        <v>382</v>
      </c>
      <c r="I1252" s="213"/>
      <c r="J1252" s="213"/>
      <c r="K1252" s="213"/>
      <c r="L1252" s="213"/>
      <c r="M1252" s="213"/>
      <c r="N1252" s="213"/>
      <c r="O1252" s="213"/>
      <c r="P1252" s="213"/>
      <c r="Q1252" s="213"/>
      <c r="R1252" s="213"/>
      <c r="S1252" s="213" t="s">
        <v>616</v>
      </c>
      <c r="T1252" s="213"/>
      <c r="U1252" s="213" t="s">
        <v>559</v>
      </c>
      <c r="V1252" s="213">
        <v>1</v>
      </c>
      <c r="W1252" s="213" t="s">
        <v>560</v>
      </c>
      <c r="X1252" s="213" t="s">
        <v>541</v>
      </c>
      <c r="Y1252" s="213" t="s">
        <v>541</v>
      </c>
      <c r="Z1252" s="212">
        <v>0</v>
      </c>
      <c r="AA1252" s="212">
        <v>0</v>
      </c>
      <c r="AB1252" s="217">
        <v>1.1341540000000001</v>
      </c>
      <c r="AC1252" s="217">
        <v>1.825248</v>
      </c>
      <c r="AD1252" s="212">
        <f t="shared" si="19"/>
        <v>0</v>
      </c>
    </row>
    <row r="1253" spans="2:30" x14ac:dyDescent="0.15">
      <c r="B1253" s="213">
        <v>17031006236</v>
      </c>
      <c r="C1253" s="213">
        <v>17031000370</v>
      </c>
      <c r="D1253" s="213">
        <v>17031000375</v>
      </c>
      <c r="E1253" s="213" t="s">
        <v>533</v>
      </c>
      <c r="F1253" s="213" t="s">
        <v>534</v>
      </c>
      <c r="G1253" s="213" t="s">
        <v>365</v>
      </c>
      <c r="H1253" s="213" t="s">
        <v>382</v>
      </c>
      <c r="I1253" s="213"/>
      <c r="J1253" s="213"/>
      <c r="K1253" s="213"/>
      <c r="L1253" s="213"/>
      <c r="M1253" s="213"/>
      <c r="N1253" s="213"/>
      <c r="O1253" s="213"/>
      <c r="P1253" s="213"/>
      <c r="Q1253" s="213"/>
      <c r="R1253" s="213"/>
      <c r="S1253" s="213" t="s">
        <v>616</v>
      </c>
      <c r="T1253" s="213"/>
      <c r="U1253" s="213" t="s">
        <v>559</v>
      </c>
      <c r="V1253" s="213">
        <v>1</v>
      </c>
      <c r="W1253" s="213" t="s">
        <v>560</v>
      </c>
      <c r="X1253" s="213" t="s">
        <v>541</v>
      </c>
      <c r="Y1253" s="213" t="s">
        <v>541</v>
      </c>
      <c r="Z1253" s="212">
        <v>0</v>
      </c>
      <c r="AA1253" s="212">
        <v>0</v>
      </c>
      <c r="AB1253" s="217">
        <v>0.38054100000000002</v>
      </c>
      <c r="AC1253" s="217">
        <v>0.61242300000000005</v>
      </c>
      <c r="AD1253" s="212">
        <f t="shared" si="19"/>
        <v>0</v>
      </c>
    </row>
    <row r="1254" spans="2:30" x14ac:dyDescent="0.15">
      <c r="B1254" s="213">
        <v>17031006239</v>
      </c>
      <c r="C1254" s="213">
        <v>17031000549</v>
      </c>
      <c r="D1254" s="213">
        <v>17031000568</v>
      </c>
      <c r="E1254" s="213" t="s">
        <v>533</v>
      </c>
      <c r="F1254" s="213" t="s">
        <v>534</v>
      </c>
      <c r="G1254" s="213" t="s">
        <v>365</v>
      </c>
      <c r="H1254" s="213" t="s">
        <v>382</v>
      </c>
      <c r="I1254" s="213"/>
      <c r="J1254" s="213"/>
      <c r="K1254" s="213"/>
      <c r="L1254" s="213"/>
      <c r="M1254" s="213"/>
      <c r="N1254" s="213"/>
      <c r="O1254" s="213"/>
      <c r="P1254" s="213"/>
      <c r="Q1254" s="213"/>
      <c r="R1254" s="213"/>
      <c r="S1254" s="213" t="s">
        <v>646</v>
      </c>
      <c r="T1254" s="213"/>
      <c r="U1254" s="213" t="s">
        <v>559</v>
      </c>
      <c r="V1254" s="213">
        <v>1</v>
      </c>
      <c r="W1254" s="213" t="s">
        <v>560</v>
      </c>
      <c r="X1254" s="213" t="s">
        <v>541</v>
      </c>
      <c r="Y1254" s="213" t="s">
        <v>541</v>
      </c>
      <c r="Z1254" s="212">
        <v>0</v>
      </c>
      <c r="AA1254" s="212">
        <v>0</v>
      </c>
      <c r="AB1254" s="217">
        <v>0.24591399999999999</v>
      </c>
      <c r="AC1254" s="217">
        <v>0.39576099999999997</v>
      </c>
      <c r="AD1254" s="212">
        <f t="shared" si="19"/>
        <v>0</v>
      </c>
    </row>
    <row r="1255" spans="2:30" x14ac:dyDescent="0.15">
      <c r="B1255" s="213">
        <v>17031006269</v>
      </c>
      <c r="C1255" s="213">
        <v>17031001089</v>
      </c>
      <c r="D1255" s="213">
        <v>17031001088</v>
      </c>
      <c r="E1255" s="213" t="s">
        <v>533</v>
      </c>
      <c r="F1255" s="213" t="s">
        <v>534</v>
      </c>
      <c r="G1255" s="213" t="s">
        <v>365</v>
      </c>
      <c r="H1255" s="213" t="s">
        <v>661</v>
      </c>
      <c r="I1255" s="213"/>
      <c r="J1255" s="213"/>
      <c r="K1255" s="213"/>
      <c r="L1255" s="213"/>
      <c r="M1255" s="213"/>
      <c r="N1255" s="213"/>
      <c r="O1255" s="213"/>
      <c r="P1255" s="213"/>
      <c r="Q1255" s="213"/>
      <c r="R1255" s="213"/>
      <c r="S1255" s="213"/>
      <c r="T1255" s="213"/>
      <c r="U1255" s="213" t="s">
        <v>538</v>
      </c>
      <c r="V1255" s="213">
        <v>1</v>
      </c>
      <c r="W1255" s="213" t="s">
        <v>560</v>
      </c>
      <c r="X1255" s="213" t="s">
        <v>541</v>
      </c>
      <c r="Y1255" s="213" t="s">
        <v>541</v>
      </c>
      <c r="Z1255" s="212">
        <v>0</v>
      </c>
      <c r="AA1255" s="212">
        <v>0</v>
      </c>
      <c r="AB1255" s="217">
        <v>0.114994</v>
      </c>
      <c r="AC1255" s="217">
        <v>0.18506600000000001</v>
      </c>
      <c r="AD1255" s="212">
        <f t="shared" si="19"/>
        <v>0</v>
      </c>
    </row>
    <row r="1256" spans="2:30" x14ac:dyDescent="0.15">
      <c r="B1256" s="213">
        <v>17031006273</v>
      </c>
      <c r="C1256" s="213">
        <v>17031000910</v>
      </c>
      <c r="D1256" s="213">
        <v>17031000914</v>
      </c>
      <c r="E1256" s="213" t="s">
        <v>533</v>
      </c>
      <c r="F1256" s="213" t="s">
        <v>534</v>
      </c>
      <c r="G1256" s="213" t="s">
        <v>365</v>
      </c>
      <c r="H1256" s="213" t="s">
        <v>557</v>
      </c>
      <c r="I1256" s="213"/>
      <c r="J1256" s="213" t="s">
        <v>535</v>
      </c>
      <c r="K1256" s="213" t="s">
        <v>382</v>
      </c>
      <c r="L1256" s="213" t="s">
        <v>552</v>
      </c>
      <c r="M1256" s="213" t="s">
        <v>381</v>
      </c>
      <c r="N1256" s="213"/>
      <c r="O1256" s="213"/>
      <c r="P1256" s="213"/>
      <c r="Q1256" s="213"/>
      <c r="R1256" s="213"/>
      <c r="S1256" s="213"/>
      <c r="T1256" s="213"/>
      <c r="U1256" s="213" t="s">
        <v>538</v>
      </c>
      <c r="V1256" s="213">
        <v>1</v>
      </c>
      <c r="W1256" s="213" t="s">
        <v>560</v>
      </c>
      <c r="X1256" s="213" t="s">
        <v>541</v>
      </c>
      <c r="Y1256" s="213" t="s">
        <v>541</v>
      </c>
      <c r="Z1256" s="212">
        <v>316320</v>
      </c>
      <c r="AA1256" s="212">
        <v>4326040</v>
      </c>
      <c r="AB1256" s="217">
        <v>0.148925</v>
      </c>
      <c r="AC1256" s="217">
        <v>0.239671</v>
      </c>
      <c r="AD1256" s="212">
        <f t="shared" si="19"/>
        <v>644255.50699999998</v>
      </c>
    </row>
    <row r="1257" spans="2:30" x14ac:dyDescent="0.15">
      <c r="B1257" s="213">
        <v>17031006281</v>
      </c>
      <c r="C1257" s="213">
        <v>17031000623</v>
      </c>
      <c r="D1257" s="213">
        <v>17031000630</v>
      </c>
      <c r="E1257" s="213" t="s">
        <v>533</v>
      </c>
      <c r="F1257" s="213" t="s">
        <v>534</v>
      </c>
      <c r="G1257" s="213" t="s">
        <v>365</v>
      </c>
      <c r="H1257" s="213" t="s">
        <v>551</v>
      </c>
      <c r="I1257" s="213"/>
      <c r="J1257" s="213" t="s">
        <v>535</v>
      </c>
      <c r="K1257" s="213"/>
      <c r="L1257" s="213"/>
      <c r="M1257" s="213"/>
      <c r="N1257" s="213"/>
      <c r="O1257" s="213"/>
      <c r="P1257" s="213"/>
      <c r="Q1257" s="213"/>
      <c r="R1257" s="213"/>
      <c r="S1257" s="213" t="s">
        <v>649</v>
      </c>
      <c r="T1257" s="213"/>
      <c r="U1257" s="213" t="s">
        <v>538</v>
      </c>
      <c r="V1257" s="213">
        <v>1</v>
      </c>
      <c r="W1257" s="213" t="s">
        <v>539</v>
      </c>
      <c r="X1257" s="213" t="s">
        <v>541</v>
      </c>
      <c r="Y1257" s="213" t="s">
        <v>541</v>
      </c>
      <c r="Z1257" s="212">
        <v>0</v>
      </c>
      <c r="AA1257" s="212">
        <v>0</v>
      </c>
      <c r="AB1257" s="217">
        <v>0.25151099999999998</v>
      </c>
      <c r="AC1257" s="217">
        <v>0.40476800000000002</v>
      </c>
      <c r="AD1257" s="212">
        <f t="shared" si="19"/>
        <v>0</v>
      </c>
    </row>
    <row r="1258" spans="2:30" x14ac:dyDescent="0.15">
      <c r="B1258" s="213">
        <v>17031006283</v>
      </c>
      <c r="C1258" s="213">
        <v>17031007544</v>
      </c>
      <c r="D1258" s="213">
        <v>17031004594</v>
      </c>
      <c r="E1258" s="213" t="s">
        <v>533</v>
      </c>
      <c r="F1258" s="213" t="s">
        <v>534</v>
      </c>
      <c r="G1258" s="213" t="s">
        <v>365</v>
      </c>
      <c r="H1258" s="213" t="s">
        <v>552</v>
      </c>
      <c r="I1258" s="213"/>
      <c r="J1258" s="213"/>
      <c r="K1258" s="213"/>
      <c r="L1258" s="213"/>
      <c r="M1258" s="213"/>
      <c r="N1258" s="213"/>
      <c r="O1258" s="213"/>
      <c r="P1258" s="213"/>
      <c r="Q1258" s="213"/>
      <c r="R1258" s="213"/>
      <c r="S1258" s="213"/>
      <c r="T1258" s="213"/>
      <c r="U1258" s="213" t="s">
        <v>538</v>
      </c>
      <c r="V1258" s="213">
        <v>1</v>
      </c>
      <c r="W1258" s="213" t="s">
        <v>560</v>
      </c>
      <c r="X1258" s="213" t="s">
        <v>541</v>
      </c>
      <c r="Y1258" s="213" t="s">
        <v>541</v>
      </c>
      <c r="Z1258" s="212">
        <v>0</v>
      </c>
      <c r="AA1258" s="212">
        <v>0</v>
      </c>
      <c r="AB1258" s="217">
        <v>0.10692699999999999</v>
      </c>
      <c r="AC1258" s="217">
        <v>0.17208300000000001</v>
      </c>
      <c r="AD1258" s="212">
        <f t="shared" si="19"/>
        <v>0</v>
      </c>
    </row>
    <row r="1259" spans="2:30" x14ac:dyDescent="0.15">
      <c r="B1259" s="213">
        <v>17031006313</v>
      </c>
      <c r="C1259" s="213">
        <v>17031001528</v>
      </c>
      <c r="D1259" s="213">
        <v>17031007649</v>
      </c>
      <c r="E1259" s="213" t="s">
        <v>533</v>
      </c>
      <c r="F1259" s="213" t="s">
        <v>534</v>
      </c>
      <c r="G1259" s="213" t="s">
        <v>365</v>
      </c>
      <c r="H1259" s="213" t="s">
        <v>382</v>
      </c>
      <c r="I1259" s="213"/>
      <c r="J1259" s="213"/>
      <c r="K1259" s="213"/>
      <c r="L1259" s="213"/>
      <c r="M1259" s="213"/>
      <c r="N1259" s="213"/>
      <c r="O1259" s="213"/>
      <c r="P1259" s="213"/>
      <c r="Q1259" s="213"/>
      <c r="R1259" s="213"/>
      <c r="S1259" s="213" t="s">
        <v>576</v>
      </c>
      <c r="T1259" s="213"/>
      <c r="U1259" s="213" t="s">
        <v>559</v>
      </c>
      <c r="V1259" s="213">
        <v>1</v>
      </c>
      <c r="W1259" s="213" t="s">
        <v>560</v>
      </c>
      <c r="X1259" s="213" t="s">
        <v>541</v>
      </c>
      <c r="Y1259" s="213" t="s">
        <v>541</v>
      </c>
      <c r="Z1259" s="212">
        <v>0</v>
      </c>
      <c r="AA1259" s="212">
        <v>0</v>
      </c>
      <c r="AB1259" s="217">
        <v>0.38001099999999999</v>
      </c>
      <c r="AC1259" s="217">
        <v>0.61156999999999995</v>
      </c>
      <c r="AD1259" s="212">
        <f t="shared" si="19"/>
        <v>0</v>
      </c>
    </row>
    <row r="1260" spans="2:30" x14ac:dyDescent="0.15">
      <c r="B1260" s="213">
        <v>17031006315</v>
      </c>
      <c r="C1260" s="213">
        <v>17031000795</v>
      </c>
      <c r="D1260" s="213">
        <v>17031000809</v>
      </c>
      <c r="E1260" s="213" t="s">
        <v>533</v>
      </c>
      <c r="F1260" s="213" t="s">
        <v>534</v>
      </c>
      <c r="G1260" s="213" t="s">
        <v>365</v>
      </c>
      <c r="H1260" s="213" t="s">
        <v>571</v>
      </c>
      <c r="I1260" s="213"/>
      <c r="J1260" s="213" t="s">
        <v>381</v>
      </c>
      <c r="K1260" s="213" t="s">
        <v>382</v>
      </c>
      <c r="L1260" s="213"/>
      <c r="M1260" s="213"/>
      <c r="N1260" s="213"/>
      <c r="O1260" s="213"/>
      <c r="P1260" s="213"/>
      <c r="Q1260" s="213"/>
      <c r="R1260" s="213"/>
      <c r="S1260" s="213"/>
      <c r="T1260" s="213"/>
      <c r="U1260" s="213" t="s">
        <v>538</v>
      </c>
      <c r="V1260" s="213">
        <v>1</v>
      </c>
      <c r="W1260" s="213" t="s">
        <v>560</v>
      </c>
      <c r="X1260" s="213" t="s">
        <v>541</v>
      </c>
      <c r="Y1260" s="213" t="s">
        <v>541</v>
      </c>
      <c r="Z1260" s="212">
        <v>21276</v>
      </c>
      <c r="AA1260" s="212">
        <v>1183688</v>
      </c>
      <c r="AB1260" s="217">
        <v>8.8682999999999998E-2</v>
      </c>
      <c r="AC1260" s="217">
        <v>0.14272199999999999</v>
      </c>
      <c r="AD1260" s="212">
        <f t="shared" si="19"/>
        <v>104973.00290399999</v>
      </c>
    </row>
    <row r="1261" spans="2:30" x14ac:dyDescent="0.15">
      <c r="B1261" s="213">
        <v>17031006319</v>
      </c>
      <c r="C1261" s="213">
        <v>17031000812</v>
      </c>
      <c r="D1261" s="213">
        <v>17031000813</v>
      </c>
      <c r="E1261" s="213" t="s">
        <v>533</v>
      </c>
      <c r="F1261" s="213" t="s">
        <v>534</v>
      </c>
      <c r="G1261" s="213" t="s">
        <v>365</v>
      </c>
      <c r="H1261" s="213" t="s">
        <v>571</v>
      </c>
      <c r="I1261" s="213"/>
      <c r="J1261" s="213" t="s">
        <v>535</v>
      </c>
      <c r="K1261" s="213" t="s">
        <v>382</v>
      </c>
      <c r="L1261" s="213"/>
      <c r="M1261" s="213"/>
      <c r="N1261" s="213"/>
      <c r="O1261" s="213"/>
      <c r="P1261" s="213"/>
      <c r="Q1261" s="213"/>
      <c r="R1261" s="213"/>
      <c r="S1261" s="213"/>
      <c r="T1261" s="213"/>
      <c r="U1261" s="213" t="s">
        <v>538</v>
      </c>
      <c r="V1261" s="213">
        <v>1</v>
      </c>
      <c r="W1261" s="213" t="s">
        <v>560</v>
      </c>
      <c r="X1261" s="213" t="s">
        <v>541</v>
      </c>
      <c r="Y1261" s="213" t="s">
        <v>541</v>
      </c>
      <c r="Z1261" s="212">
        <v>70661</v>
      </c>
      <c r="AA1261" s="212">
        <v>3471509</v>
      </c>
      <c r="AB1261" s="217">
        <v>0.183841</v>
      </c>
      <c r="AC1261" s="217">
        <v>0.29586299999999999</v>
      </c>
      <c r="AD1261" s="212">
        <f t="shared" si="19"/>
        <v>638205.68606900005</v>
      </c>
    </row>
    <row r="1262" spans="2:30" x14ac:dyDescent="0.15">
      <c r="B1262" s="213">
        <v>17031006337</v>
      </c>
      <c r="C1262" s="213">
        <v>17031000333</v>
      </c>
      <c r="D1262" s="213">
        <v>17031004587</v>
      </c>
      <c r="E1262" s="213" t="s">
        <v>533</v>
      </c>
      <c r="F1262" s="213" t="s">
        <v>534</v>
      </c>
      <c r="G1262" s="213" t="s">
        <v>365</v>
      </c>
      <c r="H1262" s="213" t="s">
        <v>382</v>
      </c>
      <c r="I1262" s="213"/>
      <c r="J1262" s="213"/>
      <c r="K1262" s="213"/>
      <c r="L1262" s="213"/>
      <c r="M1262" s="213"/>
      <c r="N1262" s="213"/>
      <c r="O1262" s="213"/>
      <c r="P1262" s="213"/>
      <c r="Q1262" s="213"/>
      <c r="R1262" s="213"/>
      <c r="S1262" s="213" t="s">
        <v>616</v>
      </c>
      <c r="T1262" s="213"/>
      <c r="U1262" s="213" t="s">
        <v>559</v>
      </c>
      <c r="V1262" s="213">
        <v>1</v>
      </c>
      <c r="W1262" s="213" t="s">
        <v>560</v>
      </c>
      <c r="X1262" s="213" t="s">
        <v>541</v>
      </c>
      <c r="Y1262" s="213" t="s">
        <v>541</v>
      </c>
      <c r="Z1262" s="212">
        <v>0</v>
      </c>
      <c r="AA1262" s="212">
        <v>0</v>
      </c>
      <c r="AB1262" s="217">
        <v>0.56783099999999997</v>
      </c>
      <c r="AC1262" s="217">
        <v>0.91383700000000001</v>
      </c>
      <c r="AD1262" s="212">
        <f t="shared" si="19"/>
        <v>0</v>
      </c>
    </row>
    <row r="1263" spans="2:30" x14ac:dyDescent="0.15">
      <c r="B1263" s="213">
        <v>17031006343</v>
      </c>
      <c r="C1263" s="213">
        <v>17031004622</v>
      </c>
      <c r="D1263" s="213">
        <v>17031000600</v>
      </c>
      <c r="E1263" s="213" t="s">
        <v>533</v>
      </c>
      <c r="F1263" s="213" t="s">
        <v>534</v>
      </c>
      <c r="G1263" s="213" t="s">
        <v>365</v>
      </c>
      <c r="H1263" s="213" t="s">
        <v>552</v>
      </c>
      <c r="I1263" s="213"/>
      <c r="J1263" s="213" t="s">
        <v>542</v>
      </c>
      <c r="K1263" s="213" t="s">
        <v>547</v>
      </c>
      <c r="L1263" s="213"/>
      <c r="M1263" s="213"/>
      <c r="N1263" s="213"/>
      <c r="O1263" s="213"/>
      <c r="P1263" s="213"/>
      <c r="Q1263" s="213"/>
      <c r="R1263" s="213"/>
      <c r="S1263" s="213" t="s">
        <v>564</v>
      </c>
      <c r="T1263" s="213"/>
      <c r="U1263" s="213" t="s">
        <v>538</v>
      </c>
      <c r="V1263" s="213">
        <v>3</v>
      </c>
      <c r="W1263" s="213" t="s">
        <v>545</v>
      </c>
      <c r="X1263" s="213" t="s">
        <v>541</v>
      </c>
      <c r="Y1263" s="213" t="s">
        <v>541</v>
      </c>
      <c r="Z1263" s="212">
        <v>74113</v>
      </c>
      <c r="AA1263" s="212">
        <v>5380834</v>
      </c>
      <c r="AB1263" s="217">
        <v>0.51033700000000004</v>
      </c>
      <c r="AC1263" s="217">
        <v>0.82130899999999996</v>
      </c>
      <c r="AD1263" s="212">
        <f t="shared" si="19"/>
        <v>2746038.6810580003</v>
      </c>
    </row>
    <row r="1264" spans="2:30" x14ac:dyDescent="0.15">
      <c r="B1264" s="213">
        <v>17031006348</v>
      </c>
      <c r="C1264" s="213">
        <v>17031004592</v>
      </c>
      <c r="D1264" s="213">
        <v>17031004591</v>
      </c>
      <c r="E1264" s="213" t="s">
        <v>533</v>
      </c>
      <c r="F1264" s="213" t="s">
        <v>534</v>
      </c>
      <c r="G1264" s="213" t="s">
        <v>365</v>
      </c>
      <c r="H1264" s="213" t="s">
        <v>535</v>
      </c>
      <c r="I1264" s="213"/>
      <c r="J1264" s="213" t="s">
        <v>547</v>
      </c>
      <c r="K1264" s="213" t="s">
        <v>551</v>
      </c>
      <c r="L1264" s="213"/>
      <c r="M1264" s="213"/>
      <c r="N1264" s="213"/>
      <c r="O1264" s="213"/>
      <c r="P1264" s="213"/>
      <c r="Q1264" s="213"/>
      <c r="R1264" s="213"/>
      <c r="S1264" s="213" t="s">
        <v>548</v>
      </c>
      <c r="T1264" s="213"/>
      <c r="U1264" s="213" t="s">
        <v>538</v>
      </c>
      <c r="V1264" s="213">
        <v>2</v>
      </c>
      <c r="W1264" s="213" t="s">
        <v>545</v>
      </c>
      <c r="X1264" s="213" t="s">
        <v>549</v>
      </c>
      <c r="Y1264" s="213" t="s">
        <v>546</v>
      </c>
      <c r="Z1264" s="212">
        <v>662357</v>
      </c>
      <c r="AA1264" s="212">
        <v>30359562</v>
      </c>
      <c r="AB1264" s="217">
        <v>0.63005800000000001</v>
      </c>
      <c r="AC1264" s="217">
        <v>1.0139819999999999</v>
      </c>
      <c r="AD1264" s="212">
        <f t="shared" si="19"/>
        <v>19128284.914595999</v>
      </c>
    </row>
    <row r="1265" spans="2:30" x14ac:dyDescent="0.15">
      <c r="B1265" s="213">
        <v>17031006354</v>
      </c>
      <c r="C1265" s="213">
        <v>17031000407</v>
      </c>
      <c r="D1265" s="213">
        <v>17031004629</v>
      </c>
      <c r="E1265" s="213" t="s">
        <v>533</v>
      </c>
      <c r="F1265" s="213" t="s">
        <v>534</v>
      </c>
      <c r="G1265" s="213" t="s">
        <v>365</v>
      </c>
      <c r="H1265" s="213" t="s">
        <v>535</v>
      </c>
      <c r="I1265" s="213"/>
      <c r="J1265" s="213" t="s">
        <v>552</v>
      </c>
      <c r="K1265" s="213" t="s">
        <v>547</v>
      </c>
      <c r="L1265" s="213"/>
      <c r="M1265" s="213"/>
      <c r="N1265" s="213"/>
      <c r="O1265" s="213"/>
      <c r="P1265" s="213"/>
      <c r="Q1265" s="213"/>
      <c r="R1265" s="213"/>
      <c r="S1265" s="213" t="s">
        <v>548</v>
      </c>
      <c r="T1265" s="213" t="s">
        <v>671</v>
      </c>
      <c r="U1265" s="213" t="s">
        <v>538</v>
      </c>
      <c r="V1265" s="213">
        <v>3</v>
      </c>
      <c r="W1265" s="213" t="s">
        <v>545</v>
      </c>
      <c r="X1265" s="213" t="s">
        <v>554</v>
      </c>
      <c r="Y1265" s="213" t="s">
        <v>546</v>
      </c>
      <c r="Z1265" s="212">
        <v>662317</v>
      </c>
      <c r="AA1265" s="212">
        <v>30356922</v>
      </c>
      <c r="AB1265" s="217">
        <v>0.23457500000000001</v>
      </c>
      <c r="AC1265" s="217">
        <v>0.37751299999999999</v>
      </c>
      <c r="AD1265" s="212">
        <f t="shared" si="19"/>
        <v>7120974.9781499999</v>
      </c>
    </row>
    <row r="1266" spans="2:30" x14ac:dyDescent="0.15">
      <c r="B1266" s="213">
        <v>17031006355</v>
      </c>
      <c r="C1266" s="213">
        <v>17031000484</v>
      </c>
      <c r="D1266" s="213">
        <v>17031004641</v>
      </c>
      <c r="E1266" s="213" t="s">
        <v>533</v>
      </c>
      <c r="F1266" s="213" t="s">
        <v>534</v>
      </c>
      <c r="G1266" s="213" t="s">
        <v>365</v>
      </c>
      <c r="H1266" s="213" t="s">
        <v>552</v>
      </c>
      <c r="I1266" s="213"/>
      <c r="J1266" s="213" t="s">
        <v>551</v>
      </c>
      <c r="K1266" s="213" t="s">
        <v>547</v>
      </c>
      <c r="L1266" s="213" t="s">
        <v>382</v>
      </c>
      <c r="M1266" s="213" t="s">
        <v>563</v>
      </c>
      <c r="N1266" s="213"/>
      <c r="O1266" s="213"/>
      <c r="P1266" s="213"/>
      <c r="Q1266" s="213"/>
      <c r="R1266" s="213"/>
      <c r="S1266" s="213" t="s">
        <v>589</v>
      </c>
      <c r="T1266" s="213" t="s">
        <v>691</v>
      </c>
      <c r="U1266" s="213" t="s">
        <v>538</v>
      </c>
      <c r="V1266" s="213">
        <v>3</v>
      </c>
      <c r="W1266" s="213" t="s">
        <v>545</v>
      </c>
      <c r="X1266" s="213" t="s">
        <v>549</v>
      </c>
      <c r="Y1266" s="213" t="s">
        <v>549</v>
      </c>
      <c r="Z1266" s="212">
        <v>244221</v>
      </c>
      <c r="AA1266" s="212">
        <v>19989495</v>
      </c>
      <c r="AB1266" s="217">
        <v>0.44048100000000001</v>
      </c>
      <c r="AC1266" s="217">
        <v>0.70888700000000004</v>
      </c>
      <c r="AD1266" s="212">
        <f t="shared" si="19"/>
        <v>8804992.747095</v>
      </c>
    </row>
    <row r="1267" spans="2:30" x14ac:dyDescent="0.15">
      <c r="B1267" s="213">
        <v>17031006366</v>
      </c>
      <c r="C1267" s="213">
        <v>17031000749</v>
      </c>
      <c r="D1267" s="213">
        <v>17031000751</v>
      </c>
      <c r="E1267" s="213" t="s">
        <v>533</v>
      </c>
      <c r="F1267" s="213" t="s">
        <v>534</v>
      </c>
      <c r="G1267" s="213" t="s">
        <v>365</v>
      </c>
      <c r="H1267" s="213" t="s">
        <v>535</v>
      </c>
      <c r="I1267" s="213"/>
      <c r="J1267" s="213"/>
      <c r="K1267" s="213"/>
      <c r="L1267" s="213"/>
      <c r="M1267" s="213"/>
      <c r="N1267" s="213"/>
      <c r="O1267" s="213"/>
      <c r="P1267" s="213"/>
      <c r="Q1267" s="213"/>
      <c r="R1267" s="213"/>
      <c r="S1267" s="213" t="s">
        <v>624</v>
      </c>
      <c r="T1267" s="213" t="s">
        <v>682</v>
      </c>
      <c r="U1267" s="213" t="s">
        <v>538</v>
      </c>
      <c r="V1267" s="213">
        <v>2</v>
      </c>
      <c r="W1267" s="213" t="s">
        <v>582</v>
      </c>
      <c r="X1267" s="213" t="s">
        <v>554</v>
      </c>
      <c r="Y1267" s="213" t="s">
        <v>554</v>
      </c>
      <c r="Z1267" s="212">
        <v>0</v>
      </c>
      <c r="AA1267" s="212">
        <v>0</v>
      </c>
      <c r="AB1267" s="217">
        <v>0.32964700000000002</v>
      </c>
      <c r="AC1267" s="217">
        <v>0.53051700000000002</v>
      </c>
      <c r="AD1267" s="212">
        <f t="shared" si="19"/>
        <v>0</v>
      </c>
    </row>
    <row r="1268" spans="2:30" x14ac:dyDescent="0.15">
      <c r="B1268" s="213">
        <v>17031006381</v>
      </c>
      <c r="C1268" s="213">
        <v>17031000630</v>
      </c>
      <c r="D1268" s="213">
        <v>17031000631</v>
      </c>
      <c r="E1268" s="213" t="s">
        <v>533</v>
      </c>
      <c r="F1268" s="213" t="s">
        <v>534</v>
      </c>
      <c r="G1268" s="213" t="s">
        <v>365</v>
      </c>
      <c r="H1268" s="213" t="s">
        <v>551</v>
      </c>
      <c r="I1268" s="213"/>
      <c r="J1268" s="213" t="s">
        <v>535</v>
      </c>
      <c r="K1268" s="213"/>
      <c r="L1268" s="213"/>
      <c r="M1268" s="213"/>
      <c r="N1268" s="213"/>
      <c r="O1268" s="213"/>
      <c r="P1268" s="213"/>
      <c r="Q1268" s="213"/>
      <c r="R1268" s="213"/>
      <c r="S1268" s="213" t="s">
        <v>649</v>
      </c>
      <c r="T1268" s="213"/>
      <c r="U1268" s="213" t="s">
        <v>538</v>
      </c>
      <c r="V1268" s="213">
        <v>1</v>
      </c>
      <c r="W1268" s="213" t="s">
        <v>539</v>
      </c>
      <c r="X1268" s="213" t="s">
        <v>541</v>
      </c>
      <c r="Y1268" s="213" t="s">
        <v>541</v>
      </c>
      <c r="Z1268" s="212">
        <v>1200</v>
      </c>
      <c r="AA1268" s="212">
        <v>104280</v>
      </c>
      <c r="AB1268" s="217">
        <v>0.16470599999999999</v>
      </c>
      <c r="AC1268" s="217">
        <v>0.26506999999999997</v>
      </c>
      <c r="AD1268" s="212">
        <f t="shared" si="19"/>
        <v>17175.541679999998</v>
      </c>
    </row>
    <row r="1269" spans="2:30" x14ac:dyDescent="0.15">
      <c r="B1269" s="213">
        <v>17031006385</v>
      </c>
      <c r="C1269" s="213">
        <v>17031004674</v>
      </c>
      <c r="D1269" s="213">
        <v>17031000744</v>
      </c>
      <c r="E1269" s="213" t="s">
        <v>533</v>
      </c>
      <c r="F1269" s="213" t="s">
        <v>534</v>
      </c>
      <c r="G1269" s="213" t="s">
        <v>365</v>
      </c>
      <c r="H1269" s="213" t="s">
        <v>644</v>
      </c>
      <c r="I1269" s="213"/>
      <c r="J1269" s="213" t="s">
        <v>535</v>
      </c>
      <c r="K1269" s="213"/>
      <c r="L1269" s="213"/>
      <c r="M1269" s="213"/>
      <c r="N1269" s="213"/>
      <c r="O1269" s="213"/>
      <c r="P1269" s="213"/>
      <c r="Q1269" s="213"/>
      <c r="R1269" s="213"/>
      <c r="S1269" s="213"/>
      <c r="T1269" s="213"/>
      <c r="U1269" s="213" t="s">
        <v>559</v>
      </c>
      <c r="V1269" s="213">
        <v>1</v>
      </c>
      <c r="W1269" s="213" t="s">
        <v>560</v>
      </c>
      <c r="X1269" s="213" t="s">
        <v>541</v>
      </c>
      <c r="Y1269" s="213" t="s">
        <v>541</v>
      </c>
      <c r="Z1269" s="212">
        <v>0</v>
      </c>
      <c r="AA1269" s="212">
        <v>0</v>
      </c>
      <c r="AB1269" s="217">
        <v>0.19927900000000001</v>
      </c>
      <c r="AC1269" s="217">
        <v>0.32071</v>
      </c>
      <c r="AD1269" s="212">
        <f t="shared" si="19"/>
        <v>0</v>
      </c>
    </row>
    <row r="1270" spans="2:30" x14ac:dyDescent="0.15">
      <c r="B1270" s="213">
        <v>17031006386</v>
      </c>
      <c r="C1270" s="213">
        <v>17031004673</v>
      </c>
      <c r="D1270" s="213">
        <v>17031004674</v>
      </c>
      <c r="E1270" s="213" t="s">
        <v>533</v>
      </c>
      <c r="F1270" s="213" t="s">
        <v>534</v>
      </c>
      <c r="G1270" s="213" t="s">
        <v>365</v>
      </c>
      <c r="H1270" s="213" t="s">
        <v>644</v>
      </c>
      <c r="I1270" s="213"/>
      <c r="J1270" s="213" t="s">
        <v>535</v>
      </c>
      <c r="K1270" s="213"/>
      <c r="L1270" s="213"/>
      <c r="M1270" s="213"/>
      <c r="N1270" s="213"/>
      <c r="O1270" s="213"/>
      <c r="P1270" s="213"/>
      <c r="Q1270" s="213"/>
      <c r="R1270" s="213"/>
      <c r="S1270" s="213"/>
      <c r="T1270" s="213"/>
      <c r="U1270" s="213" t="s">
        <v>559</v>
      </c>
      <c r="V1270" s="213">
        <v>1</v>
      </c>
      <c r="W1270" s="213" t="s">
        <v>560</v>
      </c>
      <c r="X1270" s="213" t="s">
        <v>541</v>
      </c>
      <c r="Y1270" s="213" t="s">
        <v>541</v>
      </c>
      <c r="Z1270" s="212">
        <v>0</v>
      </c>
      <c r="AA1270" s="212">
        <v>0</v>
      </c>
      <c r="AB1270" s="217">
        <v>0.162053</v>
      </c>
      <c r="AC1270" s="217">
        <v>0.260799</v>
      </c>
      <c r="AD1270" s="212">
        <f t="shared" si="19"/>
        <v>0</v>
      </c>
    </row>
    <row r="1271" spans="2:30" x14ac:dyDescent="0.15">
      <c r="B1271" s="213">
        <v>17031006404</v>
      </c>
      <c r="C1271" s="213">
        <v>17031004696</v>
      </c>
      <c r="D1271" s="213">
        <v>17031001333</v>
      </c>
      <c r="E1271" s="213" t="s">
        <v>533</v>
      </c>
      <c r="F1271" s="213" t="s">
        <v>534</v>
      </c>
      <c r="G1271" s="213" t="s">
        <v>365</v>
      </c>
      <c r="H1271" s="213" t="s">
        <v>547</v>
      </c>
      <c r="I1271" s="213"/>
      <c r="J1271" s="213" t="s">
        <v>577</v>
      </c>
      <c r="K1271" s="213" t="s">
        <v>551</v>
      </c>
      <c r="L1271" s="213" t="s">
        <v>615</v>
      </c>
      <c r="M1271" s="213"/>
      <c r="N1271" s="213"/>
      <c r="O1271" s="213"/>
      <c r="P1271" s="213"/>
      <c r="Q1271" s="213"/>
      <c r="R1271" s="213"/>
      <c r="S1271" s="213" t="s">
        <v>581</v>
      </c>
      <c r="T1271" s="213"/>
      <c r="U1271" s="213" t="s">
        <v>538</v>
      </c>
      <c r="V1271" s="213">
        <v>2</v>
      </c>
      <c r="W1271" s="213" t="s">
        <v>582</v>
      </c>
      <c r="X1271" s="213" t="s">
        <v>540</v>
      </c>
      <c r="Y1271" s="213" t="s">
        <v>540</v>
      </c>
      <c r="Z1271" s="212">
        <v>103629</v>
      </c>
      <c r="AA1271" s="212">
        <v>10039458</v>
      </c>
      <c r="AB1271" s="217">
        <v>2.3904000000000002E-2</v>
      </c>
      <c r="AC1271" s="217">
        <v>3.8469000000000003E-2</v>
      </c>
      <c r="AD1271" s="212">
        <f t="shared" si="19"/>
        <v>239983.20403200001</v>
      </c>
    </row>
    <row r="1272" spans="2:30" x14ac:dyDescent="0.15">
      <c r="B1272" s="213">
        <v>17031006405</v>
      </c>
      <c r="C1272" s="213">
        <v>17031001079</v>
      </c>
      <c r="D1272" s="213">
        <v>17031004706</v>
      </c>
      <c r="E1272" s="213" t="s">
        <v>533</v>
      </c>
      <c r="F1272" s="213" t="s">
        <v>534</v>
      </c>
      <c r="G1272" s="213" t="s">
        <v>365</v>
      </c>
      <c r="H1272" s="213" t="s">
        <v>547</v>
      </c>
      <c r="I1272" s="213"/>
      <c r="J1272" s="213"/>
      <c r="K1272" s="213"/>
      <c r="L1272" s="213"/>
      <c r="M1272" s="213"/>
      <c r="N1272" s="213"/>
      <c r="O1272" s="213"/>
      <c r="P1272" s="213"/>
      <c r="Q1272" s="213"/>
      <c r="R1272" s="213"/>
      <c r="S1272" s="213" t="s">
        <v>611</v>
      </c>
      <c r="T1272" s="213"/>
      <c r="U1272" s="213" t="s">
        <v>538</v>
      </c>
      <c r="V1272" s="213">
        <v>2</v>
      </c>
      <c r="W1272" s="213" t="s">
        <v>582</v>
      </c>
      <c r="X1272" s="213" t="s">
        <v>540</v>
      </c>
      <c r="Y1272" s="213" t="s">
        <v>541</v>
      </c>
      <c r="Z1272" s="212">
        <v>0</v>
      </c>
      <c r="AA1272" s="212">
        <v>0</v>
      </c>
      <c r="AB1272" s="217">
        <v>0.44930999999999999</v>
      </c>
      <c r="AC1272" s="217">
        <v>0.72309599999999996</v>
      </c>
      <c r="AD1272" s="212">
        <f t="shared" si="19"/>
        <v>0</v>
      </c>
    </row>
    <row r="1273" spans="2:30" x14ac:dyDescent="0.15">
      <c r="B1273" s="213">
        <v>17031006406</v>
      </c>
      <c r="C1273" s="213">
        <v>17031004706</v>
      </c>
      <c r="D1273" s="213">
        <v>17031004705</v>
      </c>
      <c r="E1273" s="213" t="s">
        <v>533</v>
      </c>
      <c r="F1273" s="213" t="s">
        <v>534</v>
      </c>
      <c r="G1273" s="213" t="s">
        <v>365</v>
      </c>
      <c r="H1273" s="213" t="s">
        <v>547</v>
      </c>
      <c r="I1273" s="213"/>
      <c r="J1273" s="213"/>
      <c r="K1273" s="213"/>
      <c r="L1273" s="213"/>
      <c r="M1273" s="213"/>
      <c r="N1273" s="213"/>
      <c r="O1273" s="213"/>
      <c r="P1273" s="213"/>
      <c r="Q1273" s="213"/>
      <c r="R1273" s="213"/>
      <c r="S1273" s="213" t="s">
        <v>611</v>
      </c>
      <c r="T1273" s="213"/>
      <c r="U1273" s="213" t="s">
        <v>538</v>
      </c>
      <c r="V1273" s="213">
        <v>2</v>
      </c>
      <c r="W1273" s="213" t="s">
        <v>582</v>
      </c>
      <c r="X1273" s="213" t="s">
        <v>540</v>
      </c>
      <c r="Y1273" s="213" t="s">
        <v>541</v>
      </c>
      <c r="Z1273" s="212">
        <v>0</v>
      </c>
      <c r="AA1273" s="212">
        <v>0</v>
      </c>
      <c r="AB1273" s="217">
        <v>0.55696599999999996</v>
      </c>
      <c r="AC1273" s="217">
        <v>0.89635200000000004</v>
      </c>
      <c r="AD1273" s="212">
        <f t="shared" si="19"/>
        <v>0</v>
      </c>
    </row>
    <row r="1274" spans="2:30" x14ac:dyDescent="0.15">
      <c r="B1274" s="213">
        <v>17031006409</v>
      </c>
      <c r="C1274" s="213">
        <v>17031004703</v>
      </c>
      <c r="D1274" s="213">
        <v>17031004702</v>
      </c>
      <c r="E1274" s="213" t="s">
        <v>533</v>
      </c>
      <c r="F1274" s="213" t="s">
        <v>534</v>
      </c>
      <c r="G1274" s="213" t="s">
        <v>365</v>
      </c>
      <c r="H1274" s="213" t="s">
        <v>547</v>
      </c>
      <c r="I1274" s="213"/>
      <c r="J1274" s="213"/>
      <c r="K1274" s="213"/>
      <c r="L1274" s="213"/>
      <c r="M1274" s="213"/>
      <c r="N1274" s="213"/>
      <c r="O1274" s="213"/>
      <c r="P1274" s="213"/>
      <c r="Q1274" s="213"/>
      <c r="R1274" s="213"/>
      <c r="S1274" s="213" t="s">
        <v>611</v>
      </c>
      <c r="T1274" s="213"/>
      <c r="U1274" s="213" t="s">
        <v>538</v>
      </c>
      <c r="V1274" s="213">
        <v>2</v>
      </c>
      <c r="W1274" s="213" t="s">
        <v>582</v>
      </c>
      <c r="X1274" s="213" t="s">
        <v>540</v>
      </c>
      <c r="Y1274" s="213" t="s">
        <v>541</v>
      </c>
      <c r="Z1274" s="212">
        <v>0</v>
      </c>
      <c r="AA1274" s="212">
        <v>0</v>
      </c>
      <c r="AB1274" s="217">
        <v>0.440326</v>
      </c>
      <c r="AC1274" s="217">
        <v>0.70863799999999999</v>
      </c>
      <c r="AD1274" s="212">
        <f t="shared" si="19"/>
        <v>0</v>
      </c>
    </row>
    <row r="1275" spans="2:30" x14ac:dyDescent="0.15">
      <c r="B1275" s="213">
        <v>17031006428</v>
      </c>
      <c r="C1275" s="213">
        <v>17031001108</v>
      </c>
      <c r="D1275" s="213">
        <v>17031001128</v>
      </c>
      <c r="E1275" s="213" t="s">
        <v>533</v>
      </c>
      <c r="F1275" s="213" t="s">
        <v>534</v>
      </c>
      <c r="G1275" s="213" t="s">
        <v>365</v>
      </c>
      <c r="H1275" s="213" t="s">
        <v>577</v>
      </c>
      <c r="I1275" s="213"/>
      <c r="J1275" s="213" t="s">
        <v>543</v>
      </c>
      <c r="K1275" s="213"/>
      <c r="L1275" s="213"/>
      <c r="M1275" s="213"/>
      <c r="N1275" s="213"/>
      <c r="O1275" s="213"/>
      <c r="P1275" s="213"/>
      <c r="Q1275" s="213"/>
      <c r="R1275" s="213"/>
      <c r="S1275" s="213"/>
      <c r="T1275" s="213"/>
      <c r="U1275" s="213" t="s">
        <v>538</v>
      </c>
      <c r="V1275" s="213">
        <v>1</v>
      </c>
      <c r="W1275" s="213" t="s">
        <v>560</v>
      </c>
      <c r="X1275" s="213" t="s">
        <v>541</v>
      </c>
      <c r="Y1275" s="213" t="s">
        <v>541</v>
      </c>
      <c r="Z1275" s="212">
        <v>0</v>
      </c>
      <c r="AA1275" s="212">
        <v>0</v>
      </c>
      <c r="AB1275" s="217">
        <v>0.11260100000000001</v>
      </c>
      <c r="AC1275" s="217">
        <v>0.18121499999999999</v>
      </c>
      <c r="AD1275" s="212">
        <f t="shared" si="19"/>
        <v>0</v>
      </c>
    </row>
    <row r="1276" spans="2:30" x14ac:dyDescent="0.15">
      <c r="B1276" s="213">
        <v>17031006433</v>
      </c>
      <c r="C1276" s="213">
        <v>17031001268</v>
      </c>
      <c r="D1276" s="213">
        <v>17031001267</v>
      </c>
      <c r="E1276" s="213" t="s">
        <v>533</v>
      </c>
      <c r="F1276" s="213" t="s">
        <v>534</v>
      </c>
      <c r="G1276" s="213" t="s">
        <v>365</v>
      </c>
      <c r="H1276" s="213" t="s">
        <v>613</v>
      </c>
      <c r="I1276" s="213"/>
      <c r="J1276" s="213" t="s">
        <v>577</v>
      </c>
      <c r="K1276" s="213" t="s">
        <v>572</v>
      </c>
      <c r="L1276" s="213"/>
      <c r="M1276" s="213"/>
      <c r="N1276" s="213"/>
      <c r="O1276" s="213"/>
      <c r="P1276" s="213"/>
      <c r="Q1276" s="213"/>
      <c r="R1276" s="213"/>
      <c r="S1276" s="213"/>
      <c r="T1276" s="213"/>
      <c r="U1276" s="213" t="s">
        <v>559</v>
      </c>
      <c r="V1276" s="213">
        <v>1</v>
      </c>
      <c r="W1276" s="213" t="s">
        <v>560</v>
      </c>
      <c r="X1276" s="213" t="s">
        <v>541</v>
      </c>
      <c r="Y1276" s="213" t="s">
        <v>541</v>
      </c>
      <c r="Z1276" s="212">
        <v>0</v>
      </c>
      <c r="AA1276" s="212">
        <v>0</v>
      </c>
      <c r="AB1276" s="217">
        <v>0.172518</v>
      </c>
      <c r="AC1276" s="217">
        <v>0.27764100000000003</v>
      </c>
      <c r="AD1276" s="212">
        <f t="shared" si="19"/>
        <v>0</v>
      </c>
    </row>
    <row r="1277" spans="2:30" x14ac:dyDescent="0.15">
      <c r="B1277" s="213">
        <v>17031006437</v>
      </c>
      <c r="C1277" s="213">
        <v>17031001346</v>
      </c>
      <c r="D1277" s="213">
        <v>17031001347</v>
      </c>
      <c r="E1277" s="213" t="s">
        <v>533</v>
      </c>
      <c r="F1277" s="213" t="s">
        <v>534</v>
      </c>
      <c r="G1277" s="213" t="s">
        <v>365</v>
      </c>
      <c r="H1277" s="213" t="s">
        <v>543</v>
      </c>
      <c r="I1277" s="213"/>
      <c r="J1277" s="213"/>
      <c r="K1277" s="213"/>
      <c r="L1277" s="213"/>
      <c r="M1277" s="213"/>
      <c r="N1277" s="213"/>
      <c r="O1277" s="213"/>
      <c r="P1277" s="213"/>
      <c r="Q1277" s="213"/>
      <c r="R1277" s="213"/>
      <c r="S1277" s="213"/>
      <c r="T1277" s="213" t="s">
        <v>669</v>
      </c>
      <c r="U1277" s="213" t="s">
        <v>559</v>
      </c>
      <c r="V1277" s="213">
        <v>1</v>
      </c>
      <c r="W1277" s="213" t="s">
        <v>560</v>
      </c>
      <c r="X1277" s="213" t="s">
        <v>541</v>
      </c>
      <c r="Y1277" s="213" t="s">
        <v>541</v>
      </c>
      <c r="Z1277" s="212">
        <v>0</v>
      </c>
      <c r="AA1277" s="212">
        <v>0</v>
      </c>
      <c r="AB1277" s="217">
        <v>5.1479999999999998E-2</v>
      </c>
      <c r="AC1277" s="217">
        <v>8.2849000000000006E-2</v>
      </c>
      <c r="AD1277" s="212">
        <f t="shared" si="19"/>
        <v>0</v>
      </c>
    </row>
    <row r="1278" spans="2:30" x14ac:dyDescent="0.15">
      <c r="B1278" s="213">
        <v>17031006448</v>
      </c>
      <c r="C1278" s="213">
        <v>17031001548</v>
      </c>
      <c r="D1278" s="213">
        <v>17031001553</v>
      </c>
      <c r="E1278" s="213" t="s">
        <v>533</v>
      </c>
      <c r="F1278" s="213" t="s">
        <v>534</v>
      </c>
      <c r="G1278" s="213" t="s">
        <v>365</v>
      </c>
      <c r="H1278" s="213" t="s">
        <v>382</v>
      </c>
      <c r="I1278" s="213"/>
      <c r="J1278" s="213"/>
      <c r="K1278" s="213"/>
      <c r="L1278" s="213"/>
      <c r="M1278" s="213"/>
      <c r="N1278" s="213"/>
      <c r="O1278" s="213"/>
      <c r="P1278" s="213"/>
      <c r="Q1278" s="213"/>
      <c r="R1278" s="213"/>
      <c r="S1278" s="213" t="s">
        <v>576</v>
      </c>
      <c r="T1278" s="213"/>
      <c r="U1278" s="213" t="s">
        <v>559</v>
      </c>
      <c r="V1278" s="213">
        <v>1</v>
      </c>
      <c r="W1278" s="213" t="s">
        <v>560</v>
      </c>
      <c r="X1278" s="213" t="s">
        <v>541</v>
      </c>
      <c r="Y1278" s="213" t="s">
        <v>541</v>
      </c>
      <c r="Z1278" s="212">
        <v>0</v>
      </c>
      <c r="AA1278" s="212">
        <v>0</v>
      </c>
      <c r="AB1278" s="217">
        <v>0.141564</v>
      </c>
      <c r="AC1278" s="217">
        <v>0.227825</v>
      </c>
      <c r="AD1278" s="212">
        <f t="shared" si="19"/>
        <v>0</v>
      </c>
    </row>
    <row r="1279" spans="2:30" x14ac:dyDescent="0.15">
      <c r="B1279" s="213">
        <v>17031006451</v>
      </c>
      <c r="C1279" s="213">
        <v>17031004710</v>
      </c>
      <c r="D1279" s="213">
        <v>17031001476</v>
      </c>
      <c r="E1279" s="213" t="s">
        <v>533</v>
      </c>
      <c r="F1279" s="213" t="s">
        <v>534</v>
      </c>
      <c r="G1279" s="213" t="s">
        <v>365</v>
      </c>
      <c r="H1279" s="213" t="s">
        <v>382</v>
      </c>
      <c r="I1279" s="213"/>
      <c r="J1279" s="213"/>
      <c r="K1279" s="213"/>
      <c r="L1279" s="213"/>
      <c r="M1279" s="213"/>
      <c r="N1279" s="213"/>
      <c r="O1279" s="213"/>
      <c r="P1279" s="213"/>
      <c r="Q1279" s="213"/>
      <c r="R1279" s="213"/>
      <c r="S1279" s="213"/>
      <c r="T1279" s="213"/>
      <c r="U1279" s="213" t="s">
        <v>559</v>
      </c>
      <c r="V1279" s="213">
        <v>1</v>
      </c>
      <c r="W1279" s="213" t="s">
        <v>560</v>
      </c>
      <c r="X1279" s="213" t="s">
        <v>541</v>
      </c>
      <c r="Y1279" s="213" t="s">
        <v>541</v>
      </c>
      <c r="Z1279" s="212">
        <v>0</v>
      </c>
      <c r="AA1279" s="212">
        <v>0</v>
      </c>
      <c r="AB1279" s="217">
        <v>0.23141999999999999</v>
      </c>
      <c r="AC1279" s="217">
        <v>0.37243399999999999</v>
      </c>
      <c r="AD1279" s="212">
        <f t="shared" si="19"/>
        <v>0</v>
      </c>
    </row>
    <row r="1280" spans="2:30" x14ac:dyDescent="0.15">
      <c r="B1280" s="213">
        <v>17031006458</v>
      </c>
      <c r="C1280" s="213">
        <v>17031001453</v>
      </c>
      <c r="D1280" s="213">
        <v>17031001449</v>
      </c>
      <c r="E1280" s="213" t="s">
        <v>533</v>
      </c>
      <c r="F1280" s="213" t="s">
        <v>534</v>
      </c>
      <c r="G1280" s="213" t="s">
        <v>365</v>
      </c>
      <c r="H1280" s="213" t="s">
        <v>551</v>
      </c>
      <c r="I1280" s="213"/>
      <c r="J1280" s="213"/>
      <c r="K1280" s="213"/>
      <c r="L1280" s="213"/>
      <c r="M1280" s="213"/>
      <c r="N1280" s="213"/>
      <c r="O1280" s="213"/>
      <c r="P1280" s="213"/>
      <c r="Q1280" s="213"/>
      <c r="R1280" s="213"/>
      <c r="S1280" s="213"/>
      <c r="T1280" s="213"/>
      <c r="U1280" s="213" t="s">
        <v>559</v>
      </c>
      <c r="V1280" s="213">
        <v>1</v>
      </c>
      <c r="W1280" s="213" t="s">
        <v>560</v>
      </c>
      <c r="X1280" s="213" t="s">
        <v>541</v>
      </c>
      <c r="Y1280" s="213" t="s">
        <v>541</v>
      </c>
      <c r="Z1280" s="212">
        <v>0</v>
      </c>
      <c r="AA1280" s="212">
        <v>0</v>
      </c>
      <c r="AB1280" s="217">
        <v>0.16144500000000001</v>
      </c>
      <c r="AC1280" s="217">
        <v>0.25982</v>
      </c>
      <c r="AD1280" s="212">
        <f t="shared" si="19"/>
        <v>0</v>
      </c>
    </row>
    <row r="1281" spans="2:30" x14ac:dyDescent="0.15">
      <c r="B1281" s="213">
        <v>17031006462</v>
      </c>
      <c r="C1281" s="213">
        <v>17031004509</v>
      </c>
      <c r="D1281" s="213">
        <v>17031001419</v>
      </c>
      <c r="E1281" s="213" t="s">
        <v>533</v>
      </c>
      <c r="F1281" s="213" t="s">
        <v>534</v>
      </c>
      <c r="G1281" s="213" t="s">
        <v>365</v>
      </c>
      <c r="H1281" s="213" t="s">
        <v>551</v>
      </c>
      <c r="I1281" s="213" t="s">
        <v>535</v>
      </c>
      <c r="J1281" s="213" t="s">
        <v>555</v>
      </c>
      <c r="K1281" s="213"/>
      <c r="L1281" s="213"/>
      <c r="M1281" s="213"/>
      <c r="N1281" s="213"/>
      <c r="O1281" s="213"/>
      <c r="P1281" s="213"/>
      <c r="Q1281" s="213"/>
      <c r="R1281" s="213"/>
      <c r="S1281" s="213" t="s">
        <v>553</v>
      </c>
      <c r="T1281" s="213"/>
      <c r="U1281" s="213" t="s">
        <v>538</v>
      </c>
      <c r="V1281" s="213">
        <v>2</v>
      </c>
      <c r="W1281" s="213" t="s">
        <v>545</v>
      </c>
      <c r="X1281" s="213" t="s">
        <v>549</v>
      </c>
      <c r="Y1281" s="213" t="s">
        <v>546</v>
      </c>
      <c r="Z1281" s="212">
        <v>470358</v>
      </c>
      <c r="AA1281" s="212">
        <v>22310100</v>
      </c>
      <c r="AB1281" s="217">
        <v>5.1357E-2</v>
      </c>
      <c r="AC1281" s="217">
        <v>8.2651000000000002E-2</v>
      </c>
      <c r="AD1281" s="212">
        <f t="shared" si="19"/>
        <v>1145779.8056999999</v>
      </c>
    </row>
    <row r="1282" spans="2:30" x14ac:dyDescent="0.15">
      <c r="B1282" s="213">
        <v>17031006463</v>
      </c>
      <c r="C1282" s="213">
        <v>17031004715</v>
      </c>
      <c r="D1282" s="213">
        <v>99999023704</v>
      </c>
      <c r="E1282" s="213" t="s">
        <v>533</v>
      </c>
      <c r="F1282" s="213" t="s">
        <v>534</v>
      </c>
      <c r="G1282" s="213" t="s">
        <v>365</v>
      </c>
      <c r="H1282" s="213" t="s">
        <v>551</v>
      </c>
      <c r="I1282" s="213" t="s">
        <v>535</v>
      </c>
      <c r="J1282" s="213" t="s">
        <v>542</v>
      </c>
      <c r="K1282" s="213"/>
      <c r="L1282" s="213"/>
      <c r="M1282" s="213"/>
      <c r="N1282" s="213"/>
      <c r="O1282" s="213"/>
      <c r="P1282" s="213"/>
      <c r="Q1282" s="213"/>
      <c r="R1282" s="213"/>
      <c r="S1282" s="213" t="s">
        <v>553</v>
      </c>
      <c r="T1282" s="213"/>
      <c r="U1282" s="213" t="s">
        <v>538</v>
      </c>
      <c r="V1282" s="213">
        <v>2</v>
      </c>
      <c r="W1282" s="213" t="s">
        <v>545</v>
      </c>
      <c r="X1282" s="213" t="s">
        <v>549</v>
      </c>
      <c r="Y1282" s="213" t="s">
        <v>546</v>
      </c>
      <c r="Z1282" s="212">
        <v>480874</v>
      </c>
      <c r="AA1282" s="212">
        <v>22995173</v>
      </c>
      <c r="AB1282" s="217">
        <v>1.9097390000000001</v>
      </c>
      <c r="AC1282" s="217">
        <v>3.0734330000000001</v>
      </c>
      <c r="AD1282" s="212">
        <f t="shared" si="19"/>
        <v>43914778.689847</v>
      </c>
    </row>
    <row r="1283" spans="2:30" x14ac:dyDescent="0.15">
      <c r="B1283" s="213">
        <v>17031006468</v>
      </c>
      <c r="C1283" s="213">
        <v>17031000818</v>
      </c>
      <c r="D1283" s="213">
        <v>17031000821</v>
      </c>
      <c r="E1283" s="213" t="s">
        <v>533</v>
      </c>
      <c r="F1283" s="213" t="s">
        <v>534</v>
      </c>
      <c r="G1283" s="213" t="s">
        <v>365</v>
      </c>
      <c r="H1283" s="213" t="s">
        <v>543</v>
      </c>
      <c r="I1283" s="213"/>
      <c r="J1283" s="213" t="s">
        <v>535</v>
      </c>
      <c r="K1283" s="213"/>
      <c r="L1283" s="213"/>
      <c r="M1283" s="213"/>
      <c r="N1283" s="213"/>
      <c r="O1283" s="213"/>
      <c r="P1283" s="213"/>
      <c r="Q1283" s="213"/>
      <c r="R1283" s="213"/>
      <c r="S1283" s="213" t="s">
        <v>658</v>
      </c>
      <c r="T1283" s="213"/>
      <c r="U1283" s="213" t="s">
        <v>559</v>
      </c>
      <c r="V1283" s="213">
        <v>1</v>
      </c>
      <c r="W1283" s="213" t="s">
        <v>560</v>
      </c>
      <c r="X1283" s="213" t="s">
        <v>541</v>
      </c>
      <c r="Y1283" s="213" t="s">
        <v>541</v>
      </c>
      <c r="Z1283" s="212">
        <v>72673</v>
      </c>
      <c r="AA1283" s="212">
        <v>3647669</v>
      </c>
      <c r="AB1283" s="217">
        <v>6.5822000000000006E-2</v>
      </c>
      <c r="AC1283" s="217">
        <v>0.105931</v>
      </c>
      <c r="AD1283" s="212">
        <f t="shared" si="19"/>
        <v>240096.86891800002</v>
      </c>
    </row>
    <row r="1284" spans="2:30" x14ac:dyDescent="0.15">
      <c r="B1284" s="213">
        <v>17031006469</v>
      </c>
      <c r="C1284" s="213">
        <v>17031004717</v>
      </c>
      <c r="D1284" s="213">
        <v>17031004718</v>
      </c>
      <c r="E1284" s="213" t="s">
        <v>533</v>
      </c>
      <c r="F1284" s="213" t="s">
        <v>534</v>
      </c>
      <c r="G1284" s="213" t="s">
        <v>365</v>
      </c>
      <c r="H1284" s="213" t="s">
        <v>551</v>
      </c>
      <c r="I1284" s="213"/>
      <c r="J1284" s="213"/>
      <c r="K1284" s="213"/>
      <c r="L1284" s="213"/>
      <c r="M1284" s="213"/>
      <c r="N1284" s="213"/>
      <c r="O1284" s="213"/>
      <c r="P1284" s="213"/>
      <c r="Q1284" s="213"/>
      <c r="R1284" s="213"/>
      <c r="S1284" s="213" t="s">
        <v>600</v>
      </c>
      <c r="T1284" s="213"/>
      <c r="U1284" s="213" t="s">
        <v>538</v>
      </c>
      <c r="V1284" s="213">
        <v>3</v>
      </c>
      <c r="W1284" s="213" t="s">
        <v>582</v>
      </c>
      <c r="X1284" s="213" t="s">
        <v>540</v>
      </c>
      <c r="Y1284" s="213" t="s">
        <v>549</v>
      </c>
      <c r="Z1284" s="212">
        <v>192774</v>
      </c>
      <c r="AA1284" s="212">
        <v>6267418</v>
      </c>
      <c r="AB1284" s="217">
        <v>0.34063500000000002</v>
      </c>
      <c r="AC1284" s="217">
        <v>0.54820000000000002</v>
      </c>
      <c r="AD1284" s="212">
        <f t="shared" si="19"/>
        <v>2134901.9304300002</v>
      </c>
    </row>
    <row r="1285" spans="2:30" x14ac:dyDescent="0.15">
      <c r="B1285" s="213">
        <v>17031006478</v>
      </c>
      <c r="C1285" s="213">
        <v>17031001313</v>
      </c>
      <c r="D1285" s="213">
        <v>17031004748</v>
      </c>
      <c r="E1285" s="213" t="s">
        <v>533</v>
      </c>
      <c r="F1285" s="213" t="s">
        <v>534</v>
      </c>
      <c r="G1285" s="213" t="s">
        <v>365</v>
      </c>
      <c r="H1285" s="213" t="s">
        <v>551</v>
      </c>
      <c r="I1285" s="213"/>
      <c r="J1285" s="213"/>
      <c r="K1285" s="213"/>
      <c r="L1285" s="213"/>
      <c r="M1285" s="213"/>
      <c r="N1285" s="213"/>
      <c r="O1285" s="213"/>
      <c r="P1285" s="213"/>
      <c r="Q1285" s="213"/>
      <c r="R1285" s="213"/>
      <c r="S1285" s="213" t="s">
        <v>603</v>
      </c>
      <c r="T1285" s="213"/>
      <c r="U1285" s="213" t="s">
        <v>538</v>
      </c>
      <c r="V1285" s="213">
        <v>2</v>
      </c>
      <c r="W1285" s="213" t="s">
        <v>545</v>
      </c>
      <c r="X1285" s="213" t="s">
        <v>554</v>
      </c>
      <c r="Y1285" s="213" t="s">
        <v>575</v>
      </c>
      <c r="Z1285" s="212">
        <v>1306760</v>
      </c>
      <c r="AA1285" s="212">
        <v>66684325</v>
      </c>
      <c r="AB1285" s="217">
        <v>0.188416</v>
      </c>
      <c r="AC1285" s="217">
        <v>0.30322700000000002</v>
      </c>
      <c r="AD1285" s="212">
        <f t="shared" si="19"/>
        <v>12564393.779200001</v>
      </c>
    </row>
    <row r="1286" spans="2:30" x14ac:dyDescent="0.15">
      <c r="B1286" s="213">
        <v>17031006480</v>
      </c>
      <c r="C1286" s="213">
        <v>99999023003</v>
      </c>
      <c r="D1286" s="213">
        <v>17031004744</v>
      </c>
      <c r="E1286" s="213" t="s">
        <v>533</v>
      </c>
      <c r="F1286" s="213" t="s">
        <v>534</v>
      </c>
      <c r="G1286" s="213" t="s">
        <v>365</v>
      </c>
      <c r="H1286" s="213" t="s">
        <v>557</v>
      </c>
      <c r="I1286" s="213"/>
      <c r="J1286" s="213" t="s">
        <v>552</v>
      </c>
      <c r="K1286" s="213"/>
      <c r="L1286" s="213"/>
      <c r="M1286" s="213"/>
      <c r="N1286" s="213"/>
      <c r="O1286" s="213"/>
      <c r="P1286" s="213"/>
      <c r="Q1286" s="213"/>
      <c r="R1286" s="213"/>
      <c r="S1286" s="213" t="s">
        <v>634</v>
      </c>
      <c r="T1286" s="213"/>
      <c r="U1286" s="213" t="s">
        <v>559</v>
      </c>
      <c r="V1286" s="213">
        <v>1</v>
      </c>
      <c r="W1286" s="213" t="s">
        <v>560</v>
      </c>
      <c r="X1286" s="213" t="s">
        <v>541</v>
      </c>
      <c r="Y1286" s="213" t="s">
        <v>541</v>
      </c>
      <c r="Z1286" s="212">
        <v>0</v>
      </c>
      <c r="AA1286" s="212">
        <v>0</v>
      </c>
      <c r="AB1286" s="217">
        <v>3.5951999999999998E-2</v>
      </c>
      <c r="AC1286" s="217">
        <v>5.7859000000000001E-2</v>
      </c>
      <c r="AD1286" s="212">
        <f t="shared" ref="AD1286:AD1349" si="20">AA1286*AB1286</f>
        <v>0</v>
      </c>
    </row>
    <row r="1287" spans="2:30" x14ac:dyDescent="0.15">
      <c r="B1287" s="213">
        <v>17031006483</v>
      </c>
      <c r="C1287" s="213">
        <v>17031004743</v>
      </c>
      <c r="D1287" s="213">
        <v>17031004750</v>
      </c>
      <c r="E1287" s="213" t="s">
        <v>533</v>
      </c>
      <c r="F1287" s="213" t="s">
        <v>534</v>
      </c>
      <c r="G1287" s="213" t="s">
        <v>365</v>
      </c>
      <c r="H1287" s="213" t="s">
        <v>557</v>
      </c>
      <c r="I1287" s="213"/>
      <c r="J1287" s="213" t="s">
        <v>552</v>
      </c>
      <c r="K1287" s="213"/>
      <c r="L1287" s="213"/>
      <c r="M1287" s="213"/>
      <c r="N1287" s="213"/>
      <c r="O1287" s="213"/>
      <c r="P1287" s="213"/>
      <c r="Q1287" s="213"/>
      <c r="R1287" s="213"/>
      <c r="S1287" s="213" t="s">
        <v>634</v>
      </c>
      <c r="T1287" s="213" t="s">
        <v>704</v>
      </c>
      <c r="U1287" s="213" t="s">
        <v>559</v>
      </c>
      <c r="V1287" s="213">
        <v>1</v>
      </c>
      <c r="W1287" s="213" t="s">
        <v>560</v>
      </c>
      <c r="X1287" s="213" t="s">
        <v>541</v>
      </c>
      <c r="Y1287" s="213" t="s">
        <v>541</v>
      </c>
      <c r="Z1287" s="212">
        <v>440</v>
      </c>
      <c r="AA1287" s="212">
        <v>41160</v>
      </c>
      <c r="AB1287" s="217">
        <v>0.49211500000000002</v>
      </c>
      <c r="AC1287" s="217">
        <v>0.79198299999999999</v>
      </c>
      <c r="AD1287" s="212">
        <f t="shared" si="20"/>
        <v>20255.453400000002</v>
      </c>
    </row>
    <row r="1288" spans="2:30" x14ac:dyDescent="0.15">
      <c r="B1288" s="213">
        <v>17031006487</v>
      </c>
      <c r="C1288" s="213">
        <v>17031004747</v>
      </c>
      <c r="D1288" s="213">
        <v>17031001397</v>
      </c>
      <c r="E1288" s="213" t="s">
        <v>533</v>
      </c>
      <c r="F1288" s="213" t="s">
        <v>534</v>
      </c>
      <c r="G1288" s="213" t="s">
        <v>365</v>
      </c>
      <c r="H1288" s="213" t="s">
        <v>557</v>
      </c>
      <c r="I1288" s="213"/>
      <c r="J1288" s="213"/>
      <c r="K1288" s="213"/>
      <c r="L1288" s="213"/>
      <c r="M1288" s="213"/>
      <c r="N1288" s="213"/>
      <c r="O1288" s="213"/>
      <c r="P1288" s="213"/>
      <c r="Q1288" s="213"/>
      <c r="R1288" s="213"/>
      <c r="S1288" s="213"/>
      <c r="T1288" s="213"/>
      <c r="U1288" s="213" t="s">
        <v>559</v>
      </c>
      <c r="V1288" s="213">
        <v>1</v>
      </c>
      <c r="W1288" s="213" t="s">
        <v>560</v>
      </c>
      <c r="X1288" s="213" t="s">
        <v>541</v>
      </c>
      <c r="Y1288" s="213" t="s">
        <v>541</v>
      </c>
      <c r="Z1288" s="212">
        <v>0</v>
      </c>
      <c r="AA1288" s="212">
        <v>0</v>
      </c>
      <c r="AB1288" s="217">
        <v>5.4996999999999997E-2</v>
      </c>
      <c r="AC1288" s="217">
        <v>8.8509000000000004E-2</v>
      </c>
      <c r="AD1288" s="212">
        <f t="shared" si="20"/>
        <v>0</v>
      </c>
    </row>
    <row r="1289" spans="2:30" x14ac:dyDescent="0.15">
      <c r="B1289" s="213">
        <v>17031006488</v>
      </c>
      <c r="C1289" s="213">
        <v>17031001383</v>
      </c>
      <c r="D1289" s="213">
        <v>17031004749</v>
      </c>
      <c r="E1289" s="213" t="s">
        <v>533</v>
      </c>
      <c r="F1289" s="213" t="s">
        <v>534</v>
      </c>
      <c r="G1289" s="213" t="s">
        <v>365</v>
      </c>
      <c r="H1289" s="213" t="s">
        <v>551</v>
      </c>
      <c r="I1289" s="213"/>
      <c r="J1289" s="213"/>
      <c r="K1289" s="213"/>
      <c r="L1289" s="213"/>
      <c r="M1289" s="213"/>
      <c r="N1289" s="213"/>
      <c r="O1289" s="213"/>
      <c r="P1289" s="213"/>
      <c r="Q1289" s="213"/>
      <c r="R1289" s="213"/>
      <c r="S1289" s="213" t="s">
        <v>686</v>
      </c>
      <c r="T1289" s="213"/>
      <c r="U1289" s="213" t="s">
        <v>559</v>
      </c>
      <c r="V1289" s="213">
        <v>1</v>
      </c>
      <c r="W1289" s="213" t="s">
        <v>560</v>
      </c>
      <c r="X1289" s="213" t="s">
        <v>541</v>
      </c>
      <c r="Y1289" s="213" t="s">
        <v>541</v>
      </c>
      <c r="Z1289" s="212">
        <v>0</v>
      </c>
      <c r="AA1289" s="212">
        <v>0</v>
      </c>
      <c r="AB1289" s="217">
        <v>4.2763000000000002E-2</v>
      </c>
      <c r="AC1289" s="217">
        <v>6.8820999999999993E-2</v>
      </c>
      <c r="AD1289" s="212">
        <f t="shared" si="20"/>
        <v>0</v>
      </c>
    </row>
    <row r="1290" spans="2:30" x14ac:dyDescent="0.15">
      <c r="B1290" s="213">
        <v>17031006492</v>
      </c>
      <c r="C1290" s="213">
        <v>17031004751</v>
      </c>
      <c r="D1290" s="213">
        <v>17031001049</v>
      </c>
      <c r="E1290" s="213" t="s">
        <v>533</v>
      </c>
      <c r="F1290" s="213" t="s">
        <v>534</v>
      </c>
      <c r="G1290" s="213" t="s">
        <v>365</v>
      </c>
      <c r="H1290" s="213" t="s">
        <v>535</v>
      </c>
      <c r="I1290" s="213"/>
      <c r="J1290" s="213" t="s">
        <v>542</v>
      </c>
      <c r="K1290" s="213" t="s">
        <v>572</v>
      </c>
      <c r="L1290" s="213"/>
      <c r="M1290" s="213"/>
      <c r="N1290" s="213"/>
      <c r="O1290" s="213"/>
      <c r="P1290" s="213"/>
      <c r="Q1290" s="213"/>
      <c r="R1290" s="213"/>
      <c r="S1290" s="213" t="s">
        <v>544</v>
      </c>
      <c r="T1290" s="213"/>
      <c r="U1290" s="213" t="s">
        <v>538</v>
      </c>
      <c r="V1290" s="213">
        <v>2</v>
      </c>
      <c r="W1290" s="213" t="s">
        <v>545</v>
      </c>
      <c r="X1290" s="213" t="s">
        <v>549</v>
      </c>
      <c r="Y1290" s="213" t="s">
        <v>549</v>
      </c>
      <c r="Z1290" s="212">
        <v>9558</v>
      </c>
      <c r="AA1290" s="212">
        <v>806456</v>
      </c>
      <c r="AB1290" s="217">
        <v>0.18368300000000001</v>
      </c>
      <c r="AC1290" s="217">
        <v>0.29560999999999998</v>
      </c>
      <c r="AD1290" s="212">
        <f t="shared" si="20"/>
        <v>148132.25744800002</v>
      </c>
    </row>
    <row r="1291" spans="2:30" x14ac:dyDescent="0.15">
      <c r="B1291" s="213">
        <v>17031006502</v>
      </c>
      <c r="C1291" s="213">
        <v>17031004756</v>
      </c>
      <c r="D1291" s="213">
        <v>17031000906</v>
      </c>
      <c r="E1291" s="213" t="s">
        <v>533</v>
      </c>
      <c r="F1291" s="213" t="s">
        <v>534</v>
      </c>
      <c r="G1291" s="213" t="s">
        <v>365</v>
      </c>
      <c r="H1291" s="213" t="s">
        <v>547</v>
      </c>
      <c r="I1291" s="213"/>
      <c r="J1291" s="213" t="s">
        <v>577</v>
      </c>
      <c r="K1291" s="213"/>
      <c r="L1291" s="213"/>
      <c r="M1291" s="213"/>
      <c r="N1291" s="213"/>
      <c r="O1291" s="213"/>
      <c r="P1291" s="213"/>
      <c r="Q1291" s="213"/>
      <c r="R1291" s="213"/>
      <c r="S1291" s="213" t="s">
        <v>581</v>
      </c>
      <c r="T1291" s="213"/>
      <c r="U1291" s="213" t="s">
        <v>538</v>
      </c>
      <c r="V1291" s="213">
        <v>2</v>
      </c>
      <c r="W1291" s="213" t="s">
        <v>582</v>
      </c>
      <c r="X1291" s="213" t="s">
        <v>540</v>
      </c>
      <c r="Y1291" s="213" t="s">
        <v>541</v>
      </c>
      <c r="Z1291" s="212">
        <v>0</v>
      </c>
      <c r="AA1291" s="212">
        <v>0</v>
      </c>
      <c r="AB1291" s="217">
        <v>0.727572</v>
      </c>
      <c r="AC1291" s="217">
        <v>1.1709160000000001</v>
      </c>
      <c r="AD1291" s="212">
        <f t="shared" si="20"/>
        <v>0</v>
      </c>
    </row>
    <row r="1292" spans="2:30" x14ac:dyDescent="0.15">
      <c r="B1292" s="213">
        <v>17031006508</v>
      </c>
      <c r="C1292" s="213">
        <v>17031004761</v>
      </c>
      <c r="D1292" s="213">
        <v>17031000816</v>
      </c>
      <c r="E1292" s="213" t="s">
        <v>533</v>
      </c>
      <c r="F1292" s="213" t="s">
        <v>534</v>
      </c>
      <c r="G1292" s="213" t="s">
        <v>365</v>
      </c>
      <c r="H1292" s="213" t="s">
        <v>547</v>
      </c>
      <c r="I1292" s="213"/>
      <c r="J1292" s="213" t="s">
        <v>542</v>
      </c>
      <c r="K1292" s="213" t="s">
        <v>543</v>
      </c>
      <c r="L1292" s="213" t="s">
        <v>382</v>
      </c>
      <c r="M1292" s="213"/>
      <c r="N1292" s="213"/>
      <c r="O1292" s="213"/>
      <c r="P1292" s="213"/>
      <c r="Q1292" s="213"/>
      <c r="R1292" s="213"/>
      <c r="S1292" s="213" t="s">
        <v>602</v>
      </c>
      <c r="T1292" s="213"/>
      <c r="U1292" s="213" t="s">
        <v>538</v>
      </c>
      <c r="V1292" s="213">
        <v>2</v>
      </c>
      <c r="W1292" s="213" t="s">
        <v>545</v>
      </c>
      <c r="X1292" s="213" t="s">
        <v>554</v>
      </c>
      <c r="Y1292" s="213" t="s">
        <v>540</v>
      </c>
      <c r="Z1292" s="212">
        <v>224110</v>
      </c>
      <c r="AA1292" s="212">
        <v>9929890</v>
      </c>
      <c r="AB1292" s="217">
        <v>4.4121E-2</v>
      </c>
      <c r="AC1292" s="217">
        <v>7.1007000000000001E-2</v>
      </c>
      <c r="AD1292" s="212">
        <f t="shared" si="20"/>
        <v>438116.67668999999</v>
      </c>
    </row>
    <row r="1293" spans="2:30" x14ac:dyDescent="0.15">
      <c r="B1293" s="213">
        <v>17031006522</v>
      </c>
      <c r="C1293" s="213">
        <v>17031001138</v>
      </c>
      <c r="D1293" s="213">
        <v>17031001162</v>
      </c>
      <c r="E1293" s="213" t="s">
        <v>533</v>
      </c>
      <c r="F1293" s="213" t="s">
        <v>534</v>
      </c>
      <c r="G1293" s="213" t="s">
        <v>365</v>
      </c>
      <c r="H1293" s="213" t="s">
        <v>577</v>
      </c>
      <c r="I1293" s="213"/>
      <c r="J1293" s="213"/>
      <c r="K1293" s="213"/>
      <c r="L1293" s="213"/>
      <c r="M1293" s="213"/>
      <c r="N1293" s="213"/>
      <c r="O1293" s="213"/>
      <c r="P1293" s="213"/>
      <c r="Q1293" s="213"/>
      <c r="R1293" s="213"/>
      <c r="S1293" s="213"/>
      <c r="T1293" s="213" t="s">
        <v>641</v>
      </c>
      <c r="U1293" s="213" t="s">
        <v>538</v>
      </c>
      <c r="V1293" s="213">
        <v>1</v>
      </c>
      <c r="W1293" s="213" t="s">
        <v>560</v>
      </c>
      <c r="X1293" s="213" t="s">
        <v>541</v>
      </c>
      <c r="Y1293" s="213" t="s">
        <v>541</v>
      </c>
      <c r="Z1293" s="212">
        <v>0</v>
      </c>
      <c r="AA1293" s="212">
        <v>0</v>
      </c>
      <c r="AB1293" s="217">
        <v>0.21362600000000001</v>
      </c>
      <c r="AC1293" s="217">
        <v>0.34379799999999999</v>
      </c>
      <c r="AD1293" s="212">
        <f t="shared" si="20"/>
        <v>0</v>
      </c>
    </row>
    <row r="1294" spans="2:30" x14ac:dyDescent="0.15">
      <c r="B1294" s="213">
        <v>17031006523</v>
      </c>
      <c r="C1294" s="213">
        <v>17031001165</v>
      </c>
      <c r="D1294" s="213">
        <v>17031001179</v>
      </c>
      <c r="E1294" s="213" t="s">
        <v>533</v>
      </c>
      <c r="F1294" s="213" t="s">
        <v>534</v>
      </c>
      <c r="G1294" s="213" t="s">
        <v>365</v>
      </c>
      <c r="H1294" s="213" t="s">
        <v>571</v>
      </c>
      <c r="I1294" s="213"/>
      <c r="J1294" s="213" t="s">
        <v>577</v>
      </c>
      <c r="K1294" s="213"/>
      <c r="L1294" s="213"/>
      <c r="M1294" s="213"/>
      <c r="N1294" s="213"/>
      <c r="O1294" s="213"/>
      <c r="P1294" s="213"/>
      <c r="Q1294" s="213"/>
      <c r="R1294" s="213"/>
      <c r="S1294" s="213" t="s">
        <v>573</v>
      </c>
      <c r="T1294" s="213"/>
      <c r="U1294" s="213" t="s">
        <v>538</v>
      </c>
      <c r="V1294" s="213">
        <v>1</v>
      </c>
      <c r="W1294" s="213" t="s">
        <v>545</v>
      </c>
      <c r="X1294" s="213" t="s">
        <v>541</v>
      </c>
      <c r="Y1294" s="213" t="s">
        <v>554</v>
      </c>
      <c r="Z1294" s="212">
        <v>0</v>
      </c>
      <c r="AA1294" s="212">
        <v>0</v>
      </c>
      <c r="AB1294" s="217">
        <v>5.1123000000000002E-2</v>
      </c>
      <c r="AC1294" s="217">
        <v>8.2275000000000001E-2</v>
      </c>
      <c r="AD1294" s="212">
        <f t="shared" si="20"/>
        <v>0</v>
      </c>
    </row>
    <row r="1295" spans="2:30" x14ac:dyDescent="0.15">
      <c r="B1295" s="213">
        <v>17031006524</v>
      </c>
      <c r="C1295" s="213">
        <v>17031001204</v>
      </c>
      <c r="D1295" s="213">
        <v>17031001199</v>
      </c>
      <c r="E1295" s="213" t="s">
        <v>533</v>
      </c>
      <c r="F1295" s="213" t="s">
        <v>534</v>
      </c>
      <c r="G1295" s="213" t="s">
        <v>365</v>
      </c>
      <c r="H1295" s="213" t="s">
        <v>577</v>
      </c>
      <c r="I1295" s="213"/>
      <c r="J1295" s="213"/>
      <c r="K1295" s="213"/>
      <c r="L1295" s="213"/>
      <c r="M1295" s="213"/>
      <c r="N1295" s="213"/>
      <c r="O1295" s="213"/>
      <c r="P1295" s="213"/>
      <c r="Q1295" s="213"/>
      <c r="R1295" s="213"/>
      <c r="S1295" s="213"/>
      <c r="T1295" s="213"/>
      <c r="U1295" s="213" t="s">
        <v>559</v>
      </c>
      <c r="V1295" s="213">
        <v>1</v>
      </c>
      <c r="W1295" s="213" t="s">
        <v>560</v>
      </c>
      <c r="X1295" s="213" t="s">
        <v>541</v>
      </c>
      <c r="Y1295" s="213" t="s">
        <v>541</v>
      </c>
      <c r="Z1295" s="212">
        <v>0</v>
      </c>
      <c r="AA1295" s="212">
        <v>0</v>
      </c>
      <c r="AB1295" s="217">
        <v>4.1776000000000001E-2</v>
      </c>
      <c r="AC1295" s="217">
        <v>6.7232E-2</v>
      </c>
      <c r="AD1295" s="212">
        <f t="shared" si="20"/>
        <v>0</v>
      </c>
    </row>
    <row r="1296" spans="2:30" x14ac:dyDescent="0.15">
      <c r="B1296" s="213">
        <v>17031006526</v>
      </c>
      <c r="C1296" s="213">
        <v>17031001193</v>
      </c>
      <c r="D1296" s="213">
        <v>17031001196</v>
      </c>
      <c r="E1296" s="213" t="s">
        <v>533</v>
      </c>
      <c r="F1296" s="213" t="s">
        <v>534</v>
      </c>
      <c r="G1296" s="213" t="s">
        <v>365</v>
      </c>
      <c r="H1296" s="213" t="s">
        <v>577</v>
      </c>
      <c r="I1296" s="213"/>
      <c r="J1296" s="213"/>
      <c r="K1296" s="213"/>
      <c r="L1296" s="213"/>
      <c r="M1296" s="213"/>
      <c r="N1296" s="213"/>
      <c r="O1296" s="213"/>
      <c r="P1296" s="213"/>
      <c r="Q1296" s="213"/>
      <c r="R1296" s="213"/>
      <c r="S1296" s="213"/>
      <c r="T1296" s="213"/>
      <c r="U1296" s="213" t="s">
        <v>538</v>
      </c>
      <c r="V1296" s="213">
        <v>1</v>
      </c>
      <c r="W1296" s="213" t="s">
        <v>560</v>
      </c>
      <c r="X1296" s="213" t="s">
        <v>541</v>
      </c>
      <c r="Y1296" s="213" t="s">
        <v>541</v>
      </c>
      <c r="Z1296" s="212">
        <v>0</v>
      </c>
      <c r="AA1296" s="212">
        <v>0</v>
      </c>
      <c r="AB1296" s="217">
        <v>4.9120999999999998E-2</v>
      </c>
      <c r="AC1296" s="217">
        <v>7.9052999999999998E-2</v>
      </c>
      <c r="AD1296" s="212">
        <f t="shared" si="20"/>
        <v>0</v>
      </c>
    </row>
    <row r="1297" spans="2:30" x14ac:dyDescent="0.15">
      <c r="B1297" s="213">
        <v>17031006536</v>
      </c>
      <c r="C1297" s="213">
        <v>17999022465</v>
      </c>
      <c r="D1297" s="213">
        <v>17031004785</v>
      </c>
      <c r="E1297" s="213" t="s">
        <v>533</v>
      </c>
      <c r="F1297" s="213" t="s">
        <v>534</v>
      </c>
      <c r="G1297" s="213" t="s">
        <v>365</v>
      </c>
      <c r="H1297" s="213" t="s">
        <v>535</v>
      </c>
      <c r="I1297" s="213"/>
      <c r="J1297" s="213" t="s">
        <v>542</v>
      </c>
      <c r="K1297" s="213" t="s">
        <v>572</v>
      </c>
      <c r="L1297" s="213" t="s">
        <v>547</v>
      </c>
      <c r="M1297" s="213" t="s">
        <v>382</v>
      </c>
      <c r="N1297" s="213"/>
      <c r="O1297" s="213"/>
      <c r="P1297" s="213"/>
      <c r="Q1297" s="213"/>
      <c r="R1297" s="213"/>
      <c r="S1297" s="213" t="s">
        <v>601</v>
      </c>
      <c r="T1297" s="213"/>
      <c r="U1297" s="213" t="s">
        <v>538</v>
      </c>
      <c r="V1297" s="213">
        <v>2</v>
      </c>
      <c r="W1297" s="213" t="s">
        <v>545</v>
      </c>
      <c r="X1297" s="213" t="s">
        <v>549</v>
      </c>
      <c r="Y1297" s="213" t="s">
        <v>540</v>
      </c>
      <c r="Z1297" s="212">
        <v>416386</v>
      </c>
      <c r="AA1297" s="212">
        <v>6195335</v>
      </c>
      <c r="AB1297" s="217">
        <v>0.40533400000000003</v>
      </c>
      <c r="AC1297" s="217">
        <v>0.65232299999999999</v>
      </c>
      <c r="AD1297" s="212">
        <f t="shared" si="20"/>
        <v>2511179.91689</v>
      </c>
    </row>
    <row r="1298" spans="2:30" x14ac:dyDescent="0.15">
      <c r="B1298" s="213">
        <v>17031007051</v>
      </c>
      <c r="C1298" s="213">
        <v>17031001166</v>
      </c>
      <c r="D1298" s="213">
        <v>17031005597</v>
      </c>
      <c r="E1298" s="213" t="s">
        <v>533</v>
      </c>
      <c r="F1298" s="213" t="s">
        <v>534</v>
      </c>
      <c r="G1298" s="213" t="s">
        <v>365</v>
      </c>
      <c r="H1298" s="213" t="s">
        <v>535</v>
      </c>
      <c r="I1298" s="213"/>
      <c r="J1298" s="213"/>
      <c r="K1298" s="213"/>
      <c r="L1298" s="213"/>
      <c r="M1298" s="213"/>
      <c r="N1298" s="213"/>
      <c r="O1298" s="213"/>
      <c r="P1298" s="213"/>
      <c r="Q1298" s="213"/>
      <c r="R1298" s="213"/>
      <c r="S1298" s="213"/>
      <c r="T1298" s="213" t="s">
        <v>645</v>
      </c>
      <c r="U1298" s="213" t="s">
        <v>559</v>
      </c>
      <c r="V1298" s="213">
        <v>1</v>
      </c>
      <c r="W1298" s="213" t="s">
        <v>560</v>
      </c>
      <c r="X1298" s="213" t="s">
        <v>541</v>
      </c>
      <c r="Y1298" s="213" t="s">
        <v>541</v>
      </c>
      <c r="Z1298" s="212">
        <v>0</v>
      </c>
      <c r="AA1298" s="212">
        <v>0</v>
      </c>
      <c r="AB1298" s="217">
        <v>6.4616000000000007E-2</v>
      </c>
      <c r="AC1298" s="217">
        <v>0.103989</v>
      </c>
      <c r="AD1298" s="212">
        <f t="shared" si="20"/>
        <v>0</v>
      </c>
    </row>
    <row r="1299" spans="2:30" x14ac:dyDescent="0.15">
      <c r="B1299" s="213">
        <v>17031008379</v>
      </c>
      <c r="C1299" s="213">
        <v>17031000536</v>
      </c>
      <c r="D1299" s="213">
        <v>17031006684</v>
      </c>
      <c r="E1299" s="213" t="s">
        <v>533</v>
      </c>
      <c r="F1299" s="213" t="s">
        <v>534</v>
      </c>
      <c r="G1299" s="213" t="s">
        <v>365</v>
      </c>
      <c r="H1299" s="213" t="s">
        <v>382</v>
      </c>
      <c r="I1299" s="213"/>
      <c r="J1299" s="213" t="s">
        <v>535</v>
      </c>
      <c r="K1299" s="213" t="s">
        <v>552</v>
      </c>
      <c r="L1299" s="213" t="s">
        <v>572</v>
      </c>
      <c r="M1299" s="213" t="s">
        <v>557</v>
      </c>
      <c r="N1299" s="213" t="s">
        <v>543</v>
      </c>
      <c r="O1299" s="213"/>
      <c r="P1299" s="213"/>
      <c r="Q1299" s="213"/>
      <c r="R1299" s="213"/>
      <c r="S1299" s="213" t="s">
        <v>650</v>
      </c>
      <c r="T1299" s="213" t="s">
        <v>626</v>
      </c>
      <c r="U1299" s="213" t="s">
        <v>559</v>
      </c>
      <c r="V1299" s="213">
        <v>1</v>
      </c>
      <c r="W1299" s="213" t="s">
        <v>539</v>
      </c>
      <c r="X1299" s="213" t="s">
        <v>541</v>
      </c>
      <c r="Y1299" s="213" t="s">
        <v>540</v>
      </c>
      <c r="Z1299" s="212">
        <v>2686</v>
      </c>
      <c r="AA1299" s="212">
        <v>254944</v>
      </c>
      <c r="AB1299" s="217">
        <v>0.42225600000000002</v>
      </c>
      <c r="AC1299" s="217">
        <v>0.67955600000000005</v>
      </c>
      <c r="AD1299" s="212">
        <f t="shared" si="20"/>
        <v>107651.63366400001</v>
      </c>
    </row>
    <row r="1300" spans="2:30" x14ac:dyDescent="0.15">
      <c r="B1300" s="213">
        <v>17031008394</v>
      </c>
      <c r="C1300" s="213">
        <v>17031006699</v>
      </c>
      <c r="D1300" s="213">
        <v>17031001127</v>
      </c>
      <c r="E1300" s="213" t="s">
        <v>533</v>
      </c>
      <c r="F1300" s="213" t="s">
        <v>534</v>
      </c>
      <c r="G1300" s="213" t="s">
        <v>365</v>
      </c>
      <c r="H1300" s="213" t="s">
        <v>661</v>
      </c>
      <c r="I1300" s="213"/>
      <c r="J1300" s="213"/>
      <c r="K1300" s="213"/>
      <c r="L1300" s="213"/>
      <c r="M1300" s="213"/>
      <c r="N1300" s="213"/>
      <c r="O1300" s="213"/>
      <c r="P1300" s="213"/>
      <c r="Q1300" s="213"/>
      <c r="R1300" s="213"/>
      <c r="S1300" s="213"/>
      <c r="T1300" s="213" t="s">
        <v>662</v>
      </c>
      <c r="U1300" s="213" t="s">
        <v>538</v>
      </c>
      <c r="V1300" s="213">
        <v>1</v>
      </c>
      <c r="W1300" s="213" t="s">
        <v>560</v>
      </c>
      <c r="X1300" s="213" t="s">
        <v>541</v>
      </c>
      <c r="Y1300" s="213" t="s">
        <v>541</v>
      </c>
      <c r="Z1300" s="212">
        <v>0</v>
      </c>
      <c r="AA1300" s="212">
        <v>0</v>
      </c>
      <c r="AB1300" s="217">
        <v>2.0296000000000002E-2</v>
      </c>
      <c r="AC1300" s="217">
        <v>3.2662999999999998E-2</v>
      </c>
      <c r="AD1300" s="212">
        <f t="shared" si="20"/>
        <v>0</v>
      </c>
    </row>
    <row r="1301" spans="2:30" x14ac:dyDescent="0.15">
      <c r="B1301" s="213">
        <v>17031008472</v>
      </c>
      <c r="C1301" s="213">
        <v>17031000520</v>
      </c>
      <c r="D1301" s="213">
        <v>17031006979</v>
      </c>
      <c r="E1301" s="213" t="s">
        <v>533</v>
      </c>
      <c r="F1301" s="213" t="s">
        <v>534</v>
      </c>
      <c r="G1301" s="213" t="s">
        <v>365</v>
      </c>
      <c r="H1301" s="213" t="s">
        <v>382</v>
      </c>
      <c r="I1301" s="213"/>
      <c r="J1301" s="213" t="s">
        <v>547</v>
      </c>
      <c r="K1301" s="213"/>
      <c r="L1301" s="213"/>
      <c r="M1301" s="213"/>
      <c r="N1301" s="213"/>
      <c r="O1301" s="213"/>
      <c r="P1301" s="213"/>
      <c r="Q1301" s="213"/>
      <c r="R1301" s="213"/>
      <c r="S1301" s="213" t="s">
        <v>608</v>
      </c>
      <c r="T1301" s="213"/>
      <c r="U1301" s="213" t="s">
        <v>538</v>
      </c>
      <c r="V1301" s="213">
        <v>4</v>
      </c>
      <c r="W1301" s="213" t="s">
        <v>545</v>
      </c>
      <c r="X1301" s="213" t="s">
        <v>540</v>
      </c>
      <c r="Y1301" s="213" t="s">
        <v>541</v>
      </c>
      <c r="Z1301" s="212">
        <v>0</v>
      </c>
      <c r="AA1301" s="212">
        <v>0</v>
      </c>
      <c r="AB1301" s="217">
        <v>0.31862499999999999</v>
      </c>
      <c r="AC1301" s="217">
        <v>0.51277899999999998</v>
      </c>
      <c r="AD1301" s="212">
        <f t="shared" si="20"/>
        <v>0</v>
      </c>
    </row>
    <row r="1302" spans="2:30" x14ac:dyDescent="0.15">
      <c r="B1302" s="213">
        <v>17031008526</v>
      </c>
      <c r="C1302" s="213">
        <v>17031001388</v>
      </c>
      <c r="D1302" s="213">
        <v>17031007018</v>
      </c>
      <c r="E1302" s="213" t="s">
        <v>533</v>
      </c>
      <c r="F1302" s="213" t="s">
        <v>534</v>
      </c>
      <c r="G1302" s="213" t="s">
        <v>365</v>
      </c>
      <c r="H1302" s="213" t="s">
        <v>543</v>
      </c>
      <c r="I1302" s="213"/>
      <c r="J1302" s="213"/>
      <c r="K1302" s="213"/>
      <c r="L1302" s="213"/>
      <c r="M1302" s="213"/>
      <c r="N1302" s="213"/>
      <c r="O1302" s="213"/>
      <c r="P1302" s="213"/>
      <c r="Q1302" s="213"/>
      <c r="R1302" s="213"/>
      <c r="S1302" s="213" t="s">
        <v>604</v>
      </c>
      <c r="T1302" s="213"/>
      <c r="U1302" s="213" t="s">
        <v>538</v>
      </c>
      <c r="V1302" s="213">
        <v>2</v>
      </c>
      <c r="W1302" s="213" t="s">
        <v>545</v>
      </c>
      <c r="X1302" s="213" t="s">
        <v>554</v>
      </c>
      <c r="Y1302" s="213" t="s">
        <v>546</v>
      </c>
      <c r="Z1302" s="212">
        <v>6440</v>
      </c>
      <c r="AA1302" s="212">
        <v>601439</v>
      </c>
      <c r="AB1302" s="217">
        <v>5.0396999999999997E-2</v>
      </c>
      <c r="AC1302" s="217">
        <v>8.1105999999999998E-2</v>
      </c>
      <c r="AD1302" s="212">
        <f t="shared" si="20"/>
        <v>30310.721282999999</v>
      </c>
    </row>
    <row r="1303" spans="2:30" x14ac:dyDescent="0.15">
      <c r="B1303" s="213">
        <v>17031008630</v>
      </c>
      <c r="C1303" s="213">
        <v>17031006712</v>
      </c>
      <c r="D1303" s="213">
        <v>17031001137</v>
      </c>
      <c r="E1303" s="213" t="s">
        <v>533</v>
      </c>
      <c r="F1303" s="213" t="s">
        <v>534</v>
      </c>
      <c r="G1303" s="213" t="s">
        <v>365</v>
      </c>
      <c r="H1303" s="213" t="s">
        <v>571</v>
      </c>
      <c r="I1303" s="213"/>
      <c r="J1303" s="213"/>
      <c r="K1303" s="213"/>
      <c r="L1303" s="213"/>
      <c r="M1303" s="213"/>
      <c r="N1303" s="213"/>
      <c r="O1303" s="213"/>
      <c r="P1303" s="213"/>
      <c r="Q1303" s="213"/>
      <c r="R1303" s="213"/>
      <c r="S1303" s="213" t="s">
        <v>573</v>
      </c>
      <c r="T1303" s="213" t="s">
        <v>643</v>
      </c>
      <c r="U1303" s="213" t="s">
        <v>538</v>
      </c>
      <c r="V1303" s="213">
        <v>1</v>
      </c>
      <c r="W1303" s="213" t="s">
        <v>545</v>
      </c>
      <c r="X1303" s="213" t="s">
        <v>541</v>
      </c>
      <c r="Y1303" s="213" t="s">
        <v>546</v>
      </c>
      <c r="Z1303" s="212">
        <v>0</v>
      </c>
      <c r="AA1303" s="212">
        <v>0</v>
      </c>
      <c r="AB1303" s="217">
        <v>3.7130999999999997E-2</v>
      </c>
      <c r="AC1303" s="217">
        <v>5.9756999999999998E-2</v>
      </c>
      <c r="AD1303" s="212">
        <f t="shared" si="20"/>
        <v>0</v>
      </c>
    </row>
    <row r="1304" spans="2:30" x14ac:dyDescent="0.15">
      <c r="B1304" s="213">
        <v>17031008647</v>
      </c>
      <c r="C1304" s="213">
        <v>17031001214</v>
      </c>
      <c r="D1304" s="213">
        <v>17031006725</v>
      </c>
      <c r="E1304" s="213" t="s">
        <v>533</v>
      </c>
      <c r="F1304" s="213" t="s">
        <v>534</v>
      </c>
      <c r="G1304" s="213" t="s">
        <v>365</v>
      </c>
      <c r="H1304" s="213" t="s">
        <v>577</v>
      </c>
      <c r="I1304" s="213"/>
      <c r="J1304" s="213"/>
      <c r="K1304" s="213"/>
      <c r="L1304" s="213"/>
      <c r="M1304" s="213"/>
      <c r="N1304" s="213"/>
      <c r="O1304" s="213"/>
      <c r="P1304" s="213"/>
      <c r="Q1304" s="213"/>
      <c r="R1304" s="213"/>
      <c r="S1304" s="213"/>
      <c r="T1304" s="213"/>
      <c r="U1304" s="213" t="s">
        <v>559</v>
      </c>
      <c r="V1304" s="213">
        <v>1</v>
      </c>
      <c r="W1304" s="213" t="s">
        <v>560</v>
      </c>
      <c r="X1304" s="213" t="s">
        <v>541</v>
      </c>
      <c r="Y1304" s="213" t="s">
        <v>541</v>
      </c>
      <c r="Z1304" s="212">
        <v>0</v>
      </c>
      <c r="AA1304" s="212">
        <v>0</v>
      </c>
      <c r="AB1304" s="217">
        <v>4.8899999999999999E-2</v>
      </c>
      <c r="AC1304" s="217">
        <v>7.8697000000000003E-2</v>
      </c>
      <c r="AD1304" s="212">
        <f t="shared" si="20"/>
        <v>0</v>
      </c>
    </row>
    <row r="1305" spans="2:30" x14ac:dyDescent="0.15">
      <c r="B1305" s="213">
        <v>17031008648</v>
      </c>
      <c r="C1305" s="213">
        <v>17031006727</v>
      </c>
      <c r="D1305" s="213">
        <v>17031001228</v>
      </c>
      <c r="E1305" s="213" t="s">
        <v>533</v>
      </c>
      <c r="F1305" s="213" t="s">
        <v>534</v>
      </c>
      <c r="G1305" s="213" t="s">
        <v>365</v>
      </c>
      <c r="H1305" s="213" t="s">
        <v>577</v>
      </c>
      <c r="I1305" s="213"/>
      <c r="J1305" s="213"/>
      <c r="K1305" s="213"/>
      <c r="L1305" s="213"/>
      <c r="M1305" s="213"/>
      <c r="N1305" s="213"/>
      <c r="O1305" s="213"/>
      <c r="P1305" s="213"/>
      <c r="Q1305" s="213"/>
      <c r="R1305" s="213"/>
      <c r="S1305" s="213"/>
      <c r="T1305" s="213"/>
      <c r="U1305" s="213" t="s">
        <v>559</v>
      </c>
      <c r="V1305" s="213">
        <v>1</v>
      </c>
      <c r="W1305" s="213" t="s">
        <v>560</v>
      </c>
      <c r="X1305" s="213" t="s">
        <v>541</v>
      </c>
      <c r="Y1305" s="213" t="s">
        <v>541</v>
      </c>
      <c r="Z1305" s="212">
        <v>0</v>
      </c>
      <c r="AA1305" s="212">
        <v>0</v>
      </c>
      <c r="AB1305" s="217">
        <v>4.6232000000000002E-2</v>
      </c>
      <c r="AC1305" s="217">
        <v>7.4403999999999998E-2</v>
      </c>
      <c r="AD1305" s="212">
        <f t="shared" si="20"/>
        <v>0</v>
      </c>
    </row>
    <row r="1306" spans="2:30" x14ac:dyDescent="0.15">
      <c r="B1306" s="213">
        <v>17031008785</v>
      </c>
      <c r="C1306" s="213">
        <v>17031006832</v>
      </c>
      <c r="D1306" s="213">
        <v>17031000787</v>
      </c>
      <c r="E1306" s="213" t="s">
        <v>533</v>
      </c>
      <c r="F1306" s="213" t="s">
        <v>534</v>
      </c>
      <c r="G1306" s="213" t="s">
        <v>365</v>
      </c>
      <c r="H1306" s="213" t="s">
        <v>382</v>
      </c>
      <c r="I1306" s="213"/>
      <c r="J1306" s="213"/>
      <c r="K1306" s="213"/>
      <c r="L1306" s="213"/>
      <c r="M1306" s="213"/>
      <c r="N1306" s="213"/>
      <c r="O1306" s="213"/>
      <c r="P1306" s="213"/>
      <c r="Q1306" s="213"/>
      <c r="R1306" s="213"/>
      <c r="S1306" s="213"/>
      <c r="T1306" s="213"/>
      <c r="U1306" s="213" t="s">
        <v>559</v>
      </c>
      <c r="V1306" s="213">
        <v>1</v>
      </c>
      <c r="W1306" s="213" t="s">
        <v>560</v>
      </c>
      <c r="X1306" s="213" t="s">
        <v>541</v>
      </c>
      <c r="Y1306" s="213" t="s">
        <v>541</v>
      </c>
      <c r="Z1306" s="212">
        <v>600</v>
      </c>
      <c r="AA1306" s="212">
        <v>33400</v>
      </c>
      <c r="AB1306" s="217">
        <v>4.1928E-2</v>
      </c>
      <c r="AC1306" s="217">
        <v>6.7475999999999994E-2</v>
      </c>
      <c r="AD1306" s="212">
        <f t="shared" si="20"/>
        <v>1400.3951999999999</v>
      </c>
    </row>
    <row r="1307" spans="2:30" x14ac:dyDescent="0.15">
      <c r="B1307" s="213">
        <v>17031008825</v>
      </c>
      <c r="C1307" s="213">
        <v>17031000816</v>
      </c>
      <c r="D1307" s="213">
        <v>17031006853</v>
      </c>
      <c r="E1307" s="213" t="s">
        <v>533</v>
      </c>
      <c r="F1307" s="213" t="s">
        <v>534</v>
      </c>
      <c r="G1307" s="213" t="s">
        <v>365</v>
      </c>
      <c r="H1307" s="213" t="s">
        <v>543</v>
      </c>
      <c r="I1307" s="213"/>
      <c r="J1307" s="213" t="s">
        <v>542</v>
      </c>
      <c r="K1307" s="213"/>
      <c r="L1307" s="213"/>
      <c r="M1307" s="213"/>
      <c r="N1307" s="213"/>
      <c r="O1307" s="213"/>
      <c r="P1307" s="213"/>
      <c r="Q1307" s="213"/>
      <c r="R1307" s="213"/>
      <c r="S1307" s="213" t="s">
        <v>630</v>
      </c>
      <c r="T1307" s="213"/>
      <c r="U1307" s="213" t="s">
        <v>538</v>
      </c>
      <c r="V1307" s="213">
        <v>2</v>
      </c>
      <c r="W1307" s="213" t="s">
        <v>545</v>
      </c>
      <c r="X1307" s="213" t="s">
        <v>540</v>
      </c>
      <c r="Y1307" s="213" t="s">
        <v>549</v>
      </c>
      <c r="Z1307" s="212">
        <v>2463629</v>
      </c>
      <c r="AA1307" s="212">
        <v>64091127</v>
      </c>
      <c r="AB1307" s="217">
        <v>2.1621999999999999E-2</v>
      </c>
      <c r="AC1307" s="217">
        <v>3.4797000000000002E-2</v>
      </c>
      <c r="AD1307" s="212">
        <f t="shared" si="20"/>
        <v>1385778.347994</v>
      </c>
    </row>
    <row r="1308" spans="2:30" x14ac:dyDescent="0.15">
      <c r="B1308" s="213">
        <v>17031009233</v>
      </c>
      <c r="C1308" s="213">
        <v>17031007120</v>
      </c>
      <c r="D1308" s="213">
        <v>17031000996</v>
      </c>
      <c r="E1308" s="213" t="s">
        <v>533</v>
      </c>
      <c r="F1308" s="213" t="s">
        <v>534</v>
      </c>
      <c r="G1308" s="213" t="s">
        <v>365</v>
      </c>
      <c r="H1308" s="213" t="s">
        <v>571</v>
      </c>
      <c r="I1308" s="213"/>
      <c r="J1308" s="213" t="s">
        <v>381</v>
      </c>
      <c r="K1308" s="213" t="s">
        <v>535</v>
      </c>
      <c r="L1308" s="213" t="s">
        <v>552</v>
      </c>
      <c r="M1308" s="213" t="s">
        <v>551</v>
      </c>
      <c r="N1308" s="213" t="s">
        <v>382</v>
      </c>
      <c r="O1308" s="213"/>
      <c r="P1308" s="213"/>
      <c r="Q1308" s="213"/>
      <c r="R1308" s="213"/>
      <c r="S1308" s="213"/>
      <c r="T1308" s="213" t="s">
        <v>574</v>
      </c>
      <c r="U1308" s="213" t="s">
        <v>559</v>
      </c>
      <c r="V1308" s="213">
        <v>1</v>
      </c>
      <c r="W1308" s="213" t="s">
        <v>560</v>
      </c>
      <c r="X1308" s="213" t="s">
        <v>541</v>
      </c>
      <c r="Y1308" s="213" t="s">
        <v>541</v>
      </c>
      <c r="Z1308" s="212">
        <v>0</v>
      </c>
      <c r="AA1308" s="212">
        <v>0</v>
      </c>
      <c r="AB1308" s="217">
        <v>8.6909E-2</v>
      </c>
      <c r="AC1308" s="217">
        <v>0.13986599999999999</v>
      </c>
      <c r="AD1308" s="212">
        <f t="shared" si="20"/>
        <v>0</v>
      </c>
    </row>
    <row r="1309" spans="2:30" x14ac:dyDescent="0.15">
      <c r="B1309" s="213">
        <v>17031009438</v>
      </c>
      <c r="C1309" s="213">
        <v>17031000323</v>
      </c>
      <c r="D1309" s="213">
        <v>17031007544</v>
      </c>
      <c r="E1309" s="213" t="s">
        <v>533</v>
      </c>
      <c r="F1309" s="213" t="s">
        <v>534</v>
      </c>
      <c r="G1309" s="213" t="s">
        <v>365</v>
      </c>
      <c r="H1309" s="213" t="s">
        <v>552</v>
      </c>
      <c r="I1309" s="213"/>
      <c r="J1309" s="213"/>
      <c r="K1309" s="213"/>
      <c r="L1309" s="213"/>
      <c r="M1309" s="213"/>
      <c r="N1309" s="213"/>
      <c r="O1309" s="213"/>
      <c r="P1309" s="213"/>
      <c r="Q1309" s="213"/>
      <c r="R1309" s="213"/>
      <c r="S1309" s="213"/>
      <c r="T1309" s="213"/>
      <c r="U1309" s="213" t="s">
        <v>538</v>
      </c>
      <c r="V1309" s="213">
        <v>1</v>
      </c>
      <c r="W1309" s="213" t="s">
        <v>560</v>
      </c>
      <c r="X1309" s="213" t="s">
        <v>541</v>
      </c>
      <c r="Y1309" s="213" t="s">
        <v>541</v>
      </c>
      <c r="Z1309" s="212">
        <v>0</v>
      </c>
      <c r="AA1309" s="212">
        <v>0</v>
      </c>
      <c r="AB1309" s="217">
        <v>7.0014000000000007E-2</v>
      </c>
      <c r="AC1309" s="217">
        <v>0.112677</v>
      </c>
      <c r="AD1309" s="212">
        <f t="shared" si="20"/>
        <v>0</v>
      </c>
    </row>
    <row r="1310" spans="2:30" x14ac:dyDescent="0.15">
      <c r="B1310" s="213">
        <v>17031009442</v>
      </c>
      <c r="C1310" s="213">
        <v>17031007546</v>
      </c>
      <c r="D1310" s="213">
        <v>17031000331</v>
      </c>
      <c r="E1310" s="213" t="s">
        <v>533</v>
      </c>
      <c r="F1310" s="213" t="s">
        <v>534</v>
      </c>
      <c r="G1310" s="213" t="s">
        <v>365</v>
      </c>
      <c r="H1310" s="213" t="s">
        <v>552</v>
      </c>
      <c r="I1310" s="213"/>
      <c r="J1310" s="213"/>
      <c r="K1310" s="213"/>
      <c r="L1310" s="213"/>
      <c r="M1310" s="213"/>
      <c r="N1310" s="213"/>
      <c r="O1310" s="213"/>
      <c r="P1310" s="213"/>
      <c r="Q1310" s="213"/>
      <c r="R1310" s="213"/>
      <c r="S1310" s="213" t="s">
        <v>589</v>
      </c>
      <c r="T1310" s="213"/>
      <c r="U1310" s="213" t="s">
        <v>538</v>
      </c>
      <c r="V1310" s="213">
        <v>1</v>
      </c>
      <c r="W1310" s="213" t="s">
        <v>560</v>
      </c>
      <c r="X1310" s="213" t="s">
        <v>541</v>
      </c>
      <c r="Y1310" s="213" t="s">
        <v>541</v>
      </c>
      <c r="Z1310" s="212">
        <v>0</v>
      </c>
      <c r="AA1310" s="212">
        <v>0</v>
      </c>
      <c r="AB1310" s="217">
        <v>6.5155000000000005E-2</v>
      </c>
      <c r="AC1310" s="217">
        <v>0.10485800000000001</v>
      </c>
      <c r="AD1310" s="212">
        <f t="shared" si="20"/>
        <v>0</v>
      </c>
    </row>
    <row r="1311" spans="2:30" x14ac:dyDescent="0.15">
      <c r="B1311" s="213">
        <v>17031009452</v>
      </c>
      <c r="C1311" s="213">
        <v>17031000351</v>
      </c>
      <c r="D1311" s="213">
        <v>17031007556</v>
      </c>
      <c r="E1311" s="213" t="s">
        <v>533</v>
      </c>
      <c r="F1311" s="213" t="s">
        <v>534</v>
      </c>
      <c r="G1311" s="213" t="s">
        <v>365</v>
      </c>
      <c r="H1311" s="213" t="s">
        <v>590</v>
      </c>
      <c r="I1311" s="213"/>
      <c r="J1311" s="213"/>
      <c r="K1311" s="213"/>
      <c r="L1311" s="213"/>
      <c r="M1311" s="213"/>
      <c r="N1311" s="213"/>
      <c r="O1311" s="213"/>
      <c r="P1311" s="213"/>
      <c r="Q1311" s="213"/>
      <c r="R1311" s="213"/>
      <c r="S1311" s="213"/>
      <c r="T1311" s="213"/>
      <c r="U1311" s="213" t="s">
        <v>559</v>
      </c>
      <c r="V1311" s="213">
        <v>1</v>
      </c>
      <c r="W1311" s="213" t="s">
        <v>560</v>
      </c>
      <c r="X1311" s="213" t="s">
        <v>541</v>
      </c>
      <c r="Y1311" s="213" t="s">
        <v>541</v>
      </c>
      <c r="Z1311" s="212">
        <v>0</v>
      </c>
      <c r="AA1311" s="212">
        <v>0</v>
      </c>
      <c r="AB1311" s="217">
        <v>3.5792999999999998E-2</v>
      </c>
      <c r="AC1311" s="217">
        <v>5.7604000000000002E-2</v>
      </c>
      <c r="AD1311" s="212">
        <f t="shared" si="20"/>
        <v>0</v>
      </c>
    </row>
    <row r="1312" spans="2:30" x14ac:dyDescent="0.15">
      <c r="B1312" s="213">
        <v>17031009453</v>
      </c>
      <c r="C1312" s="213">
        <v>17031007557</v>
      </c>
      <c r="D1312" s="213">
        <v>17031000354</v>
      </c>
      <c r="E1312" s="213" t="s">
        <v>533</v>
      </c>
      <c r="F1312" s="213" t="s">
        <v>534</v>
      </c>
      <c r="G1312" s="213" t="s">
        <v>365</v>
      </c>
      <c r="H1312" s="213" t="s">
        <v>590</v>
      </c>
      <c r="I1312" s="213"/>
      <c r="J1312" s="213"/>
      <c r="K1312" s="213"/>
      <c r="L1312" s="213"/>
      <c r="M1312" s="213"/>
      <c r="N1312" s="213"/>
      <c r="O1312" s="213"/>
      <c r="P1312" s="213"/>
      <c r="Q1312" s="213"/>
      <c r="R1312" s="213"/>
      <c r="S1312" s="213"/>
      <c r="T1312" s="213"/>
      <c r="U1312" s="213" t="s">
        <v>559</v>
      </c>
      <c r="V1312" s="213">
        <v>1</v>
      </c>
      <c r="W1312" s="213" t="s">
        <v>560</v>
      </c>
      <c r="X1312" s="213" t="s">
        <v>541</v>
      </c>
      <c r="Y1312" s="213" t="s">
        <v>541</v>
      </c>
      <c r="Z1312" s="212">
        <v>0</v>
      </c>
      <c r="AA1312" s="212">
        <v>0</v>
      </c>
      <c r="AB1312" s="217">
        <v>0.48377900000000001</v>
      </c>
      <c r="AC1312" s="217">
        <v>0.77856899999999996</v>
      </c>
      <c r="AD1312" s="212">
        <f t="shared" si="20"/>
        <v>0</v>
      </c>
    </row>
    <row r="1313" spans="2:30" x14ac:dyDescent="0.15">
      <c r="B1313" s="213">
        <v>17031009489</v>
      </c>
      <c r="C1313" s="213">
        <v>17031007586</v>
      </c>
      <c r="D1313" s="213">
        <v>17031007589</v>
      </c>
      <c r="E1313" s="213" t="s">
        <v>533</v>
      </c>
      <c r="F1313" s="213" t="s">
        <v>534</v>
      </c>
      <c r="G1313" s="213" t="s">
        <v>365</v>
      </c>
      <c r="H1313" s="213" t="s">
        <v>535</v>
      </c>
      <c r="I1313" s="213"/>
      <c r="J1313" s="213" t="s">
        <v>547</v>
      </c>
      <c r="K1313" s="213"/>
      <c r="L1313" s="213"/>
      <c r="M1313" s="213"/>
      <c r="N1313" s="213"/>
      <c r="O1313" s="213"/>
      <c r="P1313" s="213"/>
      <c r="Q1313" s="213"/>
      <c r="R1313" s="213"/>
      <c r="S1313" s="213" t="s">
        <v>548</v>
      </c>
      <c r="T1313" s="213"/>
      <c r="U1313" s="213" t="s">
        <v>538</v>
      </c>
      <c r="V1313" s="213">
        <v>2</v>
      </c>
      <c r="W1313" s="213" t="s">
        <v>545</v>
      </c>
      <c r="X1313" s="213" t="s">
        <v>549</v>
      </c>
      <c r="Y1313" s="213" t="s">
        <v>546</v>
      </c>
      <c r="Z1313" s="212">
        <v>662357</v>
      </c>
      <c r="AA1313" s="212">
        <v>30359562</v>
      </c>
      <c r="AB1313" s="217">
        <v>0.55068899999999998</v>
      </c>
      <c r="AC1313" s="217">
        <v>0.88625100000000001</v>
      </c>
      <c r="AD1313" s="212">
        <f t="shared" si="20"/>
        <v>16718676.838218</v>
      </c>
    </row>
    <row r="1314" spans="2:30" x14ac:dyDescent="0.15">
      <c r="B1314" s="213">
        <v>17031009513</v>
      </c>
      <c r="C1314" s="213">
        <v>17031004708</v>
      </c>
      <c r="D1314" s="213">
        <v>17031007611</v>
      </c>
      <c r="E1314" s="213" t="s">
        <v>533</v>
      </c>
      <c r="F1314" s="213" t="s">
        <v>534</v>
      </c>
      <c r="G1314" s="213" t="s">
        <v>365</v>
      </c>
      <c r="H1314" s="213" t="s">
        <v>535</v>
      </c>
      <c r="I1314" s="213"/>
      <c r="J1314" s="213" t="s">
        <v>382</v>
      </c>
      <c r="K1314" s="213" t="s">
        <v>536</v>
      </c>
      <c r="L1314" s="213"/>
      <c r="M1314" s="213"/>
      <c r="N1314" s="213"/>
      <c r="O1314" s="213"/>
      <c r="P1314" s="213"/>
      <c r="Q1314" s="213"/>
      <c r="R1314" s="213"/>
      <c r="S1314" s="213" t="s">
        <v>537</v>
      </c>
      <c r="T1314" s="213"/>
      <c r="U1314" s="213" t="s">
        <v>538</v>
      </c>
      <c r="V1314" s="213">
        <v>1</v>
      </c>
      <c r="W1314" s="213" t="s">
        <v>545</v>
      </c>
      <c r="X1314" s="213" t="s">
        <v>549</v>
      </c>
      <c r="Y1314" s="213" t="s">
        <v>540</v>
      </c>
      <c r="Z1314" s="212">
        <v>26869</v>
      </c>
      <c r="AA1314" s="212">
        <v>2438308</v>
      </c>
      <c r="AB1314" s="217">
        <v>1.289723</v>
      </c>
      <c r="AC1314" s="217">
        <v>2.075612</v>
      </c>
      <c r="AD1314" s="212">
        <f t="shared" si="20"/>
        <v>3144741.9086839999</v>
      </c>
    </row>
    <row r="1315" spans="2:30" x14ac:dyDescent="0.15">
      <c r="B1315" s="213">
        <v>17031009515</v>
      </c>
      <c r="C1315" s="213">
        <v>17031007613</v>
      </c>
      <c r="D1315" s="213">
        <v>17031007615</v>
      </c>
      <c r="E1315" s="213" t="s">
        <v>533</v>
      </c>
      <c r="F1315" s="213" t="s">
        <v>534</v>
      </c>
      <c r="G1315" s="213" t="s">
        <v>365</v>
      </c>
      <c r="H1315" s="213" t="s">
        <v>535</v>
      </c>
      <c r="I1315" s="213"/>
      <c r="J1315" s="213" t="s">
        <v>382</v>
      </c>
      <c r="K1315" s="213" t="s">
        <v>536</v>
      </c>
      <c r="L1315" s="213"/>
      <c r="M1315" s="213"/>
      <c r="N1315" s="213"/>
      <c r="O1315" s="213"/>
      <c r="P1315" s="213"/>
      <c r="Q1315" s="213"/>
      <c r="R1315" s="213"/>
      <c r="S1315" s="213" t="s">
        <v>537</v>
      </c>
      <c r="T1315" s="213"/>
      <c r="U1315" s="213" t="s">
        <v>538</v>
      </c>
      <c r="V1315" s="213">
        <v>2</v>
      </c>
      <c r="W1315" s="213" t="s">
        <v>582</v>
      </c>
      <c r="X1315" s="213" t="s">
        <v>549</v>
      </c>
      <c r="Y1315" s="213" t="s">
        <v>540</v>
      </c>
      <c r="Z1315" s="212">
        <v>3620</v>
      </c>
      <c r="AA1315" s="212">
        <v>328320</v>
      </c>
      <c r="AB1315" s="217">
        <v>0.468302</v>
      </c>
      <c r="AC1315" s="217">
        <v>0.75366</v>
      </c>
      <c r="AD1315" s="212">
        <f t="shared" si="20"/>
        <v>153752.91264</v>
      </c>
    </row>
    <row r="1316" spans="2:30" x14ac:dyDescent="0.15">
      <c r="B1316" s="213">
        <v>17031009528</v>
      </c>
      <c r="C1316" s="213">
        <v>17031001561</v>
      </c>
      <c r="D1316" s="213">
        <v>17031007626</v>
      </c>
      <c r="E1316" s="213" t="s">
        <v>533</v>
      </c>
      <c r="F1316" s="213" t="s">
        <v>534</v>
      </c>
      <c r="G1316" s="213" t="s">
        <v>365</v>
      </c>
      <c r="H1316" s="213" t="s">
        <v>382</v>
      </c>
      <c r="I1316" s="213"/>
      <c r="J1316" s="213"/>
      <c r="K1316" s="213"/>
      <c r="L1316" s="213"/>
      <c r="M1316" s="213"/>
      <c r="N1316" s="213"/>
      <c r="O1316" s="213"/>
      <c r="P1316" s="213"/>
      <c r="Q1316" s="213"/>
      <c r="R1316" s="213"/>
      <c r="S1316" s="213" t="s">
        <v>576</v>
      </c>
      <c r="T1316" s="213"/>
      <c r="U1316" s="213" t="s">
        <v>559</v>
      </c>
      <c r="V1316" s="213">
        <v>1</v>
      </c>
      <c r="W1316" s="213" t="s">
        <v>560</v>
      </c>
      <c r="X1316" s="213" t="s">
        <v>541</v>
      </c>
      <c r="Y1316" s="213" t="s">
        <v>541</v>
      </c>
      <c r="Z1316" s="212">
        <v>0</v>
      </c>
      <c r="AA1316" s="212">
        <v>0</v>
      </c>
      <c r="AB1316" s="217">
        <v>3.2427999999999998E-2</v>
      </c>
      <c r="AC1316" s="217">
        <v>5.2187999999999998E-2</v>
      </c>
      <c r="AD1316" s="212">
        <f t="shared" si="20"/>
        <v>0</v>
      </c>
    </row>
    <row r="1317" spans="2:30" x14ac:dyDescent="0.15">
      <c r="B1317" s="213">
        <v>17031009545</v>
      </c>
      <c r="C1317" s="213">
        <v>17031007641</v>
      </c>
      <c r="D1317" s="213">
        <v>17031001562</v>
      </c>
      <c r="E1317" s="213" t="s">
        <v>533</v>
      </c>
      <c r="F1317" s="213" t="s">
        <v>534</v>
      </c>
      <c r="G1317" s="213" t="s">
        <v>365</v>
      </c>
      <c r="H1317" s="213" t="s">
        <v>535</v>
      </c>
      <c r="I1317" s="213"/>
      <c r="J1317" s="213" t="s">
        <v>382</v>
      </c>
      <c r="K1317" s="213" t="s">
        <v>536</v>
      </c>
      <c r="L1317" s="213"/>
      <c r="M1317" s="213"/>
      <c r="N1317" s="213"/>
      <c r="O1317" s="213"/>
      <c r="P1317" s="213"/>
      <c r="Q1317" s="213"/>
      <c r="R1317" s="213"/>
      <c r="S1317" s="213" t="s">
        <v>537</v>
      </c>
      <c r="T1317" s="213"/>
      <c r="U1317" s="213" t="s">
        <v>538</v>
      </c>
      <c r="V1317" s="213">
        <v>2</v>
      </c>
      <c r="W1317" s="213" t="s">
        <v>582</v>
      </c>
      <c r="X1317" s="213" t="s">
        <v>549</v>
      </c>
      <c r="Y1317" s="213" t="s">
        <v>540</v>
      </c>
      <c r="Z1317" s="212">
        <v>3276</v>
      </c>
      <c r="AA1317" s="212">
        <v>276324</v>
      </c>
      <c r="AB1317" s="217">
        <v>0.99671699999999996</v>
      </c>
      <c r="AC1317" s="217">
        <v>1.6040639999999999</v>
      </c>
      <c r="AD1317" s="212">
        <f t="shared" si="20"/>
        <v>275416.828308</v>
      </c>
    </row>
    <row r="1318" spans="2:30" x14ac:dyDescent="0.15">
      <c r="B1318" s="213">
        <v>17031009580</v>
      </c>
      <c r="C1318" s="213">
        <v>17031004684</v>
      </c>
      <c r="D1318" s="213">
        <v>17031007670</v>
      </c>
      <c r="E1318" s="213" t="s">
        <v>533</v>
      </c>
      <c r="F1318" s="213" t="s">
        <v>534</v>
      </c>
      <c r="G1318" s="213" t="s">
        <v>365</v>
      </c>
      <c r="H1318" s="213" t="s">
        <v>547</v>
      </c>
      <c r="I1318" s="213"/>
      <c r="J1318" s="213" t="s">
        <v>543</v>
      </c>
      <c r="K1318" s="213"/>
      <c r="L1318" s="213"/>
      <c r="M1318" s="213"/>
      <c r="N1318" s="213"/>
      <c r="O1318" s="213"/>
      <c r="P1318" s="213"/>
      <c r="Q1318" s="213"/>
      <c r="R1318" s="213"/>
      <c r="S1318" s="213" t="s">
        <v>602</v>
      </c>
      <c r="T1318" s="213"/>
      <c r="U1318" s="213" t="s">
        <v>538</v>
      </c>
      <c r="V1318" s="213">
        <v>2</v>
      </c>
      <c r="W1318" s="213" t="s">
        <v>582</v>
      </c>
      <c r="X1318" s="213" t="s">
        <v>540</v>
      </c>
      <c r="Y1318" s="213" t="s">
        <v>541</v>
      </c>
      <c r="Z1318" s="212">
        <v>480</v>
      </c>
      <c r="AA1318" s="212">
        <v>35280</v>
      </c>
      <c r="AB1318" s="217">
        <v>0.310695</v>
      </c>
      <c r="AC1318" s="217">
        <v>0.50001700000000004</v>
      </c>
      <c r="AD1318" s="212">
        <f t="shared" si="20"/>
        <v>10961.319600000001</v>
      </c>
    </row>
    <row r="1319" spans="2:30" x14ac:dyDescent="0.15">
      <c r="B1319" s="213">
        <v>17031009617</v>
      </c>
      <c r="C1319" s="213">
        <v>17031007705</v>
      </c>
      <c r="D1319" s="213">
        <v>17031000916</v>
      </c>
      <c r="E1319" s="213" t="s">
        <v>533</v>
      </c>
      <c r="F1319" s="213" t="s">
        <v>534</v>
      </c>
      <c r="G1319" s="213" t="s">
        <v>365</v>
      </c>
      <c r="H1319" s="213" t="s">
        <v>535</v>
      </c>
      <c r="I1319" s="213"/>
      <c r="J1319" s="213" t="s">
        <v>542</v>
      </c>
      <c r="K1319" s="213" t="s">
        <v>572</v>
      </c>
      <c r="L1319" s="213" t="s">
        <v>547</v>
      </c>
      <c r="M1319" s="213" t="s">
        <v>382</v>
      </c>
      <c r="N1319" s="213"/>
      <c r="O1319" s="213"/>
      <c r="P1319" s="213"/>
      <c r="Q1319" s="213"/>
      <c r="R1319" s="213"/>
      <c r="S1319" s="213" t="s">
        <v>601</v>
      </c>
      <c r="T1319" s="213"/>
      <c r="U1319" s="213" t="s">
        <v>538</v>
      </c>
      <c r="V1319" s="213">
        <v>2</v>
      </c>
      <c r="W1319" s="213" t="s">
        <v>545</v>
      </c>
      <c r="X1319" s="213" t="s">
        <v>549</v>
      </c>
      <c r="Y1319" s="213" t="s">
        <v>540</v>
      </c>
      <c r="Z1319" s="212">
        <v>421038</v>
      </c>
      <c r="AA1319" s="212">
        <v>6627039</v>
      </c>
      <c r="AB1319" s="217">
        <v>2.7733000000000001E-2</v>
      </c>
      <c r="AC1319" s="217">
        <v>4.4631999999999998E-2</v>
      </c>
      <c r="AD1319" s="212">
        <f t="shared" si="20"/>
        <v>183787.67258700001</v>
      </c>
    </row>
    <row r="1320" spans="2:30" x14ac:dyDescent="0.15">
      <c r="B1320" s="213">
        <v>17031009660</v>
      </c>
      <c r="C1320" s="213">
        <v>17031007743</v>
      </c>
      <c r="D1320" s="213">
        <v>17031007741</v>
      </c>
      <c r="E1320" s="213" t="s">
        <v>533</v>
      </c>
      <c r="F1320" s="213" t="s">
        <v>534</v>
      </c>
      <c r="G1320" s="213" t="s">
        <v>365</v>
      </c>
      <c r="H1320" s="213" t="s">
        <v>557</v>
      </c>
      <c r="I1320" s="213"/>
      <c r="J1320" s="213" t="s">
        <v>381</v>
      </c>
      <c r="K1320" s="213" t="s">
        <v>535</v>
      </c>
      <c r="L1320" s="213" t="s">
        <v>552</v>
      </c>
      <c r="M1320" s="213" t="s">
        <v>551</v>
      </c>
      <c r="N1320" s="213" t="s">
        <v>543</v>
      </c>
      <c r="O1320" s="213" t="s">
        <v>382</v>
      </c>
      <c r="P1320" s="213"/>
      <c r="Q1320" s="213"/>
      <c r="R1320" s="213"/>
      <c r="S1320" s="213" t="s">
        <v>570</v>
      </c>
      <c r="T1320" s="213"/>
      <c r="U1320" s="213" t="s">
        <v>538</v>
      </c>
      <c r="V1320" s="213">
        <v>2</v>
      </c>
      <c r="W1320" s="213" t="s">
        <v>545</v>
      </c>
      <c r="X1320" s="213" t="s">
        <v>540</v>
      </c>
      <c r="Y1320" s="213" t="s">
        <v>575</v>
      </c>
      <c r="Z1320" s="212">
        <v>1939143</v>
      </c>
      <c r="AA1320" s="212">
        <v>84423379</v>
      </c>
      <c r="AB1320" s="217">
        <v>0.33642699999999998</v>
      </c>
      <c r="AC1320" s="217">
        <v>0.54142699999999999</v>
      </c>
      <c r="AD1320" s="212">
        <f t="shared" si="20"/>
        <v>28402304.126832999</v>
      </c>
    </row>
    <row r="1321" spans="2:30" x14ac:dyDescent="0.15">
      <c r="B1321" s="213">
        <v>17031009662</v>
      </c>
      <c r="C1321" s="213">
        <v>17031007745</v>
      </c>
      <c r="D1321" s="213">
        <v>17031007743</v>
      </c>
      <c r="E1321" s="213" t="s">
        <v>533</v>
      </c>
      <c r="F1321" s="213" t="s">
        <v>534</v>
      </c>
      <c r="G1321" s="213" t="s">
        <v>365</v>
      </c>
      <c r="H1321" s="213" t="s">
        <v>557</v>
      </c>
      <c r="I1321" s="213"/>
      <c r="J1321" s="213" t="s">
        <v>381</v>
      </c>
      <c r="K1321" s="213" t="s">
        <v>535</v>
      </c>
      <c r="L1321" s="213" t="s">
        <v>552</v>
      </c>
      <c r="M1321" s="213" t="s">
        <v>551</v>
      </c>
      <c r="N1321" s="213" t="s">
        <v>543</v>
      </c>
      <c r="O1321" s="213" t="s">
        <v>382</v>
      </c>
      <c r="P1321" s="213"/>
      <c r="Q1321" s="213"/>
      <c r="R1321" s="213"/>
      <c r="S1321" s="213" t="s">
        <v>570</v>
      </c>
      <c r="T1321" s="213"/>
      <c r="U1321" s="213" t="s">
        <v>538</v>
      </c>
      <c r="V1321" s="213">
        <v>2</v>
      </c>
      <c r="W1321" s="213" t="s">
        <v>545</v>
      </c>
      <c r="X1321" s="213" t="s">
        <v>540</v>
      </c>
      <c r="Y1321" s="213" t="s">
        <v>575</v>
      </c>
      <c r="Z1321" s="212">
        <v>1939143</v>
      </c>
      <c r="AA1321" s="212">
        <v>84423379</v>
      </c>
      <c r="AB1321" s="217">
        <v>0.48234300000000002</v>
      </c>
      <c r="AC1321" s="217">
        <v>0.77625699999999997</v>
      </c>
      <c r="AD1321" s="212">
        <f t="shared" si="20"/>
        <v>40721025.896997005</v>
      </c>
    </row>
    <row r="1322" spans="2:30" x14ac:dyDescent="0.15">
      <c r="B1322" s="213">
        <v>17031009664</v>
      </c>
      <c r="C1322" s="213">
        <v>17031007741</v>
      </c>
      <c r="D1322" s="213">
        <v>17031007747</v>
      </c>
      <c r="E1322" s="213" t="s">
        <v>533</v>
      </c>
      <c r="F1322" s="213" t="s">
        <v>534</v>
      </c>
      <c r="G1322" s="213" t="s">
        <v>365</v>
      </c>
      <c r="H1322" s="213" t="s">
        <v>557</v>
      </c>
      <c r="I1322" s="213"/>
      <c r="J1322" s="213" t="s">
        <v>381</v>
      </c>
      <c r="K1322" s="213" t="s">
        <v>535</v>
      </c>
      <c r="L1322" s="213" t="s">
        <v>552</v>
      </c>
      <c r="M1322" s="213" t="s">
        <v>551</v>
      </c>
      <c r="N1322" s="213" t="s">
        <v>543</v>
      </c>
      <c r="O1322" s="213" t="s">
        <v>382</v>
      </c>
      <c r="P1322" s="213"/>
      <c r="Q1322" s="213"/>
      <c r="R1322" s="213"/>
      <c r="S1322" s="213" t="s">
        <v>570</v>
      </c>
      <c r="T1322" s="213"/>
      <c r="U1322" s="213" t="s">
        <v>538</v>
      </c>
      <c r="V1322" s="213">
        <v>2</v>
      </c>
      <c r="W1322" s="213" t="s">
        <v>545</v>
      </c>
      <c r="X1322" s="213" t="s">
        <v>540</v>
      </c>
      <c r="Y1322" s="213" t="s">
        <v>575</v>
      </c>
      <c r="Z1322" s="212">
        <v>1939143</v>
      </c>
      <c r="AA1322" s="212">
        <v>84423379</v>
      </c>
      <c r="AB1322" s="217">
        <v>0.44909300000000002</v>
      </c>
      <c r="AC1322" s="217">
        <v>0.722746</v>
      </c>
      <c r="AD1322" s="212">
        <f t="shared" si="20"/>
        <v>37913948.545247003</v>
      </c>
    </row>
    <row r="1323" spans="2:30" x14ac:dyDescent="0.15">
      <c r="B1323" s="213">
        <v>17031009688</v>
      </c>
      <c r="C1323" s="213">
        <v>17031000881</v>
      </c>
      <c r="D1323" s="213">
        <v>17031007771</v>
      </c>
      <c r="E1323" s="213" t="s">
        <v>533</v>
      </c>
      <c r="F1323" s="213" t="s">
        <v>534</v>
      </c>
      <c r="G1323" s="213" t="s">
        <v>365</v>
      </c>
      <c r="H1323" s="213" t="s">
        <v>557</v>
      </c>
      <c r="I1323" s="213"/>
      <c r="J1323" s="213" t="s">
        <v>381</v>
      </c>
      <c r="K1323" s="213" t="s">
        <v>535</v>
      </c>
      <c r="L1323" s="213" t="s">
        <v>552</v>
      </c>
      <c r="M1323" s="213" t="s">
        <v>543</v>
      </c>
      <c r="N1323" s="213" t="s">
        <v>382</v>
      </c>
      <c r="O1323" s="213"/>
      <c r="P1323" s="213"/>
      <c r="Q1323" s="213"/>
      <c r="R1323" s="213"/>
      <c r="S1323" s="213" t="s">
        <v>570</v>
      </c>
      <c r="T1323" s="213"/>
      <c r="U1323" s="213" t="s">
        <v>538</v>
      </c>
      <c r="V1323" s="213">
        <v>2</v>
      </c>
      <c r="W1323" s="213" t="s">
        <v>545</v>
      </c>
      <c r="X1323" s="213" t="s">
        <v>540</v>
      </c>
      <c r="Y1323" s="213" t="s">
        <v>580</v>
      </c>
      <c r="Z1323" s="212">
        <v>1930293</v>
      </c>
      <c r="AA1323" s="212">
        <v>80562683</v>
      </c>
      <c r="AB1323" s="217">
        <v>1.128158</v>
      </c>
      <c r="AC1323" s="217">
        <v>1.815598</v>
      </c>
      <c r="AD1323" s="212">
        <f t="shared" si="20"/>
        <v>90887435.327914</v>
      </c>
    </row>
    <row r="1324" spans="2:30" x14ac:dyDescent="0.15">
      <c r="B1324" s="213">
        <v>17031009716</v>
      </c>
      <c r="C1324" s="213">
        <v>17031000986</v>
      </c>
      <c r="D1324" s="213">
        <v>17031007797</v>
      </c>
      <c r="E1324" s="213" t="s">
        <v>533</v>
      </c>
      <c r="F1324" s="213" t="s">
        <v>534</v>
      </c>
      <c r="G1324" s="213" t="s">
        <v>365</v>
      </c>
      <c r="H1324" s="213" t="s">
        <v>557</v>
      </c>
      <c r="I1324" s="213"/>
      <c r="J1324" s="213" t="s">
        <v>381</v>
      </c>
      <c r="K1324" s="213" t="s">
        <v>535</v>
      </c>
      <c r="L1324" s="213" t="s">
        <v>552</v>
      </c>
      <c r="M1324" s="213" t="s">
        <v>551</v>
      </c>
      <c r="N1324" s="213" t="s">
        <v>543</v>
      </c>
      <c r="O1324" s="213" t="s">
        <v>382</v>
      </c>
      <c r="P1324" s="213"/>
      <c r="Q1324" s="213"/>
      <c r="R1324" s="213"/>
      <c r="S1324" s="213" t="s">
        <v>570</v>
      </c>
      <c r="T1324" s="213"/>
      <c r="U1324" s="213" t="s">
        <v>538</v>
      </c>
      <c r="V1324" s="213">
        <v>2</v>
      </c>
      <c r="W1324" s="213" t="s">
        <v>545</v>
      </c>
      <c r="X1324" s="213" t="s">
        <v>540</v>
      </c>
      <c r="Y1324" s="213" t="s">
        <v>575</v>
      </c>
      <c r="Z1324" s="212">
        <v>1872851</v>
      </c>
      <c r="AA1324" s="212">
        <v>81125139</v>
      </c>
      <c r="AB1324" s="217">
        <v>6.5186999999999995E-2</v>
      </c>
      <c r="AC1324" s="217">
        <v>0.104908</v>
      </c>
      <c r="AD1324" s="212">
        <f t="shared" si="20"/>
        <v>5288304.4359929999</v>
      </c>
    </row>
    <row r="1325" spans="2:30" x14ac:dyDescent="0.15">
      <c r="B1325" s="213">
        <v>17031009727</v>
      </c>
      <c r="C1325" s="213">
        <v>17031007810</v>
      </c>
      <c r="D1325" s="213">
        <v>17031001267</v>
      </c>
      <c r="E1325" s="213" t="s">
        <v>533</v>
      </c>
      <c r="F1325" s="213" t="s">
        <v>534</v>
      </c>
      <c r="G1325" s="213" t="s">
        <v>365</v>
      </c>
      <c r="H1325" s="213" t="s">
        <v>613</v>
      </c>
      <c r="I1325" s="213"/>
      <c r="J1325" s="213" t="s">
        <v>577</v>
      </c>
      <c r="K1325" s="213" t="s">
        <v>572</v>
      </c>
      <c r="L1325" s="213"/>
      <c r="M1325" s="213"/>
      <c r="N1325" s="213"/>
      <c r="O1325" s="213"/>
      <c r="P1325" s="213"/>
      <c r="Q1325" s="213"/>
      <c r="R1325" s="213"/>
      <c r="S1325" s="213"/>
      <c r="T1325" s="213"/>
      <c r="U1325" s="213" t="s">
        <v>559</v>
      </c>
      <c r="V1325" s="213">
        <v>1</v>
      </c>
      <c r="W1325" s="213" t="s">
        <v>560</v>
      </c>
      <c r="X1325" s="213" t="s">
        <v>541</v>
      </c>
      <c r="Y1325" s="213" t="s">
        <v>541</v>
      </c>
      <c r="Z1325" s="212">
        <v>0</v>
      </c>
      <c r="AA1325" s="212">
        <v>0</v>
      </c>
      <c r="AB1325" s="217">
        <v>2.4060000000000002E-2</v>
      </c>
      <c r="AC1325" s="217">
        <v>3.8720999999999998E-2</v>
      </c>
      <c r="AD1325" s="212">
        <f t="shared" si="20"/>
        <v>0</v>
      </c>
    </row>
    <row r="1326" spans="2:30" x14ac:dyDescent="0.15">
      <c r="B1326" s="213">
        <v>17031009830</v>
      </c>
      <c r="C1326" s="213">
        <v>17031001558</v>
      </c>
      <c r="D1326" s="213">
        <v>17031007899</v>
      </c>
      <c r="E1326" s="213" t="s">
        <v>533</v>
      </c>
      <c r="F1326" s="213" t="s">
        <v>534</v>
      </c>
      <c r="G1326" s="213" t="s">
        <v>365</v>
      </c>
      <c r="H1326" s="213" t="s">
        <v>535</v>
      </c>
      <c r="I1326" s="213"/>
      <c r="J1326" s="213" t="s">
        <v>542</v>
      </c>
      <c r="K1326" s="213" t="s">
        <v>543</v>
      </c>
      <c r="L1326" s="213" t="s">
        <v>382</v>
      </c>
      <c r="M1326" s="213"/>
      <c r="N1326" s="213"/>
      <c r="O1326" s="213"/>
      <c r="P1326" s="213"/>
      <c r="Q1326" s="213"/>
      <c r="R1326" s="213"/>
      <c r="S1326" s="213" t="s">
        <v>544</v>
      </c>
      <c r="T1326" s="213"/>
      <c r="U1326" s="213" t="s">
        <v>538</v>
      </c>
      <c r="V1326" s="213">
        <v>2</v>
      </c>
      <c r="W1326" s="213" t="s">
        <v>545</v>
      </c>
      <c r="X1326" s="213" t="s">
        <v>540</v>
      </c>
      <c r="Y1326" s="213" t="s">
        <v>546</v>
      </c>
      <c r="Z1326" s="212">
        <v>382973</v>
      </c>
      <c r="AA1326" s="212">
        <v>19987551</v>
      </c>
      <c r="AB1326" s="217">
        <v>0.16717799999999999</v>
      </c>
      <c r="AC1326" s="217">
        <v>0.26904699999999998</v>
      </c>
      <c r="AD1326" s="212">
        <f t="shared" si="20"/>
        <v>3341478.8010779996</v>
      </c>
    </row>
    <row r="1327" spans="2:30" x14ac:dyDescent="0.15">
      <c r="B1327" s="213">
        <v>17031009832</v>
      </c>
      <c r="C1327" s="213">
        <v>17031007899</v>
      </c>
      <c r="D1327" s="213">
        <v>17031007900</v>
      </c>
      <c r="E1327" s="213" t="s">
        <v>533</v>
      </c>
      <c r="F1327" s="213" t="s">
        <v>534</v>
      </c>
      <c r="G1327" s="213" t="s">
        <v>365</v>
      </c>
      <c r="H1327" s="213" t="s">
        <v>535</v>
      </c>
      <c r="I1327" s="213"/>
      <c r="J1327" s="213" t="s">
        <v>382</v>
      </c>
      <c r="K1327" s="213"/>
      <c r="L1327" s="213"/>
      <c r="M1327" s="213"/>
      <c r="N1327" s="213"/>
      <c r="O1327" s="213"/>
      <c r="P1327" s="213"/>
      <c r="Q1327" s="213"/>
      <c r="R1327" s="213"/>
      <c r="S1327" s="213"/>
      <c r="T1327" s="213"/>
      <c r="U1327" s="213" t="s">
        <v>538</v>
      </c>
      <c r="V1327" s="213">
        <v>1</v>
      </c>
      <c r="W1327" s="213" t="s">
        <v>560</v>
      </c>
      <c r="X1327" s="213" t="s">
        <v>554</v>
      </c>
      <c r="Y1327" s="213" t="s">
        <v>554</v>
      </c>
      <c r="Z1327" s="212">
        <v>11824</v>
      </c>
      <c r="AA1327" s="212">
        <v>1035980</v>
      </c>
      <c r="AB1327" s="217">
        <v>0.145647</v>
      </c>
      <c r="AC1327" s="217">
        <v>0.23439599999999999</v>
      </c>
      <c r="AD1327" s="212">
        <f t="shared" si="20"/>
        <v>150887.37906000001</v>
      </c>
    </row>
    <row r="1328" spans="2:30" x14ac:dyDescent="0.15">
      <c r="B1328" s="213">
        <v>17031009836</v>
      </c>
      <c r="C1328" s="213">
        <v>17031007901</v>
      </c>
      <c r="D1328" s="213">
        <v>17031007902</v>
      </c>
      <c r="E1328" s="213" t="s">
        <v>533</v>
      </c>
      <c r="F1328" s="213" t="s">
        <v>534</v>
      </c>
      <c r="G1328" s="213" t="s">
        <v>365</v>
      </c>
      <c r="H1328" s="213" t="s">
        <v>535</v>
      </c>
      <c r="I1328" s="213"/>
      <c r="J1328" s="213" t="s">
        <v>382</v>
      </c>
      <c r="K1328" s="213" t="s">
        <v>536</v>
      </c>
      <c r="L1328" s="213"/>
      <c r="M1328" s="213"/>
      <c r="N1328" s="213"/>
      <c r="O1328" s="213"/>
      <c r="P1328" s="213"/>
      <c r="Q1328" s="213"/>
      <c r="R1328" s="213"/>
      <c r="S1328" s="213"/>
      <c r="T1328" s="213"/>
      <c r="U1328" s="213" t="s">
        <v>538</v>
      </c>
      <c r="V1328" s="213">
        <v>1</v>
      </c>
      <c r="W1328" s="213" t="s">
        <v>560</v>
      </c>
      <c r="X1328" s="213" t="s">
        <v>554</v>
      </c>
      <c r="Y1328" s="213" t="s">
        <v>554</v>
      </c>
      <c r="Z1328" s="212">
        <v>10204</v>
      </c>
      <c r="AA1328" s="212">
        <v>881300</v>
      </c>
      <c r="AB1328" s="217">
        <v>0.30457499999999998</v>
      </c>
      <c r="AC1328" s="217">
        <v>0.49016799999999999</v>
      </c>
      <c r="AD1328" s="212">
        <f t="shared" si="20"/>
        <v>268421.94750000001</v>
      </c>
    </row>
    <row r="1329" spans="2:30" x14ac:dyDescent="0.15">
      <c r="B1329" s="213">
        <v>17031009838</v>
      </c>
      <c r="C1329" s="213">
        <v>17031007908</v>
      </c>
      <c r="D1329" s="213">
        <v>17031001193</v>
      </c>
      <c r="E1329" s="213" t="s">
        <v>533</v>
      </c>
      <c r="F1329" s="213" t="s">
        <v>534</v>
      </c>
      <c r="G1329" s="213" t="s">
        <v>365</v>
      </c>
      <c r="H1329" s="213" t="s">
        <v>577</v>
      </c>
      <c r="I1329" s="213"/>
      <c r="J1329" s="213"/>
      <c r="K1329" s="213"/>
      <c r="L1329" s="213"/>
      <c r="M1329" s="213"/>
      <c r="N1329" s="213"/>
      <c r="O1329" s="213"/>
      <c r="P1329" s="213"/>
      <c r="Q1329" s="213"/>
      <c r="R1329" s="213"/>
      <c r="S1329" s="213"/>
      <c r="T1329" s="213"/>
      <c r="U1329" s="213" t="s">
        <v>538</v>
      </c>
      <c r="V1329" s="213">
        <v>1</v>
      </c>
      <c r="W1329" s="213" t="s">
        <v>560</v>
      </c>
      <c r="X1329" s="213" t="s">
        <v>541</v>
      </c>
      <c r="Y1329" s="213" t="s">
        <v>541</v>
      </c>
      <c r="Z1329" s="212">
        <v>0</v>
      </c>
      <c r="AA1329" s="212">
        <v>0</v>
      </c>
      <c r="AB1329" s="217">
        <v>0.17807400000000001</v>
      </c>
      <c r="AC1329" s="217">
        <v>0.28658299999999998</v>
      </c>
      <c r="AD1329" s="212">
        <f t="shared" si="20"/>
        <v>0</v>
      </c>
    </row>
    <row r="1330" spans="2:30" x14ac:dyDescent="0.15">
      <c r="B1330" s="213">
        <v>17031010208</v>
      </c>
      <c r="C1330" s="213">
        <v>17031008301</v>
      </c>
      <c r="D1330" s="213">
        <v>17031000448</v>
      </c>
      <c r="E1330" s="213" t="s">
        <v>533</v>
      </c>
      <c r="F1330" s="213" t="s">
        <v>534</v>
      </c>
      <c r="G1330" s="213" t="s">
        <v>365</v>
      </c>
      <c r="H1330" s="213" t="s">
        <v>382</v>
      </c>
      <c r="I1330" s="213"/>
      <c r="J1330" s="213"/>
      <c r="K1330" s="213"/>
      <c r="L1330" s="213"/>
      <c r="M1330" s="213"/>
      <c r="N1330" s="213"/>
      <c r="O1330" s="213"/>
      <c r="P1330" s="213"/>
      <c r="Q1330" s="213"/>
      <c r="R1330" s="213"/>
      <c r="S1330" s="213" t="s">
        <v>586</v>
      </c>
      <c r="T1330" s="213" t="s">
        <v>689</v>
      </c>
      <c r="U1330" s="213" t="s">
        <v>538</v>
      </c>
      <c r="V1330" s="213">
        <v>2</v>
      </c>
      <c r="W1330" s="213" t="s">
        <v>582</v>
      </c>
      <c r="X1330" s="213" t="s">
        <v>554</v>
      </c>
      <c r="Y1330" s="213" t="s">
        <v>549</v>
      </c>
      <c r="Z1330" s="212">
        <v>139565</v>
      </c>
      <c r="AA1330" s="212">
        <v>16043772</v>
      </c>
      <c r="AB1330" s="217">
        <v>6.7058000000000006E-2</v>
      </c>
      <c r="AC1330" s="217">
        <v>0.10792</v>
      </c>
      <c r="AD1330" s="212">
        <f t="shared" si="20"/>
        <v>1075863.2627760002</v>
      </c>
    </row>
    <row r="1331" spans="2:30" x14ac:dyDescent="0.15">
      <c r="B1331" s="213">
        <v>17031010209</v>
      </c>
      <c r="C1331" s="213">
        <v>17031008300</v>
      </c>
      <c r="D1331" s="213">
        <v>17031008301</v>
      </c>
      <c r="E1331" s="213" t="s">
        <v>533</v>
      </c>
      <c r="F1331" s="213" t="s">
        <v>534</v>
      </c>
      <c r="G1331" s="213" t="s">
        <v>365</v>
      </c>
      <c r="H1331" s="213" t="s">
        <v>382</v>
      </c>
      <c r="I1331" s="213"/>
      <c r="J1331" s="213"/>
      <c r="K1331" s="213"/>
      <c r="L1331" s="213"/>
      <c r="M1331" s="213"/>
      <c r="N1331" s="213"/>
      <c r="O1331" s="213"/>
      <c r="P1331" s="213"/>
      <c r="Q1331" s="213"/>
      <c r="R1331" s="213"/>
      <c r="S1331" s="213" t="s">
        <v>586</v>
      </c>
      <c r="T1331" s="213" t="s">
        <v>689</v>
      </c>
      <c r="U1331" s="213" t="s">
        <v>538</v>
      </c>
      <c r="V1331" s="213">
        <v>2</v>
      </c>
      <c r="W1331" s="213" t="s">
        <v>582</v>
      </c>
      <c r="X1331" s="213" t="s">
        <v>554</v>
      </c>
      <c r="Y1331" s="213" t="s">
        <v>549</v>
      </c>
      <c r="Z1331" s="212">
        <v>139565</v>
      </c>
      <c r="AA1331" s="212">
        <v>16043772</v>
      </c>
      <c r="AB1331" s="217">
        <v>0.101521</v>
      </c>
      <c r="AC1331" s="217">
        <v>0.163382</v>
      </c>
      <c r="AD1331" s="212">
        <f t="shared" si="20"/>
        <v>1628779.777212</v>
      </c>
    </row>
    <row r="1332" spans="2:30" x14ac:dyDescent="0.15">
      <c r="B1332" s="213">
        <v>17031010240</v>
      </c>
      <c r="C1332" s="213">
        <v>17999019985</v>
      </c>
      <c r="D1332" s="213">
        <v>17031007549</v>
      </c>
      <c r="E1332" s="213" t="s">
        <v>533</v>
      </c>
      <c r="F1332" s="213" t="s">
        <v>534</v>
      </c>
      <c r="G1332" s="213" t="s">
        <v>365</v>
      </c>
      <c r="H1332" s="213" t="s">
        <v>535</v>
      </c>
      <c r="I1332" s="213"/>
      <c r="J1332" s="213" t="s">
        <v>536</v>
      </c>
      <c r="K1332" s="213" t="s">
        <v>382</v>
      </c>
      <c r="L1332" s="213"/>
      <c r="M1332" s="213"/>
      <c r="N1332" s="213"/>
      <c r="O1332" s="213"/>
      <c r="P1332" s="213"/>
      <c r="Q1332" s="213"/>
      <c r="R1332" s="213"/>
      <c r="S1332" s="213" t="s">
        <v>550</v>
      </c>
      <c r="T1332" s="213"/>
      <c r="U1332" s="213" t="s">
        <v>538</v>
      </c>
      <c r="V1332" s="213">
        <v>1</v>
      </c>
      <c r="W1332" s="213" t="s">
        <v>545</v>
      </c>
      <c r="X1332" s="213" t="s">
        <v>549</v>
      </c>
      <c r="Y1332" s="213" t="s">
        <v>540</v>
      </c>
      <c r="Z1332" s="212">
        <v>30222</v>
      </c>
      <c r="AA1332" s="212">
        <v>2834112</v>
      </c>
      <c r="AB1332" s="217">
        <v>0.48236099999999998</v>
      </c>
      <c r="AC1332" s="217">
        <v>0.77628699999999995</v>
      </c>
      <c r="AD1332" s="212">
        <f t="shared" si="20"/>
        <v>1367065.098432</v>
      </c>
    </row>
    <row r="1333" spans="2:30" x14ac:dyDescent="0.15">
      <c r="B1333" s="213">
        <v>17043002205</v>
      </c>
      <c r="C1333" s="213">
        <v>17043004773</v>
      </c>
      <c r="D1333" s="213">
        <v>17999019947</v>
      </c>
      <c r="E1333" s="213" t="s">
        <v>533</v>
      </c>
      <c r="F1333" s="213" t="s">
        <v>534</v>
      </c>
      <c r="G1333" s="213" t="s">
        <v>367</v>
      </c>
      <c r="H1333" s="213" t="s">
        <v>382</v>
      </c>
      <c r="I1333" s="213"/>
      <c r="J1333" s="213" t="s">
        <v>552</v>
      </c>
      <c r="K1333" s="213"/>
      <c r="L1333" s="213"/>
      <c r="M1333" s="213"/>
      <c r="N1333" s="213"/>
      <c r="O1333" s="213"/>
      <c r="P1333" s="213"/>
      <c r="Q1333" s="213"/>
      <c r="R1333" s="213"/>
      <c r="S1333" s="213" t="s">
        <v>586</v>
      </c>
      <c r="T1333" s="213"/>
      <c r="U1333" s="213" t="s">
        <v>538</v>
      </c>
      <c r="V1333" s="213">
        <v>2</v>
      </c>
      <c r="W1333" s="213" t="s">
        <v>582</v>
      </c>
      <c r="X1333" s="213" t="s">
        <v>549</v>
      </c>
      <c r="Y1333" s="213" t="s">
        <v>580</v>
      </c>
      <c r="Z1333" s="212">
        <v>640847</v>
      </c>
      <c r="AA1333" s="212">
        <v>50571432</v>
      </c>
      <c r="AB1333" s="217">
        <v>0.16269600000000001</v>
      </c>
      <c r="AC1333" s="217">
        <v>0.26183499999999998</v>
      </c>
      <c r="AD1333" s="212">
        <f t="shared" si="20"/>
        <v>8227769.7006720006</v>
      </c>
    </row>
    <row r="1334" spans="2:30" x14ac:dyDescent="0.15">
      <c r="B1334" s="213">
        <v>17043002229</v>
      </c>
      <c r="C1334" s="213">
        <v>17043000367</v>
      </c>
      <c r="D1334" s="213">
        <v>17043004769</v>
      </c>
      <c r="E1334" s="213" t="s">
        <v>533</v>
      </c>
      <c r="F1334" s="213" t="s">
        <v>534</v>
      </c>
      <c r="G1334" s="213" t="s">
        <v>367</v>
      </c>
      <c r="H1334" s="213" t="s">
        <v>552</v>
      </c>
      <c r="I1334" s="213"/>
      <c r="J1334" s="213" t="s">
        <v>547</v>
      </c>
      <c r="K1334" s="213"/>
      <c r="L1334" s="213"/>
      <c r="M1334" s="213"/>
      <c r="N1334" s="213"/>
      <c r="O1334" s="213"/>
      <c r="P1334" s="213"/>
      <c r="Q1334" s="213"/>
      <c r="R1334" s="213"/>
      <c r="S1334" s="213" t="s">
        <v>589</v>
      </c>
      <c r="T1334" s="213"/>
      <c r="U1334" s="213" t="s">
        <v>538</v>
      </c>
      <c r="V1334" s="213">
        <v>2</v>
      </c>
      <c r="W1334" s="213" t="s">
        <v>545</v>
      </c>
      <c r="X1334" s="213" t="s">
        <v>549</v>
      </c>
      <c r="Y1334" s="213" t="s">
        <v>540</v>
      </c>
      <c r="Z1334" s="212">
        <v>63091</v>
      </c>
      <c r="AA1334" s="212">
        <v>6650748</v>
      </c>
      <c r="AB1334" s="217">
        <v>0.37988300000000003</v>
      </c>
      <c r="AC1334" s="217">
        <v>0.61136299999999999</v>
      </c>
      <c r="AD1334" s="212">
        <f t="shared" si="20"/>
        <v>2526506.1024840004</v>
      </c>
    </row>
    <row r="1335" spans="2:30" x14ac:dyDescent="0.15">
      <c r="B1335" s="213">
        <v>17043002231</v>
      </c>
      <c r="C1335" s="213">
        <v>17043000388</v>
      </c>
      <c r="D1335" s="213">
        <v>17043000385</v>
      </c>
      <c r="E1335" s="213" t="s">
        <v>533</v>
      </c>
      <c r="F1335" s="213" t="s">
        <v>534</v>
      </c>
      <c r="G1335" s="213" t="s">
        <v>367</v>
      </c>
      <c r="H1335" s="213" t="s">
        <v>552</v>
      </c>
      <c r="I1335" s="213"/>
      <c r="J1335" s="213" t="s">
        <v>547</v>
      </c>
      <c r="K1335" s="213"/>
      <c r="L1335" s="213"/>
      <c r="M1335" s="213"/>
      <c r="N1335" s="213"/>
      <c r="O1335" s="213"/>
      <c r="P1335" s="213"/>
      <c r="Q1335" s="213"/>
      <c r="R1335" s="213"/>
      <c r="S1335" s="213" t="s">
        <v>589</v>
      </c>
      <c r="T1335" s="213"/>
      <c r="U1335" s="213" t="s">
        <v>538</v>
      </c>
      <c r="V1335" s="213">
        <v>2</v>
      </c>
      <c r="W1335" s="213" t="s">
        <v>545</v>
      </c>
      <c r="X1335" s="213" t="s">
        <v>549</v>
      </c>
      <c r="Y1335" s="213" t="s">
        <v>540</v>
      </c>
      <c r="Z1335" s="212">
        <v>63091</v>
      </c>
      <c r="AA1335" s="212">
        <v>6650748</v>
      </c>
      <c r="AB1335" s="217">
        <v>0.93958399999999997</v>
      </c>
      <c r="AC1335" s="217">
        <v>1.512116</v>
      </c>
      <c r="AD1335" s="212">
        <f t="shared" si="20"/>
        <v>6248936.4088319996</v>
      </c>
    </row>
    <row r="1336" spans="2:30" x14ac:dyDescent="0.15">
      <c r="B1336" s="213">
        <v>17043002233</v>
      </c>
      <c r="C1336" s="213">
        <v>17043000404</v>
      </c>
      <c r="D1336" s="213">
        <v>17043000386</v>
      </c>
      <c r="E1336" s="213" t="s">
        <v>533</v>
      </c>
      <c r="F1336" s="213" t="s">
        <v>534</v>
      </c>
      <c r="G1336" s="213" t="s">
        <v>367</v>
      </c>
      <c r="H1336" s="213" t="s">
        <v>552</v>
      </c>
      <c r="I1336" s="213"/>
      <c r="J1336" s="213" t="s">
        <v>638</v>
      </c>
      <c r="K1336" s="213" t="s">
        <v>382</v>
      </c>
      <c r="L1336" s="213"/>
      <c r="M1336" s="213"/>
      <c r="N1336" s="213"/>
      <c r="O1336" s="213"/>
      <c r="P1336" s="213"/>
      <c r="Q1336" s="213"/>
      <c r="R1336" s="213"/>
      <c r="S1336" s="213" t="s">
        <v>684</v>
      </c>
      <c r="T1336" s="213"/>
      <c r="U1336" s="213" t="s">
        <v>538</v>
      </c>
      <c r="V1336" s="213">
        <v>2</v>
      </c>
      <c r="W1336" s="213" t="s">
        <v>545</v>
      </c>
      <c r="X1336" s="213" t="s">
        <v>549</v>
      </c>
      <c r="Y1336" s="213" t="s">
        <v>549</v>
      </c>
      <c r="Z1336" s="212">
        <v>501282</v>
      </c>
      <c r="AA1336" s="212">
        <v>34527660</v>
      </c>
      <c r="AB1336" s="217">
        <v>1.2619199999999999</v>
      </c>
      <c r="AC1336" s="217">
        <v>2.0308679999999999</v>
      </c>
      <c r="AD1336" s="212">
        <f t="shared" si="20"/>
        <v>43571144.707199998</v>
      </c>
    </row>
    <row r="1337" spans="2:30" x14ac:dyDescent="0.15">
      <c r="B1337" s="213">
        <v>17043002316</v>
      </c>
      <c r="C1337" s="213">
        <v>17043000924</v>
      </c>
      <c r="D1337" s="213">
        <v>17043000921</v>
      </c>
      <c r="E1337" s="213" t="s">
        <v>533</v>
      </c>
      <c r="F1337" s="213" t="s">
        <v>534</v>
      </c>
      <c r="G1337" s="213" t="s">
        <v>367</v>
      </c>
      <c r="H1337" s="213" t="s">
        <v>381</v>
      </c>
      <c r="I1337" s="213"/>
      <c r="J1337" s="213" t="s">
        <v>542</v>
      </c>
      <c r="K1337" s="213" t="s">
        <v>547</v>
      </c>
      <c r="L1337" s="213" t="s">
        <v>382</v>
      </c>
      <c r="M1337" s="213"/>
      <c r="N1337" s="213"/>
      <c r="O1337" s="213"/>
      <c r="P1337" s="213"/>
      <c r="Q1337" s="213"/>
      <c r="R1337" s="213"/>
      <c r="S1337" s="213" t="s">
        <v>579</v>
      </c>
      <c r="T1337" s="213"/>
      <c r="U1337" s="213" t="s">
        <v>538</v>
      </c>
      <c r="V1337" s="213">
        <v>3</v>
      </c>
      <c r="W1337" s="213" t="s">
        <v>545</v>
      </c>
      <c r="X1337" s="213" t="s">
        <v>549</v>
      </c>
      <c r="Y1337" s="213" t="s">
        <v>580</v>
      </c>
      <c r="Z1337" s="212">
        <v>2794398</v>
      </c>
      <c r="AA1337" s="212">
        <v>85230304</v>
      </c>
      <c r="AB1337" s="217">
        <v>2.093537</v>
      </c>
      <c r="AC1337" s="217">
        <v>3.369227</v>
      </c>
      <c r="AD1337" s="212">
        <f t="shared" si="20"/>
        <v>178432794.94524801</v>
      </c>
    </row>
    <row r="1338" spans="2:30" x14ac:dyDescent="0.15">
      <c r="B1338" s="213">
        <v>17043002378</v>
      </c>
      <c r="C1338" s="213">
        <v>17043000858</v>
      </c>
      <c r="D1338" s="213">
        <v>17043004884</v>
      </c>
      <c r="E1338" s="213" t="s">
        <v>533</v>
      </c>
      <c r="F1338" s="213" t="s">
        <v>534</v>
      </c>
      <c r="G1338" s="213" t="s">
        <v>367</v>
      </c>
      <c r="H1338" s="213" t="s">
        <v>381</v>
      </c>
      <c r="I1338" s="213"/>
      <c r="J1338" s="213" t="s">
        <v>542</v>
      </c>
      <c r="K1338" s="213" t="s">
        <v>547</v>
      </c>
      <c r="L1338" s="213" t="s">
        <v>382</v>
      </c>
      <c r="M1338" s="213"/>
      <c r="N1338" s="213"/>
      <c r="O1338" s="213"/>
      <c r="P1338" s="213"/>
      <c r="Q1338" s="213"/>
      <c r="R1338" s="213"/>
      <c r="S1338" s="213" t="s">
        <v>579</v>
      </c>
      <c r="T1338" s="213"/>
      <c r="U1338" s="213" t="s">
        <v>538</v>
      </c>
      <c r="V1338" s="213">
        <v>3</v>
      </c>
      <c r="W1338" s="213" t="s">
        <v>545</v>
      </c>
      <c r="X1338" s="213" t="s">
        <v>549</v>
      </c>
      <c r="Y1338" s="213" t="s">
        <v>580</v>
      </c>
      <c r="Z1338" s="212">
        <v>2794758</v>
      </c>
      <c r="AA1338" s="212">
        <v>85265824</v>
      </c>
      <c r="AB1338" s="217">
        <v>0.91690799999999995</v>
      </c>
      <c r="AC1338" s="217">
        <v>1.475624</v>
      </c>
      <c r="AD1338" s="212">
        <f t="shared" si="20"/>
        <v>78180916.152191997</v>
      </c>
    </row>
    <row r="1339" spans="2:30" x14ac:dyDescent="0.15">
      <c r="B1339" s="213">
        <v>17043002388</v>
      </c>
      <c r="C1339" s="213">
        <v>17043000499</v>
      </c>
      <c r="D1339" s="213">
        <v>17043004783</v>
      </c>
      <c r="E1339" s="213" t="s">
        <v>533</v>
      </c>
      <c r="F1339" s="213" t="s">
        <v>534</v>
      </c>
      <c r="G1339" s="213" t="s">
        <v>367</v>
      </c>
      <c r="H1339" s="213" t="s">
        <v>382</v>
      </c>
      <c r="I1339" s="213"/>
      <c r="J1339" s="213"/>
      <c r="K1339" s="213"/>
      <c r="L1339" s="213"/>
      <c r="M1339" s="213"/>
      <c r="N1339" s="213"/>
      <c r="O1339" s="213"/>
      <c r="P1339" s="213"/>
      <c r="Q1339" s="213"/>
      <c r="R1339" s="213"/>
      <c r="S1339" s="213" t="s">
        <v>561</v>
      </c>
      <c r="T1339" s="213"/>
      <c r="U1339" s="213" t="s">
        <v>538</v>
      </c>
      <c r="V1339" s="213">
        <v>1</v>
      </c>
      <c r="W1339" s="213" t="s">
        <v>562</v>
      </c>
      <c r="X1339" s="213" t="s">
        <v>540</v>
      </c>
      <c r="Y1339" s="213" t="s">
        <v>541</v>
      </c>
      <c r="Z1339" s="212">
        <v>26584</v>
      </c>
      <c r="AA1339" s="212">
        <v>636580</v>
      </c>
      <c r="AB1339" s="217">
        <v>2.8430849999999999</v>
      </c>
      <c r="AC1339" s="217">
        <v>4.5755119999999998</v>
      </c>
      <c r="AD1339" s="212">
        <f t="shared" si="20"/>
        <v>1809851.0492999998</v>
      </c>
    </row>
    <row r="1340" spans="2:30" x14ac:dyDescent="0.15">
      <c r="B1340" s="213">
        <v>17043002401</v>
      </c>
      <c r="C1340" s="213">
        <v>17043000383</v>
      </c>
      <c r="D1340" s="213">
        <v>17043000382</v>
      </c>
      <c r="E1340" s="213" t="s">
        <v>533</v>
      </c>
      <c r="F1340" s="213" t="s">
        <v>534</v>
      </c>
      <c r="G1340" s="213" t="s">
        <v>367</v>
      </c>
      <c r="H1340" s="213" t="s">
        <v>638</v>
      </c>
      <c r="I1340" s="213"/>
      <c r="J1340" s="213"/>
      <c r="K1340" s="213"/>
      <c r="L1340" s="213"/>
      <c r="M1340" s="213"/>
      <c r="N1340" s="213"/>
      <c r="O1340" s="213"/>
      <c r="P1340" s="213"/>
      <c r="Q1340" s="213"/>
      <c r="R1340" s="213"/>
      <c r="S1340" s="213"/>
      <c r="T1340" s="213"/>
      <c r="U1340" s="213" t="s">
        <v>559</v>
      </c>
      <c r="V1340" s="213">
        <v>1</v>
      </c>
      <c r="W1340" s="213" t="s">
        <v>560</v>
      </c>
      <c r="X1340" s="213" t="s">
        <v>541</v>
      </c>
      <c r="Y1340" s="213" t="s">
        <v>541</v>
      </c>
      <c r="Z1340" s="212">
        <v>0</v>
      </c>
      <c r="AA1340" s="212">
        <v>0</v>
      </c>
      <c r="AB1340" s="217">
        <v>2.1684999999999999E-2</v>
      </c>
      <c r="AC1340" s="217">
        <v>3.4898999999999999E-2</v>
      </c>
      <c r="AD1340" s="212">
        <f t="shared" si="20"/>
        <v>0</v>
      </c>
    </row>
    <row r="1341" spans="2:30" x14ac:dyDescent="0.15">
      <c r="B1341" s="213">
        <v>17043002409</v>
      </c>
      <c r="C1341" s="213">
        <v>17043004887</v>
      </c>
      <c r="D1341" s="213">
        <v>17043004888</v>
      </c>
      <c r="E1341" s="213" t="s">
        <v>533</v>
      </c>
      <c r="F1341" s="213" t="s">
        <v>534</v>
      </c>
      <c r="G1341" s="213" t="s">
        <v>367</v>
      </c>
      <c r="H1341" s="213" t="s">
        <v>381</v>
      </c>
      <c r="I1341" s="213"/>
      <c r="J1341" s="213" t="s">
        <v>542</v>
      </c>
      <c r="K1341" s="213" t="s">
        <v>547</v>
      </c>
      <c r="L1341" s="213" t="s">
        <v>382</v>
      </c>
      <c r="M1341" s="213"/>
      <c r="N1341" s="213"/>
      <c r="O1341" s="213"/>
      <c r="P1341" s="213"/>
      <c r="Q1341" s="213"/>
      <c r="R1341" s="213"/>
      <c r="S1341" s="213" t="s">
        <v>579</v>
      </c>
      <c r="T1341" s="213"/>
      <c r="U1341" s="213" t="s">
        <v>538</v>
      </c>
      <c r="V1341" s="213">
        <v>3</v>
      </c>
      <c r="W1341" s="213" t="s">
        <v>545</v>
      </c>
      <c r="X1341" s="213" t="s">
        <v>549</v>
      </c>
      <c r="Y1341" s="213" t="s">
        <v>580</v>
      </c>
      <c r="Z1341" s="212">
        <v>2794678</v>
      </c>
      <c r="AA1341" s="212">
        <v>85257384</v>
      </c>
      <c r="AB1341" s="217">
        <v>1.7565949999999999</v>
      </c>
      <c r="AC1341" s="217">
        <v>2.8269709999999999</v>
      </c>
      <c r="AD1341" s="212">
        <f t="shared" si="20"/>
        <v>149762694.44747999</v>
      </c>
    </row>
    <row r="1342" spans="2:30" x14ac:dyDescent="0.15">
      <c r="B1342" s="213">
        <v>17043002410</v>
      </c>
      <c r="C1342" s="213">
        <v>17043007372</v>
      </c>
      <c r="D1342" s="213">
        <v>17043007373</v>
      </c>
      <c r="E1342" s="213" t="s">
        <v>533</v>
      </c>
      <c r="F1342" s="213" t="s">
        <v>534</v>
      </c>
      <c r="G1342" s="213" t="s">
        <v>367</v>
      </c>
      <c r="H1342" s="213" t="s">
        <v>381</v>
      </c>
      <c r="I1342" s="213"/>
      <c r="J1342" s="213" t="s">
        <v>542</v>
      </c>
      <c r="K1342" s="213" t="s">
        <v>547</v>
      </c>
      <c r="L1342" s="213" t="s">
        <v>382</v>
      </c>
      <c r="M1342" s="213"/>
      <c r="N1342" s="213"/>
      <c r="O1342" s="213"/>
      <c r="P1342" s="213"/>
      <c r="Q1342" s="213"/>
      <c r="R1342" s="213"/>
      <c r="S1342" s="213" t="s">
        <v>579</v>
      </c>
      <c r="T1342" s="213"/>
      <c r="U1342" s="213" t="s">
        <v>538</v>
      </c>
      <c r="V1342" s="213">
        <v>3</v>
      </c>
      <c r="W1342" s="213" t="s">
        <v>545</v>
      </c>
      <c r="X1342" s="213" t="s">
        <v>549</v>
      </c>
      <c r="Y1342" s="213" t="s">
        <v>580</v>
      </c>
      <c r="Z1342" s="212">
        <v>2794678</v>
      </c>
      <c r="AA1342" s="212">
        <v>85257384</v>
      </c>
      <c r="AB1342" s="217">
        <v>0.78493100000000005</v>
      </c>
      <c r="AC1342" s="217">
        <v>1.263226</v>
      </c>
      <c r="AD1342" s="212">
        <f t="shared" si="20"/>
        <v>66921163.680504002</v>
      </c>
    </row>
    <row r="1343" spans="2:30" x14ac:dyDescent="0.15">
      <c r="B1343" s="213">
        <v>17043002419</v>
      </c>
      <c r="C1343" s="213">
        <v>17043000383</v>
      </c>
      <c r="D1343" s="213">
        <v>17043000380</v>
      </c>
      <c r="E1343" s="213" t="s">
        <v>533</v>
      </c>
      <c r="F1343" s="213" t="s">
        <v>534</v>
      </c>
      <c r="G1343" s="213" t="s">
        <v>367</v>
      </c>
      <c r="H1343" s="213" t="s">
        <v>638</v>
      </c>
      <c r="I1343" s="213"/>
      <c r="J1343" s="213"/>
      <c r="K1343" s="213"/>
      <c r="L1343" s="213"/>
      <c r="M1343" s="213"/>
      <c r="N1343" s="213"/>
      <c r="O1343" s="213"/>
      <c r="P1343" s="213"/>
      <c r="Q1343" s="213"/>
      <c r="R1343" s="213"/>
      <c r="S1343" s="213"/>
      <c r="T1343" s="213"/>
      <c r="U1343" s="213" t="s">
        <v>559</v>
      </c>
      <c r="V1343" s="213">
        <v>1</v>
      </c>
      <c r="W1343" s="213" t="s">
        <v>560</v>
      </c>
      <c r="X1343" s="213" t="s">
        <v>541</v>
      </c>
      <c r="Y1343" s="213" t="s">
        <v>541</v>
      </c>
      <c r="Z1343" s="212">
        <v>0</v>
      </c>
      <c r="AA1343" s="212">
        <v>0</v>
      </c>
      <c r="AB1343" s="217">
        <v>0.16653100000000001</v>
      </c>
      <c r="AC1343" s="217">
        <v>0.26800499999999999</v>
      </c>
      <c r="AD1343" s="212">
        <f t="shared" si="20"/>
        <v>0</v>
      </c>
    </row>
    <row r="1344" spans="2:30" x14ac:dyDescent="0.15">
      <c r="B1344" s="213">
        <v>17043002499</v>
      </c>
      <c r="C1344" s="213">
        <v>17043000386</v>
      </c>
      <c r="D1344" s="213">
        <v>17043000363</v>
      </c>
      <c r="E1344" s="213" t="s">
        <v>533</v>
      </c>
      <c r="F1344" s="213" t="s">
        <v>534</v>
      </c>
      <c r="G1344" s="213" t="s">
        <v>367</v>
      </c>
      <c r="H1344" s="213" t="s">
        <v>552</v>
      </c>
      <c r="I1344" s="213"/>
      <c r="J1344" s="213" t="s">
        <v>638</v>
      </c>
      <c r="K1344" s="213" t="s">
        <v>382</v>
      </c>
      <c r="L1344" s="213"/>
      <c r="M1344" s="213"/>
      <c r="N1344" s="213"/>
      <c r="O1344" s="213"/>
      <c r="P1344" s="213"/>
      <c r="Q1344" s="213"/>
      <c r="R1344" s="213"/>
      <c r="S1344" s="213" t="s">
        <v>684</v>
      </c>
      <c r="T1344" s="213"/>
      <c r="U1344" s="213" t="s">
        <v>538</v>
      </c>
      <c r="V1344" s="213">
        <v>2</v>
      </c>
      <c r="W1344" s="213" t="s">
        <v>545</v>
      </c>
      <c r="X1344" s="213" t="s">
        <v>549</v>
      </c>
      <c r="Y1344" s="213" t="s">
        <v>549</v>
      </c>
      <c r="Z1344" s="212">
        <v>501282</v>
      </c>
      <c r="AA1344" s="212">
        <v>34527660</v>
      </c>
      <c r="AB1344" s="217">
        <v>1.133067</v>
      </c>
      <c r="AC1344" s="217">
        <v>1.8234980000000001</v>
      </c>
      <c r="AD1344" s="212">
        <f t="shared" si="20"/>
        <v>39122152.133220002</v>
      </c>
    </row>
    <row r="1345" spans="2:30" x14ac:dyDescent="0.15">
      <c r="B1345" s="213">
        <v>17043002991</v>
      </c>
      <c r="C1345" s="213">
        <v>17043000503</v>
      </c>
      <c r="D1345" s="213">
        <v>17043004896</v>
      </c>
      <c r="E1345" s="213" t="s">
        <v>533</v>
      </c>
      <c r="F1345" s="213" t="s">
        <v>534</v>
      </c>
      <c r="G1345" s="213" t="s">
        <v>367</v>
      </c>
      <c r="H1345" s="213" t="s">
        <v>535</v>
      </c>
      <c r="I1345" s="213"/>
      <c r="J1345" s="213" t="s">
        <v>536</v>
      </c>
      <c r="K1345" s="213" t="s">
        <v>382</v>
      </c>
      <c r="L1345" s="213"/>
      <c r="M1345" s="213"/>
      <c r="N1345" s="213"/>
      <c r="O1345" s="213"/>
      <c r="P1345" s="213"/>
      <c r="Q1345" s="213"/>
      <c r="R1345" s="213"/>
      <c r="S1345" s="213" t="s">
        <v>550</v>
      </c>
      <c r="T1345" s="213"/>
      <c r="U1345" s="213" t="s">
        <v>538</v>
      </c>
      <c r="V1345" s="213">
        <v>2</v>
      </c>
      <c r="W1345" s="213" t="s">
        <v>545</v>
      </c>
      <c r="X1345" s="213" t="s">
        <v>540</v>
      </c>
      <c r="Y1345" s="213" t="s">
        <v>540</v>
      </c>
      <c r="Z1345" s="212">
        <v>16629</v>
      </c>
      <c r="AA1345" s="212">
        <v>1568716</v>
      </c>
      <c r="AB1345" s="217">
        <v>1.8327150000000001</v>
      </c>
      <c r="AC1345" s="217">
        <v>2.9494739999999999</v>
      </c>
      <c r="AD1345" s="212">
        <f t="shared" si="20"/>
        <v>2875009.34394</v>
      </c>
    </row>
    <row r="1346" spans="2:30" x14ac:dyDescent="0.15">
      <c r="B1346" s="213">
        <v>17043002995</v>
      </c>
      <c r="C1346" s="213">
        <v>17043000939</v>
      </c>
      <c r="D1346" s="213">
        <v>17043004889</v>
      </c>
      <c r="E1346" s="213" t="s">
        <v>533</v>
      </c>
      <c r="F1346" s="213" t="s">
        <v>534</v>
      </c>
      <c r="G1346" s="213" t="s">
        <v>367</v>
      </c>
      <c r="H1346" s="213" t="s">
        <v>381</v>
      </c>
      <c r="I1346" s="213"/>
      <c r="J1346" s="213" t="s">
        <v>542</v>
      </c>
      <c r="K1346" s="213" t="s">
        <v>547</v>
      </c>
      <c r="L1346" s="213" t="s">
        <v>382</v>
      </c>
      <c r="M1346" s="213"/>
      <c r="N1346" s="213"/>
      <c r="O1346" s="213"/>
      <c r="P1346" s="213"/>
      <c r="Q1346" s="213"/>
      <c r="R1346" s="213"/>
      <c r="S1346" s="213" t="s">
        <v>579</v>
      </c>
      <c r="T1346" s="213"/>
      <c r="U1346" s="213" t="s">
        <v>538</v>
      </c>
      <c r="V1346" s="213">
        <v>3</v>
      </c>
      <c r="W1346" s="213" t="s">
        <v>545</v>
      </c>
      <c r="X1346" s="213" t="s">
        <v>549</v>
      </c>
      <c r="Y1346" s="213" t="s">
        <v>580</v>
      </c>
      <c r="Z1346" s="212">
        <v>2794398</v>
      </c>
      <c r="AA1346" s="212">
        <v>85230304</v>
      </c>
      <c r="AB1346" s="217">
        <v>1.66859</v>
      </c>
      <c r="AC1346" s="217">
        <v>2.6853400000000001</v>
      </c>
      <c r="AD1346" s="212">
        <f t="shared" si="20"/>
        <v>142214432.95135999</v>
      </c>
    </row>
    <row r="1347" spans="2:30" x14ac:dyDescent="0.15">
      <c r="B1347" s="213">
        <v>17043003100</v>
      </c>
      <c r="C1347" s="213">
        <v>17043000391</v>
      </c>
      <c r="D1347" s="213">
        <v>17043000394</v>
      </c>
      <c r="E1347" s="213" t="s">
        <v>533</v>
      </c>
      <c r="F1347" s="213" t="s">
        <v>534</v>
      </c>
      <c r="G1347" s="213" t="s">
        <v>367</v>
      </c>
      <c r="H1347" s="213" t="s">
        <v>535</v>
      </c>
      <c r="I1347" s="213"/>
      <c r="J1347" s="213"/>
      <c r="K1347" s="213"/>
      <c r="L1347" s="213"/>
      <c r="M1347" s="213"/>
      <c r="N1347" s="213"/>
      <c r="O1347" s="213"/>
      <c r="P1347" s="213"/>
      <c r="Q1347" s="213"/>
      <c r="R1347" s="213"/>
      <c r="S1347" s="213" t="s">
        <v>624</v>
      </c>
      <c r="T1347" s="213"/>
      <c r="U1347" s="213" t="s">
        <v>538</v>
      </c>
      <c r="V1347" s="213">
        <v>1</v>
      </c>
      <c r="W1347" s="213" t="s">
        <v>560</v>
      </c>
      <c r="X1347" s="213" t="s">
        <v>541</v>
      </c>
      <c r="Y1347" s="213" t="s">
        <v>541</v>
      </c>
      <c r="Z1347" s="212">
        <v>40387</v>
      </c>
      <c r="AA1347" s="212">
        <v>3851060</v>
      </c>
      <c r="AB1347" s="217">
        <v>0.43375900000000001</v>
      </c>
      <c r="AC1347" s="217">
        <v>0.69806900000000005</v>
      </c>
      <c r="AD1347" s="212">
        <f t="shared" si="20"/>
        <v>1670431.93454</v>
      </c>
    </row>
    <row r="1348" spans="2:30" x14ac:dyDescent="0.15">
      <c r="B1348" s="213">
        <v>17043003146</v>
      </c>
      <c r="C1348" s="213">
        <v>17043004768</v>
      </c>
      <c r="D1348" s="213">
        <v>17043000368</v>
      </c>
      <c r="E1348" s="213" t="s">
        <v>533</v>
      </c>
      <c r="F1348" s="213" t="s">
        <v>534</v>
      </c>
      <c r="G1348" s="213" t="s">
        <v>367</v>
      </c>
      <c r="H1348" s="213" t="s">
        <v>552</v>
      </c>
      <c r="I1348" s="213"/>
      <c r="J1348" s="213" t="s">
        <v>547</v>
      </c>
      <c r="K1348" s="213"/>
      <c r="L1348" s="213"/>
      <c r="M1348" s="213"/>
      <c r="N1348" s="213"/>
      <c r="O1348" s="213"/>
      <c r="P1348" s="213"/>
      <c r="Q1348" s="213"/>
      <c r="R1348" s="213"/>
      <c r="S1348" s="213" t="s">
        <v>589</v>
      </c>
      <c r="T1348" s="213"/>
      <c r="U1348" s="213" t="s">
        <v>538</v>
      </c>
      <c r="V1348" s="213">
        <v>2</v>
      </c>
      <c r="W1348" s="213" t="s">
        <v>545</v>
      </c>
      <c r="X1348" s="213" t="s">
        <v>549</v>
      </c>
      <c r="Y1348" s="213" t="s">
        <v>540</v>
      </c>
      <c r="Z1348" s="212">
        <v>63091</v>
      </c>
      <c r="AA1348" s="212">
        <v>6650748</v>
      </c>
      <c r="AB1348" s="217">
        <v>1.407643</v>
      </c>
      <c r="AC1348" s="217">
        <v>2.2653859999999999</v>
      </c>
      <c r="AD1348" s="212">
        <f t="shared" si="20"/>
        <v>9361878.8669639993</v>
      </c>
    </row>
    <row r="1349" spans="2:30" x14ac:dyDescent="0.15">
      <c r="B1349" s="213">
        <v>17043003319</v>
      </c>
      <c r="C1349" s="213">
        <v>17043001186</v>
      </c>
      <c r="D1349" s="213">
        <v>17999021964</v>
      </c>
      <c r="E1349" s="213" t="s">
        <v>533</v>
      </c>
      <c r="F1349" s="213" t="s">
        <v>534</v>
      </c>
      <c r="G1349" s="213" t="s">
        <v>367</v>
      </c>
      <c r="H1349" s="213" t="s">
        <v>381</v>
      </c>
      <c r="I1349" s="213"/>
      <c r="J1349" s="213" t="s">
        <v>382</v>
      </c>
      <c r="K1349" s="213"/>
      <c r="L1349" s="213"/>
      <c r="M1349" s="213"/>
      <c r="N1349" s="213"/>
      <c r="O1349" s="213"/>
      <c r="P1349" s="213"/>
      <c r="Q1349" s="213"/>
      <c r="R1349" s="213"/>
      <c r="S1349" s="213" t="s">
        <v>647</v>
      </c>
      <c r="T1349" s="213"/>
      <c r="U1349" s="213" t="s">
        <v>538</v>
      </c>
      <c r="V1349" s="213">
        <v>2</v>
      </c>
      <c r="W1349" s="213" t="s">
        <v>545</v>
      </c>
      <c r="X1349" s="213" t="s">
        <v>549</v>
      </c>
      <c r="Y1349" s="213" t="s">
        <v>580</v>
      </c>
      <c r="Z1349" s="212">
        <v>522062</v>
      </c>
      <c r="AA1349" s="212">
        <v>20453026</v>
      </c>
      <c r="AB1349" s="217">
        <v>3.4404270000000001</v>
      </c>
      <c r="AC1349" s="217">
        <v>5.536842</v>
      </c>
      <c r="AD1349" s="212">
        <f t="shared" si="20"/>
        <v>70367142.882101998</v>
      </c>
    </row>
    <row r="1350" spans="2:30" x14ac:dyDescent="0.15">
      <c r="B1350" s="213">
        <v>17043003506</v>
      </c>
      <c r="C1350" s="213">
        <v>17043000584</v>
      </c>
      <c r="D1350" s="213">
        <v>17999020762</v>
      </c>
      <c r="E1350" s="213" t="s">
        <v>533</v>
      </c>
      <c r="F1350" s="213" t="s">
        <v>534</v>
      </c>
      <c r="G1350" s="213" t="s">
        <v>367</v>
      </c>
      <c r="H1350" s="213" t="s">
        <v>535</v>
      </c>
      <c r="I1350" s="213"/>
      <c r="J1350" s="213"/>
      <c r="K1350" s="213"/>
      <c r="L1350" s="213"/>
      <c r="M1350" s="213"/>
      <c r="N1350" s="213"/>
      <c r="O1350" s="213"/>
      <c r="P1350" s="213"/>
      <c r="Q1350" s="213"/>
      <c r="R1350" s="213"/>
      <c r="S1350" s="213" t="s">
        <v>624</v>
      </c>
      <c r="T1350" s="213"/>
      <c r="U1350" s="213" t="s">
        <v>538</v>
      </c>
      <c r="V1350" s="213">
        <v>1</v>
      </c>
      <c r="W1350" s="213" t="s">
        <v>582</v>
      </c>
      <c r="X1350" s="213" t="s">
        <v>540</v>
      </c>
      <c r="Y1350" s="213" t="s">
        <v>554</v>
      </c>
      <c r="Z1350" s="212">
        <v>1600</v>
      </c>
      <c r="AA1350" s="212">
        <v>134280</v>
      </c>
      <c r="AB1350" s="217">
        <v>1.086066</v>
      </c>
      <c r="AC1350" s="217">
        <v>1.747857</v>
      </c>
      <c r="AD1350" s="212">
        <f t="shared" ref="AD1350:AD1413" si="21">AA1350*AB1350</f>
        <v>145836.94248</v>
      </c>
    </row>
    <row r="1351" spans="2:30" x14ac:dyDescent="0.15">
      <c r="B1351" s="213">
        <v>17043003509</v>
      </c>
      <c r="C1351" s="213">
        <v>17043000595</v>
      </c>
      <c r="D1351" s="213">
        <v>17043004782</v>
      </c>
      <c r="E1351" s="213" t="s">
        <v>533</v>
      </c>
      <c r="F1351" s="213" t="s">
        <v>534</v>
      </c>
      <c r="G1351" s="213" t="s">
        <v>367</v>
      </c>
      <c r="H1351" s="213" t="s">
        <v>382</v>
      </c>
      <c r="I1351" s="213"/>
      <c r="J1351" s="213"/>
      <c r="K1351" s="213"/>
      <c r="L1351" s="213"/>
      <c r="M1351" s="213"/>
      <c r="N1351" s="213"/>
      <c r="O1351" s="213"/>
      <c r="P1351" s="213"/>
      <c r="Q1351" s="213"/>
      <c r="R1351" s="213"/>
      <c r="S1351" s="213"/>
      <c r="T1351" s="213" t="s">
        <v>587</v>
      </c>
      <c r="U1351" s="213" t="s">
        <v>559</v>
      </c>
      <c r="V1351" s="213">
        <v>1</v>
      </c>
      <c r="W1351" s="213" t="s">
        <v>560</v>
      </c>
      <c r="X1351" s="213" t="s">
        <v>541</v>
      </c>
      <c r="Y1351" s="213" t="s">
        <v>541</v>
      </c>
      <c r="Z1351" s="212">
        <v>40</v>
      </c>
      <c r="AA1351" s="212">
        <v>3360</v>
      </c>
      <c r="AB1351" s="217">
        <v>5.4356000000000002E-2</v>
      </c>
      <c r="AC1351" s="217">
        <v>8.7478E-2</v>
      </c>
      <c r="AD1351" s="212">
        <f t="shared" si="21"/>
        <v>182.63616000000002</v>
      </c>
    </row>
    <row r="1352" spans="2:30" x14ac:dyDescent="0.15">
      <c r="B1352" s="213">
        <v>17043003528</v>
      </c>
      <c r="C1352" s="213">
        <v>17043000378</v>
      </c>
      <c r="D1352" s="213">
        <v>17043000371</v>
      </c>
      <c r="E1352" s="213" t="s">
        <v>533</v>
      </c>
      <c r="F1352" s="213" t="s">
        <v>534</v>
      </c>
      <c r="G1352" s="213" t="s">
        <v>367</v>
      </c>
      <c r="H1352" s="213" t="s">
        <v>552</v>
      </c>
      <c r="I1352" s="213"/>
      <c r="J1352" s="213"/>
      <c r="K1352" s="213"/>
      <c r="L1352" s="213"/>
      <c r="M1352" s="213"/>
      <c r="N1352" s="213"/>
      <c r="O1352" s="213"/>
      <c r="P1352" s="213"/>
      <c r="Q1352" s="213"/>
      <c r="R1352" s="213"/>
      <c r="S1352" s="213"/>
      <c r="T1352" s="213"/>
      <c r="U1352" s="213" t="s">
        <v>559</v>
      </c>
      <c r="V1352" s="213">
        <v>1</v>
      </c>
      <c r="W1352" s="213" t="s">
        <v>560</v>
      </c>
      <c r="X1352" s="213" t="s">
        <v>541</v>
      </c>
      <c r="Y1352" s="213" t="s">
        <v>541</v>
      </c>
      <c r="Z1352" s="212">
        <v>0</v>
      </c>
      <c r="AA1352" s="212">
        <v>0</v>
      </c>
      <c r="AB1352" s="217">
        <v>0.43118699999999999</v>
      </c>
      <c r="AC1352" s="217">
        <v>0.69392900000000002</v>
      </c>
      <c r="AD1352" s="212">
        <f t="shared" si="21"/>
        <v>0</v>
      </c>
    </row>
    <row r="1353" spans="2:30" x14ac:dyDescent="0.15">
      <c r="B1353" s="213">
        <v>17043004004</v>
      </c>
      <c r="C1353" s="213">
        <v>17043000503</v>
      </c>
      <c r="D1353" s="213">
        <v>17043000510</v>
      </c>
      <c r="E1353" s="213" t="s">
        <v>533</v>
      </c>
      <c r="F1353" s="213" t="s">
        <v>534</v>
      </c>
      <c r="G1353" s="213" t="s">
        <v>367</v>
      </c>
      <c r="H1353" s="213" t="s">
        <v>382</v>
      </c>
      <c r="I1353" s="213"/>
      <c r="J1353" s="213" t="s">
        <v>535</v>
      </c>
      <c r="K1353" s="213"/>
      <c r="L1353" s="213"/>
      <c r="M1353" s="213"/>
      <c r="N1353" s="213"/>
      <c r="O1353" s="213"/>
      <c r="P1353" s="213"/>
      <c r="Q1353" s="213"/>
      <c r="R1353" s="213"/>
      <c r="S1353" s="213" t="s">
        <v>653</v>
      </c>
      <c r="T1353" s="213"/>
      <c r="U1353" s="213" t="s">
        <v>559</v>
      </c>
      <c r="V1353" s="213">
        <v>1</v>
      </c>
      <c r="W1353" s="213" t="s">
        <v>560</v>
      </c>
      <c r="X1353" s="213" t="s">
        <v>541</v>
      </c>
      <c r="Y1353" s="213" t="s">
        <v>541</v>
      </c>
      <c r="Z1353" s="212">
        <v>0</v>
      </c>
      <c r="AA1353" s="212">
        <v>0</v>
      </c>
      <c r="AB1353" s="217">
        <v>0.88567499999999999</v>
      </c>
      <c r="AC1353" s="217">
        <v>1.425359</v>
      </c>
      <c r="AD1353" s="212">
        <f t="shared" si="21"/>
        <v>0</v>
      </c>
    </row>
    <row r="1354" spans="2:30" x14ac:dyDescent="0.15">
      <c r="B1354" s="213">
        <v>17043004085</v>
      </c>
      <c r="C1354" s="213">
        <v>17043000431</v>
      </c>
      <c r="D1354" s="213">
        <v>17043007311</v>
      </c>
      <c r="E1354" s="213" t="s">
        <v>533</v>
      </c>
      <c r="F1354" s="213" t="s">
        <v>534</v>
      </c>
      <c r="G1354" s="213" t="s">
        <v>367</v>
      </c>
      <c r="H1354" s="213" t="s">
        <v>535</v>
      </c>
      <c r="I1354" s="213"/>
      <c r="J1354" s="213"/>
      <c r="K1354" s="213"/>
      <c r="L1354" s="213"/>
      <c r="M1354" s="213"/>
      <c r="N1354" s="213"/>
      <c r="O1354" s="213"/>
      <c r="P1354" s="213"/>
      <c r="Q1354" s="213"/>
      <c r="R1354" s="213"/>
      <c r="S1354" s="213" t="s">
        <v>624</v>
      </c>
      <c r="T1354" s="213"/>
      <c r="U1354" s="213" t="s">
        <v>538</v>
      </c>
      <c r="V1354" s="213">
        <v>1</v>
      </c>
      <c r="W1354" s="213" t="s">
        <v>582</v>
      </c>
      <c r="X1354" s="213" t="s">
        <v>540</v>
      </c>
      <c r="Y1354" s="213" t="s">
        <v>554</v>
      </c>
      <c r="Z1354" s="212">
        <v>320</v>
      </c>
      <c r="AA1354" s="212">
        <v>29360</v>
      </c>
      <c r="AB1354" s="217">
        <v>4.389888</v>
      </c>
      <c r="AC1354" s="217">
        <v>7.0648540000000004</v>
      </c>
      <c r="AD1354" s="212">
        <f t="shared" si="21"/>
        <v>128887.11168</v>
      </c>
    </row>
    <row r="1355" spans="2:30" x14ac:dyDescent="0.15">
      <c r="B1355" s="213">
        <v>17043005746</v>
      </c>
      <c r="C1355" s="213">
        <v>17043000593</v>
      </c>
      <c r="D1355" s="213">
        <v>17043000589</v>
      </c>
      <c r="E1355" s="213" t="s">
        <v>533</v>
      </c>
      <c r="F1355" s="213" t="s">
        <v>534</v>
      </c>
      <c r="G1355" s="213" t="s">
        <v>367</v>
      </c>
      <c r="H1355" s="213" t="s">
        <v>382</v>
      </c>
      <c r="I1355" s="213"/>
      <c r="J1355" s="213"/>
      <c r="K1355" s="213"/>
      <c r="L1355" s="213"/>
      <c r="M1355" s="213"/>
      <c r="N1355" s="213"/>
      <c r="O1355" s="213"/>
      <c r="P1355" s="213"/>
      <c r="Q1355" s="213"/>
      <c r="R1355" s="213"/>
      <c r="S1355" s="213" t="s">
        <v>635</v>
      </c>
      <c r="T1355" s="213" t="s">
        <v>587</v>
      </c>
      <c r="U1355" s="213" t="s">
        <v>559</v>
      </c>
      <c r="V1355" s="213">
        <v>1</v>
      </c>
      <c r="W1355" s="213" t="s">
        <v>560</v>
      </c>
      <c r="X1355" s="213" t="s">
        <v>541</v>
      </c>
      <c r="Y1355" s="213" t="s">
        <v>541</v>
      </c>
      <c r="Z1355" s="212">
        <v>0</v>
      </c>
      <c r="AA1355" s="212">
        <v>0</v>
      </c>
      <c r="AB1355" s="217">
        <v>0.55985200000000002</v>
      </c>
      <c r="AC1355" s="217">
        <v>0.90099600000000002</v>
      </c>
      <c r="AD1355" s="212">
        <f t="shared" si="21"/>
        <v>0</v>
      </c>
    </row>
    <row r="1356" spans="2:30" x14ac:dyDescent="0.15">
      <c r="B1356" s="213">
        <v>17043005748</v>
      </c>
      <c r="C1356" s="213">
        <v>17043007296</v>
      </c>
      <c r="D1356" s="213">
        <v>17043007298</v>
      </c>
      <c r="E1356" s="213" t="s">
        <v>533</v>
      </c>
      <c r="F1356" s="213" t="s">
        <v>534</v>
      </c>
      <c r="G1356" s="213" t="s">
        <v>367</v>
      </c>
      <c r="H1356" s="213" t="s">
        <v>382</v>
      </c>
      <c r="I1356" s="213"/>
      <c r="J1356" s="213"/>
      <c r="K1356" s="213"/>
      <c r="L1356" s="213"/>
      <c r="M1356" s="213"/>
      <c r="N1356" s="213"/>
      <c r="O1356" s="213"/>
      <c r="P1356" s="213"/>
      <c r="Q1356" s="213"/>
      <c r="R1356" s="213"/>
      <c r="S1356" s="213"/>
      <c r="T1356" s="213"/>
      <c r="U1356" s="213" t="s">
        <v>559</v>
      </c>
      <c r="V1356" s="213">
        <v>1</v>
      </c>
      <c r="W1356" s="213" t="s">
        <v>560</v>
      </c>
      <c r="X1356" s="213" t="s">
        <v>541</v>
      </c>
      <c r="Y1356" s="213" t="s">
        <v>541</v>
      </c>
      <c r="Z1356" s="212">
        <v>0</v>
      </c>
      <c r="AA1356" s="212">
        <v>0</v>
      </c>
      <c r="AB1356" s="217">
        <v>0.232102</v>
      </c>
      <c r="AC1356" s="217">
        <v>0.373533</v>
      </c>
      <c r="AD1356" s="212">
        <f t="shared" si="21"/>
        <v>0</v>
      </c>
    </row>
    <row r="1357" spans="2:30" x14ac:dyDescent="0.15">
      <c r="B1357" s="213">
        <v>17043005761</v>
      </c>
      <c r="C1357" s="213">
        <v>17043000382</v>
      </c>
      <c r="D1357" s="213">
        <v>17043000386</v>
      </c>
      <c r="E1357" s="213" t="s">
        <v>533</v>
      </c>
      <c r="F1357" s="213" t="s">
        <v>534</v>
      </c>
      <c r="G1357" s="213" t="s">
        <v>367</v>
      </c>
      <c r="H1357" s="213" t="s">
        <v>638</v>
      </c>
      <c r="I1357" s="213"/>
      <c r="J1357" s="213"/>
      <c r="K1357" s="213"/>
      <c r="L1357" s="213"/>
      <c r="M1357" s="213"/>
      <c r="N1357" s="213"/>
      <c r="O1357" s="213"/>
      <c r="P1357" s="213"/>
      <c r="Q1357" s="213"/>
      <c r="R1357" s="213"/>
      <c r="S1357" s="213"/>
      <c r="T1357" s="213"/>
      <c r="U1357" s="213" t="s">
        <v>559</v>
      </c>
      <c r="V1357" s="213">
        <v>1</v>
      </c>
      <c r="W1357" s="213" t="s">
        <v>560</v>
      </c>
      <c r="X1357" s="213" t="s">
        <v>541</v>
      </c>
      <c r="Y1357" s="213" t="s">
        <v>541</v>
      </c>
      <c r="Z1357" s="212">
        <v>0</v>
      </c>
      <c r="AA1357" s="212">
        <v>0</v>
      </c>
      <c r="AB1357" s="217">
        <v>0.56168399999999996</v>
      </c>
      <c r="AC1357" s="217">
        <v>0.90394399999999997</v>
      </c>
      <c r="AD1357" s="212">
        <f t="shared" si="21"/>
        <v>0</v>
      </c>
    </row>
    <row r="1358" spans="2:30" x14ac:dyDescent="0.15">
      <c r="B1358" s="213">
        <v>17043006528</v>
      </c>
      <c r="C1358" s="213">
        <v>17043004780</v>
      </c>
      <c r="D1358" s="213">
        <v>17043000579</v>
      </c>
      <c r="E1358" s="213" t="s">
        <v>533</v>
      </c>
      <c r="F1358" s="213" t="s">
        <v>534</v>
      </c>
      <c r="G1358" s="213" t="s">
        <v>367</v>
      </c>
      <c r="H1358" s="213" t="s">
        <v>382</v>
      </c>
      <c r="I1358" s="213"/>
      <c r="J1358" s="213"/>
      <c r="K1358" s="213"/>
      <c r="L1358" s="213"/>
      <c r="M1358" s="213"/>
      <c r="N1358" s="213"/>
      <c r="O1358" s="213"/>
      <c r="P1358" s="213"/>
      <c r="Q1358" s="213"/>
      <c r="R1358" s="213"/>
      <c r="S1358" s="213" t="s">
        <v>653</v>
      </c>
      <c r="T1358" s="213"/>
      <c r="U1358" s="213" t="s">
        <v>559</v>
      </c>
      <c r="V1358" s="213">
        <v>1</v>
      </c>
      <c r="W1358" s="213" t="s">
        <v>560</v>
      </c>
      <c r="X1358" s="213" t="s">
        <v>541</v>
      </c>
      <c r="Y1358" s="213" t="s">
        <v>541</v>
      </c>
      <c r="Z1358" s="212">
        <v>46894</v>
      </c>
      <c r="AA1358" s="212">
        <v>5608448</v>
      </c>
      <c r="AB1358" s="217">
        <v>0.20343800000000001</v>
      </c>
      <c r="AC1358" s="217">
        <v>0.32740200000000003</v>
      </c>
      <c r="AD1358" s="212">
        <f t="shared" si="21"/>
        <v>1140971.444224</v>
      </c>
    </row>
    <row r="1359" spans="2:30" x14ac:dyDescent="0.15">
      <c r="B1359" s="213">
        <v>17043006532</v>
      </c>
      <c r="C1359" s="213">
        <v>17043004634</v>
      </c>
      <c r="D1359" s="213">
        <v>17043004774</v>
      </c>
      <c r="E1359" s="213" t="s">
        <v>533</v>
      </c>
      <c r="F1359" s="213" t="s">
        <v>534</v>
      </c>
      <c r="G1359" s="213" t="s">
        <v>367</v>
      </c>
      <c r="H1359" s="213" t="s">
        <v>552</v>
      </c>
      <c r="I1359" s="213"/>
      <c r="J1359" s="213" t="s">
        <v>551</v>
      </c>
      <c r="K1359" s="213" t="s">
        <v>547</v>
      </c>
      <c r="L1359" s="213" t="s">
        <v>382</v>
      </c>
      <c r="M1359" s="213" t="s">
        <v>563</v>
      </c>
      <c r="N1359" s="213"/>
      <c r="O1359" s="213"/>
      <c r="P1359" s="213"/>
      <c r="Q1359" s="213"/>
      <c r="R1359" s="213"/>
      <c r="S1359" s="213" t="s">
        <v>589</v>
      </c>
      <c r="T1359" s="213" t="s">
        <v>632</v>
      </c>
      <c r="U1359" s="213" t="s">
        <v>538</v>
      </c>
      <c r="V1359" s="213">
        <v>2</v>
      </c>
      <c r="W1359" s="213" t="s">
        <v>545</v>
      </c>
      <c r="X1359" s="213" t="s">
        <v>549</v>
      </c>
      <c r="Y1359" s="213" t="s">
        <v>549</v>
      </c>
      <c r="Z1359" s="212">
        <v>505257</v>
      </c>
      <c r="AA1359" s="212">
        <v>34220158</v>
      </c>
      <c r="AB1359" s="217">
        <v>0.35178799999999999</v>
      </c>
      <c r="AC1359" s="217">
        <v>0.56614900000000001</v>
      </c>
      <c r="AD1359" s="212">
        <f t="shared" si="21"/>
        <v>12038240.942504</v>
      </c>
    </row>
    <row r="1360" spans="2:30" x14ac:dyDescent="0.15">
      <c r="B1360" s="213">
        <v>17043008190</v>
      </c>
      <c r="C1360" s="213">
        <v>17043006569</v>
      </c>
      <c r="D1360" s="213">
        <v>17043006563</v>
      </c>
      <c r="E1360" s="213" t="s">
        <v>533</v>
      </c>
      <c r="F1360" s="213" t="s">
        <v>534</v>
      </c>
      <c r="G1360" s="213" t="s">
        <v>367</v>
      </c>
      <c r="H1360" s="213" t="s">
        <v>382</v>
      </c>
      <c r="I1360" s="213"/>
      <c r="J1360" s="213"/>
      <c r="K1360" s="213"/>
      <c r="L1360" s="213"/>
      <c r="M1360" s="213"/>
      <c r="N1360" s="213"/>
      <c r="O1360" s="213"/>
      <c r="P1360" s="213"/>
      <c r="Q1360" s="213"/>
      <c r="R1360" s="213"/>
      <c r="S1360" s="213" t="s">
        <v>635</v>
      </c>
      <c r="T1360" s="213" t="s">
        <v>587</v>
      </c>
      <c r="U1360" s="213" t="s">
        <v>559</v>
      </c>
      <c r="V1360" s="213">
        <v>1</v>
      </c>
      <c r="W1360" s="213" t="s">
        <v>560</v>
      </c>
      <c r="X1360" s="213" t="s">
        <v>541</v>
      </c>
      <c r="Y1360" s="213" t="s">
        <v>541</v>
      </c>
      <c r="Z1360" s="212">
        <v>0</v>
      </c>
      <c r="AA1360" s="212">
        <v>0</v>
      </c>
      <c r="AB1360" s="217">
        <v>6.3062000000000007E-2</v>
      </c>
      <c r="AC1360" s="217">
        <v>0.101489</v>
      </c>
      <c r="AD1360" s="212">
        <f t="shared" si="21"/>
        <v>0</v>
      </c>
    </row>
    <row r="1361" spans="2:30" x14ac:dyDescent="0.15">
      <c r="B1361" s="213">
        <v>17043008200</v>
      </c>
      <c r="C1361" s="213">
        <v>17043006566</v>
      </c>
      <c r="D1361" s="213">
        <v>17043006568</v>
      </c>
      <c r="E1361" s="213" t="s">
        <v>533</v>
      </c>
      <c r="F1361" s="213" t="s">
        <v>534</v>
      </c>
      <c r="G1361" s="213" t="s">
        <v>367</v>
      </c>
      <c r="H1361" s="213" t="s">
        <v>382</v>
      </c>
      <c r="I1361" s="213"/>
      <c r="J1361" s="213"/>
      <c r="K1361" s="213"/>
      <c r="L1361" s="213"/>
      <c r="M1361" s="213"/>
      <c r="N1361" s="213"/>
      <c r="O1361" s="213"/>
      <c r="P1361" s="213"/>
      <c r="Q1361" s="213"/>
      <c r="R1361" s="213"/>
      <c r="S1361" s="213" t="s">
        <v>635</v>
      </c>
      <c r="T1361" s="213" t="s">
        <v>587</v>
      </c>
      <c r="U1361" s="213" t="s">
        <v>559</v>
      </c>
      <c r="V1361" s="213">
        <v>1</v>
      </c>
      <c r="W1361" s="213" t="s">
        <v>560</v>
      </c>
      <c r="X1361" s="213" t="s">
        <v>541</v>
      </c>
      <c r="Y1361" s="213" t="s">
        <v>541</v>
      </c>
      <c r="Z1361" s="212">
        <v>0</v>
      </c>
      <c r="AA1361" s="212">
        <v>0</v>
      </c>
      <c r="AB1361" s="217">
        <v>8.9109999999999995E-2</v>
      </c>
      <c r="AC1361" s="217">
        <v>0.14340900000000001</v>
      </c>
      <c r="AD1361" s="212">
        <f t="shared" si="21"/>
        <v>0</v>
      </c>
    </row>
    <row r="1362" spans="2:30" x14ac:dyDescent="0.15">
      <c r="B1362" s="213">
        <v>17043009071</v>
      </c>
      <c r="C1362" s="213">
        <v>17043007283</v>
      </c>
      <c r="D1362" s="213">
        <v>17043004895</v>
      </c>
      <c r="E1362" s="213" t="s">
        <v>533</v>
      </c>
      <c r="F1362" s="213" t="s">
        <v>534</v>
      </c>
      <c r="G1362" s="213" t="s">
        <v>367</v>
      </c>
      <c r="H1362" s="213" t="s">
        <v>535</v>
      </c>
      <c r="I1362" s="213"/>
      <c r="J1362" s="213" t="s">
        <v>536</v>
      </c>
      <c r="K1362" s="213" t="s">
        <v>382</v>
      </c>
      <c r="L1362" s="213"/>
      <c r="M1362" s="213"/>
      <c r="N1362" s="213"/>
      <c r="O1362" s="213"/>
      <c r="P1362" s="213"/>
      <c r="Q1362" s="213"/>
      <c r="R1362" s="213"/>
      <c r="S1362" s="213" t="s">
        <v>550</v>
      </c>
      <c r="T1362" s="213"/>
      <c r="U1362" s="213" t="s">
        <v>538</v>
      </c>
      <c r="V1362" s="213">
        <v>1</v>
      </c>
      <c r="W1362" s="213" t="s">
        <v>545</v>
      </c>
      <c r="X1362" s="213" t="s">
        <v>549</v>
      </c>
      <c r="Y1362" s="213" t="s">
        <v>540</v>
      </c>
      <c r="Z1362" s="212">
        <v>63523</v>
      </c>
      <c r="AA1362" s="212">
        <v>7173724</v>
      </c>
      <c r="AB1362" s="217">
        <v>0.95983799999999997</v>
      </c>
      <c r="AC1362" s="217">
        <v>1.544713</v>
      </c>
      <c r="AD1362" s="212">
        <f t="shared" si="21"/>
        <v>6885612.8967119996</v>
      </c>
    </row>
    <row r="1363" spans="2:30" x14ac:dyDescent="0.15">
      <c r="B1363" s="213">
        <v>17043009082</v>
      </c>
      <c r="C1363" s="213">
        <v>17043007291</v>
      </c>
      <c r="D1363" s="213">
        <v>17043007293</v>
      </c>
      <c r="E1363" s="213" t="s">
        <v>533</v>
      </c>
      <c r="F1363" s="213" t="s">
        <v>534</v>
      </c>
      <c r="G1363" s="213" t="s">
        <v>367</v>
      </c>
      <c r="H1363" s="213" t="s">
        <v>382</v>
      </c>
      <c r="I1363" s="213"/>
      <c r="J1363" s="213"/>
      <c r="K1363" s="213"/>
      <c r="L1363" s="213"/>
      <c r="M1363" s="213"/>
      <c r="N1363" s="213"/>
      <c r="O1363" s="213"/>
      <c r="P1363" s="213"/>
      <c r="Q1363" s="213"/>
      <c r="R1363" s="213"/>
      <c r="S1363" s="213"/>
      <c r="T1363" s="213"/>
      <c r="U1363" s="213" t="s">
        <v>559</v>
      </c>
      <c r="V1363" s="213">
        <v>1</v>
      </c>
      <c r="W1363" s="213" t="s">
        <v>560</v>
      </c>
      <c r="X1363" s="213" t="s">
        <v>541</v>
      </c>
      <c r="Y1363" s="213" t="s">
        <v>541</v>
      </c>
      <c r="Z1363" s="212">
        <v>0</v>
      </c>
      <c r="AA1363" s="212">
        <v>0</v>
      </c>
      <c r="AB1363" s="217">
        <v>0.34531000000000001</v>
      </c>
      <c r="AC1363" s="217">
        <v>0.555724</v>
      </c>
      <c r="AD1363" s="212">
        <f t="shared" si="21"/>
        <v>0</v>
      </c>
    </row>
    <row r="1364" spans="2:30" x14ac:dyDescent="0.15">
      <c r="B1364" s="213">
        <v>17043009123</v>
      </c>
      <c r="C1364" s="213">
        <v>17043007329</v>
      </c>
      <c r="D1364" s="213">
        <v>17043007330</v>
      </c>
      <c r="E1364" s="213" t="s">
        <v>533</v>
      </c>
      <c r="F1364" s="213" t="s">
        <v>534</v>
      </c>
      <c r="G1364" s="213" t="s">
        <v>367</v>
      </c>
      <c r="H1364" s="213" t="s">
        <v>535</v>
      </c>
      <c r="I1364" s="213"/>
      <c r="J1364" s="213"/>
      <c r="K1364" s="213"/>
      <c r="L1364" s="213"/>
      <c r="M1364" s="213"/>
      <c r="N1364" s="213"/>
      <c r="O1364" s="213"/>
      <c r="P1364" s="213"/>
      <c r="Q1364" s="213"/>
      <c r="R1364" s="213"/>
      <c r="S1364" s="213"/>
      <c r="T1364" s="213"/>
      <c r="U1364" s="213" t="s">
        <v>559</v>
      </c>
      <c r="V1364" s="213">
        <v>1</v>
      </c>
      <c r="W1364" s="213" t="s">
        <v>560</v>
      </c>
      <c r="X1364" s="213" t="s">
        <v>541</v>
      </c>
      <c r="Y1364" s="213" t="s">
        <v>541</v>
      </c>
      <c r="Z1364" s="212">
        <v>0</v>
      </c>
      <c r="AA1364" s="212">
        <v>0</v>
      </c>
      <c r="AB1364" s="217">
        <v>3.9003000000000003E-2</v>
      </c>
      <c r="AC1364" s="217">
        <v>6.2769000000000005E-2</v>
      </c>
      <c r="AD1364" s="212">
        <f t="shared" si="21"/>
        <v>0</v>
      </c>
    </row>
    <row r="1365" spans="2:30" x14ac:dyDescent="0.15">
      <c r="B1365" s="213">
        <v>17043009130</v>
      </c>
      <c r="C1365" s="213">
        <v>17043000364</v>
      </c>
      <c r="D1365" s="213">
        <v>17043007337</v>
      </c>
      <c r="E1365" s="213" t="s">
        <v>533</v>
      </c>
      <c r="F1365" s="213" t="s">
        <v>534</v>
      </c>
      <c r="G1365" s="213" t="s">
        <v>367</v>
      </c>
      <c r="H1365" s="213" t="s">
        <v>552</v>
      </c>
      <c r="I1365" s="213"/>
      <c r="J1365" s="213"/>
      <c r="K1365" s="213"/>
      <c r="L1365" s="213"/>
      <c r="M1365" s="213"/>
      <c r="N1365" s="213"/>
      <c r="O1365" s="213"/>
      <c r="P1365" s="213"/>
      <c r="Q1365" s="213"/>
      <c r="R1365" s="213"/>
      <c r="S1365" s="213"/>
      <c r="T1365" s="213"/>
      <c r="U1365" s="213" t="s">
        <v>559</v>
      </c>
      <c r="V1365" s="213">
        <v>1</v>
      </c>
      <c r="W1365" s="213" t="s">
        <v>560</v>
      </c>
      <c r="X1365" s="213" t="s">
        <v>541</v>
      </c>
      <c r="Y1365" s="213" t="s">
        <v>541</v>
      </c>
      <c r="Z1365" s="212">
        <v>0</v>
      </c>
      <c r="AA1365" s="212">
        <v>0</v>
      </c>
      <c r="AB1365" s="217">
        <v>0.11065</v>
      </c>
      <c r="AC1365" s="217">
        <v>0.17807500000000001</v>
      </c>
      <c r="AD1365" s="212">
        <f t="shared" si="21"/>
        <v>0</v>
      </c>
    </row>
    <row r="1366" spans="2:30" x14ac:dyDescent="0.15">
      <c r="B1366" s="213">
        <v>17043009139</v>
      </c>
      <c r="C1366" s="213">
        <v>17043007345</v>
      </c>
      <c r="D1366" s="213">
        <v>17043004770</v>
      </c>
      <c r="E1366" s="213" t="s">
        <v>533</v>
      </c>
      <c r="F1366" s="213" t="s">
        <v>534</v>
      </c>
      <c r="G1366" s="213" t="s">
        <v>367</v>
      </c>
      <c r="H1366" s="213" t="s">
        <v>552</v>
      </c>
      <c r="I1366" s="213"/>
      <c r="J1366" s="213"/>
      <c r="K1366" s="213"/>
      <c r="L1366" s="213"/>
      <c r="M1366" s="213"/>
      <c r="N1366" s="213"/>
      <c r="O1366" s="213"/>
      <c r="P1366" s="213"/>
      <c r="Q1366" s="213"/>
      <c r="R1366" s="213"/>
      <c r="S1366" s="213"/>
      <c r="T1366" s="213"/>
      <c r="U1366" s="213" t="s">
        <v>559</v>
      </c>
      <c r="V1366" s="213">
        <v>1</v>
      </c>
      <c r="W1366" s="213" t="s">
        <v>560</v>
      </c>
      <c r="X1366" s="213" t="s">
        <v>541</v>
      </c>
      <c r="Y1366" s="213" t="s">
        <v>541</v>
      </c>
      <c r="Z1366" s="212">
        <v>0</v>
      </c>
      <c r="AA1366" s="212">
        <v>0</v>
      </c>
      <c r="AB1366" s="217">
        <v>0.16194700000000001</v>
      </c>
      <c r="AC1366" s="217">
        <v>0.26062999999999997</v>
      </c>
      <c r="AD1366" s="212">
        <f t="shared" si="21"/>
        <v>0</v>
      </c>
    </row>
    <row r="1367" spans="2:30" x14ac:dyDescent="0.15">
      <c r="B1367" s="213">
        <v>17043009149</v>
      </c>
      <c r="C1367" s="213">
        <v>17999020464</v>
      </c>
      <c r="D1367" s="213">
        <v>17043007355</v>
      </c>
      <c r="E1367" s="213" t="s">
        <v>533</v>
      </c>
      <c r="F1367" s="213" t="s">
        <v>534</v>
      </c>
      <c r="G1367" s="213" t="s">
        <v>367</v>
      </c>
      <c r="H1367" s="213" t="s">
        <v>382</v>
      </c>
      <c r="I1367" s="213"/>
      <c r="J1367" s="213"/>
      <c r="K1367" s="213"/>
      <c r="L1367" s="213"/>
      <c r="M1367" s="213"/>
      <c r="N1367" s="213"/>
      <c r="O1367" s="213"/>
      <c r="P1367" s="213"/>
      <c r="Q1367" s="213"/>
      <c r="R1367" s="213"/>
      <c r="S1367" s="213" t="s">
        <v>635</v>
      </c>
      <c r="T1367" s="213"/>
      <c r="U1367" s="213" t="s">
        <v>559</v>
      </c>
      <c r="V1367" s="213">
        <v>1</v>
      </c>
      <c r="W1367" s="213" t="s">
        <v>560</v>
      </c>
      <c r="X1367" s="213" t="s">
        <v>541</v>
      </c>
      <c r="Y1367" s="213" t="s">
        <v>541</v>
      </c>
      <c r="Z1367" s="212">
        <v>40</v>
      </c>
      <c r="AA1367" s="212">
        <v>3360</v>
      </c>
      <c r="AB1367" s="217">
        <v>1.159368</v>
      </c>
      <c r="AC1367" s="217">
        <v>1.865826</v>
      </c>
      <c r="AD1367" s="212">
        <f t="shared" si="21"/>
        <v>3895.4764799999998</v>
      </c>
    </row>
    <row r="1368" spans="2:30" x14ac:dyDescent="0.15">
      <c r="B1368" s="213">
        <v>17043009160</v>
      </c>
      <c r="C1368" s="213">
        <v>17043007368</v>
      </c>
      <c r="D1368" s="213">
        <v>17043007362</v>
      </c>
      <c r="E1368" s="213" t="s">
        <v>533</v>
      </c>
      <c r="F1368" s="213" t="s">
        <v>534</v>
      </c>
      <c r="G1368" s="213" t="s">
        <v>367</v>
      </c>
      <c r="H1368" s="213" t="s">
        <v>382</v>
      </c>
      <c r="I1368" s="213"/>
      <c r="J1368" s="213"/>
      <c r="K1368" s="213"/>
      <c r="L1368" s="213"/>
      <c r="M1368" s="213"/>
      <c r="N1368" s="213"/>
      <c r="O1368" s="213"/>
      <c r="P1368" s="213"/>
      <c r="Q1368" s="213"/>
      <c r="R1368" s="213"/>
      <c r="S1368" s="213" t="s">
        <v>561</v>
      </c>
      <c r="T1368" s="213"/>
      <c r="U1368" s="213" t="s">
        <v>538</v>
      </c>
      <c r="V1368" s="213">
        <v>1</v>
      </c>
      <c r="W1368" s="213" t="s">
        <v>562</v>
      </c>
      <c r="X1368" s="213" t="s">
        <v>540</v>
      </c>
      <c r="Y1368" s="213" t="s">
        <v>541</v>
      </c>
      <c r="Z1368" s="212">
        <v>26584</v>
      </c>
      <c r="AA1368" s="212">
        <v>636580</v>
      </c>
      <c r="AB1368" s="217">
        <v>0.20298099999999999</v>
      </c>
      <c r="AC1368" s="217">
        <v>0.32666600000000001</v>
      </c>
      <c r="AD1368" s="212">
        <f t="shared" si="21"/>
        <v>129213.64498</v>
      </c>
    </row>
    <row r="1369" spans="2:30" x14ac:dyDescent="0.15">
      <c r="B1369" s="213">
        <v>17089001823</v>
      </c>
      <c r="C1369" s="213">
        <v>17089001056</v>
      </c>
      <c r="D1369" s="213">
        <v>17089001050</v>
      </c>
      <c r="E1369" s="213" t="s">
        <v>533</v>
      </c>
      <c r="F1369" s="213" t="s">
        <v>534</v>
      </c>
      <c r="G1369" s="213" t="s">
        <v>369</v>
      </c>
      <c r="H1369" s="213" t="s">
        <v>381</v>
      </c>
      <c r="I1369" s="213"/>
      <c r="J1369" s="213"/>
      <c r="K1369" s="213"/>
      <c r="L1369" s="213"/>
      <c r="M1369" s="213"/>
      <c r="N1369" s="213"/>
      <c r="O1369" s="213"/>
      <c r="P1369" s="213"/>
      <c r="Q1369" s="213"/>
      <c r="R1369" s="213"/>
      <c r="S1369" s="213" t="s">
        <v>595</v>
      </c>
      <c r="T1369" s="213"/>
      <c r="U1369" s="213" t="s">
        <v>538</v>
      </c>
      <c r="V1369" s="213">
        <v>1</v>
      </c>
      <c r="W1369" s="213" t="s">
        <v>545</v>
      </c>
      <c r="X1369" s="213" t="s">
        <v>549</v>
      </c>
      <c r="Y1369" s="213" t="s">
        <v>546</v>
      </c>
      <c r="Z1369" s="212">
        <v>969717</v>
      </c>
      <c r="AA1369" s="212">
        <v>40873798</v>
      </c>
      <c r="AB1369" s="217">
        <v>0.45287899999999998</v>
      </c>
      <c r="AC1369" s="217">
        <v>0.72883900000000001</v>
      </c>
      <c r="AD1369" s="212">
        <f t="shared" si="21"/>
        <v>18510884.764442001</v>
      </c>
    </row>
    <row r="1370" spans="2:30" x14ac:dyDescent="0.15">
      <c r="B1370" s="213">
        <v>17089002033</v>
      </c>
      <c r="C1370" s="213">
        <v>17089004850</v>
      </c>
      <c r="D1370" s="213">
        <v>17089000297</v>
      </c>
      <c r="E1370" s="213" t="s">
        <v>533</v>
      </c>
      <c r="F1370" s="213" t="s">
        <v>534</v>
      </c>
      <c r="G1370" s="213" t="s">
        <v>369</v>
      </c>
      <c r="H1370" s="213" t="s">
        <v>535</v>
      </c>
      <c r="I1370" s="213"/>
      <c r="J1370" s="213"/>
      <c r="K1370" s="213"/>
      <c r="L1370" s="213"/>
      <c r="M1370" s="213"/>
      <c r="N1370" s="213"/>
      <c r="O1370" s="213"/>
      <c r="P1370" s="213"/>
      <c r="Q1370" s="213"/>
      <c r="R1370" s="213"/>
      <c r="S1370" s="213" t="s">
        <v>624</v>
      </c>
      <c r="T1370" s="213"/>
      <c r="U1370" s="213" t="s">
        <v>538</v>
      </c>
      <c r="V1370" s="213">
        <v>1</v>
      </c>
      <c r="W1370" s="213" t="s">
        <v>582</v>
      </c>
      <c r="X1370" s="213" t="s">
        <v>549</v>
      </c>
      <c r="Y1370" s="213" t="s">
        <v>554</v>
      </c>
      <c r="Z1370" s="212">
        <v>40347</v>
      </c>
      <c r="AA1370" s="212">
        <v>3848660</v>
      </c>
      <c r="AB1370" s="217">
        <v>4.8643510000000001</v>
      </c>
      <c r="AC1370" s="217">
        <v>7.82843</v>
      </c>
      <c r="AD1370" s="212">
        <f t="shared" si="21"/>
        <v>18721233.119660001</v>
      </c>
    </row>
    <row r="1371" spans="2:30" x14ac:dyDescent="0.15">
      <c r="B1371" s="213">
        <v>17089002037</v>
      </c>
      <c r="C1371" s="213">
        <v>17089004849</v>
      </c>
      <c r="D1371" s="213">
        <v>17089004850</v>
      </c>
      <c r="E1371" s="213" t="s">
        <v>533</v>
      </c>
      <c r="F1371" s="213" t="s">
        <v>534</v>
      </c>
      <c r="G1371" s="213" t="s">
        <v>369</v>
      </c>
      <c r="H1371" s="213" t="s">
        <v>535</v>
      </c>
      <c r="I1371" s="213"/>
      <c r="J1371" s="213"/>
      <c r="K1371" s="213"/>
      <c r="L1371" s="213"/>
      <c r="M1371" s="213"/>
      <c r="N1371" s="213"/>
      <c r="O1371" s="213"/>
      <c r="P1371" s="213"/>
      <c r="Q1371" s="213"/>
      <c r="R1371" s="213"/>
      <c r="S1371" s="213" t="s">
        <v>624</v>
      </c>
      <c r="T1371" s="213"/>
      <c r="U1371" s="213" t="s">
        <v>538</v>
      </c>
      <c r="V1371" s="213">
        <v>1</v>
      </c>
      <c r="W1371" s="213" t="s">
        <v>582</v>
      </c>
      <c r="X1371" s="213" t="s">
        <v>549</v>
      </c>
      <c r="Y1371" s="213" t="s">
        <v>554</v>
      </c>
      <c r="Z1371" s="212">
        <v>40347</v>
      </c>
      <c r="AA1371" s="212">
        <v>3848660</v>
      </c>
      <c r="AB1371" s="217">
        <v>2.4022350000000001</v>
      </c>
      <c r="AC1371" s="217">
        <v>3.8660299999999999</v>
      </c>
      <c r="AD1371" s="212">
        <f t="shared" si="21"/>
        <v>9245385.7551000006</v>
      </c>
    </row>
    <row r="1372" spans="2:30" x14ac:dyDescent="0.15">
      <c r="B1372" s="213">
        <v>17089002039</v>
      </c>
      <c r="C1372" s="213">
        <v>17089000361</v>
      </c>
      <c r="D1372" s="213">
        <v>17089004849</v>
      </c>
      <c r="E1372" s="213" t="s">
        <v>533</v>
      </c>
      <c r="F1372" s="213" t="s">
        <v>534</v>
      </c>
      <c r="G1372" s="213" t="s">
        <v>369</v>
      </c>
      <c r="H1372" s="213" t="s">
        <v>535</v>
      </c>
      <c r="I1372" s="213"/>
      <c r="J1372" s="213"/>
      <c r="K1372" s="213"/>
      <c r="L1372" s="213"/>
      <c r="M1372" s="213"/>
      <c r="N1372" s="213"/>
      <c r="O1372" s="213"/>
      <c r="P1372" s="213"/>
      <c r="Q1372" s="213"/>
      <c r="R1372" s="213"/>
      <c r="S1372" s="213" t="s">
        <v>624</v>
      </c>
      <c r="T1372" s="213"/>
      <c r="U1372" s="213" t="s">
        <v>538</v>
      </c>
      <c r="V1372" s="213">
        <v>1</v>
      </c>
      <c r="W1372" s="213" t="s">
        <v>582</v>
      </c>
      <c r="X1372" s="213" t="s">
        <v>549</v>
      </c>
      <c r="Y1372" s="213" t="s">
        <v>554</v>
      </c>
      <c r="Z1372" s="212">
        <v>40347</v>
      </c>
      <c r="AA1372" s="212">
        <v>3848660</v>
      </c>
      <c r="AB1372" s="217">
        <v>2.8643299999999998</v>
      </c>
      <c r="AC1372" s="217">
        <v>4.6097020000000004</v>
      </c>
      <c r="AD1372" s="212">
        <f t="shared" si="21"/>
        <v>11023832.297799999</v>
      </c>
    </row>
    <row r="1373" spans="2:30" x14ac:dyDescent="0.15">
      <c r="B1373" s="213">
        <v>17089002040</v>
      </c>
      <c r="C1373" s="213">
        <v>17089000379</v>
      </c>
      <c r="D1373" s="213">
        <v>17089000361</v>
      </c>
      <c r="E1373" s="213" t="s">
        <v>533</v>
      </c>
      <c r="F1373" s="213" t="s">
        <v>534</v>
      </c>
      <c r="G1373" s="213" t="s">
        <v>369</v>
      </c>
      <c r="H1373" s="213" t="s">
        <v>535</v>
      </c>
      <c r="I1373" s="213"/>
      <c r="J1373" s="213"/>
      <c r="K1373" s="213"/>
      <c r="L1373" s="213"/>
      <c r="M1373" s="213"/>
      <c r="N1373" s="213"/>
      <c r="O1373" s="213"/>
      <c r="P1373" s="213"/>
      <c r="Q1373" s="213"/>
      <c r="R1373" s="213"/>
      <c r="S1373" s="213" t="s">
        <v>624</v>
      </c>
      <c r="T1373" s="213"/>
      <c r="U1373" s="213" t="s">
        <v>538</v>
      </c>
      <c r="V1373" s="213">
        <v>1</v>
      </c>
      <c r="W1373" s="213" t="s">
        <v>582</v>
      </c>
      <c r="X1373" s="213" t="s">
        <v>549</v>
      </c>
      <c r="Y1373" s="213" t="s">
        <v>554</v>
      </c>
      <c r="Z1373" s="212">
        <v>40347</v>
      </c>
      <c r="AA1373" s="212">
        <v>3848660</v>
      </c>
      <c r="AB1373" s="217">
        <v>2.5022660000000001</v>
      </c>
      <c r="AC1373" s="217">
        <v>4.0270140000000003</v>
      </c>
      <c r="AD1373" s="212">
        <f t="shared" si="21"/>
        <v>9630371.0635599997</v>
      </c>
    </row>
    <row r="1374" spans="2:30" x14ac:dyDescent="0.15">
      <c r="B1374" s="213">
        <v>17089002044</v>
      </c>
      <c r="C1374" s="213">
        <v>17089004848</v>
      </c>
      <c r="D1374" s="213">
        <v>17089000544</v>
      </c>
      <c r="E1374" s="213" t="s">
        <v>533</v>
      </c>
      <c r="F1374" s="213" t="s">
        <v>534</v>
      </c>
      <c r="G1374" s="213" t="s">
        <v>369</v>
      </c>
      <c r="H1374" s="213" t="s">
        <v>382</v>
      </c>
      <c r="I1374" s="213"/>
      <c r="J1374" s="213" t="s">
        <v>547</v>
      </c>
      <c r="K1374" s="213"/>
      <c r="L1374" s="213"/>
      <c r="M1374" s="213"/>
      <c r="N1374" s="213"/>
      <c r="O1374" s="213"/>
      <c r="P1374" s="213"/>
      <c r="Q1374" s="213"/>
      <c r="R1374" s="213"/>
      <c r="S1374" s="213" t="s">
        <v>583</v>
      </c>
      <c r="T1374" s="213"/>
      <c r="U1374" s="213" t="s">
        <v>538</v>
      </c>
      <c r="V1374" s="213">
        <v>3</v>
      </c>
      <c r="W1374" s="213" t="s">
        <v>588</v>
      </c>
      <c r="X1374" s="213" t="s">
        <v>549</v>
      </c>
      <c r="Y1374" s="213" t="s">
        <v>575</v>
      </c>
      <c r="Z1374" s="212">
        <v>1961175</v>
      </c>
      <c r="AA1374" s="212">
        <v>73798714</v>
      </c>
      <c r="AB1374" s="217">
        <v>2.7214469999999999</v>
      </c>
      <c r="AC1374" s="217">
        <v>4.379753</v>
      </c>
      <c r="AD1374" s="212">
        <f t="shared" si="21"/>
        <v>200839288.81915799</v>
      </c>
    </row>
    <row r="1375" spans="2:30" x14ac:dyDescent="0.15">
      <c r="B1375" s="213">
        <v>17089002201</v>
      </c>
      <c r="C1375" s="213">
        <v>17089004853</v>
      </c>
      <c r="D1375" s="213">
        <v>17089000304</v>
      </c>
      <c r="E1375" s="213" t="s">
        <v>533</v>
      </c>
      <c r="F1375" s="213" t="s">
        <v>534</v>
      </c>
      <c r="G1375" s="213" t="s">
        <v>369</v>
      </c>
      <c r="H1375" s="213" t="s">
        <v>552</v>
      </c>
      <c r="I1375" s="213"/>
      <c r="J1375" s="213" t="s">
        <v>547</v>
      </c>
      <c r="K1375" s="213"/>
      <c r="L1375" s="213"/>
      <c r="M1375" s="213"/>
      <c r="N1375" s="213"/>
      <c r="O1375" s="213"/>
      <c r="P1375" s="213"/>
      <c r="Q1375" s="213"/>
      <c r="R1375" s="213"/>
      <c r="S1375" s="213" t="s">
        <v>589</v>
      </c>
      <c r="T1375" s="213"/>
      <c r="U1375" s="213" t="s">
        <v>538</v>
      </c>
      <c r="V1375" s="213">
        <v>2</v>
      </c>
      <c r="W1375" s="213" t="s">
        <v>545</v>
      </c>
      <c r="X1375" s="213" t="s">
        <v>549</v>
      </c>
      <c r="Y1375" s="213" t="s">
        <v>540</v>
      </c>
      <c r="Z1375" s="212">
        <v>62891</v>
      </c>
      <c r="AA1375" s="212">
        <v>6630348</v>
      </c>
      <c r="AB1375" s="217">
        <v>0.77068899999999996</v>
      </c>
      <c r="AC1375" s="217">
        <v>1.2403059999999999</v>
      </c>
      <c r="AD1375" s="212">
        <f t="shared" si="21"/>
        <v>5109936.2697719997</v>
      </c>
    </row>
    <row r="1376" spans="2:30" x14ac:dyDescent="0.15">
      <c r="B1376" s="213">
        <v>17089002202</v>
      </c>
      <c r="C1376" s="213">
        <v>17089004851</v>
      </c>
      <c r="D1376" s="213">
        <v>17089004852</v>
      </c>
      <c r="E1376" s="213" t="s">
        <v>533</v>
      </c>
      <c r="F1376" s="213" t="s">
        <v>534</v>
      </c>
      <c r="G1376" s="213" t="s">
        <v>369</v>
      </c>
      <c r="H1376" s="213" t="s">
        <v>552</v>
      </c>
      <c r="I1376" s="213"/>
      <c r="J1376" s="213" t="s">
        <v>547</v>
      </c>
      <c r="K1376" s="213"/>
      <c r="L1376" s="213"/>
      <c r="M1376" s="213"/>
      <c r="N1376" s="213"/>
      <c r="O1376" s="213"/>
      <c r="P1376" s="213"/>
      <c r="Q1376" s="213"/>
      <c r="R1376" s="213"/>
      <c r="S1376" s="213" t="s">
        <v>589</v>
      </c>
      <c r="T1376" s="213"/>
      <c r="U1376" s="213" t="s">
        <v>538</v>
      </c>
      <c r="V1376" s="213">
        <v>1</v>
      </c>
      <c r="W1376" s="213" t="s">
        <v>545</v>
      </c>
      <c r="X1376" s="213" t="s">
        <v>549</v>
      </c>
      <c r="Y1376" s="213" t="s">
        <v>540</v>
      </c>
      <c r="Z1376" s="212">
        <v>62891</v>
      </c>
      <c r="AA1376" s="212">
        <v>6630348</v>
      </c>
      <c r="AB1376" s="217">
        <v>0.256436</v>
      </c>
      <c r="AC1376" s="217">
        <v>0.41269499999999998</v>
      </c>
      <c r="AD1376" s="212">
        <f t="shared" si="21"/>
        <v>1700259.9197279999</v>
      </c>
    </row>
    <row r="1377" spans="2:30" x14ac:dyDescent="0.15">
      <c r="B1377" s="213">
        <v>17089003097</v>
      </c>
      <c r="C1377" s="213">
        <v>17089004845</v>
      </c>
      <c r="D1377" s="213">
        <v>17089000598</v>
      </c>
      <c r="E1377" s="213" t="s">
        <v>533</v>
      </c>
      <c r="F1377" s="213" t="s">
        <v>534</v>
      </c>
      <c r="G1377" s="213" t="s">
        <v>369</v>
      </c>
      <c r="H1377" s="213" t="s">
        <v>382</v>
      </c>
      <c r="I1377" s="213"/>
      <c r="J1377" s="213" t="s">
        <v>547</v>
      </c>
      <c r="K1377" s="213"/>
      <c r="L1377" s="213"/>
      <c r="M1377" s="213"/>
      <c r="N1377" s="213"/>
      <c r="O1377" s="213"/>
      <c r="P1377" s="213"/>
      <c r="Q1377" s="213"/>
      <c r="R1377" s="213"/>
      <c r="S1377" s="213" t="s">
        <v>583</v>
      </c>
      <c r="T1377" s="213"/>
      <c r="U1377" s="213" t="s">
        <v>538</v>
      </c>
      <c r="V1377" s="213">
        <v>3</v>
      </c>
      <c r="W1377" s="213" t="s">
        <v>588</v>
      </c>
      <c r="X1377" s="213" t="s">
        <v>549</v>
      </c>
      <c r="Y1377" s="213" t="s">
        <v>575</v>
      </c>
      <c r="Z1377" s="212">
        <v>1961215</v>
      </c>
      <c r="AA1377" s="212">
        <v>73807914</v>
      </c>
      <c r="AB1377" s="217">
        <v>1.1730689999999999</v>
      </c>
      <c r="AC1377" s="217">
        <v>1.8878760000000001</v>
      </c>
      <c r="AD1377" s="212">
        <f t="shared" si="21"/>
        <v>86581775.868065998</v>
      </c>
    </row>
    <row r="1378" spans="2:30" x14ac:dyDescent="0.15">
      <c r="B1378" s="213">
        <v>17089003099</v>
      </c>
      <c r="C1378" s="213">
        <v>17089001050</v>
      </c>
      <c r="D1378" s="213">
        <v>17089001038</v>
      </c>
      <c r="E1378" s="213" t="s">
        <v>533</v>
      </c>
      <c r="F1378" s="213" t="s">
        <v>534</v>
      </c>
      <c r="G1378" s="213" t="s">
        <v>369</v>
      </c>
      <c r="H1378" s="213" t="s">
        <v>381</v>
      </c>
      <c r="I1378" s="213"/>
      <c r="J1378" s="213" t="s">
        <v>542</v>
      </c>
      <c r="K1378" s="213" t="s">
        <v>578</v>
      </c>
      <c r="L1378" s="213" t="s">
        <v>382</v>
      </c>
      <c r="M1378" s="213"/>
      <c r="N1378" s="213"/>
      <c r="O1378" s="213"/>
      <c r="P1378" s="213"/>
      <c r="Q1378" s="213"/>
      <c r="R1378" s="213"/>
      <c r="S1378" s="213" t="s">
        <v>579</v>
      </c>
      <c r="T1378" s="213"/>
      <c r="U1378" s="213" t="s">
        <v>538</v>
      </c>
      <c r="V1378" s="213">
        <v>2</v>
      </c>
      <c r="W1378" s="213" t="s">
        <v>545</v>
      </c>
      <c r="X1378" s="213" t="s">
        <v>549</v>
      </c>
      <c r="Y1378" s="213" t="s">
        <v>575</v>
      </c>
      <c r="Z1378" s="212">
        <v>2799538</v>
      </c>
      <c r="AA1378" s="212">
        <v>85702092</v>
      </c>
      <c r="AB1378" s="217">
        <v>0.74954399999999999</v>
      </c>
      <c r="AC1378" s="217">
        <v>1.206277</v>
      </c>
      <c r="AD1378" s="212">
        <f t="shared" si="21"/>
        <v>64237488.846047997</v>
      </c>
    </row>
    <row r="1379" spans="2:30" x14ac:dyDescent="0.15">
      <c r="B1379" s="213">
        <v>17089003255</v>
      </c>
      <c r="C1379" s="213">
        <v>17089001010</v>
      </c>
      <c r="D1379" s="213">
        <v>17089000990</v>
      </c>
      <c r="E1379" s="213" t="s">
        <v>533</v>
      </c>
      <c r="F1379" s="213" t="s">
        <v>534</v>
      </c>
      <c r="G1379" s="213" t="s">
        <v>369</v>
      </c>
      <c r="H1379" s="213" t="s">
        <v>547</v>
      </c>
      <c r="I1379" s="213"/>
      <c r="J1379" s="213"/>
      <c r="K1379" s="213"/>
      <c r="L1379" s="213"/>
      <c r="M1379" s="213"/>
      <c r="N1379" s="213"/>
      <c r="O1379" s="213"/>
      <c r="P1379" s="213"/>
      <c r="Q1379" s="213"/>
      <c r="R1379" s="213"/>
      <c r="S1379" s="213"/>
      <c r="T1379" s="213"/>
      <c r="U1379" s="213" t="s">
        <v>538</v>
      </c>
      <c r="V1379" s="213">
        <v>2</v>
      </c>
      <c r="W1379" s="213" t="s">
        <v>545</v>
      </c>
      <c r="X1379" s="213" t="s">
        <v>554</v>
      </c>
      <c r="Y1379" s="213" t="s">
        <v>541</v>
      </c>
      <c r="Z1379" s="212">
        <v>0</v>
      </c>
      <c r="AA1379" s="212">
        <v>0</v>
      </c>
      <c r="AB1379" s="217">
        <v>0.52129300000000001</v>
      </c>
      <c r="AC1379" s="217">
        <v>0.83894199999999997</v>
      </c>
      <c r="AD1379" s="212">
        <f t="shared" si="21"/>
        <v>0</v>
      </c>
    </row>
    <row r="1380" spans="2:30" x14ac:dyDescent="0.15">
      <c r="B1380" s="213">
        <v>17089003510</v>
      </c>
      <c r="C1380" s="213">
        <v>17089000598</v>
      </c>
      <c r="D1380" s="213">
        <v>17999020738</v>
      </c>
      <c r="E1380" s="213" t="s">
        <v>533</v>
      </c>
      <c r="F1380" s="213" t="s">
        <v>534</v>
      </c>
      <c r="G1380" s="213" t="s">
        <v>369</v>
      </c>
      <c r="H1380" s="213" t="s">
        <v>382</v>
      </c>
      <c r="I1380" s="213"/>
      <c r="J1380" s="213" t="s">
        <v>547</v>
      </c>
      <c r="K1380" s="213"/>
      <c r="L1380" s="213"/>
      <c r="M1380" s="213"/>
      <c r="N1380" s="213"/>
      <c r="O1380" s="213"/>
      <c r="P1380" s="213"/>
      <c r="Q1380" s="213"/>
      <c r="R1380" s="213"/>
      <c r="S1380" s="213" t="s">
        <v>583</v>
      </c>
      <c r="T1380" s="213"/>
      <c r="U1380" s="213" t="s">
        <v>538</v>
      </c>
      <c r="V1380" s="213">
        <v>3</v>
      </c>
      <c r="W1380" s="213" t="s">
        <v>588</v>
      </c>
      <c r="X1380" s="213" t="s">
        <v>549</v>
      </c>
      <c r="Y1380" s="213" t="s">
        <v>575</v>
      </c>
      <c r="Z1380" s="212">
        <v>1961215</v>
      </c>
      <c r="AA1380" s="212">
        <v>73807914</v>
      </c>
      <c r="AB1380" s="217">
        <v>1.266664</v>
      </c>
      <c r="AC1380" s="217">
        <v>2.0385019999999998</v>
      </c>
      <c r="AD1380" s="212">
        <f t="shared" si="21"/>
        <v>93489827.578896001</v>
      </c>
    </row>
    <row r="1381" spans="2:30" x14ac:dyDescent="0.15">
      <c r="B1381" s="213">
        <v>17089003970</v>
      </c>
      <c r="C1381" s="213">
        <v>17089000960</v>
      </c>
      <c r="D1381" s="213">
        <v>17999021568</v>
      </c>
      <c r="E1381" s="213" t="s">
        <v>533</v>
      </c>
      <c r="F1381" s="213" t="s">
        <v>534</v>
      </c>
      <c r="G1381" s="213" t="s">
        <v>369</v>
      </c>
      <c r="H1381" s="213" t="s">
        <v>381</v>
      </c>
      <c r="I1381" s="213"/>
      <c r="J1381" s="213" t="s">
        <v>542</v>
      </c>
      <c r="K1381" s="213" t="s">
        <v>578</v>
      </c>
      <c r="L1381" s="213" t="s">
        <v>547</v>
      </c>
      <c r="M1381" s="213" t="s">
        <v>382</v>
      </c>
      <c r="N1381" s="213"/>
      <c r="O1381" s="213"/>
      <c r="P1381" s="213"/>
      <c r="Q1381" s="213"/>
      <c r="R1381" s="213"/>
      <c r="S1381" s="213" t="s">
        <v>579</v>
      </c>
      <c r="T1381" s="213" t="s">
        <v>694</v>
      </c>
      <c r="U1381" s="213" t="s">
        <v>538</v>
      </c>
      <c r="V1381" s="213">
        <v>3</v>
      </c>
      <c r="W1381" s="213" t="s">
        <v>545</v>
      </c>
      <c r="X1381" s="213" t="s">
        <v>540</v>
      </c>
      <c r="Y1381" s="213" t="s">
        <v>575</v>
      </c>
      <c r="Z1381" s="212">
        <v>2798738</v>
      </c>
      <c r="AA1381" s="212">
        <v>85650772</v>
      </c>
      <c r="AB1381" s="217">
        <v>0.608039</v>
      </c>
      <c r="AC1381" s="217">
        <v>0.97854600000000003</v>
      </c>
      <c r="AD1381" s="212">
        <f t="shared" si="21"/>
        <v>52079009.756108001</v>
      </c>
    </row>
    <row r="1382" spans="2:30" x14ac:dyDescent="0.15">
      <c r="B1382" s="213">
        <v>17089006564</v>
      </c>
      <c r="C1382" s="213">
        <v>17089000476</v>
      </c>
      <c r="D1382" s="213">
        <v>17089000473</v>
      </c>
      <c r="E1382" s="213" t="s">
        <v>533</v>
      </c>
      <c r="F1382" s="213" t="s">
        <v>534</v>
      </c>
      <c r="G1382" s="213" t="s">
        <v>369</v>
      </c>
      <c r="H1382" s="213" t="s">
        <v>382</v>
      </c>
      <c r="I1382" s="213"/>
      <c r="J1382" s="213"/>
      <c r="K1382" s="213"/>
      <c r="L1382" s="213"/>
      <c r="M1382" s="213"/>
      <c r="N1382" s="213"/>
      <c r="O1382" s="213"/>
      <c r="P1382" s="213"/>
      <c r="Q1382" s="213"/>
      <c r="R1382" s="213"/>
      <c r="S1382" s="213" t="s">
        <v>635</v>
      </c>
      <c r="T1382" s="213"/>
      <c r="U1382" s="213" t="s">
        <v>559</v>
      </c>
      <c r="V1382" s="213">
        <v>1</v>
      </c>
      <c r="W1382" s="213" t="s">
        <v>560</v>
      </c>
      <c r="X1382" s="213" t="s">
        <v>541</v>
      </c>
      <c r="Y1382" s="213" t="s">
        <v>541</v>
      </c>
      <c r="Z1382" s="212">
        <v>0</v>
      </c>
      <c r="AA1382" s="212">
        <v>0</v>
      </c>
      <c r="AB1382" s="217">
        <v>0.225996</v>
      </c>
      <c r="AC1382" s="217">
        <v>0.363707</v>
      </c>
      <c r="AD1382" s="212">
        <f t="shared" si="21"/>
        <v>0</v>
      </c>
    </row>
    <row r="1383" spans="2:30" x14ac:dyDescent="0.15">
      <c r="B1383" s="213">
        <v>17089006566</v>
      </c>
      <c r="C1383" s="213">
        <v>17089004854</v>
      </c>
      <c r="D1383" s="213">
        <v>17089000288</v>
      </c>
      <c r="E1383" s="213" t="s">
        <v>533</v>
      </c>
      <c r="F1383" s="213" t="s">
        <v>534</v>
      </c>
      <c r="G1383" s="213" t="s">
        <v>369</v>
      </c>
      <c r="H1383" s="213" t="s">
        <v>552</v>
      </c>
      <c r="I1383" s="213"/>
      <c r="J1383" s="213" t="s">
        <v>547</v>
      </c>
      <c r="K1383" s="213"/>
      <c r="L1383" s="213"/>
      <c r="M1383" s="213"/>
      <c r="N1383" s="213"/>
      <c r="O1383" s="213"/>
      <c r="P1383" s="213"/>
      <c r="Q1383" s="213"/>
      <c r="R1383" s="213"/>
      <c r="S1383" s="213" t="s">
        <v>589</v>
      </c>
      <c r="T1383" s="213"/>
      <c r="U1383" s="213" t="s">
        <v>538</v>
      </c>
      <c r="V1383" s="213">
        <v>2</v>
      </c>
      <c r="W1383" s="213" t="s">
        <v>545</v>
      </c>
      <c r="X1383" s="213" t="s">
        <v>540</v>
      </c>
      <c r="Y1383" s="213" t="s">
        <v>540</v>
      </c>
      <c r="Z1383" s="212">
        <v>62891</v>
      </c>
      <c r="AA1383" s="212">
        <v>6630348</v>
      </c>
      <c r="AB1383" s="217">
        <v>0.107504</v>
      </c>
      <c r="AC1383" s="217">
        <v>0.173011</v>
      </c>
      <c r="AD1383" s="212">
        <f t="shared" si="21"/>
        <v>712788.93139200006</v>
      </c>
    </row>
    <row r="1384" spans="2:30" x14ac:dyDescent="0.15">
      <c r="B1384" s="213">
        <v>17089006581</v>
      </c>
      <c r="C1384" s="213">
        <v>17089004872</v>
      </c>
      <c r="D1384" s="213">
        <v>17089000509</v>
      </c>
      <c r="E1384" s="213" t="s">
        <v>533</v>
      </c>
      <c r="F1384" s="213" t="s">
        <v>534</v>
      </c>
      <c r="G1384" s="213" t="s">
        <v>369</v>
      </c>
      <c r="H1384" s="213" t="s">
        <v>382</v>
      </c>
      <c r="I1384" s="213"/>
      <c r="J1384" s="213"/>
      <c r="K1384" s="213"/>
      <c r="L1384" s="213"/>
      <c r="M1384" s="213"/>
      <c r="N1384" s="213"/>
      <c r="O1384" s="213"/>
      <c r="P1384" s="213"/>
      <c r="Q1384" s="213"/>
      <c r="R1384" s="213"/>
      <c r="S1384" s="213" t="s">
        <v>583</v>
      </c>
      <c r="T1384" s="213"/>
      <c r="U1384" s="213" t="s">
        <v>538</v>
      </c>
      <c r="V1384" s="213">
        <v>3</v>
      </c>
      <c r="W1384" s="213" t="s">
        <v>588</v>
      </c>
      <c r="X1384" s="213" t="s">
        <v>549</v>
      </c>
      <c r="Y1384" s="213" t="s">
        <v>575</v>
      </c>
      <c r="Z1384" s="212">
        <v>1961175</v>
      </c>
      <c r="AA1384" s="212">
        <v>73798714</v>
      </c>
      <c r="AB1384" s="217">
        <v>1.810265</v>
      </c>
      <c r="AC1384" s="217">
        <v>2.9133460000000002</v>
      </c>
      <c r="AD1384" s="212">
        <f t="shared" si="21"/>
        <v>133595228.99921</v>
      </c>
    </row>
    <row r="1385" spans="2:30" x14ac:dyDescent="0.15">
      <c r="B1385" s="213">
        <v>17089010215</v>
      </c>
      <c r="C1385" s="213">
        <v>17089001087</v>
      </c>
      <c r="D1385" s="213">
        <v>17089001083</v>
      </c>
      <c r="E1385" s="213" t="s">
        <v>533</v>
      </c>
      <c r="F1385" s="213" t="s">
        <v>534</v>
      </c>
      <c r="G1385" s="213" t="s">
        <v>369</v>
      </c>
      <c r="H1385" s="213" t="s">
        <v>381</v>
      </c>
      <c r="I1385" s="213"/>
      <c r="J1385" s="213" t="s">
        <v>542</v>
      </c>
      <c r="K1385" s="213" t="s">
        <v>382</v>
      </c>
      <c r="L1385" s="213"/>
      <c r="M1385" s="213"/>
      <c r="N1385" s="213"/>
      <c r="O1385" s="213"/>
      <c r="P1385" s="213"/>
      <c r="Q1385" s="213"/>
      <c r="R1385" s="213"/>
      <c r="S1385" s="213" t="s">
        <v>619</v>
      </c>
      <c r="T1385" s="213"/>
      <c r="U1385" s="213" t="s">
        <v>538</v>
      </c>
      <c r="V1385" s="213">
        <v>2</v>
      </c>
      <c r="W1385" s="213" t="s">
        <v>545</v>
      </c>
      <c r="X1385" s="213" t="s">
        <v>549</v>
      </c>
      <c r="Y1385" s="213" t="s">
        <v>580</v>
      </c>
      <c r="Z1385" s="212">
        <v>1856067</v>
      </c>
      <c r="AA1385" s="212">
        <v>47514740</v>
      </c>
      <c r="AB1385" s="217">
        <v>0.16081599999999999</v>
      </c>
      <c r="AC1385" s="217">
        <v>0.25880999999999998</v>
      </c>
      <c r="AD1385" s="212">
        <f t="shared" si="21"/>
        <v>7641130.4278399991</v>
      </c>
    </row>
    <row r="1386" spans="2:30" x14ac:dyDescent="0.15">
      <c r="B1386" s="213">
        <v>17093002019</v>
      </c>
      <c r="C1386" s="213">
        <v>17093004860</v>
      </c>
      <c r="D1386" s="213">
        <v>17999021945</v>
      </c>
      <c r="E1386" s="213" t="s">
        <v>533</v>
      </c>
      <c r="F1386" s="213" t="s">
        <v>534</v>
      </c>
      <c r="G1386" s="213" t="s">
        <v>371</v>
      </c>
      <c r="H1386" s="213" t="s">
        <v>578</v>
      </c>
      <c r="I1386" s="213"/>
      <c r="J1386" s="213"/>
      <c r="K1386" s="213"/>
      <c r="L1386" s="213"/>
      <c r="M1386" s="213"/>
      <c r="N1386" s="213"/>
      <c r="O1386" s="213"/>
      <c r="P1386" s="213"/>
      <c r="Q1386" s="213"/>
      <c r="R1386" s="213"/>
      <c r="S1386" s="213"/>
      <c r="T1386" s="213"/>
      <c r="U1386" s="213" t="s">
        <v>538</v>
      </c>
      <c r="V1386" s="213">
        <v>1</v>
      </c>
      <c r="W1386" s="213" t="s">
        <v>560</v>
      </c>
      <c r="X1386" s="213" t="s">
        <v>541</v>
      </c>
      <c r="Y1386" s="213" t="s">
        <v>541</v>
      </c>
      <c r="Z1386" s="212">
        <v>28706</v>
      </c>
      <c r="AA1386" s="212">
        <v>2964066</v>
      </c>
      <c r="AB1386" s="217">
        <v>2.8019810000000001</v>
      </c>
      <c r="AC1386" s="217">
        <v>4.50936</v>
      </c>
      <c r="AD1386" s="212">
        <f t="shared" si="21"/>
        <v>8305256.6147460006</v>
      </c>
    </row>
    <row r="1387" spans="2:30" x14ac:dyDescent="0.15">
      <c r="B1387" s="213">
        <v>17093002021</v>
      </c>
      <c r="C1387" s="213">
        <v>17093004861</v>
      </c>
      <c r="D1387" s="213">
        <v>17093004860</v>
      </c>
      <c r="E1387" s="213" t="s">
        <v>533</v>
      </c>
      <c r="F1387" s="213" t="s">
        <v>534</v>
      </c>
      <c r="G1387" s="213" t="s">
        <v>371</v>
      </c>
      <c r="H1387" s="213" t="s">
        <v>578</v>
      </c>
      <c r="I1387" s="213"/>
      <c r="J1387" s="213"/>
      <c r="K1387" s="213"/>
      <c r="L1387" s="213"/>
      <c r="M1387" s="213"/>
      <c r="N1387" s="213"/>
      <c r="O1387" s="213"/>
      <c r="P1387" s="213"/>
      <c r="Q1387" s="213"/>
      <c r="R1387" s="213"/>
      <c r="S1387" s="213"/>
      <c r="T1387" s="213"/>
      <c r="U1387" s="213" t="s">
        <v>538</v>
      </c>
      <c r="V1387" s="213">
        <v>1</v>
      </c>
      <c r="W1387" s="213" t="s">
        <v>560</v>
      </c>
      <c r="X1387" s="213" t="s">
        <v>541</v>
      </c>
      <c r="Y1387" s="213" t="s">
        <v>541</v>
      </c>
      <c r="Z1387" s="212">
        <v>28706</v>
      </c>
      <c r="AA1387" s="212">
        <v>2964066</v>
      </c>
      <c r="AB1387" s="217">
        <v>6.1444320000000001</v>
      </c>
      <c r="AC1387" s="217">
        <v>9.8885249999999996</v>
      </c>
      <c r="AD1387" s="212">
        <f t="shared" si="21"/>
        <v>18212501.980512001</v>
      </c>
    </row>
    <row r="1388" spans="2:30" x14ac:dyDescent="0.15">
      <c r="B1388" s="213">
        <v>17093002024</v>
      </c>
      <c r="C1388" s="213">
        <v>17093001425</v>
      </c>
      <c r="D1388" s="213">
        <v>17093004862</v>
      </c>
      <c r="E1388" s="213" t="s">
        <v>533</v>
      </c>
      <c r="F1388" s="213" t="s">
        <v>534</v>
      </c>
      <c r="G1388" s="213" t="s">
        <v>371</v>
      </c>
      <c r="H1388" s="213" t="s">
        <v>578</v>
      </c>
      <c r="I1388" s="213"/>
      <c r="J1388" s="213"/>
      <c r="K1388" s="213"/>
      <c r="L1388" s="213"/>
      <c r="M1388" s="213"/>
      <c r="N1388" s="213"/>
      <c r="O1388" s="213"/>
      <c r="P1388" s="213"/>
      <c r="Q1388" s="213"/>
      <c r="R1388" s="213"/>
      <c r="S1388" s="213"/>
      <c r="T1388" s="213"/>
      <c r="U1388" s="213" t="s">
        <v>538</v>
      </c>
      <c r="V1388" s="213">
        <v>1</v>
      </c>
      <c r="W1388" s="213" t="s">
        <v>560</v>
      </c>
      <c r="X1388" s="213" t="s">
        <v>541</v>
      </c>
      <c r="Y1388" s="213" t="s">
        <v>541</v>
      </c>
      <c r="Z1388" s="212">
        <v>28706</v>
      </c>
      <c r="AA1388" s="212">
        <v>2964066</v>
      </c>
      <c r="AB1388" s="217">
        <v>3.5062069999999999</v>
      </c>
      <c r="AC1388" s="217">
        <v>5.6427050000000003</v>
      </c>
      <c r="AD1388" s="212">
        <f t="shared" si="21"/>
        <v>10392628.957661999</v>
      </c>
    </row>
    <row r="1389" spans="2:30" x14ac:dyDescent="0.15">
      <c r="B1389" s="213">
        <v>17093002437</v>
      </c>
      <c r="C1389" s="213">
        <v>17093001126</v>
      </c>
      <c r="D1389" s="213">
        <v>17999021944</v>
      </c>
      <c r="E1389" s="213" t="s">
        <v>533</v>
      </c>
      <c r="F1389" s="213" t="s">
        <v>534</v>
      </c>
      <c r="G1389" s="213" t="s">
        <v>371</v>
      </c>
      <c r="H1389" s="213" t="s">
        <v>381</v>
      </c>
      <c r="I1389" s="213"/>
      <c r="J1389" s="213" t="s">
        <v>542</v>
      </c>
      <c r="K1389" s="213" t="s">
        <v>382</v>
      </c>
      <c r="L1389" s="213"/>
      <c r="M1389" s="213"/>
      <c r="N1389" s="213"/>
      <c r="O1389" s="213"/>
      <c r="P1389" s="213"/>
      <c r="Q1389" s="213"/>
      <c r="R1389" s="213"/>
      <c r="S1389" s="213" t="s">
        <v>619</v>
      </c>
      <c r="T1389" s="213"/>
      <c r="U1389" s="213" t="s">
        <v>538</v>
      </c>
      <c r="V1389" s="213">
        <v>2</v>
      </c>
      <c r="W1389" s="213" t="s">
        <v>545</v>
      </c>
      <c r="X1389" s="213" t="s">
        <v>549</v>
      </c>
      <c r="Y1389" s="213" t="s">
        <v>580</v>
      </c>
      <c r="Z1389" s="212">
        <v>1856067</v>
      </c>
      <c r="AA1389" s="212">
        <v>47514740</v>
      </c>
      <c r="AB1389" s="217">
        <v>1.3535189999999999</v>
      </c>
      <c r="AC1389" s="217">
        <v>2.1782819999999998</v>
      </c>
      <c r="AD1389" s="212">
        <f t="shared" si="21"/>
        <v>64312103.370059997</v>
      </c>
    </row>
    <row r="1390" spans="2:30" x14ac:dyDescent="0.15">
      <c r="B1390" s="213">
        <v>17093009941</v>
      </c>
      <c r="C1390" s="213">
        <v>17093001271</v>
      </c>
      <c r="D1390" s="213">
        <v>17093008039</v>
      </c>
      <c r="E1390" s="213" t="s">
        <v>533</v>
      </c>
      <c r="F1390" s="213" t="s">
        <v>534</v>
      </c>
      <c r="G1390" s="213" t="s">
        <v>371</v>
      </c>
      <c r="H1390" s="213" t="s">
        <v>381</v>
      </c>
      <c r="I1390" s="213"/>
      <c r="J1390" s="213" t="s">
        <v>542</v>
      </c>
      <c r="K1390" s="213" t="s">
        <v>382</v>
      </c>
      <c r="L1390" s="213"/>
      <c r="M1390" s="213"/>
      <c r="N1390" s="213"/>
      <c r="O1390" s="213"/>
      <c r="P1390" s="213"/>
      <c r="Q1390" s="213"/>
      <c r="R1390" s="213"/>
      <c r="S1390" s="213" t="s">
        <v>619</v>
      </c>
      <c r="T1390" s="213"/>
      <c r="U1390" s="213" t="s">
        <v>538</v>
      </c>
      <c r="V1390" s="213">
        <v>2</v>
      </c>
      <c r="W1390" s="213" t="s">
        <v>545</v>
      </c>
      <c r="X1390" s="213" t="s">
        <v>549</v>
      </c>
      <c r="Y1390" s="213" t="s">
        <v>580</v>
      </c>
      <c r="Z1390" s="212">
        <v>1856067</v>
      </c>
      <c r="AA1390" s="212">
        <v>47514740</v>
      </c>
      <c r="AB1390" s="217">
        <v>1.4553780000000001</v>
      </c>
      <c r="AC1390" s="217">
        <v>2.3422079999999998</v>
      </c>
      <c r="AD1390" s="212">
        <f t="shared" si="21"/>
        <v>69151907.271720007</v>
      </c>
    </row>
    <row r="1391" spans="2:30" x14ac:dyDescent="0.15">
      <c r="B1391" s="213">
        <v>17093009943</v>
      </c>
      <c r="C1391" s="213">
        <v>17093008041</v>
      </c>
      <c r="D1391" s="213">
        <v>17093001210</v>
      </c>
      <c r="E1391" s="213" t="s">
        <v>533</v>
      </c>
      <c r="F1391" s="213" t="s">
        <v>534</v>
      </c>
      <c r="G1391" s="213" t="s">
        <v>371</v>
      </c>
      <c r="H1391" s="213" t="s">
        <v>381</v>
      </c>
      <c r="I1391" s="213"/>
      <c r="J1391" s="213" t="s">
        <v>542</v>
      </c>
      <c r="K1391" s="213" t="s">
        <v>382</v>
      </c>
      <c r="L1391" s="213"/>
      <c r="M1391" s="213"/>
      <c r="N1391" s="213"/>
      <c r="O1391" s="213"/>
      <c r="P1391" s="213"/>
      <c r="Q1391" s="213"/>
      <c r="R1391" s="213"/>
      <c r="S1391" s="213" t="s">
        <v>619</v>
      </c>
      <c r="T1391" s="213"/>
      <c r="U1391" s="213" t="s">
        <v>538</v>
      </c>
      <c r="V1391" s="213">
        <v>2</v>
      </c>
      <c r="W1391" s="213" t="s">
        <v>545</v>
      </c>
      <c r="X1391" s="213" t="s">
        <v>549</v>
      </c>
      <c r="Y1391" s="213" t="s">
        <v>580</v>
      </c>
      <c r="Z1391" s="212">
        <v>1856067</v>
      </c>
      <c r="AA1391" s="212">
        <v>47514740</v>
      </c>
      <c r="AB1391" s="217">
        <v>1.2420869999999999</v>
      </c>
      <c r="AC1391" s="217">
        <v>1.9989490000000001</v>
      </c>
      <c r="AD1391" s="212">
        <f t="shared" si="21"/>
        <v>59017440.862379998</v>
      </c>
    </row>
    <row r="1392" spans="2:30" x14ac:dyDescent="0.15">
      <c r="B1392" s="213">
        <v>17097001928</v>
      </c>
      <c r="C1392" s="213">
        <v>17097000078</v>
      </c>
      <c r="D1392" s="213">
        <v>17097000077</v>
      </c>
      <c r="E1392" s="213" t="s">
        <v>533</v>
      </c>
      <c r="F1392" s="213" t="s">
        <v>534</v>
      </c>
      <c r="G1392" s="213" t="s">
        <v>373</v>
      </c>
      <c r="H1392" s="213" t="s">
        <v>552</v>
      </c>
      <c r="I1392" s="213"/>
      <c r="J1392" s="213" t="s">
        <v>547</v>
      </c>
      <c r="K1392" s="213" t="s">
        <v>563</v>
      </c>
      <c r="L1392" s="213"/>
      <c r="M1392" s="213"/>
      <c r="N1392" s="213"/>
      <c r="O1392" s="213"/>
      <c r="P1392" s="213"/>
      <c r="Q1392" s="213"/>
      <c r="R1392" s="213"/>
      <c r="S1392" s="213" t="s">
        <v>629</v>
      </c>
      <c r="T1392" s="213"/>
      <c r="U1392" s="213" t="s">
        <v>538</v>
      </c>
      <c r="V1392" s="213">
        <v>1</v>
      </c>
      <c r="W1392" s="213" t="s">
        <v>582</v>
      </c>
      <c r="X1392" s="213" t="s">
        <v>540</v>
      </c>
      <c r="Y1392" s="213" t="s">
        <v>554</v>
      </c>
      <c r="Z1392" s="212">
        <v>27697</v>
      </c>
      <c r="AA1392" s="212">
        <v>2584007</v>
      </c>
      <c r="AB1392" s="217">
        <v>2.2519809999999998</v>
      </c>
      <c r="AC1392" s="217">
        <v>3.6242200000000002</v>
      </c>
      <c r="AD1392" s="212">
        <f t="shared" si="21"/>
        <v>5819134.6678669993</v>
      </c>
    </row>
    <row r="1393" spans="2:30" x14ac:dyDescent="0.15">
      <c r="B1393" s="213">
        <v>17097001931</v>
      </c>
      <c r="C1393" s="213">
        <v>17097000097</v>
      </c>
      <c r="D1393" s="213">
        <v>17097000080</v>
      </c>
      <c r="E1393" s="213" t="s">
        <v>533</v>
      </c>
      <c r="F1393" s="213" t="s">
        <v>534</v>
      </c>
      <c r="G1393" s="213" t="s">
        <v>373</v>
      </c>
      <c r="H1393" s="213" t="s">
        <v>382</v>
      </c>
      <c r="I1393" s="213"/>
      <c r="J1393" s="213" t="s">
        <v>535</v>
      </c>
      <c r="K1393" s="213"/>
      <c r="L1393" s="213"/>
      <c r="M1393" s="213"/>
      <c r="N1393" s="213"/>
      <c r="O1393" s="213"/>
      <c r="P1393" s="213"/>
      <c r="Q1393" s="213"/>
      <c r="R1393" s="213"/>
      <c r="S1393" s="213" t="s">
        <v>703</v>
      </c>
      <c r="T1393" s="213"/>
      <c r="U1393" s="213" t="s">
        <v>538</v>
      </c>
      <c r="V1393" s="213">
        <v>1</v>
      </c>
      <c r="W1393" s="213" t="s">
        <v>582</v>
      </c>
      <c r="X1393" s="213" t="s">
        <v>540</v>
      </c>
      <c r="Y1393" s="213" t="s">
        <v>540</v>
      </c>
      <c r="Z1393" s="212">
        <v>18338</v>
      </c>
      <c r="AA1393" s="212">
        <v>2046970</v>
      </c>
      <c r="AB1393" s="217">
        <v>2.0672169999999999</v>
      </c>
      <c r="AC1393" s="217">
        <v>3.32687</v>
      </c>
      <c r="AD1393" s="212">
        <f t="shared" si="21"/>
        <v>4231531.1824899996</v>
      </c>
    </row>
    <row r="1394" spans="2:30" x14ac:dyDescent="0.15">
      <c r="B1394" s="213">
        <v>17097001934</v>
      </c>
      <c r="C1394" s="213">
        <v>17097004564</v>
      </c>
      <c r="D1394" s="213">
        <v>17097004563</v>
      </c>
      <c r="E1394" s="213" t="s">
        <v>533</v>
      </c>
      <c r="F1394" s="213" t="s">
        <v>534</v>
      </c>
      <c r="G1394" s="213" t="s">
        <v>373</v>
      </c>
      <c r="H1394" s="213" t="s">
        <v>382</v>
      </c>
      <c r="I1394" s="213"/>
      <c r="J1394" s="213" t="s">
        <v>535</v>
      </c>
      <c r="K1394" s="213" t="s">
        <v>547</v>
      </c>
      <c r="L1394" s="213"/>
      <c r="M1394" s="213"/>
      <c r="N1394" s="213"/>
      <c r="O1394" s="213"/>
      <c r="P1394" s="213"/>
      <c r="Q1394" s="213"/>
      <c r="R1394" s="213"/>
      <c r="S1394" s="213" t="s">
        <v>565</v>
      </c>
      <c r="T1394" s="213"/>
      <c r="U1394" s="213" t="s">
        <v>538</v>
      </c>
      <c r="V1394" s="213">
        <v>2</v>
      </c>
      <c r="W1394" s="213" t="s">
        <v>566</v>
      </c>
      <c r="X1394" s="213" t="s">
        <v>549</v>
      </c>
      <c r="Y1394" s="213" t="s">
        <v>540</v>
      </c>
      <c r="Z1394" s="212">
        <v>5932</v>
      </c>
      <c r="AA1394" s="212">
        <v>562972</v>
      </c>
      <c r="AB1394" s="217">
        <v>2.150271</v>
      </c>
      <c r="AC1394" s="217">
        <v>3.4605329999999999</v>
      </c>
      <c r="AD1394" s="212">
        <f t="shared" si="21"/>
        <v>1210542.3654120001</v>
      </c>
    </row>
    <row r="1395" spans="2:30" x14ac:dyDescent="0.15">
      <c r="B1395" s="213">
        <v>17097002099</v>
      </c>
      <c r="C1395" s="213">
        <v>17097007517</v>
      </c>
      <c r="D1395" s="213">
        <v>17097004561</v>
      </c>
      <c r="E1395" s="213" t="s">
        <v>533</v>
      </c>
      <c r="F1395" s="213" t="s">
        <v>534</v>
      </c>
      <c r="G1395" s="213" t="s">
        <v>373</v>
      </c>
      <c r="H1395" s="213" t="s">
        <v>535</v>
      </c>
      <c r="I1395" s="213"/>
      <c r="J1395" s="213" t="s">
        <v>547</v>
      </c>
      <c r="K1395" s="213"/>
      <c r="L1395" s="213"/>
      <c r="M1395" s="213"/>
      <c r="N1395" s="213"/>
      <c r="O1395" s="213"/>
      <c r="P1395" s="213"/>
      <c r="Q1395" s="213"/>
      <c r="R1395" s="213"/>
      <c r="S1395" s="213" t="s">
        <v>548</v>
      </c>
      <c r="T1395" s="213"/>
      <c r="U1395" s="213" t="s">
        <v>538</v>
      </c>
      <c r="V1395" s="213">
        <v>1</v>
      </c>
      <c r="W1395" s="213" t="s">
        <v>545</v>
      </c>
      <c r="X1395" s="213" t="s">
        <v>549</v>
      </c>
      <c r="Y1395" s="213" t="s">
        <v>546</v>
      </c>
      <c r="Z1395" s="212">
        <v>662157</v>
      </c>
      <c r="AA1395" s="212">
        <v>30342002</v>
      </c>
      <c r="AB1395" s="217">
        <v>0.76541000000000003</v>
      </c>
      <c r="AC1395" s="217">
        <v>1.231811</v>
      </c>
      <c r="AD1395" s="212">
        <f t="shared" si="21"/>
        <v>23224071.75082</v>
      </c>
    </row>
    <row r="1396" spans="2:30" x14ac:dyDescent="0.15">
      <c r="B1396" s="213">
        <v>17097002105</v>
      </c>
      <c r="C1396" s="213">
        <v>17097004561</v>
      </c>
      <c r="D1396" s="213">
        <v>17097004560</v>
      </c>
      <c r="E1396" s="213" t="s">
        <v>533</v>
      </c>
      <c r="F1396" s="213" t="s">
        <v>534</v>
      </c>
      <c r="G1396" s="213" t="s">
        <v>373</v>
      </c>
      <c r="H1396" s="213" t="s">
        <v>535</v>
      </c>
      <c r="I1396" s="213"/>
      <c r="J1396" s="213" t="s">
        <v>547</v>
      </c>
      <c r="K1396" s="213"/>
      <c r="L1396" s="213"/>
      <c r="M1396" s="213"/>
      <c r="N1396" s="213"/>
      <c r="O1396" s="213"/>
      <c r="P1396" s="213"/>
      <c r="Q1396" s="213"/>
      <c r="R1396" s="213"/>
      <c r="S1396" s="213" t="s">
        <v>548</v>
      </c>
      <c r="T1396" s="213"/>
      <c r="U1396" s="213" t="s">
        <v>538</v>
      </c>
      <c r="V1396" s="213">
        <v>2</v>
      </c>
      <c r="W1396" s="213" t="s">
        <v>545</v>
      </c>
      <c r="X1396" s="213" t="s">
        <v>549</v>
      </c>
      <c r="Y1396" s="213" t="s">
        <v>546</v>
      </c>
      <c r="Z1396" s="212">
        <v>662117</v>
      </c>
      <c r="AA1396" s="212">
        <v>30338162</v>
      </c>
      <c r="AB1396" s="217">
        <v>1.0895649999999999</v>
      </c>
      <c r="AC1396" s="217">
        <v>1.7534879999999999</v>
      </c>
      <c r="AD1396" s="212">
        <f t="shared" si="21"/>
        <v>33055399.479529995</v>
      </c>
    </row>
    <row r="1397" spans="2:30" x14ac:dyDescent="0.15">
      <c r="B1397" s="213">
        <v>17097002106</v>
      </c>
      <c r="C1397" s="213">
        <v>17097004560</v>
      </c>
      <c r="D1397" s="213">
        <v>17097004559</v>
      </c>
      <c r="E1397" s="213" t="s">
        <v>533</v>
      </c>
      <c r="F1397" s="213" t="s">
        <v>534</v>
      </c>
      <c r="G1397" s="213" t="s">
        <v>373</v>
      </c>
      <c r="H1397" s="213" t="s">
        <v>535</v>
      </c>
      <c r="I1397" s="213"/>
      <c r="J1397" s="213" t="s">
        <v>547</v>
      </c>
      <c r="K1397" s="213"/>
      <c r="L1397" s="213"/>
      <c r="M1397" s="213"/>
      <c r="N1397" s="213"/>
      <c r="O1397" s="213"/>
      <c r="P1397" s="213"/>
      <c r="Q1397" s="213"/>
      <c r="R1397" s="213"/>
      <c r="S1397" s="213" t="s">
        <v>548</v>
      </c>
      <c r="T1397" s="213"/>
      <c r="U1397" s="213" t="s">
        <v>538</v>
      </c>
      <c r="V1397" s="213">
        <v>2</v>
      </c>
      <c r="W1397" s="213" t="s">
        <v>545</v>
      </c>
      <c r="X1397" s="213" t="s">
        <v>549</v>
      </c>
      <c r="Y1397" s="213" t="s">
        <v>546</v>
      </c>
      <c r="Z1397" s="212">
        <v>662117</v>
      </c>
      <c r="AA1397" s="212">
        <v>30338162</v>
      </c>
      <c r="AB1397" s="217">
        <v>1.338678</v>
      </c>
      <c r="AC1397" s="217">
        <v>2.1543969999999999</v>
      </c>
      <c r="AD1397" s="212">
        <f t="shared" si="21"/>
        <v>40613030.029835999</v>
      </c>
    </row>
    <row r="1398" spans="2:30" x14ac:dyDescent="0.15">
      <c r="B1398" s="213">
        <v>17097002107</v>
      </c>
      <c r="C1398" s="213">
        <v>17097004559</v>
      </c>
      <c r="D1398" s="213">
        <v>17097007515</v>
      </c>
      <c r="E1398" s="213" t="s">
        <v>533</v>
      </c>
      <c r="F1398" s="213" t="s">
        <v>534</v>
      </c>
      <c r="G1398" s="213" t="s">
        <v>373</v>
      </c>
      <c r="H1398" s="213" t="s">
        <v>535</v>
      </c>
      <c r="I1398" s="213"/>
      <c r="J1398" s="213" t="s">
        <v>547</v>
      </c>
      <c r="K1398" s="213"/>
      <c r="L1398" s="213"/>
      <c r="M1398" s="213"/>
      <c r="N1398" s="213"/>
      <c r="O1398" s="213"/>
      <c r="P1398" s="213"/>
      <c r="Q1398" s="213"/>
      <c r="R1398" s="213"/>
      <c r="S1398" s="213" t="s">
        <v>548</v>
      </c>
      <c r="T1398" s="213"/>
      <c r="U1398" s="213" t="s">
        <v>538</v>
      </c>
      <c r="V1398" s="213">
        <v>2</v>
      </c>
      <c r="W1398" s="213" t="s">
        <v>545</v>
      </c>
      <c r="X1398" s="213" t="s">
        <v>549</v>
      </c>
      <c r="Y1398" s="213" t="s">
        <v>546</v>
      </c>
      <c r="Z1398" s="212">
        <v>662117</v>
      </c>
      <c r="AA1398" s="212">
        <v>30338162</v>
      </c>
      <c r="AB1398" s="217">
        <v>1.305717</v>
      </c>
      <c r="AC1398" s="217">
        <v>2.1013519999999999</v>
      </c>
      <c r="AD1398" s="212">
        <f t="shared" si="21"/>
        <v>39613053.872153997</v>
      </c>
    </row>
    <row r="1399" spans="2:30" x14ac:dyDescent="0.15">
      <c r="B1399" s="213">
        <v>17097002109</v>
      </c>
      <c r="C1399" s="213">
        <v>17097004558</v>
      </c>
      <c r="D1399" s="213">
        <v>17097004557</v>
      </c>
      <c r="E1399" s="213" t="s">
        <v>533</v>
      </c>
      <c r="F1399" s="213" t="s">
        <v>534</v>
      </c>
      <c r="G1399" s="213" t="s">
        <v>373</v>
      </c>
      <c r="H1399" s="213" t="s">
        <v>535</v>
      </c>
      <c r="I1399" s="213"/>
      <c r="J1399" s="213" t="s">
        <v>547</v>
      </c>
      <c r="K1399" s="213"/>
      <c r="L1399" s="213"/>
      <c r="M1399" s="213"/>
      <c r="N1399" s="213"/>
      <c r="O1399" s="213"/>
      <c r="P1399" s="213"/>
      <c r="Q1399" s="213"/>
      <c r="R1399" s="213"/>
      <c r="S1399" s="213" t="s">
        <v>548</v>
      </c>
      <c r="T1399" s="213"/>
      <c r="U1399" s="213" t="s">
        <v>538</v>
      </c>
      <c r="V1399" s="213">
        <v>2</v>
      </c>
      <c r="W1399" s="213" t="s">
        <v>545</v>
      </c>
      <c r="X1399" s="213" t="s">
        <v>549</v>
      </c>
      <c r="Y1399" s="213" t="s">
        <v>546</v>
      </c>
      <c r="Z1399" s="212">
        <v>642955</v>
      </c>
      <c r="AA1399" s="212">
        <v>28505002</v>
      </c>
      <c r="AB1399" s="217">
        <v>0.93016900000000002</v>
      </c>
      <c r="AC1399" s="217">
        <v>1.496966</v>
      </c>
      <c r="AD1399" s="212">
        <f t="shared" si="21"/>
        <v>26514469.205338001</v>
      </c>
    </row>
    <row r="1400" spans="2:30" x14ac:dyDescent="0.15">
      <c r="B1400" s="213">
        <v>17097002111</v>
      </c>
      <c r="C1400" s="213">
        <v>17097007506</v>
      </c>
      <c r="D1400" s="213">
        <v>17097004533</v>
      </c>
      <c r="E1400" s="213" t="s">
        <v>533</v>
      </c>
      <c r="F1400" s="213" t="s">
        <v>534</v>
      </c>
      <c r="G1400" s="213" t="s">
        <v>373</v>
      </c>
      <c r="H1400" s="213" t="s">
        <v>552</v>
      </c>
      <c r="I1400" s="213"/>
      <c r="J1400" s="213" t="s">
        <v>547</v>
      </c>
      <c r="K1400" s="213" t="s">
        <v>563</v>
      </c>
      <c r="L1400" s="213"/>
      <c r="M1400" s="213"/>
      <c r="N1400" s="213"/>
      <c r="O1400" s="213"/>
      <c r="P1400" s="213"/>
      <c r="Q1400" s="213"/>
      <c r="R1400" s="213"/>
      <c r="S1400" s="213" t="s">
        <v>629</v>
      </c>
      <c r="T1400" s="213"/>
      <c r="U1400" s="213" t="s">
        <v>538</v>
      </c>
      <c r="V1400" s="213">
        <v>1</v>
      </c>
      <c r="W1400" s="213" t="s">
        <v>582</v>
      </c>
      <c r="X1400" s="213" t="s">
        <v>540</v>
      </c>
      <c r="Y1400" s="213" t="s">
        <v>554</v>
      </c>
      <c r="Z1400" s="212">
        <v>27697</v>
      </c>
      <c r="AA1400" s="212">
        <v>2584007</v>
      </c>
      <c r="AB1400" s="217">
        <v>0.79005199999999998</v>
      </c>
      <c r="AC1400" s="217">
        <v>1.271468</v>
      </c>
      <c r="AD1400" s="212">
        <f t="shared" si="21"/>
        <v>2041499.898364</v>
      </c>
    </row>
    <row r="1401" spans="2:30" x14ac:dyDescent="0.15">
      <c r="B1401" s="213">
        <v>17097002114</v>
      </c>
      <c r="C1401" s="213">
        <v>17097000022</v>
      </c>
      <c r="D1401" s="213">
        <v>17097007500</v>
      </c>
      <c r="E1401" s="213" t="s">
        <v>533</v>
      </c>
      <c r="F1401" s="213" t="s">
        <v>534</v>
      </c>
      <c r="G1401" s="213" t="s">
        <v>373</v>
      </c>
      <c r="H1401" s="213" t="s">
        <v>535</v>
      </c>
      <c r="I1401" s="213"/>
      <c r="J1401" s="213"/>
      <c r="K1401" s="213"/>
      <c r="L1401" s="213"/>
      <c r="M1401" s="213"/>
      <c r="N1401" s="213"/>
      <c r="O1401" s="213"/>
      <c r="P1401" s="213"/>
      <c r="Q1401" s="213"/>
      <c r="R1401" s="213"/>
      <c r="S1401" s="213" t="s">
        <v>548</v>
      </c>
      <c r="T1401" s="213"/>
      <c r="U1401" s="213" t="s">
        <v>538</v>
      </c>
      <c r="V1401" s="213">
        <v>2</v>
      </c>
      <c r="W1401" s="213" t="s">
        <v>545</v>
      </c>
      <c r="X1401" s="213" t="s">
        <v>549</v>
      </c>
      <c r="Y1401" s="213" t="s">
        <v>546</v>
      </c>
      <c r="Z1401" s="212">
        <v>645147</v>
      </c>
      <c r="AA1401" s="212">
        <v>28718662</v>
      </c>
      <c r="AB1401" s="217">
        <v>0.68996199999999996</v>
      </c>
      <c r="AC1401" s="217">
        <v>1.1103890000000001</v>
      </c>
      <c r="AD1401" s="212">
        <f t="shared" si="21"/>
        <v>19814785.470844001</v>
      </c>
    </row>
    <row r="1402" spans="2:30" x14ac:dyDescent="0.15">
      <c r="B1402" s="213">
        <v>17097002116</v>
      </c>
      <c r="C1402" s="213">
        <v>17097000049</v>
      </c>
      <c r="D1402" s="213">
        <v>17097004529</v>
      </c>
      <c r="E1402" s="213" t="s">
        <v>533</v>
      </c>
      <c r="F1402" s="213" t="s">
        <v>534</v>
      </c>
      <c r="G1402" s="213" t="s">
        <v>373</v>
      </c>
      <c r="H1402" s="213" t="s">
        <v>552</v>
      </c>
      <c r="I1402" s="213"/>
      <c r="J1402" s="213" t="s">
        <v>563</v>
      </c>
      <c r="K1402" s="213"/>
      <c r="L1402" s="213"/>
      <c r="M1402" s="213"/>
      <c r="N1402" s="213"/>
      <c r="O1402" s="213"/>
      <c r="P1402" s="213"/>
      <c r="Q1402" s="213"/>
      <c r="R1402" s="213"/>
      <c r="S1402" s="213" t="s">
        <v>629</v>
      </c>
      <c r="T1402" s="213"/>
      <c r="U1402" s="213" t="s">
        <v>538</v>
      </c>
      <c r="V1402" s="213">
        <v>1</v>
      </c>
      <c r="W1402" s="213" t="s">
        <v>539</v>
      </c>
      <c r="X1402" s="213" t="s">
        <v>541</v>
      </c>
      <c r="Y1402" s="213" t="s">
        <v>554</v>
      </c>
      <c r="Z1402" s="212">
        <v>27697</v>
      </c>
      <c r="AA1402" s="212">
        <v>2584007</v>
      </c>
      <c r="AB1402" s="217">
        <v>0.19794800000000001</v>
      </c>
      <c r="AC1402" s="217">
        <v>0.31856699999999999</v>
      </c>
      <c r="AD1402" s="212">
        <f t="shared" si="21"/>
        <v>511499.017636</v>
      </c>
    </row>
    <row r="1403" spans="2:30" x14ac:dyDescent="0.15">
      <c r="B1403" s="213">
        <v>17097002132</v>
      </c>
      <c r="C1403" s="213">
        <v>17097004532</v>
      </c>
      <c r="D1403" s="213">
        <v>17097000056</v>
      </c>
      <c r="E1403" s="213" t="s">
        <v>533</v>
      </c>
      <c r="F1403" s="213" t="s">
        <v>534</v>
      </c>
      <c r="G1403" s="213" t="s">
        <v>373</v>
      </c>
      <c r="H1403" s="213" t="s">
        <v>552</v>
      </c>
      <c r="I1403" s="213"/>
      <c r="J1403" s="213" t="s">
        <v>547</v>
      </c>
      <c r="K1403" s="213" t="s">
        <v>563</v>
      </c>
      <c r="L1403" s="213"/>
      <c r="M1403" s="213"/>
      <c r="N1403" s="213"/>
      <c r="O1403" s="213"/>
      <c r="P1403" s="213"/>
      <c r="Q1403" s="213"/>
      <c r="R1403" s="213"/>
      <c r="S1403" s="213" t="s">
        <v>629</v>
      </c>
      <c r="T1403" s="213"/>
      <c r="U1403" s="213" t="s">
        <v>538</v>
      </c>
      <c r="V1403" s="213">
        <v>1</v>
      </c>
      <c r="W1403" s="213" t="s">
        <v>582</v>
      </c>
      <c r="X1403" s="213" t="s">
        <v>540</v>
      </c>
      <c r="Y1403" s="213" t="s">
        <v>554</v>
      </c>
      <c r="Z1403" s="212">
        <v>27697</v>
      </c>
      <c r="AA1403" s="212">
        <v>2584007</v>
      </c>
      <c r="AB1403" s="217">
        <v>1.969595</v>
      </c>
      <c r="AC1403" s="217">
        <v>3.169762</v>
      </c>
      <c r="AD1403" s="212">
        <f t="shared" si="21"/>
        <v>5089447.2671649996</v>
      </c>
    </row>
    <row r="1404" spans="2:30" x14ac:dyDescent="0.15">
      <c r="B1404" s="213">
        <v>17097002136</v>
      </c>
      <c r="C1404" s="213">
        <v>17097004524</v>
      </c>
      <c r="D1404" s="213">
        <v>17097000055</v>
      </c>
      <c r="E1404" s="213" t="s">
        <v>533</v>
      </c>
      <c r="F1404" s="213" t="s">
        <v>534</v>
      </c>
      <c r="G1404" s="213" t="s">
        <v>373</v>
      </c>
      <c r="H1404" s="213" t="s">
        <v>552</v>
      </c>
      <c r="I1404" s="213"/>
      <c r="J1404" s="213" t="s">
        <v>542</v>
      </c>
      <c r="K1404" s="213"/>
      <c r="L1404" s="213"/>
      <c r="M1404" s="213"/>
      <c r="N1404" s="213"/>
      <c r="O1404" s="213"/>
      <c r="P1404" s="213"/>
      <c r="Q1404" s="213"/>
      <c r="R1404" s="213"/>
      <c r="S1404" s="213" t="s">
        <v>564</v>
      </c>
      <c r="T1404" s="213"/>
      <c r="U1404" s="213" t="s">
        <v>538</v>
      </c>
      <c r="V1404" s="213">
        <v>2</v>
      </c>
      <c r="W1404" s="213" t="s">
        <v>545</v>
      </c>
      <c r="X1404" s="213" t="s">
        <v>549</v>
      </c>
      <c r="Y1404" s="213" t="s">
        <v>549</v>
      </c>
      <c r="Z1404" s="212">
        <v>472628</v>
      </c>
      <c r="AA1404" s="212">
        <v>31631277</v>
      </c>
      <c r="AB1404" s="217">
        <v>4.3400670000000003</v>
      </c>
      <c r="AC1404" s="217">
        <v>6.9846750000000002</v>
      </c>
      <c r="AD1404" s="212">
        <f t="shared" si="21"/>
        <v>137281861.475559</v>
      </c>
    </row>
    <row r="1405" spans="2:30" x14ac:dyDescent="0.15">
      <c r="B1405" s="213">
        <v>17097002139</v>
      </c>
      <c r="C1405" s="213">
        <v>17097004536</v>
      </c>
      <c r="D1405" s="213">
        <v>17097004535</v>
      </c>
      <c r="E1405" s="213" t="s">
        <v>533</v>
      </c>
      <c r="F1405" s="213" t="s">
        <v>534</v>
      </c>
      <c r="G1405" s="213" t="s">
        <v>373</v>
      </c>
      <c r="H1405" s="213" t="s">
        <v>552</v>
      </c>
      <c r="I1405" s="213"/>
      <c r="J1405" s="213" t="s">
        <v>547</v>
      </c>
      <c r="K1405" s="213" t="s">
        <v>563</v>
      </c>
      <c r="L1405" s="213"/>
      <c r="M1405" s="213"/>
      <c r="N1405" s="213"/>
      <c r="O1405" s="213"/>
      <c r="P1405" s="213"/>
      <c r="Q1405" s="213"/>
      <c r="R1405" s="213"/>
      <c r="S1405" s="213" t="s">
        <v>629</v>
      </c>
      <c r="T1405" s="213"/>
      <c r="U1405" s="213" t="s">
        <v>538</v>
      </c>
      <c r="V1405" s="213">
        <v>1</v>
      </c>
      <c r="W1405" s="213" t="s">
        <v>582</v>
      </c>
      <c r="X1405" s="213" t="s">
        <v>540</v>
      </c>
      <c r="Y1405" s="213" t="s">
        <v>554</v>
      </c>
      <c r="Z1405" s="212">
        <v>27697</v>
      </c>
      <c r="AA1405" s="212">
        <v>2584007</v>
      </c>
      <c r="AB1405" s="217">
        <v>3.6989190000000001</v>
      </c>
      <c r="AC1405" s="217">
        <v>5.9528439999999998</v>
      </c>
      <c r="AD1405" s="212">
        <f t="shared" si="21"/>
        <v>9558032.5884329993</v>
      </c>
    </row>
    <row r="1406" spans="2:30" x14ac:dyDescent="0.15">
      <c r="B1406" s="213">
        <v>17097002140</v>
      </c>
      <c r="C1406" s="213">
        <v>17097000077</v>
      </c>
      <c r="D1406" s="213">
        <v>17097004536</v>
      </c>
      <c r="E1406" s="213" t="s">
        <v>533</v>
      </c>
      <c r="F1406" s="213" t="s">
        <v>534</v>
      </c>
      <c r="G1406" s="213" t="s">
        <v>373</v>
      </c>
      <c r="H1406" s="213" t="s">
        <v>552</v>
      </c>
      <c r="I1406" s="213"/>
      <c r="J1406" s="213" t="s">
        <v>547</v>
      </c>
      <c r="K1406" s="213" t="s">
        <v>563</v>
      </c>
      <c r="L1406" s="213"/>
      <c r="M1406" s="213"/>
      <c r="N1406" s="213"/>
      <c r="O1406" s="213"/>
      <c r="P1406" s="213"/>
      <c r="Q1406" s="213"/>
      <c r="R1406" s="213"/>
      <c r="S1406" s="213" t="s">
        <v>629</v>
      </c>
      <c r="T1406" s="213"/>
      <c r="U1406" s="213" t="s">
        <v>538</v>
      </c>
      <c r="V1406" s="213">
        <v>1</v>
      </c>
      <c r="W1406" s="213" t="s">
        <v>582</v>
      </c>
      <c r="X1406" s="213" t="s">
        <v>540</v>
      </c>
      <c r="Y1406" s="213" t="s">
        <v>554</v>
      </c>
      <c r="Z1406" s="212">
        <v>27697</v>
      </c>
      <c r="AA1406" s="212">
        <v>2584007</v>
      </c>
      <c r="AB1406" s="217">
        <v>0.97117699999999996</v>
      </c>
      <c r="AC1406" s="217">
        <v>1.562961</v>
      </c>
      <c r="AD1406" s="212">
        <f t="shared" si="21"/>
        <v>2509528.1662389999</v>
      </c>
    </row>
    <row r="1407" spans="2:30" x14ac:dyDescent="0.15">
      <c r="B1407" s="213">
        <v>17097002145</v>
      </c>
      <c r="C1407" s="213">
        <v>17097004550</v>
      </c>
      <c r="D1407" s="213">
        <v>17097000038</v>
      </c>
      <c r="E1407" s="213" t="s">
        <v>533</v>
      </c>
      <c r="F1407" s="213" t="s">
        <v>534</v>
      </c>
      <c r="G1407" s="213" t="s">
        <v>373</v>
      </c>
      <c r="H1407" s="213" t="s">
        <v>382</v>
      </c>
      <c r="I1407" s="213"/>
      <c r="J1407" s="213" t="s">
        <v>535</v>
      </c>
      <c r="K1407" s="213" t="s">
        <v>547</v>
      </c>
      <c r="L1407" s="213"/>
      <c r="M1407" s="213"/>
      <c r="N1407" s="213"/>
      <c r="O1407" s="213"/>
      <c r="P1407" s="213"/>
      <c r="Q1407" s="213"/>
      <c r="R1407" s="213"/>
      <c r="S1407" s="213" t="s">
        <v>565</v>
      </c>
      <c r="T1407" s="213"/>
      <c r="U1407" s="213" t="s">
        <v>538</v>
      </c>
      <c r="V1407" s="213">
        <v>2</v>
      </c>
      <c r="W1407" s="213" t="s">
        <v>566</v>
      </c>
      <c r="X1407" s="213" t="s">
        <v>549</v>
      </c>
      <c r="Y1407" s="213" t="s">
        <v>540</v>
      </c>
      <c r="Z1407" s="212">
        <v>5972</v>
      </c>
      <c r="AA1407" s="212">
        <v>563612</v>
      </c>
      <c r="AB1407" s="217">
        <v>3.3994200000000001</v>
      </c>
      <c r="AC1407" s="217">
        <v>5.470847</v>
      </c>
      <c r="AD1407" s="212">
        <f t="shared" si="21"/>
        <v>1915953.9050400001</v>
      </c>
    </row>
    <row r="1408" spans="2:30" x14ac:dyDescent="0.15">
      <c r="B1408" s="213">
        <v>17097002146</v>
      </c>
      <c r="C1408" s="213">
        <v>17097004531</v>
      </c>
      <c r="D1408" s="213">
        <v>17097004530</v>
      </c>
      <c r="E1408" s="213" t="s">
        <v>533</v>
      </c>
      <c r="F1408" s="213" t="s">
        <v>534</v>
      </c>
      <c r="G1408" s="213" t="s">
        <v>373</v>
      </c>
      <c r="H1408" s="213" t="s">
        <v>552</v>
      </c>
      <c r="I1408" s="213"/>
      <c r="J1408" s="213" t="s">
        <v>547</v>
      </c>
      <c r="K1408" s="213" t="s">
        <v>563</v>
      </c>
      <c r="L1408" s="213"/>
      <c r="M1408" s="213"/>
      <c r="N1408" s="213"/>
      <c r="O1408" s="213"/>
      <c r="P1408" s="213"/>
      <c r="Q1408" s="213"/>
      <c r="R1408" s="213"/>
      <c r="S1408" s="213" t="s">
        <v>629</v>
      </c>
      <c r="T1408" s="213"/>
      <c r="U1408" s="213" t="s">
        <v>538</v>
      </c>
      <c r="V1408" s="213">
        <v>1</v>
      </c>
      <c r="W1408" s="213" t="s">
        <v>582</v>
      </c>
      <c r="X1408" s="213" t="s">
        <v>540</v>
      </c>
      <c r="Y1408" s="213" t="s">
        <v>554</v>
      </c>
      <c r="Z1408" s="212">
        <v>27697</v>
      </c>
      <c r="AA1408" s="212">
        <v>2584007</v>
      </c>
      <c r="AB1408" s="217">
        <v>0.986259</v>
      </c>
      <c r="AC1408" s="217">
        <v>1.587234</v>
      </c>
      <c r="AD1408" s="212">
        <f t="shared" si="21"/>
        <v>2548500.1598129999</v>
      </c>
    </row>
    <row r="1409" spans="2:30" x14ac:dyDescent="0.15">
      <c r="B1409" s="213">
        <v>17097002154</v>
      </c>
      <c r="C1409" s="213">
        <v>17097000196</v>
      </c>
      <c r="D1409" s="213">
        <v>17097004569</v>
      </c>
      <c r="E1409" s="213" t="s">
        <v>533</v>
      </c>
      <c r="F1409" s="213" t="s">
        <v>534</v>
      </c>
      <c r="G1409" s="213" t="s">
        <v>373</v>
      </c>
      <c r="H1409" s="213" t="s">
        <v>382</v>
      </c>
      <c r="I1409" s="213"/>
      <c r="J1409" s="213" t="s">
        <v>547</v>
      </c>
      <c r="K1409" s="213"/>
      <c r="L1409" s="213"/>
      <c r="M1409" s="213"/>
      <c r="N1409" s="213"/>
      <c r="O1409" s="213"/>
      <c r="P1409" s="213"/>
      <c r="Q1409" s="213"/>
      <c r="R1409" s="213"/>
      <c r="S1409" s="213" t="s">
        <v>565</v>
      </c>
      <c r="T1409" s="213"/>
      <c r="U1409" s="213" t="s">
        <v>538</v>
      </c>
      <c r="V1409" s="213">
        <v>2</v>
      </c>
      <c r="W1409" s="213" t="s">
        <v>566</v>
      </c>
      <c r="X1409" s="213" t="s">
        <v>549</v>
      </c>
      <c r="Y1409" s="213" t="s">
        <v>541</v>
      </c>
      <c r="Z1409" s="212">
        <v>0</v>
      </c>
      <c r="AA1409" s="212">
        <v>0</v>
      </c>
      <c r="AB1409" s="217">
        <v>1.1028800000000001</v>
      </c>
      <c r="AC1409" s="217">
        <v>1.7749170000000001</v>
      </c>
      <c r="AD1409" s="212">
        <f t="shared" si="21"/>
        <v>0</v>
      </c>
    </row>
    <row r="1410" spans="2:30" x14ac:dyDescent="0.15">
      <c r="B1410" s="213">
        <v>17097002160</v>
      </c>
      <c r="C1410" s="213">
        <v>17097007465</v>
      </c>
      <c r="D1410" s="213">
        <v>17999018890</v>
      </c>
      <c r="E1410" s="213" t="s">
        <v>533</v>
      </c>
      <c r="F1410" s="213" t="s">
        <v>534</v>
      </c>
      <c r="G1410" s="213" t="s">
        <v>373</v>
      </c>
      <c r="H1410" s="213" t="s">
        <v>382</v>
      </c>
      <c r="I1410" s="213"/>
      <c r="J1410" s="213" t="s">
        <v>547</v>
      </c>
      <c r="K1410" s="213"/>
      <c r="L1410" s="213"/>
      <c r="M1410" s="213"/>
      <c r="N1410" s="213"/>
      <c r="O1410" s="213"/>
      <c r="P1410" s="213"/>
      <c r="Q1410" s="213"/>
      <c r="R1410" s="213"/>
      <c r="S1410" s="213" t="s">
        <v>608</v>
      </c>
      <c r="T1410" s="213"/>
      <c r="U1410" s="213" t="s">
        <v>538</v>
      </c>
      <c r="V1410" s="213">
        <v>2</v>
      </c>
      <c r="W1410" s="213" t="s">
        <v>566</v>
      </c>
      <c r="X1410" s="213" t="s">
        <v>549</v>
      </c>
      <c r="Y1410" s="213" t="s">
        <v>549</v>
      </c>
      <c r="Z1410" s="212">
        <v>12093</v>
      </c>
      <c r="AA1410" s="212">
        <v>1128047</v>
      </c>
      <c r="AB1410" s="217">
        <v>3.247544</v>
      </c>
      <c r="AC1410" s="217">
        <v>5.226426</v>
      </c>
      <c r="AD1410" s="212">
        <f t="shared" si="21"/>
        <v>3663382.266568</v>
      </c>
    </row>
    <row r="1411" spans="2:30" x14ac:dyDescent="0.15">
      <c r="B1411" s="213">
        <v>17097002194</v>
      </c>
      <c r="C1411" s="213">
        <v>17999019035</v>
      </c>
      <c r="D1411" s="213">
        <v>17097004520</v>
      </c>
      <c r="E1411" s="213" t="s">
        <v>533</v>
      </c>
      <c r="F1411" s="213" t="s">
        <v>534</v>
      </c>
      <c r="G1411" s="213" t="s">
        <v>373</v>
      </c>
      <c r="H1411" s="213" t="s">
        <v>382</v>
      </c>
      <c r="I1411" s="213"/>
      <c r="J1411" s="213" t="s">
        <v>535</v>
      </c>
      <c r="K1411" s="213" t="s">
        <v>547</v>
      </c>
      <c r="L1411" s="213"/>
      <c r="M1411" s="213"/>
      <c r="N1411" s="213"/>
      <c r="O1411" s="213"/>
      <c r="P1411" s="213"/>
      <c r="Q1411" s="213"/>
      <c r="R1411" s="213"/>
      <c r="S1411" s="213" t="s">
        <v>608</v>
      </c>
      <c r="T1411" s="213"/>
      <c r="U1411" s="213" t="s">
        <v>538</v>
      </c>
      <c r="V1411" s="213">
        <v>2</v>
      </c>
      <c r="W1411" s="213" t="s">
        <v>566</v>
      </c>
      <c r="X1411" s="213" t="s">
        <v>549</v>
      </c>
      <c r="Y1411" s="213" t="s">
        <v>549</v>
      </c>
      <c r="Z1411" s="212">
        <v>15951</v>
      </c>
      <c r="AA1411" s="212">
        <v>1564397</v>
      </c>
      <c r="AB1411" s="217">
        <v>0.228904</v>
      </c>
      <c r="AC1411" s="217">
        <v>0.36838500000000002</v>
      </c>
      <c r="AD1411" s="212">
        <f t="shared" si="21"/>
        <v>358096.73088799999</v>
      </c>
    </row>
    <row r="1412" spans="2:30" x14ac:dyDescent="0.15">
      <c r="B1412" s="213">
        <v>17097002261</v>
      </c>
      <c r="C1412" s="213">
        <v>17097000082</v>
      </c>
      <c r="D1412" s="213">
        <v>17097000083</v>
      </c>
      <c r="E1412" s="213" t="s">
        <v>533</v>
      </c>
      <c r="F1412" s="213" t="s">
        <v>534</v>
      </c>
      <c r="G1412" s="213" t="s">
        <v>373</v>
      </c>
      <c r="H1412" s="213" t="s">
        <v>535</v>
      </c>
      <c r="I1412" s="213"/>
      <c r="J1412" s="213" t="s">
        <v>382</v>
      </c>
      <c r="K1412" s="213"/>
      <c r="L1412" s="213"/>
      <c r="M1412" s="213"/>
      <c r="N1412" s="213"/>
      <c r="O1412" s="213"/>
      <c r="P1412" s="213"/>
      <c r="Q1412" s="213"/>
      <c r="R1412" s="213"/>
      <c r="S1412" s="213"/>
      <c r="T1412" s="213"/>
      <c r="U1412" s="213" t="s">
        <v>538</v>
      </c>
      <c r="V1412" s="213">
        <v>1</v>
      </c>
      <c r="W1412" s="213" t="s">
        <v>560</v>
      </c>
      <c r="X1412" s="213" t="s">
        <v>541</v>
      </c>
      <c r="Y1412" s="213" t="s">
        <v>541</v>
      </c>
      <c r="Z1412" s="212">
        <v>40</v>
      </c>
      <c r="AA1412" s="212">
        <v>4600</v>
      </c>
      <c r="AB1412" s="217">
        <v>0.195961</v>
      </c>
      <c r="AC1412" s="217">
        <v>0.31536900000000001</v>
      </c>
      <c r="AD1412" s="212">
        <f t="shared" si="21"/>
        <v>901.42060000000004</v>
      </c>
    </row>
    <row r="1413" spans="2:30" x14ac:dyDescent="0.15">
      <c r="B1413" s="213">
        <v>17097002408</v>
      </c>
      <c r="C1413" s="213">
        <v>17097004564</v>
      </c>
      <c r="D1413" s="213">
        <v>17097000031</v>
      </c>
      <c r="E1413" s="213" t="s">
        <v>533</v>
      </c>
      <c r="F1413" s="213" t="s">
        <v>534</v>
      </c>
      <c r="G1413" s="213" t="s">
        <v>373</v>
      </c>
      <c r="H1413" s="213" t="s">
        <v>382</v>
      </c>
      <c r="I1413" s="213"/>
      <c r="J1413" s="213" t="s">
        <v>535</v>
      </c>
      <c r="K1413" s="213"/>
      <c r="L1413" s="213"/>
      <c r="M1413" s="213"/>
      <c r="N1413" s="213"/>
      <c r="O1413" s="213"/>
      <c r="P1413" s="213"/>
      <c r="Q1413" s="213"/>
      <c r="R1413" s="213"/>
      <c r="S1413" s="213"/>
      <c r="T1413" s="213"/>
      <c r="U1413" s="213" t="s">
        <v>559</v>
      </c>
      <c r="V1413" s="213">
        <v>1</v>
      </c>
      <c r="W1413" s="213" t="s">
        <v>560</v>
      </c>
      <c r="X1413" s="213" t="s">
        <v>541</v>
      </c>
      <c r="Y1413" s="213" t="s">
        <v>541</v>
      </c>
      <c r="Z1413" s="212">
        <v>0</v>
      </c>
      <c r="AA1413" s="212">
        <v>0</v>
      </c>
      <c r="AB1413" s="217">
        <v>1.1960820000000001</v>
      </c>
      <c r="AC1413" s="217">
        <v>1.924911</v>
      </c>
      <c r="AD1413" s="212">
        <f t="shared" si="21"/>
        <v>0</v>
      </c>
    </row>
    <row r="1414" spans="2:30" x14ac:dyDescent="0.15">
      <c r="B1414" s="213">
        <v>17097002546</v>
      </c>
      <c r="C1414" s="213">
        <v>17097000110</v>
      </c>
      <c r="D1414" s="213">
        <v>17097000111</v>
      </c>
      <c r="E1414" s="213" t="s">
        <v>533</v>
      </c>
      <c r="F1414" s="213" t="s">
        <v>534</v>
      </c>
      <c r="G1414" s="213" t="s">
        <v>373</v>
      </c>
      <c r="H1414" s="213" t="s">
        <v>535</v>
      </c>
      <c r="I1414" s="213"/>
      <c r="J1414" s="213" t="s">
        <v>382</v>
      </c>
      <c r="K1414" s="213"/>
      <c r="L1414" s="213"/>
      <c r="M1414" s="213"/>
      <c r="N1414" s="213"/>
      <c r="O1414" s="213"/>
      <c r="P1414" s="213"/>
      <c r="Q1414" s="213"/>
      <c r="R1414" s="213"/>
      <c r="S1414" s="213" t="s">
        <v>550</v>
      </c>
      <c r="T1414" s="213"/>
      <c r="U1414" s="213" t="s">
        <v>538</v>
      </c>
      <c r="V1414" s="213">
        <v>1</v>
      </c>
      <c r="W1414" s="213" t="s">
        <v>545</v>
      </c>
      <c r="X1414" s="213" t="s">
        <v>541</v>
      </c>
      <c r="Y1414" s="213" t="s">
        <v>541</v>
      </c>
      <c r="Z1414" s="212">
        <v>0</v>
      </c>
      <c r="AA1414" s="212">
        <v>0</v>
      </c>
      <c r="AB1414" s="217">
        <v>0.19822699999999999</v>
      </c>
      <c r="AC1414" s="217">
        <v>0.31901600000000002</v>
      </c>
      <c r="AD1414" s="212">
        <f t="shared" ref="AD1414:AD1477" si="22">AA1414*AB1414</f>
        <v>0</v>
      </c>
    </row>
    <row r="1415" spans="2:30" x14ac:dyDescent="0.15">
      <c r="B1415" s="213">
        <v>17097003090</v>
      </c>
      <c r="C1415" s="213">
        <v>17097000065</v>
      </c>
      <c r="D1415" s="213">
        <v>17097004567</v>
      </c>
      <c r="E1415" s="213" t="s">
        <v>533</v>
      </c>
      <c r="F1415" s="213" t="s">
        <v>534</v>
      </c>
      <c r="G1415" s="213" t="s">
        <v>373</v>
      </c>
      <c r="H1415" s="213" t="s">
        <v>382</v>
      </c>
      <c r="I1415" s="213"/>
      <c r="J1415" s="213" t="s">
        <v>535</v>
      </c>
      <c r="K1415" s="213" t="s">
        <v>547</v>
      </c>
      <c r="L1415" s="213"/>
      <c r="M1415" s="213"/>
      <c r="N1415" s="213"/>
      <c r="O1415" s="213"/>
      <c r="P1415" s="213"/>
      <c r="Q1415" s="213"/>
      <c r="R1415" s="213"/>
      <c r="S1415" s="213" t="s">
        <v>565</v>
      </c>
      <c r="T1415" s="213"/>
      <c r="U1415" s="213" t="s">
        <v>538</v>
      </c>
      <c r="V1415" s="213">
        <v>2</v>
      </c>
      <c r="W1415" s="213" t="s">
        <v>566</v>
      </c>
      <c r="X1415" s="213" t="s">
        <v>549</v>
      </c>
      <c r="Y1415" s="213" t="s">
        <v>549</v>
      </c>
      <c r="Z1415" s="212">
        <v>18338</v>
      </c>
      <c r="AA1415" s="212">
        <v>2046970</v>
      </c>
      <c r="AB1415" s="217">
        <v>0.78420100000000004</v>
      </c>
      <c r="AC1415" s="217">
        <v>1.262052</v>
      </c>
      <c r="AD1415" s="212">
        <f t="shared" si="22"/>
        <v>1605235.9209700001</v>
      </c>
    </row>
    <row r="1416" spans="2:30" x14ac:dyDescent="0.15">
      <c r="B1416" s="213">
        <v>17097003091</v>
      </c>
      <c r="C1416" s="213">
        <v>17097000080</v>
      </c>
      <c r="D1416" s="213">
        <v>17097000071</v>
      </c>
      <c r="E1416" s="213" t="s">
        <v>533</v>
      </c>
      <c r="F1416" s="213" t="s">
        <v>534</v>
      </c>
      <c r="G1416" s="213" t="s">
        <v>373</v>
      </c>
      <c r="H1416" s="213" t="s">
        <v>382</v>
      </c>
      <c r="I1416" s="213"/>
      <c r="J1416" s="213" t="s">
        <v>535</v>
      </c>
      <c r="K1416" s="213" t="s">
        <v>547</v>
      </c>
      <c r="L1416" s="213"/>
      <c r="M1416" s="213"/>
      <c r="N1416" s="213"/>
      <c r="O1416" s="213"/>
      <c r="P1416" s="213"/>
      <c r="Q1416" s="213"/>
      <c r="R1416" s="213"/>
      <c r="S1416" s="213" t="s">
        <v>565</v>
      </c>
      <c r="T1416" s="213"/>
      <c r="U1416" s="213" t="s">
        <v>538</v>
      </c>
      <c r="V1416" s="213">
        <v>2</v>
      </c>
      <c r="W1416" s="213" t="s">
        <v>566</v>
      </c>
      <c r="X1416" s="213" t="s">
        <v>549</v>
      </c>
      <c r="Y1416" s="213" t="s">
        <v>549</v>
      </c>
      <c r="Z1416" s="212">
        <v>18338</v>
      </c>
      <c r="AA1416" s="212">
        <v>2046970</v>
      </c>
      <c r="AB1416" s="217">
        <v>1.8258840000000001</v>
      </c>
      <c r="AC1416" s="217">
        <v>2.9384809999999999</v>
      </c>
      <c r="AD1416" s="212">
        <f t="shared" si="22"/>
        <v>3737529.7714800001</v>
      </c>
    </row>
    <row r="1417" spans="2:30" x14ac:dyDescent="0.15">
      <c r="B1417" s="213">
        <v>17097003095</v>
      </c>
      <c r="C1417" s="213">
        <v>17097004547</v>
      </c>
      <c r="D1417" s="213">
        <v>17097007471</v>
      </c>
      <c r="E1417" s="213" t="s">
        <v>533</v>
      </c>
      <c r="F1417" s="213" t="s">
        <v>534</v>
      </c>
      <c r="G1417" s="213" t="s">
        <v>373</v>
      </c>
      <c r="H1417" s="213" t="s">
        <v>535</v>
      </c>
      <c r="I1417" s="213"/>
      <c r="J1417" s="213" t="s">
        <v>382</v>
      </c>
      <c r="K1417" s="213" t="s">
        <v>536</v>
      </c>
      <c r="L1417" s="213"/>
      <c r="M1417" s="213"/>
      <c r="N1417" s="213"/>
      <c r="O1417" s="213"/>
      <c r="P1417" s="213"/>
      <c r="Q1417" s="213"/>
      <c r="R1417" s="213"/>
      <c r="S1417" s="213" t="s">
        <v>550</v>
      </c>
      <c r="T1417" s="213"/>
      <c r="U1417" s="213" t="s">
        <v>538</v>
      </c>
      <c r="V1417" s="213">
        <v>2</v>
      </c>
      <c r="W1417" s="213" t="s">
        <v>545</v>
      </c>
      <c r="X1417" s="213" t="s">
        <v>549</v>
      </c>
      <c r="Y1417" s="213" t="s">
        <v>540</v>
      </c>
      <c r="Z1417" s="212">
        <v>34316</v>
      </c>
      <c r="AA1417" s="212">
        <v>3291542</v>
      </c>
      <c r="AB1417" s="217">
        <v>0.71067599999999997</v>
      </c>
      <c r="AC1417" s="217">
        <v>1.143724</v>
      </c>
      <c r="AD1417" s="212">
        <f t="shared" si="22"/>
        <v>2339219.902392</v>
      </c>
    </row>
    <row r="1418" spans="2:30" x14ac:dyDescent="0.15">
      <c r="B1418" s="213">
        <v>17097003096</v>
      </c>
      <c r="C1418" s="213">
        <v>17097000181</v>
      </c>
      <c r="D1418" s="213">
        <v>17097004547</v>
      </c>
      <c r="E1418" s="213" t="s">
        <v>533</v>
      </c>
      <c r="F1418" s="213" t="s">
        <v>534</v>
      </c>
      <c r="G1418" s="213" t="s">
        <v>373</v>
      </c>
      <c r="H1418" s="213" t="s">
        <v>535</v>
      </c>
      <c r="I1418" s="213"/>
      <c r="J1418" s="213" t="s">
        <v>382</v>
      </c>
      <c r="K1418" s="213" t="s">
        <v>536</v>
      </c>
      <c r="L1418" s="213"/>
      <c r="M1418" s="213"/>
      <c r="N1418" s="213"/>
      <c r="O1418" s="213"/>
      <c r="P1418" s="213"/>
      <c r="Q1418" s="213"/>
      <c r="R1418" s="213"/>
      <c r="S1418" s="213" t="s">
        <v>550</v>
      </c>
      <c r="T1418" s="213"/>
      <c r="U1418" s="213" t="s">
        <v>538</v>
      </c>
      <c r="V1418" s="213">
        <v>1</v>
      </c>
      <c r="W1418" s="213" t="s">
        <v>545</v>
      </c>
      <c r="X1418" s="213" t="s">
        <v>549</v>
      </c>
      <c r="Y1418" s="213" t="s">
        <v>540</v>
      </c>
      <c r="Z1418" s="212">
        <v>34316</v>
      </c>
      <c r="AA1418" s="212">
        <v>3291542</v>
      </c>
      <c r="AB1418" s="217">
        <v>2.4038560000000002</v>
      </c>
      <c r="AC1418" s="217">
        <v>3.8686379999999998</v>
      </c>
      <c r="AD1418" s="212">
        <f t="shared" si="22"/>
        <v>7912392.9859520011</v>
      </c>
    </row>
    <row r="1419" spans="2:30" x14ac:dyDescent="0.15">
      <c r="B1419" s="213">
        <v>17097003237</v>
      </c>
      <c r="C1419" s="213">
        <v>17097004543</v>
      </c>
      <c r="D1419" s="213">
        <v>17097000097</v>
      </c>
      <c r="E1419" s="213" t="s">
        <v>533</v>
      </c>
      <c r="F1419" s="213" t="s">
        <v>534</v>
      </c>
      <c r="G1419" s="213" t="s">
        <v>373</v>
      </c>
      <c r="H1419" s="213" t="s">
        <v>382</v>
      </c>
      <c r="I1419" s="213"/>
      <c r="J1419" s="213" t="s">
        <v>535</v>
      </c>
      <c r="K1419" s="213"/>
      <c r="L1419" s="213"/>
      <c r="M1419" s="213"/>
      <c r="N1419" s="213"/>
      <c r="O1419" s="213"/>
      <c r="P1419" s="213"/>
      <c r="Q1419" s="213"/>
      <c r="R1419" s="213"/>
      <c r="S1419" s="213" t="s">
        <v>586</v>
      </c>
      <c r="T1419" s="213"/>
      <c r="U1419" s="213" t="s">
        <v>538</v>
      </c>
      <c r="V1419" s="213">
        <v>2</v>
      </c>
      <c r="W1419" s="213" t="s">
        <v>582</v>
      </c>
      <c r="X1419" s="213" t="s">
        <v>549</v>
      </c>
      <c r="Y1419" s="213" t="s">
        <v>549</v>
      </c>
      <c r="Z1419" s="212">
        <v>149468</v>
      </c>
      <c r="AA1419" s="212">
        <v>17128638</v>
      </c>
      <c r="AB1419" s="217">
        <v>0.59916100000000005</v>
      </c>
      <c r="AC1419" s="217">
        <v>0.96425799999999995</v>
      </c>
      <c r="AD1419" s="212">
        <f t="shared" si="22"/>
        <v>10262811.872718001</v>
      </c>
    </row>
    <row r="1420" spans="2:30" x14ac:dyDescent="0.15">
      <c r="B1420" s="213">
        <v>17097004183</v>
      </c>
      <c r="C1420" s="213">
        <v>17097000079</v>
      </c>
      <c r="D1420" s="213">
        <v>17097000083</v>
      </c>
      <c r="E1420" s="213" t="s">
        <v>533</v>
      </c>
      <c r="F1420" s="213" t="s">
        <v>534</v>
      </c>
      <c r="G1420" s="213" t="s">
        <v>373</v>
      </c>
      <c r="H1420" s="213" t="s">
        <v>535</v>
      </c>
      <c r="I1420" s="213"/>
      <c r="J1420" s="213"/>
      <c r="K1420" s="213"/>
      <c r="L1420" s="213"/>
      <c r="M1420" s="213"/>
      <c r="N1420" s="213"/>
      <c r="O1420" s="213"/>
      <c r="P1420" s="213"/>
      <c r="Q1420" s="213"/>
      <c r="R1420" s="213"/>
      <c r="S1420" s="213"/>
      <c r="T1420" s="213"/>
      <c r="U1420" s="213" t="s">
        <v>538</v>
      </c>
      <c r="V1420" s="213">
        <v>1</v>
      </c>
      <c r="W1420" s="213" t="s">
        <v>560</v>
      </c>
      <c r="X1420" s="213" t="s">
        <v>541</v>
      </c>
      <c r="Y1420" s="213" t="s">
        <v>541</v>
      </c>
      <c r="Z1420" s="212">
        <v>0</v>
      </c>
      <c r="AA1420" s="212">
        <v>0</v>
      </c>
      <c r="AB1420" s="217">
        <v>0.176817</v>
      </c>
      <c r="AC1420" s="217">
        <v>0.28455999999999998</v>
      </c>
      <c r="AD1420" s="212">
        <f t="shared" si="22"/>
        <v>0</v>
      </c>
    </row>
    <row r="1421" spans="2:30" x14ac:dyDescent="0.15">
      <c r="B1421" s="213">
        <v>17097004190</v>
      </c>
      <c r="C1421" s="213">
        <v>17097004520</v>
      </c>
      <c r="D1421" s="213">
        <v>17097000238</v>
      </c>
      <c r="E1421" s="213" t="s">
        <v>533</v>
      </c>
      <c r="F1421" s="213" t="s">
        <v>534</v>
      </c>
      <c r="G1421" s="213" t="s">
        <v>373</v>
      </c>
      <c r="H1421" s="213" t="s">
        <v>382</v>
      </c>
      <c r="I1421" s="213"/>
      <c r="J1421" s="213" t="s">
        <v>535</v>
      </c>
      <c r="K1421" s="213" t="s">
        <v>547</v>
      </c>
      <c r="L1421" s="213"/>
      <c r="M1421" s="213"/>
      <c r="N1421" s="213"/>
      <c r="O1421" s="213"/>
      <c r="P1421" s="213"/>
      <c r="Q1421" s="213"/>
      <c r="R1421" s="213"/>
      <c r="S1421" s="213"/>
      <c r="T1421" s="213"/>
      <c r="U1421" s="213" t="s">
        <v>538</v>
      </c>
      <c r="V1421" s="213">
        <v>1</v>
      </c>
      <c r="W1421" s="213" t="s">
        <v>560</v>
      </c>
      <c r="X1421" s="213" t="s">
        <v>541</v>
      </c>
      <c r="Y1421" s="213" t="s">
        <v>541</v>
      </c>
      <c r="Z1421" s="212">
        <v>3858</v>
      </c>
      <c r="AA1421" s="212">
        <v>436350</v>
      </c>
      <c r="AB1421" s="217">
        <v>0.187884</v>
      </c>
      <c r="AC1421" s="217">
        <v>0.30237000000000003</v>
      </c>
      <c r="AD1421" s="212">
        <f t="shared" si="22"/>
        <v>81983.183399999994</v>
      </c>
    </row>
    <row r="1422" spans="2:30" x14ac:dyDescent="0.15">
      <c r="B1422" s="213">
        <v>17097006301</v>
      </c>
      <c r="C1422" s="213">
        <v>17097004549</v>
      </c>
      <c r="D1422" s="213">
        <v>17097004552</v>
      </c>
      <c r="E1422" s="213" t="s">
        <v>533</v>
      </c>
      <c r="F1422" s="213" t="s">
        <v>534</v>
      </c>
      <c r="G1422" s="213" t="s">
        <v>373</v>
      </c>
      <c r="H1422" s="213" t="s">
        <v>382</v>
      </c>
      <c r="I1422" s="213"/>
      <c r="J1422" s="213" t="s">
        <v>535</v>
      </c>
      <c r="K1422" s="213"/>
      <c r="L1422" s="213"/>
      <c r="M1422" s="213"/>
      <c r="N1422" s="213"/>
      <c r="O1422" s="213"/>
      <c r="P1422" s="213"/>
      <c r="Q1422" s="213"/>
      <c r="R1422" s="213"/>
      <c r="S1422" s="213"/>
      <c r="T1422" s="213"/>
      <c r="U1422" s="213" t="s">
        <v>559</v>
      </c>
      <c r="V1422" s="213">
        <v>1</v>
      </c>
      <c r="W1422" s="213" t="s">
        <v>560</v>
      </c>
      <c r="X1422" s="213" t="s">
        <v>541</v>
      </c>
      <c r="Y1422" s="213" t="s">
        <v>541</v>
      </c>
      <c r="Z1422" s="212">
        <v>0</v>
      </c>
      <c r="AA1422" s="212">
        <v>0</v>
      </c>
      <c r="AB1422" s="217">
        <v>0.29351699999999997</v>
      </c>
      <c r="AC1422" s="217">
        <v>0.47237000000000001</v>
      </c>
      <c r="AD1422" s="212">
        <f t="shared" si="22"/>
        <v>0</v>
      </c>
    </row>
    <row r="1423" spans="2:30" x14ac:dyDescent="0.15">
      <c r="B1423" s="213">
        <v>17097006320</v>
      </c>
      <c r="C1423" s="213">
        <v>17097004545</v>
      </c>
      <c r="D1423" s="213">
        <v>17097007533</v>
      </c>
      <c r="E1423" s="213" t="s">
        <v>533</v>
      </c>
      <c r="F1423" s="213" t="s">
        <v>534</v>
      </c>
      <c r="G1423" s="213" t="s">
        <v>373</v>
      </c>
      <c r="H1423" s="213" t="s">
        <v>382</v>
      </c>
      <c r="I1423" s="213"/>
      <c r="J1423" s="213"/>
      <c r="K1423" s="213"/>
      <c r="L1423" s="213"/>
      <c r="M1423" s="213"/>
      <c r="N1423" s="213"/>
      <c r="O1423" s="213"/>
      <c r="P1423" s="213"/>
      <c r="Q1423" s="213"/>
      <c r="R1423" s="213"/>
      <c r="S1423" s="213" t="s">
        <v>586</v>
      </c>
      <c r="T1423" s="213"/>
      <c r="U1423" s="213" t="s">
        <v>538</v>
      </c>
      <c r="V1423" s="213">
        <v>2</v>
      </c>
      <c r="W1423" s="213" t="s">
        <v>582</v>
      </c>
      <c r="X1423" s="213" t="s">
        <v>549</v>
      </c>
      <c r="Y1423" s="213" t="s">
        <v>549</v>
      </c>
      <c r="Z1423" s="212">
        <v>135546</v>
      </c>
      <c r="AA1423" s="212">
        <v>15509320</v>
      </c>
      <c r="AB1423" s="217">
        <v>0.45281199999999999</v>
      </c>
      <c r="AC1423" s="217">
        <v>0.72873200000000005</v>
      </c>
      <c r="AD1423" s="212">
        <f t="shared" si="22"/>
        <v>7022806.2078400003</v>
      </c>
    </row>
    <row r="1424" spans="2:30" x14ac:dyDescent="0.15">
      <c r="B1424" s="213">
        <v>17097006321</v>
      </c>
      <c r="C1424" s="213">
        <v>17097004548</v>
      </c>
      <c r="D1424" s="213">
        <v>17097004549</v>
      </c>
      <c r="E1424" s="213" t="s">
        <v>533</v>
      </c>
      <c r="F1424" s="213" t="s">
        <v>534</v>
      </c>
      <c r="G1424" s="213" t="s">
        <v>373</v>
      </c>
      <c r="H1424" s="213" t="s">
        <v>382</v>
      </c>
      <c r="I1424" s="213"/>
      <c r="J1424" s="213" t="s">
        <v>535</v>
      </c>
      <c r="K1424" s="213"/>
      <c r="L1424" s="213"/>
      <c r="M1424" s="213"/>
      <c r="N1424" s="213"/>
      <c r="O1424" s="213"/>
      <c r="P1424" s="213"/>
      <c r="Q1424" s="213"/>
      <c r="R1424" s="213"/>
      <c r="S1424" s="213"/>
      <c r="T1424" s="213"/>
      <c r="U1424" s="213" t="s">
        <v>559</v>
      </c>
      <c r="V1424" s="213">
        <v>1</v>
      </c>
      <c r="W1424" s="213" t="s">
        <v>560</v>
      </c>
      <c r="X1424" s="213" t="s">
        <v>541</v>
      </c>
      <c r="Y1424" s="213" t="s">
        <v>541</v>
      </c>
      <c r="Z1424" s="212">
        <v>0</v>
      </c>
      <c r="AA1424" s="212">
        <v>0</v>
      </c>
      <c r="AB1424" s="217">
        <v>5.4426000000000002E-2</v>
      </c>
      <c r="AC1424" s="217">
        <v>8.7590000000000001E-2</v>
      </c>
      <c r="AD1424" s="212">
        <f t="shared" si="22"/>
        <v>0</v>
      </c>
    </row>
    <row r="1425" spans="2:30" x14ac:dyDescent="0.15">
      <c r="B1425" s="213">
        <v>17097006326</v>
      </c>
      <c r="C1425" s="213">
        <v>17097004539</v>
      </c>
      <c r="D1425" s="213">
        <v>17097004524</v>
      </c>
      <c r="E1425" s="213" t="s">
        <v>533</v>
      </c>
      <c r="F1425" s="213" t="s">
        <v>534</v>
      </c>
      <c r="G1425" s="213" t="s">
        <v>373</v>
      </c>
      <c r="H1425" s="213" t="s">
        <v>552</v>
      </c>
      <c r="I1425" s="213"/>
      <c r="J1425" s="213" t="s">
        <v>542</v>
      </c>
      <c r="K1425" s="213"/>
      <c r="L1425" s="213"/>
      <c r="M1425" s="213"/>
      <c r="N1425" s="213"/>
      <c r="O1425" s="213"/>
      <c r="P1425" s="213"/>
      <c r="Q1425" s="213"/>
      <c r="R1425" s="213"/>
      <c r="S1425" s="213" t="s">
        <v>564</v>
      </c>
      <c r="T1425" s="213"/>
      <c r="U1425" s="213" t="s">
        <v>538</v>
      </c>
      <c r="V1425" s="213">
        <v>3</v>
      </c>
      <c r="W1425" s="213" t="s">
        <v>545</v>
      </c>
      <c r="X1425" s="213" t="s">
        <v>549</v>
      </c>
      <c r="Y1425" s="213" t="s">
        <v>549</v>
      </c>
      <c r="Z1425" s="212">
        <v>472628</v>
      </c>
      <c r="AA1425" s="212">
        <v>31631277</v>
      </c>
      <c r="AB1425" s="217">
        <v>0.536995</v>
      </c>
      <c r="AC1425" s="217">
        <v>0.86421099999999995</v>
      </c>
      <c r="AD1425" s="212">
        <f t="shared" si="22"/>
        <v>16985837.592615001</v>
      </c>
    </row>
    <row r="1426" spans="2:30" x14ac:dyDescent="0.15">
      <c r="B1426" s="213">
        <v>17097006328</v>
      </c>
      <c r="C1426" s="213">
        <v>17097000057</v>
      </c>
      <c r="D1426" s="213">
        <v>17097004565</v>
      </c>
      <c r="E1426" s="213" t="s">
        <v>533</v>
      </c>
      <c r="F1426" s="213" t="s">
        <v>534</v>
      </c>
      <c r="G1426" s="213" t="s">
        <v>373</v>
      </c>
      <c r="H1426" s="213" t="s">
        <v>382</v>
      </c>
      <c r="I1426" s="213"/>
      <c r="J1426" s="213" t="s">
        <v>535</v>
      </c>
      <c r="K1426" s="213" t="s">
        <v>547</v>
      </c>
      <c r="L1426" s="213"/>
      <c r="M1426" s="213"/>
      <c r="N1426" s="213"/>
      <c r="O1426" s="213"/>
      <c r="P1426" s="213"/>
      <c r="Q1426" s="213"/>
      <c r="R1426" s="213"/>
      <c r="S1426" s="213" t="s">
        <v>565</v>
      </c>
      <c r="T1426" s="213" t="s">
        <v>701</v>
      </c>
      <c r="U1426" s="213" t="s">
        <v>538</v>
      </c>
      <c r="V1426" s="213">
        <v>2</v>
      </c>
      <c r="W1426" s="213" t="s">
        <v>566</v>
      </c>
      <c r="X1426" s="213" t="s">
        <v>549</v>
      </c>
      <c r="Y1426" s="213" t="s">
        <v>549</v>
      </c>
      <c r="Z1426" s="212">
        <v>18218</v>
      </c>
      <c r="AA1426" s="212">
        <v>2035810</v>
      </c>
      <c r="AB1426" s="217">
        <v>0.61029599999999995</v>
      </c>
      <c r="AC1426" s="217">
        <v>0.982178</v>
      </c>
      <c r="AD1426" s="212">
        <f t="shared" si="22"/>
        <v>1242446.69976</v>
      </c>
    </row>
    <row r="1427" spans="2:30" x14ac:dyDescent="0.15">
      <c r="B1427" s="213">
        <v>17097009360</v>
      </c>
      <c r="C1427" s="213">
        <v>17097004567</v>
      </c>
      <c r="D1427" s="213">
        <v>17097007479</v>
      </c>
      <c r="E1427" s="213" t="s">
        <v>533</v>
      </c>
      <c r="F1427" s="213" t="s">
        <v>534</v>
      </c>
      <c r="G1427" s="213" t="s">
        <v>373</v>
      </c>
      <c r="H1427" s="213" t="s">
        <v>382</v>
      </c>
      <c r="I1427" s="213"/>
      <c r="J1427" s="213" t="s">
        <v>535</v>
      </c>
      <c r="K1427" s="213" t="s">
        <v>547</v>
      </c>
      <c r="L1427" s="213"/>
      <c r="M1427" s="213"/>
      <c r="N1427" s="213"/>
      <c r="O1427" s="213"/>
      <c r="P1427" s="213"/>
      <c r="Q1427" s="213"/>
      <c r="R1427" s="213"/>
      <c r="S1427" s="213" t="s">
        <v>565</v>
      </c>
      <c r="T1427" s="213"/>
      <c r="U1427" s="213" t="s">
        <v>538</v>
      </c>
      <c r="V1427" s="213">
        <v>2</v>
      </c>
      <c r="W1427" s="213" t="s">
        <v>566</v>
      </c>
      <c r="X1427" s="213" t="s">
        <v>549</v>
      </c>
      <c r="Y1427" s="213" t="s">
        <v>549</v>
      </c>
      <c r="Z1427" s="212">
        <v>18218</v>
      </c>
      <c r="AA1427" s="212">
        <v>2035810</v>
      </c>
      <c r="AB1427" s="217">
        <v>0.47429399999999999</v>
      </c>
      <c r="AC1427" s="217">
        <v>0.76330399999999998</v>
      </c>
      <c r="AD1427" s="212">
        <f t="shared" si="22"/>
        <v>965572.46814000001</v>
      </c>
    </row>
    <row r="1428" spans="2:30" x14ac:dyDescent="0.15">
      <c r="B1428" s="213">
        <v>17097009368</v>
      </c>
      <c r="C1428" s="213">
        <v>17097007487</v>
      </c>
      <c r="D1428" s="213">
        <v>17097004566</v>
      </c>
      <c r="E1428" s="213" t="s">
        <v>533</v>
      </c>
      <c r="F1428" s="213" t="s">
        <v>534</v>
      </c>
      <c r="G1428" s="213" t="s">
        <v>373</v>
      </c>
      <c r="H1428" s="213" t="s">
        <v>382</v>
      </c>
      <c r="I1428" s="213"/>
      <c r="J1428" s="213" t="s">
        <v>535</v>
      </c>
      <c r="K1428" s="213" t="s">
        <v>547</v>
      </c>
      <c r="L1428" s="213"/>
      <c r="M1428" s="213"/>
      <c r="N1428" s="213"/>
      <c r="O1428" s="213"/>
      <c r="P1428" s="213"/>
      <c r="Q1428" s="213"/>
      <c r="R1428" s="213"/>
      <c r="S1428" s="213" t="s">
        <v>565</v>
      </c>
      <c r="T1428" s="213"/>
      <c r="U1428" s="213" t="s">
        <v>538</v>
      </c>
      <c r="V1428" s="213">
        <v>2</v>
      </c>
      <c r="W1428" s="213" t="s">
        <v>566</v>
      </c>
      <c r="X1428" s="213" t="s">
        <v>549</v>
      </c>
      <c r="Y1428" s="213" t="s">
        <v>549</v>
      </c>
      <c r="Z1428" s="212">
        <v>18218</v>
      </c>
      <c r="AA1428" s="212">
        <v>2035810</v>
      </c>
      <c r="AB1428" s="217">
        <v>0.30727500000000002</v>
      </c>
      <c r="AC1428" s="217">
        <v>0.49451099999999998</v>
      </c>
      <c r="AD1428" s="212">
        <f t="shared" si="22"/>
        <v>625553.51775</v>
      </c>
    </row>
    <row r="1429" spans="2:30" x14ac:dyDescent="0.15">
      <c r="B1429" s="213">
        <v>17097009386</v>
      </c>
      <c r="C1429" s="213">
        <v>17097007500</v>
      </c>
      <c r="D1429" s="213">
        <v>99999016983</v>
      </c>
      <c r="E1429" s="213" t="s">
        <v>533</v>
      </c>
      <c r="F1429" s="213" t="s">
        <v>534</v>
      </c>
      <c r="G1429" s="213" t="s">
        <v>373</v>
      </c>
      <c r="H1429" s="213" t="s">
        <v>535</v>
      </c>
      <c r="I1429" s="213"/>
      <c r="J1429" s="213"/>
      <c r="K1429" s="213"/>
      <c r="L1429" s="213"/>
      <c r="M1429" s="213"/>
      <c r="N1429" s="213"/>
      <c r="O1429" s="213"/>
      <c r="P1429" s="213"/>
      <c r="Q1429" s="213"/>
      <c r="R1429" s="213"/>
      <c r="S1429" s="213" t="s">
        <v>548</v>
      </c>
      <c r="T1429" s="213"/>
      <c r="U1429" s="213" t="s">
        <v>538</v>
      </c>
      <c r="V1429" s="213">
        <v>2</v>
      </c>
      <c r="W1429" s="213" t="s">
        <v>545</v>
      </c>
      <c r="X1429" s="213" t="s">
        <v>549</v>
      </c>
      <c r="Y1429" s="213" t="s">
        <v>546</v>
      </c>
      <c r="Z1429" s="212">
        <v>645147</v>
      </c>
      <c r="AA1429" s="212">
        <v>28718662</v>
      </c>
      <c r="AB1429" s="217">
        <v>0.45537</v>
      </c>
      <c r="AC1429" s="217">
        <v>0.73284800000000005</v>
      </c>
      <c r="AD1429" s="212">
        <f t="shared" si="22"/>
        <v>13077617.114940001</v>
      </c>
    </row>
    <row r="1430" spans="2:30" x14ac:dyDescent="0.15">
      <c r="B1430" s="213">
        <v>17097009389</v>
      </c>
      <c r="C1430" s="213">
        <v>17097000042</v>
      </c>
      <c r="D1430" s="213">
        <v>17097007502</v>
      </c>
      <c r="E1430" s="213" t="s">
        <v>533</v>
      </c>
      <c r="F1430" s="213" t="s">
        <v>534</v>
      </c>
      <c r="G1430" s="213" t="s">
        <v>373</v>
      </c>
      <c r="H1430" s="213" t="s">
        <v>535</v>
      </c>
      <c r="I1430" s="213"/>
      <c r="J1430" s="213" t="s">
        <v>547</v>
      </c>
      <c r="K1430" s="213"/>
      <c r="L1430" s="213"/>
      <c r="M1430" s="213"/>
      <c r="N1430" s="213"/>
      <c r="O1430" s="213"/>
      <c r="P1430" s="213"/>
      <c r="Q1430" s="213"/>
      <c r="R1430" s="213"/>
      <c r="S1430" s="213" t="s">
        <v>548</v>
      </c>
      <c r="T1430" s="213"/>
      <c r="U1430" s="213" t="s">
        <v>538</v>
      </c>
      <c r="V1430" s="213">
        <v>2</v>
      </c>
      <c r="W1430" s="213" t="s">
        <v>545</v>
      </c>
      <c r="X1430" s="213" t="s">
        <v>549</v>
      </c>
      <c r="Y1430" s="213" t="s">
        <v>546</v>
      </c>
      <c r="Z1430" s="212">
        <v>645147</v>
      </c>
      <c r="AA1430" s="212">
        <v>28718662</v>
      </c>
      <c r="AB1430" s="217">
        <v>1.420407</v>
      </c>
      <c r="AC1430" s="217">
        <v>2.2859280000000002</v>
      </c>
      <c r="AD1430" s="212">
        <f t="shared" si="22"/>
        <v>40792188.535434</v>
      </c>
    </row>
    <row r="1431" spans="2:30" x14ac:dyDescent="0.15">
      <c r="B1431" s="213">
        <v>17097009395</v>
      </c>
      <c r="C1431" s="213">
        <v>17097000061</v>
      </c>
      <c r="D1431" s="213">
        <v>17097007508</v>
      </c>
      <c r="E1431" s="213" t="s">
        <v>533</v>
      </c>
      <c r="F1431" s="213" t="s">
        <v>534</v>
      </c>
      <c r="G1431" s="213" t="s">
        <v>373</v>
      </c>
      <c r="H1431" s="213" t="s">
        <v>535</v>
      </c>
      <c r="I1431" s="213"/>
      <c r="J1431" s="213" t="s">
        <v>547</v>
      </c>
      <c r="K1431" s="213"/>
      <c r="L1431" s="213"/>
      <c r="M1431" s="213"/>
      <c r="N1431" s="213"/>
      <c r="O1431" s="213"/>
      <c r="P1431" s="213"/>
      <c r="Q1431" s="213"/>
      <c r="R1431" s="213"/>
      <c r="S1431" s="213" t="s">
        <v>548</v>
      </c>
      <c r="T1431" s="213"/>
      <c r="U1431" s="213" t="s">
        <v>538</v>
      </c>
      <c r="V1431" s="213">
        <v>2</v>
      </c>
      <c r="W1431" s="213" t="s">
        <v>545</v>
      </c>
      <c r="X1431" s="213" t="s">
        <v>549</v>
      </c>
      <c r="Y1431" s="213" t="s">
        <v>546</v>
      </c>
      <c r="Z1431" s="212">
        <v>645147</v>
      </c>
      <c r="AA1431" s="212">
        <v>28718662</v>
      </c>
      <c r="AB1431" s="217">
        <v>0.44246000000000002</v>
      </c>
      <c r="AC1431" s="217">
        <v>0.71207100000000001</v>
      </c>
      <c r="AD1431" s="212">
        <f t="shared" si="22"/>
        <v>12706859.188520001</v>
      </c>
    </row>
    <row r="1432" spans="2:30" x14ac:dyDescent="0.15">
      <c r="B1432" s="213">
        <v>17097009402</v>
      </c>
      <c r="C1432" s="213">
        <v>17097000109</v>
      </c>
      <c r="D1432" s="213">
        <v>17097007513</v>
      </c>
      <c r="E1432" s="213" t="s">
        <v>533</v>
      </c>
      <c r="F1432" s="213" t="s">
        <v>534</v>
      </c>
      <c r="G1432" s="213" t="s">
        <v>373</v>
      </c>
      <c r="H1432" s="213" t="s">
        <v>535</v>
      </c>
      <c r="I1432" s="213"/>
      <c r="J1432" s="213" t="s">
        <v>547</v>
      </c>
      <c r="K1432" s="213"/>
      <c r="L1432" s="213"/>
      <c r="M1432" s="213"/>
      <c r="N1432" s="213"/>
      <c r="O1432" s="213"/>
      <c r="P1432" s="213"/>
      <c r="Q1432" s="213"/>
      <c r="R1432" s="213"/>
      <c r="S1432" s="213" t="s">
        <v>548</v>
      </c>
      <c r="T1432" s="213"/>
      <c r="U1432" s="213" t="s">
        <v>538</v>
      </c>
      <c r="V1432" s="213">
        <v>2</v>
      </c>
      <c r="W1432" s="213" t="s">
        <v>545</v>
      </c>
      <c r="X1432" s="213" t="s">
        <v>549</v>
      </c>
      <c r="Y1432" s="213" t="s">
        <v>546</v>
      </c>
      <c r="Z1432" s="212">
        <v>638963</v>
      </c>
      <c r="AA1432" s="212">
        <v>28120658</v>
      </c>
      <c r="AB1432" s="217">
        <v>0.51465300000000003</v>
      </c>
      <c r="AC1432" s="217">
        <v>0.82825599999999999</v>
      </c>
      <c r="AD1432" s="212">
        <f t="shared" si="22"/>
        <v>14472381.001674</v>
      </c>
    </row>
    <row r="1433" spans="2:30" x14ac:dyDescent="0.15">
      <c r="B1433" s="213">
        <v>17097009404</v>
      </c>
      <c r="C1433" s="213">
        <v>17097007515</v>
      </c>
      <c r="D1433" s="213">
        <v>17097000111</v>
      </c>
      <c r="E1433" s="213" t="s">
        <v>533</v>
      </c>
      <c r="F1433" s="213" t="s">
        <v>534</v>
      </c>
      <c r="G1433" s="213" t="s">
        <v>373</v>
      </c>
      <c r="H1433" s="213" t="s">
        <v>535</v>
      </c>
      <c r="I1433" s="213"/>
      <c r="J1433" s="213" t="s">
        <v>547</v>
      </c>
      <c r="K1433" s="213"/>
      <c r="L1433" s="213"/>
      <c r="M1433" s="213"/>
      <c r="N1433" s="213"/>
      <c r="O1433" s="213"/>
      <c r="P1433" s="213"/>
      <c r="Q1433" s="213"/>
      <c r="R1433" s="213"/>
      <c r="S1433" s="213" t="s">
        <v>548</v>
      </c>
      <c r="T1433" s="213"/>
      <c r="U1433" s="213" t="s">
        <v>538</v>
      </c>
      <c r="V1433" s="213">
        <v>2</v>
      </c>
      <c r="W1433" s="213" t="s">
        <v>545</v>
      </c>
      <c r="X1433" s="213" t="s">
        <v>549</v>
      </c>
      <c r="Y1433" s="213" t="s">
        <v>546</v>
      </c>
      <c r="Z1433" s="212">
        <v>662117</v>
      </c>
      <c r="AA1433" s="212">
        <v>30338162</v>
      </c>
      <c r="AB1433" s="217">
        <v>0.90354299999999999</v>
      </c>
      <c r="AC1433" s="217">
        <v>1.454115</v>
      </c>
      <c r="AD1433" s="212">
        <f t="shared" si="22"/>
        <v>27411833.907965999</v>
      </c>
    </row>
    <row r="1434" spans="2:30" x14ac:dyDescent="0.15">
      <c r="B1434" s="213">
        <v>17097009421</v>
      </c>
      <c r="C1434" s="213">
        <v>17097000053</v>
      </c>
      <c r="D1434" s="213">
        <v>17097007529</v>
      </c>
      <c r="E1434" s="213" t="s">
        <v>533</v>
      </c>
      <c r="F1434" s="213" t="s">
        <v>534</v>
      </c>
      <c r="G1434" s="213" t="s">
        <v>373</v>
      </c>
      <c r="H1434" s="213" t="s">
        <v>382</v>
      </c>
      <c r="I1434" s="213"/>
      <c r="J1434" s="213"/>
      <c r="K1434" s="213"/>
      <c r="L1434" s="213"/>
      <c r="M1434" s="213"/>
      <c r="N1434" s="213"/>
      <c r="O1434" s="213"/>
      <c r="P1434" s="213"/>
      <c r="Q1434" s="213"/>
      <c r="R1434" s="213"/>
      <c r="S1434" s="213" t="s">
        <v>586</v>
      </c>
      <c r="T1434" s="213"/>
      <c r="U1434" s="213" t="s">
        <v>538</v>
      </c>
      <c r="V1434" s="213">
        <v>1</v>
      </c>
      <c r="W1434" s="213" t="s">
        <v>582</v>
      </c>
      <c r="X1434" s="213" t="s">
        <v>549</v>
      </c>
      <c r="Y1434" s="213" t="s">
        <v>549</v>
      </c>
      <c r="Z1434" s="212">
        <v>134346</v>
      </c>
      <c r="AA1434" s="212">
        <v>15397000</v>
      </c>
      <c r="AB1434" s="217">
        <v>0.62365700000000002</v>
      </c>
      <c r="AC1434" s="217">
        <v>1.0036799999999999</v>
      </c>
      <c r="AD1434" s="212">
        <f t="shared" si="22"/>
        <v>9602446.8289999999</v>
      </c>
    </row>
    <row r="1435" spans="2:30" x14ac:dyDescent="0.15">
      <c r="B1435" s="213">
        <v>17097009423</v>
      </c>
      <c r="C1435" s="213">
        <v>17097007531</v>
      </c>
      <c r="D1435" s="213">
        <v>17097000053</v>
      </c>
      <c r="E1435" s="213" t="s">
        <v>533</v>
      </c>
      <c r="F1435" s="213" t="s">
        <v>534</v>
      </c>
      <c r="G1435" s="213" t="s">
        <v>373</v>
      </c>
      <c r="H1435" s="213" t="s">
        <v>382</v>
      </c>
      <c r="I1435" s="213"/>
      <c r="J1435" s="213"/>
      <c r="K1435" s="213"/>
      <c r="L1435" s="213"/>
      <c r="M1435" s="213"/>
      <c r="N1435" s="213"/>
      <c r="O1435" s="213"/>
      <c r="P1435" s="213"/>
      <c r="Q1435" s="213"/>
      <c r="R1435" s="213"/>
      <c r="S1435" s="213" t="s">
        <v>586</v>
      </c>
      <c r="T1435" s="213"/>
      <c r="U1435" s="213" t="s">
        <v>538</v>
      </c>
      <c r="V1435" s="213">
        <v>2</v>
      </c>
      <c r="W1435" s="213" t="s">
        <v>582</v>
      </c>
      <c r="X1435" s="213" t="s">
        <v>549</v>
      </c>
      <c r="Y1435" s="213" t="s">
        <v>549</v>
      </c>
      <c r="Z1435" s="212">
        <v>135546</v>
      </c>
      <c r="AA1435" s="212">
        <v>15509320</v>
      </c>
      <c r="AB1435" s="217">
        <v>0.10194</v>
      </c>
      <c r="AC1435" s="217">
        <v>0.16405700000000001</v>
      </c>
      <c r="AD1435" s="212">
        <f t="shared" si="22"/>
        <v>1581020.0808000001</v>
      </c>
    </row>
    <row r="1436" spans="2:30" x14ac:dyDescent="0.15">
      <c r="B1436" s="213">
        <v>17097009430</v>
      </c>
      <c r="C1436" s="213">
        <v>17097007533</v>
      </c>
      <c r="D1436" s="213">
        <v>17097007531</v>
      </c>
      <c r="E1436" s="213" t="s">
        <v>533</v>
      </c>
      <c r="F1436" s="213" t="s">
        <v>534</v>
      </c>
      <c r="G1436" s="213" t="s">
        <v>373</v>
      </c>
      <c r="H1436" s="213" t="s">
        <v>382</v>
      </c>
      <c r="I1436" s="213"/>
      <c r="J1436" s="213"/>
      <c r="K1436" s="213"/>
      <c r="L1436" s="213"/>
      <c r="M1436" s="213"/>
      <c r="N1436" s="213"/>
      <c r="O1436" s="213"/>
      <c r="P1436" s="213"/>
      <c r="Q1436" s="213"/>
      <c r="R1436" s="213"/>
      <c r="S1436" s="213" t="s">
        <v>586</v>
      </c>
      <c r="T1436" s="213"/>
      <c r="U1436" s="213" t="s">
        <v>538</v>
      </c>
      <c r="V1436" s="213">
        <v>2</v>
      </c>
      <c r="W1436" s="213" t="s">
        <v>582</v>
      </c>
      <c r="X1436" s="213" t="s">
        <v>549</v>
      </c>
      <c r="Y1436" s="213" t="s">
        <v>549</v>
      </c>
      <c r="Z1436" s="212">
        <v>135546</v>
      </c>
      <c r="AA1436" s="212">
        <v>15509320</v>
      </c>
      <c r="AB1436" s="217">
        <v>6.8984000000000004E-2</v>
      </c>
      <c r="AC1436" s="217">
        <v>0.11101999999999999</v>
      </c>
      <c r="AD1436" s="212">
        <f t="shared" si="22"/>
        <v>1069894.9308800001</v>
      </c>
    </row>
    <row r="1437" spans="2:30" x14ac:dyDescent="0.15">
      <c r="B1437" s="213">
        <v>17097009436</v>
      </c>
      <c r="C1437" s="213">
        <v>17097004528</v>
      </c>
      <c r="D1437" s="213">
        <v>17097007543</v>
      </c>
      <c r="E1437" s="213" t="s">
        <v>533</v>
      </c>
      <c r="F1437" s="213" t="s">
        <v>534</v>
      </c>
      <c r="G1437" s="213" t="s">
        <v>373</v>
      </c>
      <c r="H1437" s="213" t="s">
        <v>382</v>
      </c>
      <c r="I1437" s="213"/>
      <c r="J1437" s="213"/>
      <c r="K1437" s="213"/>
      <c r="L1437" s="213"/>
      <c r="M1437" s="213"/>
      <c r="N1437" s="213"/>
      <c r="O1437" s="213"/>
      <c r="P1437" s="213"/>
      <c r="Q1437" s="213"/>
      <c r="R1437" s="213"/>
      <c r="S1437" s="213" t="s">
        <v>586</v>
      </c>
      <c r="T1437" s="213"/>
      <c r="U1437" s="213" t="s">
        <v>538</v>
      </c>
      <c r="V1437" s="213">
        <v>1</v>
      </c>
      <c r="W1437" s="213" t="s">
        <v>582</v>
      </c>
      <c r="X1437" s="213" t="s">
        <v>549</v>
      </c>
      <c r="Y1437" s="213" t="s">
        <v>549</v>
      </c>
      <c r="Z1437" s="212">
        <v>135546</v>
      </c>
      <c r="AA1437" s="212">
        <v>15509320</v>
      </c>
      <c r="AB1437" s="217">
        <v>0.66388999999999998</v>
      </c>
      <c r="AC1437" s="217">
        <v>1.0684290000000001</v>
      </c>
      <c r="AD1437" s="212">
        <f t="shared" si="22"/>
        <v>10296482.4548</v>
      </c>
    </row>
    <row r="1438" spans="2:30" x14ac:dyDescent="0.15">
      <c r="B1438" s="213">
        <v>17111001949</v>
      </c>
      <c r="C1438" s="213">
        <v>17111000018</v>
      </c>
      <c r="D1438" s="213">
        <v>99999016991</v>
      </c>
      <c r="E1438" s="213" t="s">
        <v>533</v>
      </c>
      <c r="F1438" s="213" t="s">
        <v>534</v>
      </c>
      <c r="G1438" s="213" t="s">
        <v>375</v>
      </c>
      <c r="H1438" s="213" t="s">
        <v>563</v>
      </c>
      <c r="I1438" s="213"/>
      <c r="J1438" s="213"/>
      <c r="K1438" s="213"/>
      <c r="L1438" s="213"/>
      <c r="M1438" s="213"/>
      <c r="N1438" s="213"/>
      <c r="O1438" s="213"/>
      <c r="P1438" s="213"/>
      <c r="Q1438" s="213"/>
      <c r="R1438" s="213"/>
      <c r="S1438" s="213" t="s">
        <v>629</v>
      </c>
      <c r="T1438" s="213"/>
      <c r="U1438" s="213" t="s">
        <v>538</v>
      </c>
      <c r="V1438" s="213">
        <v>1</v>
      </c>
      <c r="W1438" s="213" t="s">
        <v>562</v>
      </c>
      <c r="X1438" s="213" t="s">
        <v>554</v>
      </c>
      <c r="Y1438" s="213" t="s">
        <v>554</v>
      </c>
      <c r="Z1438" s="212">
        <v>27537</v>
      </c>
      <c r="AA1438" s="212">
        <v>2569247</v>
      </c>
      <c r="AB1438" s="217">
        <v>2.168523</v>
      </c>
      <c r="AC1438" s="217">
        <v>3.489906</v>
      </c>
      <c r="AD1438" s="212">
        <f t="shared" si="22"/>
        <v>5571471.212181</v>
      </c>
    </row>
    <row r="1439" spans="2:30" x14ac:dyDescent="0.15">
      <c r="B1439" s="213">
        <v>17111001976</v>
      </c>
      <c r="C1439" s="213">
        <v>17111000108</v>
      </c>
      <c r="D1439" s="213">
        <v>17111004834</v>
      </c>
      <c r="E1439" s="213" t="s">
        <v>533</v>
      </c>
      <c r="F1439" s="213" t="s">
        <v>534</v>
      </c>
      <c r="G1439" s="213" t="s">
        <v>375</v>
      </c>
      <c r="H1439" s="213" t="s">
        <v>382</v>
      </c>
      <c r="I1439" s="213"/>
      <c r="J1439" s="213" t="s">
        <v>547</v>
      </c>
      <c r="K1439" s="213"/>
      <c r="L1439" s="213"/>
      <c r="M1439" s="213"/>
      <c r="N1439" s="213"/>
      <c r="O1439" s="213"/>
      <c r="P1439" s="213"/>
      <c r="Q1439" s="213"/>
      <c r="R1439" s="213"/>
      <c r="S1439" s="213" t="s">
        <v>608</v>
      </c>
      <c r="T1439" s="213"/>
      <c r="U1439" s="213" t="s">
        <v>538</v>
      </c>
      <c r="V1439" s="213">
        <v>2</v>
      </c>
      <c r="W1439" s="213" t="s">
        <v>566</v>
      </c>
      <c r="X1439" s="213" t="s">
        <v>549</v>
      </c>
      <c r="Y1439" s="213" t="s">
        <v>549</v>
      </c>
      <c r="Z1439" s="212">
        <v>11933</v>
      </c>
      <c r="AA1439" s="212">
        <v>1113447</v>
      </c>
      <c r="AB1439" s="217">
        <v>2.1744750000000002</v>
      </c>
      <c r="AC1439" s="217">
        <v>3.4994860000000001</v>
      </c>
      <c r="AD1439" s="212">
        <f t="shared" si="22"/>
        <v>2421162.665325</v>
      </c>
    </row>
    <row r="1440" spans="2:30" x14ac:dyDescent="0.15">
      <c r="B1440" s="213">
        <v>17111001979</v>
      </c>
      <c r="C1440" s="213">
        <v>17111000236</v>
      </c>
      <c r="D1440" s="213">
        <v>17111000152</v>
      </c>
      <c r="E1440" s="213" t="s">
        <v>533</v>
      </c>
      <c r="F1440" s="213" t="s">
        <v>534</v>
      </c>
      <c r="G1440" s="213" t="s">
        <v>375</v>
      </c>
      <c r="H1440" s="213" t="s">
        <v>382</v>
      </c>
      <c r="I1440" s="213"/>
      <c r="J1440" s="213"/>
      <c r="K1440" s="213"/>
      <c r="L1440" s="213"/>
      <c r="M1440" s="213"/>
      <c r="N1440" s="213"/>
      <c r="O1440" s="213"/>
      <c r="P1440" s="213"/>
      <c r="Q1440" s="213"/>
      <c r="R1440" s="213"/>
      <c r="S1440" s="213" t="s">
        <v>561</v>
      </c>
      <c r="T1440" s="213"/>
      <c r="U1440" s="213" t="s">
        <v>538</v>
      </c>
      <c r="V1440" s="213">
        <v>1</v>
      </c>
      <c r="W1440" s="213" t="s">
        <v>562</v>
      </c>
      <c r="X1440" s="213" t="s">
        <v>540</v>
      </c>
      <c r="Y1440" s="213" t="s">
        <v>541</v>
      </c>
      <c r="Z1440" s="212">
        <v>26464</v>
      </c>
      <c r="AA1440" s="212">
        <v>624580</v>
      </c>
      <c r="AB1440" s="217">
        <v>7.4491680000000002</v>
      </c>
      <c r="AC1440" s="217">
        <v>11.988298</v>
      </c>
      <c r="AD1440" s="212">
        <f t="shared" si="22"/>
        <v>4652601.34944</v>
      </c>
    </row>
    <row r="1441" spans="2:30" x14ac:dyDescent="0.15">
      <c r="B1441" s="213">
        <v>17111001981</v>
      </c>
      <c r="C1441" s="213">
        <v>17999018890</v>
      </c>
      <c r="D1441" s="213">
        <v>17111004833</v>
      </c>
      <c r="E1441" s="213" t="s">
        <v>533</v>
      </c>
      <c r="F1441" s="213" t="s">
        <v>534</v>
      </c>
      <c r="G1441" s="213" t="s">
        <v>375</v>
      </c>
      <c r="H1441" s="213" t="s">
        <v>382</v>
      </c>
      <c r="I1441" s="213"/>
      <c r="J1441" s="213" t="s">
        <v>547</v>
      </c>
      <c r="K1441" s="213"/>
      <c r="L1441" s="213"/>
      <c r="M1441" s="213"/>
      <c r="N1441" s="213"/>
      <c r="O1441" s="213"/>
      <c r="P1441" s="213"/>
      <c r="Q1441" s="213"/>
      <c r="R1441" s="213"/>
      <c r="S1441" s="213" t="s">
        <v>608</v>
      </c>
      <c r="T1441" s="213"/>
      <c r="U1441" s="213" t="s">
        <v>538</v>
      </c>
      <c r="V1441" s="213">
        <v>2</v>
      </c>
      <c r="W1441" s="213" t="s">
        <v>566</v>
      </c>
      <c r="X1441" s="213" t="s">
        <v>549</v>
      </c>
      <c r="Y1441" s="213" t="s">
        <v>549</v>
      </c>
      <c r="Z1441" s="212">
        <v>12093</v>
      </c>
      <c r="AA1441" s="212">
        <v>1128047</v>
      </c>
      <c r="AB1441" s="217">
        <v>1.238639</v>
      </c>
      <c r="AC1441" s="217">
        <v>1.9934000000000001</v>
      </c>
      <c r="AD1441" s="212">
        <f t="shared" si="22"/>
        <v>1397243.0080330002</v>
      </c>
    </row>
    <row r="1442" spans="2:30" x14ac:dyDescent="0.15">
      <c r="B1442" s="213">
        <v>17111001982</v>
      </c>
      <c r="C1442" s="213">
        <v>17111004837</v>
      </c>
      <c r="D1442" s="213">
        <v>17111000045</v>
      </c>
      <c r="E1442" s="213" t="s">
        <v>533</v>
      </c>
      <c r="F1442" s="213" t="s">
        <v>534</v>
      </c>
      <c r="G1442" s="213" t="s">
        <v>375</v>
      </c>
      <c r="H1442" s="213" t="s">
        <v>382</v>
      </c>
      <c r="I1442" s="213"/>
      <c r="J1442" s="213" t="s">
        <v>547</v>
      </c>
      <c r="K1442" s="213"/>
      <c r="L1442" s="213"/>
      <c r="M1442" s="213"/>
      <c r="N1442" s="213"/>
      <c r="O1442" s="213"/>
      <c r="P1442" s="213"/>
      <c r="Q1442" s="213"/>
      <c r="R1442" s="213"/>
      <c r="S1442" s="213" t="s">
        <v>608</v>
      </c>
      <c r="T1442" s="213"/>
      <c r="U1442" s="213" t="s">
        <v>538</v>
      </c>
      <c r="V1442" s="213">
        <v>2</v>
      </c>
      <c r="W1442" s="213" t="s">
        <v>566</v>
      </c>
      <c r="X1442" s="213" t="s">
        <v>549</v>
      </c>
      <c r="Y1442" s="213" t="s">
        <v>549</v>
      </c>
      <c r="Z1442" s="212">
        <v>11217</v>
      </c>
      <c r="AA1442" s="212">
        <v>1044275</v>
      </c>
      <c r="AB1442" s="217">
        <v>6.6996419999999999</v>
      </c>
      <c r="AC1442" s="217">
        <v>10.782050999999999</v>
      </c>
      <c r="AD1442" s="212">
        <f t="shared" si="22"/>
        <v>6996268.6495500002</v>
      </c>
    </row>
    <row r="1443" spans="2:30" x14ac:dyDescent="0.15">
      <c r="B1443" s="213">
        <v>17111002126</v>
      </c>
      <c r="C1443" s="213">
        <v>17111000032</v>
      </c>
      <c r="D1443" s="213">
        <v>17111004830</v>
      </c>
      <c r="E1443" s="213" t="s">
        <v>533</v>
      </c>
      <c r="F1443" s="213" t="s">
        <v>534</v>
      </c>
      <c r="G1443" s="213" t="s">
        <v>375</v>
      </c>
      <c r="H1443" s="213" t="s">
        <v>563</v>
      </c>
      <c r="I1443" s="213"/>
      <c r="J1443" s="213"/>
      <c r="K1443" s="213"/>
      <c r="L1443" s="213"/>
      <c r="M1443" s="213"/>
      <c r="N1443" s="213"/>
      <c r="O1443" s="213"/>
      <c r="P1443" s="213"/>
      <c r="Q1443" s="213"/>
      <c r="R1443" s="213"/>
      <c r="S1443" s="213" t="s">
        <v>629</v>
      </c>
      <c r="T1443" s="213"/>
      <c r="U1443" s="213" t="s">
        <v>538</v>
      </c>
      <c r="V1443" s="213">
        <v>1</v>
      </c>
      <c r="W1443" s="213" t="s">
        <v>562</v>
      </c>
      <c r="X1443" s="213" t="s">
        <v>554</v>
      </c>
      <c r="Y1443" s="213" t="s">
        <v>554</v>
      </c>
      <c r="Z1443" s="212">
        <v>27537</v>
      </c>
      <c r="AA1443" s="212">
        <v>2569247</v>
      </c>
      <c r="AB1443" s="217">
        <v>4.4978680000000004</v>
      </c>
      <c r="AC1443" s="217">
        <v>7.238632</v>
      </c>
      <c r="AD1443" s="212">
        <f t="shared" si="22"/>
        <v>11556133.865396</v>
      </c>
    </row>
    <row r="1444" spans="2:30" x14ac:dyDescent="0.15">
      <c r="B1444" s="213">
        <v>17111002548</v>
      </c>
      <c r="C1444" s="213">
        <v>17111004836</v>
      </c>
      <c r="D1444" s="213">
        <v>17111004837</v>
      </c>
      <c r="E1444" s="213" t="s">
        <v>533</v>
      </c>
      <c r="F1444" s="213" t="s">
        <v>534</v>
      </c>
      <c r="G1444" s="213" t="s">
        <v>375</v>
      </c>
      <c r="H1444" s="213" t="s">
        <v>382</v>
      </c>
      <c r="I1444" s="213"/>
      <c r="J1444" s="213" t="s">
        <v>547</v>
      </c>
      <c r="K1444" s="213"/>
      <c r="L1444" s="213"/>
      <c r="M1444" s="213"/>
      <c r="N1444" s="213"/>
      <c r="O1444" s="213"/>
      <c r="P1444" s="213"/>
      <c r="Q1444" s="213"/>
      <c r="R1444" s="213"/>
      <c r="S1444" s="213" t="s">
        <v>608</v>
      </c>
      <c r="T1444" s="213"/>
      <c r="U1444" s="213" t="s">
        <v>538</v>
      </c>
      <c r="V1444" s="213">
        <v>2</v>
      </c>
      <c r="W1444" s="213" t="s">
        <v>566</v>
      </c>
      <c r="X1444" s="213" t="s">
        <v>549</v>
      </c>
      <c r="Y1444" s="213" t="s">
        <v>549</v>
      </c>
      <c r="Z1444" s="212">
        <v>11217</v>
      </c>
      <c r="AA1444" s="212">
        <v>1044275</v>
      </c>
      <c r="AB1444" s="217">
        <v>4.4494369999999996</v>
      </c>
      <c r="AC1444" s="217">
        <v>7.1606880000000004</v>
      </c>
      <c r="AD1444" s="212">
        <f t="shared" si="22"/>
        <v>4646435.823175</v>
      </c>
    </row>
    <row r="1445" spans="2:30" x14ac:dyDescent="0.15">
      <c r="B1445" s="213">
        <v>17111002558</v>
      </c>
      <c r="C1445" s="213">
        <v>17111004841</v>
      </c>
      <c r="D1445" s="213">
        <v>17111000158</v>
      </c>
      <c r="E1445" s="213" t="s">
        <v>533</v>
      </c>
      <c r="F1445" s="213" t="s">
        <v>534</v>
      </c>
      <c r="G1445" s="213" t="s">
        <v>375</v>
      </c>
      <c r="H1445" s="213" t="s">
        <v>678</v>
      </c>
      <c r="I1445" s="213"/>
      <c r="J1445" s="213"/>
      <c r="K1445" s="213"/>
      <c r="L1445" s="213"/>
      <c r="M1445" s="213"/>
      <c r="N1445" s="213"/>
      <c r="O1445" s="213"/>
      <c r="P1445" s="213"/>
      <c r="Q1445" s="213"/>
      <c r="R1445" s="213"/>
      <c r="S1445" s="213"/>
      <c r="T1445" s="213"/>
      <c r="U1445" s="213" t="s">
        <v>538</v>
      </c>
      <c r="V1445" s="213">
        <v>1</v>
      </c>
      <c r="W1445" s="213" t="s">
        <v>560</v>
      </c>
      <c r="X1445" s="213" t="s">
        <v>541</v>
      </c>
      <c r="Y1445" s="213" t="s">
        <v>541</v>
      </c>
      <c r="Z1445" s="212">
        <v>0</v>
      </c>
      <c r="AA1445" s="212">
        <v>0</v>
      </c>
      <c r="AB1445" s="217">
        <v>0.14360500000000001</v>
      </c>
      <c r="AC1445" s="217">
        <v>0.23111100000000001</v>
      </c>
      <c r="AD1445" s="212">
        <f t="shared" si="22"/>
        <v>0</v>
      </c>
    </row>
    <row r="1446" spans="2:30" x14ac:dyDescent="0.15">
      <c r="B1446" s="213">
        <v>17111003009</v>
      </c>
      <c r="C1446" s="213">
        <v>17111000040</v>
      </c>
      <c r="D1446" s="213">
        <v>17111000041</v>
      </c>
      <c r="E1446" s="213" t="s">
        <v>533</v>
      </c>
      <c r="F1446" s="213" t="s">
        <v>534</v>
      </c>
      <c r="G1446" s="213" t="s">
        <v>375</v>
      </c>
      <c r="H1446" s="213" t="s">
        <v>636</v>
      </c>
      <c r="I1446" s="213"/>
      <c r="J1446" s="213"/>
      <c r="K1446" s="213"/>
      <c r="L1446" s="213"/>
      <c r="M1446" s="213"/>
      <c r="N1446" s="213"/>
      <c r="O1446" s="213"/>
      <c r="P1446" s="213"/>
      <c r="Q1446" s="213"/>
      <c r="R1446" s="213"/>
      <c r="S1446" s="213"/>
      <c r="T1446" s="213"/>
      <c r="U1446" s="213" t="s">
        <v>538</v>
      </c>
      <c r="V1446" s="213">
        <v>1</v>
      </c>
      <c r="W1446" s="213" t="s">
        <v>560</v>
      </c>
      <c r="X1446" s="213" t="s">
        <v>637</v>
      </c>
      <c r="Y1446" s="213" t="s">
        <v>541</v>
      </c>
      <c r="Z1446" s="212">
        <v>0</v>
      </c>
      <c r="AA1446" s="212">
        <v>0</v>
      </c>
      <c r="AB1446" s="217">
        <v>0.187055</v>
      </c>
      <c r="AC1446" s="217">
        <v>0.301037</v>
      </c>
      <c r="AD1446" s="212">
        <f t="shared" si="22"/>
        <v>0</v>
      </c>
    </row>
    <row r="1447" spans="2:30" x14ac:dyDescent="0.15">
      <c r="B1447" s="213">
        <v>17111003225</v>
      </c>
      <c r="C1447" s="213">
        <v>17999019031</v>
      </c>
      <c r="D1447" s="213">
        <v>17111004840</v>
      </c>
      <c r="E1447" s="213" t="s">
        <v>533</v>
      </c>
      <c r="F1447" s="213" t="s">
        <v>534</v>
      </c>
      <c r="G1447" s="213" t="s">
        <v>375</v>
      </c>
      <c r="H1447" s="213" t="s">
        <v>382</v>
      </c>
      <c r="I1447" s="213"/>
      <c r="J1447" s="213"/>
      <c r="K1447" s="213"/>
      <c r="L1447" s="213"/>
      <c r="M1447" s="213"/>
      <c r="N1447" s="213"/>
      <c r="O1447" s="213"/>
      <c r="P1447" s="213"/>
      <c r="Q1447" s="213"/>
      <c r="R1447" s="213"/>
      <c r="S1447" s="213" t="s">
        <v>561</v>
      </c>
      <c r="T1447" s="213"/>
      <c r="U1447" s="213" t="s">
        <v>538</v>
      </c>
      <c r="V1447" s="213">
        <v>1</v>
      </c>
      <c r="W1447" s="213" t="s">
        <v>562</v>
      </c>
      <c r="X1447" s="213" t="s">
        <v>540</v>
      </c>
      <c r="Y1447" s="213" t="s">
        <v>541</v>
      </c>
      <c r="Z1447" s="212">
        <v>26584</v>
      </c>
      <c r="AA1447" s="212">
        <v>636580</v>
      </c>
      <c r="AB1447" s="217">
        <v>0.10917</v>
      </c>
      <c r="AC1447" s="217">
        <v>0.17569199999999999</v>
      </c>
      <c r="AD1447" s="212">
        <f t="shared" si="22"/>
        <v>69495.438600000009</v>
      </c>
    </row>
    <row r="1448" spans="2:30" x14ac:dyDescent="0.15">
      <c r="B1448" s="213">
        <v>17111003951</v>
      </c>
      <c r="C1448" s="213">
        <v>17111000120</v>
      </c>
      <c r="D1448" s="213">
        <v>17111000112</v>
      </c>
      <c r="E1448" s="213" t="s">
        <v>533</v>
      </c>
      <c r="F1448" s="213" t="s">
        <v>534</v>
      </c>
      <c r="G1448" s="213" t="s">
        <v>375</v>
      </c>
      <c r="H1448" s="213" t="s">
        <v>382</v>
      </c>
      <c r="I1448" s="213"/>
      <c r="J1448" s="213" t="s">
        <v>547</v>
      </c>
      <c r="K1448" s="213"/>
      <c r="L1448" s="213"/>
      <c r="M1448" s="213"/>
      <c r="N1448" s="213"/>
      <c r="O1448" s="213"/>
      <c r="P1448" s="213"/>
      <c r="Q1448" s="213"/>
      <c r="R1448" s="213"/>
      <c r="S1448" s="213" t="s">
        <v>376</v>
      </c>
      <c r="T1448" s="213"/>
      <c r="U1448" s="213" t="s">
        <v>538</v>
      </c>
      <c r="V1448" s="213">
        <v>1</v>
      </c>
      <c r="W1448" s="213" t="s">
        <v>539</v>
      </c>
      <c r="X1448" s="213" t="s">
        <v>541</v>
      </c>
      <c r="Y1448" s="213" t="s">
        <v>541</v>
      </c>
      <c r="Z1448" s="212">
        <v>0</v>
      </c>
      <c r="AA1448" s="212">
        <v>0</v>
      </c>
      <c r="AB1448" s="217">
        <v>0.399287</v>
      </c>
      <c r="AC1448" s="217">
        <v>0.64259100000000002</v>
      </c>
      <c r="AD1448" s="212">
        <f t="shared" si="22"/>
        <v>0</v>
      </c>
    </row>
    <row r="1449" spans="2:30" x14ac:dyDescent="0.15">
      <c r="B1449" s="213">
        <v>17111005927</v>
      </c>
      <c r="C1449" s="213">
        <v>17111000154</v>
      </c>
      <c r="D1449" s="213">
        <v>17111000152</v>
      </c>
      <c r="E1449" s="213" t="s">
        <v>533</v>
      </c>
      <c r="F1449" s="213" t="s">
        <v>534</v>
      </c>
      <c r="G1449" s="213" t="s">
        <v>375</v>
      </c>
      <c r="H1449" s="213" t="s">
        <v>678</v>
      </c>
      <c r="I1449" s="213"/>
      <c r="J1449" s="213"/>
      <c r="K1449" s="213"/>
      <c r="L1449" s="213"/>
      <c r="M1449" s="213"/>
      <c r="N1449" s="213"/>
      <c r="O1449" s="213"/>
      <c r="P1449" s="213"/>
      <c r="Q1449" s="213"/>
      <c r="R1449" s="213"/>
      <c r="S1449" s="213"/>
      <c r="T1449" s="213"/>
      <c r="U1449" s="213" t="s">
        <v>538</v>
      </c>
      <c r="V1449" s="213">
        <v>1</v>
      </c>
      <c r="W1449" s="213" t="s">
        <v>560</v>
      </c>
      <c r="X1449" s="213" t="s">
        <v>541</v>
      </c>
      <c r="Y1449" s="213" t="s">
        <v>541</v>
      </c>
      <c r="Z1449" s="212">
        <v>0</v>
      </c>
      <c r="AA1449" s="212">
        <v>0</v>
      </c>
      <c r="AB1449" s="217">
        <v>7.4020000000000002E-2</v>
      </c>
      <c r="AC1449" s="217">
        <v>0.11912399999999999</v>
      </c>
      <c r="AD1449" s="212">
        <f t="shared" si="22"/>
        <v>0</v>
      </c>
    </row>
    <row r="1450" spans="2:30" x14ac:dyDescent="0.15">
      <c r="B1450" s="213">
        <v>17111005950</v>
      </c>
      <c r="C1450" s="213">
        <v>17111004841</v>
      </c>
      <c r="D1450" s="213">
        <v>17111000169</v>
      </c>
      <c r="E1450" s="213" t="s">
        <v>533</v>
      </c>
      <c r="F1450" s="213" t="s">
        <v>534</v>
      </c>
      <c r="G1450" s="213" t="s">
        <v>375</v>
      </c>
      <c r="H1450" s="213" t="s">
        <v>678</v>
      </c>
      <c r="I1450" s="213"/>
      <c r="J1450" s="213"/>
      <c r="K1450" s="213"/>
      <c r="L1450" s="213"/>
      <c r="M1450" s="213"/>
      <c r="N1450" s="213"/>
      <c r="O1450" s="213"/>
      <c r="P1450" s="213"/>
      <c r="Q1450" s="213"/>
      <c r="R1450" s="213"/>
      <c r="S1450" s="213"/>
      <c r="T1450" s="213"/>
      <c r="U1450" s="213" t="s">
        <v>538</v>
      </c>
      <c r="V1450" s="213">
        <v>1</v>
      </c>
      <c r="W1450" s="213" t="s">
        <v>560</v>
      </c>
      <c r="X1450" s="213" t="s">
        <v>541</v>
      </c>
      <c r="Y1450" s="213" t="s">
        <v>541</v>
      </c>
      <c r="Z1450" s="212">
        <v>0</v>
      </c>
      <c r="AA1450" s="212">
        <v>0</v>
      </c>
      <c r="AB1450" s="217">
        <v>3.8404289999999999</v>
      </c>
      <c r="AC1450" s="217">
        <v>6.1805839999999996</v>
      </c>
      <c r="AD1450" s="212">
        <f t="shared" si="22"/>
        <v>0</v>
      </c>
    </row>
    <row r="1451" spans="2:30" x14ac:dyDescent="0.15">
      <c r="B1451" s="213">
        <v>17111006561</v>
      </c>
      <c r="C1451" s="213">
        <v>17111004835</v>
      </c>
      <c r="D1451" s="213">
        <v>17111000138</v>
      </c>
      <c r="E1451" s="213" t="s">
        <v>533</v>
      </c>
      <c r="F1451" s="213" t="s">
        <v>534</v>
      </c>
      <c r="G1451" s="213" t="s">
        <v>375</v>
      </c>
      <c r="H1451" s="213" t="s">
        <v>382</v>
      </c>
      <c r="I1451" s="213"/>
      <c r="J1451" s="213" t="s">
        <v>547</v>
      </c>
      <c r="K1451" s="213"/>
      <c r="L1451" s="213"/>
      <c r="M1451" s="213"/>
      <c r="N1451" s="213"/>
      <c r="O1451" s="213"/>
      <c r="P1451" s="213"/>
      <c r="Q1451" s="213"/>
      <c r="R1451" s="213"/>
      <c r="S1451" s="213" t="s">
        <v>608</v>
      </c>
      <c r="T1451" s="213"/>
      <c r="U1451" s="213" t="s">
        <v>538</v>
      </c>
      <c r="V1451" s="213">
        <v>2</v>
      </c>
      <c r="W1451" s="213" t="s">
        <v>566</v>
      </c>
      <c r="X1451" s="213" t="s">
        <v>549</v>
      </c>
      <c r="Y1451" s="213" t="s">
        <v>549</v>
      </c>
      <c r="Z1451" s="212">
        <v>12093</v>
      </c>
      <c r="AA1451" s="212">
        <v>1128047</v>
      </c>
      <c r="AB1451" s="217">
        <v>0.223466</v>
      </c>
      <c r="AC1451" s="217">
        <v>0.35963400000000001</v>
      </c>
      <c r="AD1451" s="212">
        <f t="shared" si="22"/>
        <v>252080.15090199999</v>
      </c>
    </row>
    <row r="1452" spans="2:30" x14ac:dyDescent="0.15">
      <c r="B1452" s="213">
        <v>17111009861</v>
      </c>
      <c r="C1452" s="213">
        <v>17111007943</v>
      </c>
      <c r="D1452" s="213">
        <v>17111004836</v>
      </c>
      <c r="E1452" s="213" t="s">
        <v>533</v>
      </c>
      <c r="F1452" s="213" t="s">
        <v>534</v>
      </c>
      <c r="G1452" s="213" t="s">
        <v>375</v>
      </c>
      <c r="H1452" s="213" t="s">
        <v>382</v>
      </c>
      <c r="I1452" s="213"/>
      <c r="J1452" s="213" t="s">
        <v>547</v>
      </c>
      <c r="K1452" s="213"/>
      <c r="L1452" s="213"/>
      <c r="M1452" s="213"/>
      <c r="N1452" s="213"/>
      <c r="O1452" s="213"/>
      <c r="P1452" s="213"/>
      <c r="Q1452" s="213"/>
      <c r="R1452" s="213"/>
      <c r="S1452" s="213" t="s">
        <v>608</v>
      </c>
      <c r="T1452" s="213"/>
      <c r="U1452" s="213" t="s">
        <v>538</v>
      </c>
      <c r="V1452" s="213">
        <v>2</v>
      </c>
      <c r="W1452" s="213" t="s">
        <v>566</v>
      </c>
      <c r="X1452" s="213" t="s">
        <v>549</v>
      </c>
      <c r="Y1452" s="213" t="s">
        <v>549</v>
      </c>
      <c r="Z1452" s="212">
        <v>11697</v>
      </c>
      <c r="AA1452" s="212">
        <v>1089235</v>
      </c>
      <c r="AB1452" s="217">
        <v>2.253905</v>
      </c>
      <c r="AC1452" s="217">
        <v>3.627316</v>
      </c>
      <c r="AD1452" s="212">
        <f t="shared" si="22"/>
        <v>2455032.2126750001</v>
      </c>
    </row>
    <row r="1453" spans="2:30" x14ac:dyDescent="0.15">
      <c r="B1453" s="213">
        <v>17197000604</v>
      </c>
      <c r="C1453" s="213">
        <v>17197007426</v>
      </c>
      <c r="D1453" s="213">
        <v>17197007432</v>
      </c>
      <c r="E1453" s="213" t="s">
        <v>533</v>
      </c>
      <c r="F1453" s="213" t="s">
        <v>534</v>
      </c>
      <c r="G1453" s="213" t="s">
        <v>377</v>
      </c>
      <c r="H1453" s="213" t="s">
        <v>551</v>
      </c>
      <c r="I1453" s="213"/>
      <c r="J1453" s="213" t="s">
        <v>535</v>
      </c>
      <c r="K1453" s="213"/>
      <c r="L1453" s="213"/>
      <c r="M1453" s="213"/>
      <c r="N1453" s="213"/>
      <c r="O1453" s="213"/>
      <c r="P1453" s="213"/>
      <c r="Q1453" s="213"/>
      <c r="R1453" s="213"/>
      <c r="S1453" s="213" t="s">
        <v>594</v>
      </c>
      <c r="T1453" s="213"/>
      <c r="U1453" s="213" t="s">
        <v>559</v>
      </c>
      <c r="V1453" s="213">
        <v>1</v>
      </c>
      <c r="W1453" s="213" t="s">
        <v>560</v>
      </c>
      <c r="X1453" s="213" t="s">
        <v>541</v>
      </c>
      <c r="Y1453" s="213" t="s">
        <v>541</v>
      </c>
      <c r="Z1453" s="212">
        <v>0</v>
      </c>
      <c r="AA1453" s="212">
        <v>0</v>
      </c>
      <c r="AB1453" s="217">
        <v>0.470277</v>
      </c>
      <c r="AC1453" s="217">
        <v>0.75683999999999996</v>
      </c>
      <c r="AD1453" s="212">
        <f t="shared" si="22"/>
        <v>0</v>
      </c>
    </row>
    <row r="1454" spans="2:30" x14ac:dyDescent="0.15">
      <c r="B1454" s="213">
        <v>17197001969</v>
      </c>
      <c r="C1454" s="213">
        <v>17197001473</v>
      </c>
      <c r="D1454" s="213">
        <v>17197007179</v>
      </c>
      <c r="E1454" s="213" t="s">
        <v>533</v>
      </c>
      <c r="F1454" s="213" t="s">
        <v>534</v>
      </c>
      <c r="G1454" s="213" t="s">
        <v>377</v>
      </c>
      <c r="H1454" s="213" t="s">
        <v>535</v>
      </c>
      <c r="I1454" s="213"/>
      <c r="J1454" s="213" t="s">
        <v>542</v>
      </c>
      <c r="K1454" s="213" t="s">
        <v>572</v>
      </c>
      <c r="L1454" s="213" t="s">
        <v>547</v>
      </c>
      <c r="M1454" s="213" t="s">
        <v>382</v>
      </c>
      <c r="N1454" s="213"/>
      <c r="O1454" s="213"/>
      <c r="P1454" s="213"/>
      <c r="Q1454" s="213"/>
      <c r="R1454" s="213"/>
      <c r="S1454" s="213" t="s">
        <v>601</v>
      </c>
      <c r="T1454" s="213"/>
      <c r="U1454" s="213" t="s">
        <v>538</v>
      </c>
      <c r="V1454" s="213">
        <v>2</v>
      </c>
      <c r="W1454" s="213" t="s">
        <v>545</v>
      </c>
      <c r="X1454" s="213" t="s">
        <v>549</v>
      </c>
      <c r="Y1454" s="213" t="s">
        <v>540</v>
      </c>
      <c r="Z1454" s="212">
        <v>416386</v>
      </c>
      <c r="AA1454" s="212">
        <v>6195335</v>
      </c>
      <c r="AB1454" s="217">
        <v>0.59473500000000001</v>
      </c>
      <c r="AC1454" s="217">
        <v>0.95713499999999996</v>
      </c>
      <c r="AD1454" s="212">
        <f t="shared" si="22"/>
        <v>3684582.5612250003</v>
      </c>
    </row>
    <row r="1455" spans="2:30" x14ac:dyDescent="0.15">
      <c r="B1455" s="213">
        <v>17197002066</v>
      </c>
      <c r="C1455" s="213">
        <v>17197001606</v>
      </c>
      <c r="D1455" s="213">
        <v>17999024401</v>
      </c>
      <c r="E1455" s="213" t="s">
        <v>533</v>
      </c>
      <c r="F1455" s="213" t="s">
        <v>534</v>
      </c>
      <c r="G1455" s="213" t="s">
        <v>377</v>
      </c>
      <c r="H1455" s="213" t="s">
        <v>382</v>
      </c>
      <c r="I1455" s="213"/>
      <c r="J1455" s="213" t="s">
        <v>551</v>
      </c>
      <c r="K1455" s="213" t="s">
        <v>555</v>
      </c>
      <c r="L1455" s="213"/>
      <c r="M1455" s="213"/>
      <c r="N1455" s="213"/>
      <c r="O1455" s="213"/>
      <c r="P1455" s="213"/>
      <c r="Q1455" s="213"/>
      <c r="R1455" s="213"/>
      <c r="S1455" s="213" t="s">
        <v>556</v>
      </c>
      <c r="T1455" s="213"/>
      <c r="U1455" s="213" t="s">
        <v>538</v>
      </c>
      <c r="V1455" s="213">
        <v>2</v>
      </c>
      <c r="W1455" s="213" t="s">
        <v>545</v>
      </c>
      <c r="X1455" s="213" t="s">
        <v>540</v>
      </c>
      <c r="Y1455" s="213" t="s">
        <v>580</v>
      </c>
      <c r="Z1455" s="212">
        <v>846321</v>
      </c>
      <c r="AA1455" s="212">
        <v>33452495</v>
      </c>
      <c r="AB1455" s="217">
        <v>1.627521</v>
      </c>
      <c r="AC1455" s="217">
        <v>2.619246</v>
      </c>
      <c r="AD1455" s="212">
        <f t="shared" si="22"/>
        <v>54444638.114895001</v>
      </c>
    </row>
    <row r="1456" spans="2:30" x14ac:dyDescent="0.15">
      <c r="B1456" s="213">
        <v>17197002265</v>
      </c>
      <c r="C1456" s="213">
        <v>17197001431</v>
      </c>
      <c r="D1456" s="213">
        <v>17197004802</v>
      </c>
      <c r="E1456" s="213" t="s">
        <v>533</v>
      </c>
      <c r="F1456" s="213" t="s">
        <v>534</v>
      </c>
      <c r="G1456" s="213" t="s">
        <v>377</v>
      </c>
      <c r="H1456" s="213" t="s">
        <v>535</v>
      </c>
      <c r="I1456" s="213"/>
      <c r="J1456" s="213" t="s">
        <v>542</v>
      </c>
      <c r="K1456" s="213" t="s">
        <v>572</v>
      </c>
      <c r="L1456" s="213" t="s">
        <v>547</v>
      </c>
      <c r="M1456" s="213" t="s">
        <v>382</v>
      </c>
      <c r="N1456" s="213"/>
      <c r="O1456" s="213"/>
      <c r="P1456" s="213"/>
      <c r="Q1456" s="213"/>
      <c r="R1456" s="213"/>
      <c r="S1456" s="213" t="s">
        <v>601</v>
      </c>
      <c r="T1456" s="213"/>
      <c r="U1456" s="213" t="s">
        <v>538</v>
      </c>
      <c r="V1456" s="213">
        <v>2</v>
      </c>
      <c r="W1456" s="213" t="s">
        <v>545</v>
      </c>
      <c r="X1456" s="213" t="s">
        <v>549</v>
      </c>
      <c r="Y1456" s="213" t="s">
        <v>540</v>
      </c>
      <c r="Z1456" s="212">
        <v>416386</v>
      </c>
      <c r="AA1456" s="212">
        <v>6195335</v>
      </c>
      <c r="AB1456" s="217">
        <v>5.6763240000000001</v>
      </c>
      <c r="AC1456" s="217">
        <v>9.1351759999999995</v>
      </c>
      <c r="AD1456" s="212">
        <f t="shared" si="22"/>
        <v>35166728.748539999</v>
      </c>
    </row>
    <row r="1457" spans="2:30" x14ac:dyDescent="0.15">
      <c r="B1457" s="213">
        <v>17197002267</v>
      </c>
      <c r="C1457" s="213">
        <v>17197001465</v>
      </c>
      <c r="D1457" s="213">
        <v>17197001431</v>
      </c>
      <c r="E1457" s="213" t="s">
        <v>533</v>
      </c>
      <c r="F1457" s="213" t="s">
        <v>534</v>
      </c>
      <c r="G1457" s="213" t="s">
        <v>377</v>
      </c>
      <c r="H1457" s="213" t="s">
        <v>535</v>
      </c>
      <c r="I1457" s="213"/>
      <c r="J1457" s="213" t="s">
        <v>542</v>
      </c>
      <c r="K1457" s="213" t="s">
        <v>572</v>
      </c>
      <c r="L1457" s="213" t="s">
        <v>547</v>
      </c>
      <c r="M1457" s="213" t="s">
        <v>382</v>
      </c>
      <c r="N1457" s="213"/>
      <c r="O1457" s="213"/>
      <c r="P1457" s="213"/>
      <c r="Q1457" s="213"/>
      <c r="R1457" s="213"/>
      <c r="S1457" s="213" t="s">
        <v>601</v>
      </c>
      <c r="T1457" s="213"/>
      <c r="U1457" s="213" t="s">
        <v>538</v>
      </c>
      <c r="V1457" s="213">
        <v>2</v>
      </c>
      <c r="W1457" s="213" t="s">
        <v>545</v>
      </c>
      <c r="X1457" s="213" t="s">
        <v>549</v>
      </c>
      <c r="Y1457" s="213" t="s">
        <v>540</v>
      </c>
      <c r="Z1457" s="212">
        <v>416386</v>
      </c>
      <c r="AA1457" s="212">
        <v>6195335</v>
      </c>
      <c r="AB1457" s="217">
        <v>2.6804830000000002</v>
      </c>
      <c r="AC1457" s="217">
        <v>4.3138269999999999</v>
      </c>
      <c r="AD1457" s="212">
        <f t="shared" si="22"/>
        <v>16606490.146805001</v>
      </c>
    </row>
    <row r="1458" spans="2:30" x14ac:dyDescent="0.15">
      <c r="B1458" s="213">
        <v>17197002275</v>
      </c>
      <c r="C1458" s="213">
        <v>17999024341</v>
      </c>
      <c r="D1458" s="213">
        <v>17197004795</v>
      </c>
      <c r="E1458" s="213" t="s">
        <v>533</v>
      </c>
      <c r="F1458" s="213" t="s">
        <v>534</v>
      </c>
      <c r="G1458" s="213" t="s">
        <v>377</v>
      </c>
      <c r="H1458" s="213" t="s">
        <v>535</v>
      </c>
      <c r="I1458" s="213"/>
      <c r="J1458" s="213"/>
      <c r="K1458" s="213"/>
      <c r="L1458" s="213"/>
      <c r="M1458" s="213"/>
      <c r="N1458" s="213"/>
      <c r="O1458" s="213"/>
      <c r="P1458" s="213"/>
      <c r="Q1458" s="213"/>
      <c r="R1458" s="213"/>
      <c r="S1458" s="213" t="s">
        <v>673</v>
      </c>
      <c r="T1458" s="213"/>
      <c r="U1458" s="213" t="s">
        <v>538</v>
      </c>
      <c r="V1458" s="213">
        <v>1</v>
      </c>
      <c r="W1458" s="213" t="s">
        <v>560</v>
      </c>
      <c r="X1458" s="213" t="s">
        <v>554</v>
      </c>
      <c r="Y1458" s="213" t="s">
        <v>541</v>
      </c>
      <c r="Z1458" s="212">
        <v>14288</v>
      </c>
      <c r="AA1458" s="212">
        <v>1236096</v>
      </c>
      <c r="AB1458" s="217">
        <v>6.3181700000000003</v>
      </c>
      <c r="AC1458" s="217">
        <v>10.168129</v>
      </c>
      <c r="AD1458" s="212">
        <f t="shared" si="22"/>
        <v>7809864.6643200004</v>
      </c>
    </row>
    <row r="1459" spans="2:30" x14ac:dyDescent="0.15">
      <c r="B1459" s="213">
        <v>17197002277</v>
      </c>
      <c r="C1459" s="213">
        <v>17197001588</v>
      </c>
      <c r="D1459" s="213">
        <v>17197004807</v>
      </c>
      <c r="E1459" s="213" t="s">
        <v>533</v>
      </c>
      <c r="F1459" s="213" t="s">
        <v>534</v>
      </c>
      <c r="G1459" s="213" t="s">
        <v>377</v>
      </c>
      <c r="H1459" s="213" t="s">
        <v>381</v>
      </c>
      <c r="I1459" s="213"/>
      <c r="J1459" s="213" t="s">
        <v>382</v>
      </c>
      <c r="K1459" s="213"/>
      <c r="L1459" s="213"/>
      <c r="M1459" s="213"/>
      <c r="N1459" s="213"/>
      <c r="O1459" s="213"/>
      <c r="P1459" s="213"/>
      <c r="Q1459" s="213"/>
      <c r="R1459" s="213"/>
      <c r="S1459" s="213" t="s">
        <v>647</v>
      </c>
      <c r="T1459" s="213"/>
      <c r="U1459" s="213" t="s">
        <v>538</v>
      </c>
      <c r="V1459" s="213">
        <v>1</v>
      </c>
      <c r="W1459" s="213" t="s">
        <v>545</v>
      </c>
      <c r="X1459" s="213" t="s">
        <v>549</v>
      </c>
      <c r="Y1459" s="213" t="s">
        <v>580</v>
      </c>
      <c r="Z1459" s="212">
        <v>225440</v>
      </c>
      <c r="AA1459" s="212">
        <v>2913712</v>
      </c>
      <c r="AB1459" s="217">
        <v>0.53257399999999999</v>
      </c>
      <c r="AC1459" s="217">
        <v>0.857097</v>
      </c>
      <c r="AD1459" s="212">
        <f t="shared" si="22"/>
        <v>1551767.2546880001</v>
      </c>
    </row>
    <row r="1460" spans="2:30" x14ac:dyDescent="0.15">
      <c r="B1460" s="213">
        <v>17197002590</v>
      </c>
      <c r="C1460" s="213">
        <v>17197001420</v>
      </c>
      <c r="D1460" s="213">
        <v>17197001412</v>
      </c>
      <c r="E1460" s="213" t="s">
        <v>533</v>
      </c>
      <c r="F1460" s="213" t="s">
        <v>534</v>
      </c>
      <c r="G1460" s="213" t="s">
        <v>377</v>
      </c>
      <c r="H1460" s="213" t="s">
        <v>535</v>
      </c>
      <c r="I1460" s="213"/>
      <c r="J1460" s="213" t="s">
        <v>382</v>
      </c>
      <c r="K1460" s="213" t="s">
        <v>536</v>
      </c>
      <c r="L1460" s="213"/>
      <c r="M1460" s="213"/>
      <c r="N1460" s="213"/>
      <c r="O1460" s="213"/>
      <c r="P1460" s="213"/>
      <c r="Q1460" s="213"/>
      <c r="R1460" s="213"/>
      <c r="S1460" s="213" t="s">
        <v>550</v>
      </c>
      <c r="T1460" s="213"/>
      <c r="U1460" s="213" t="s">
        <v>538</v>
      </c>
      <c r="V1460" s="213">
        <v>1</v>
      </c>
      <c r="W1460" s="213" t="s">
        <v>545</v>
      </c>
      <c r="X1460" s="213" t="s">
        <v>549</v>
      </c>
      <c r="Y1460" s="213" t="s">
        <v>540</v>
      </c>
      <c r="Z1460" s="212">
        <v>71203</v>
      </c>
      <c r="AA1460" s="212">
        <v>7843908</v>
      </c>
      <c r="AB1460" s="217">
        <v>0.31075799999999998</v>
      </c>
      <c r="AC1460" s="217">
        <v>0.50011700000000003</v>
      </c>
      <c r="AD1460" s="212">
        <f t="shared" si="22"/>
        <v>2437557.1622639997</v>
      </c>
    </row>
    <row r="1461" spans="2:30" x14ac:dyDescent="0.15">
      <c r="B1461" s="213">
        <v>17197002626</v>
      </c>
      <c r="C1461" s="213">
        <v>17197001591</v>
      </c>
      <c r="D1461" s="213">
        <v>17197001569</v>
      </c>
      <c r="E1461" s="213" t="s">
        <v>533</v>
      </c>
      <c r="F1461" s="213" t="s">
        <v>534</v>
      </c>
      <c r="G1461" s="213" t="s">
        <v>377</v>
      </c>
      <c r="H1461" s="213" t="s">
        <v>551</v>
      </c>
      <c r="I1461" s="213"/>
      <c r="J1461" s="213" t="s">
        <v>535</v>
      </c>
      <c r="K1461" s="213" t="s">
        <v>615</v>
      </c>
      <c r="L1461" s="213"/>
      <c r="M1461" s="213"/>
      <c r="N1461" s="213"/>
      <c r="O1461" s="213"/>
      <c r="P1461" s="213"/>
      <c r="Q1461" s="213"/>
      <c r="R1461" s="213"/>
      <c r="S1461" s="213" t="s">
        <v>663</v>
      </c>
      <c r="T1461" s="213"/>
      <c r="U1461" s="213" t="s">
        <v>538</v>
      </c>
      <c r="V1461" s="213">
        <v>1</v>
      </c>
      <c r="W1461" s="213" t="s">
        <v>539</v>
      </c>
      <c r="X1461" s="213" t="s">
        <v>554</v>
      </c>
      <c r="Y1461" s="213" t="s">
        <v>540</v>
      </c>
      <c r="Z1461" s="212">
        <v>102461</v>
      </c>
      <c r="AA1461" s="212">
        <v>9930274</v>
      </c>
      <c r="AB1461" s="217">
        <v>1.480262</v>
      </c>
      <c r="AC1461" s="217">
        <v>2.3822559999999999</v>
      </c>
      <c r="AD1461" s="212">
        <f t="shared" si="22"/>
        <v>14699407.251788</v>
      </c>
    </row>
    <row r="1462" spans="2:30" x14ac:dyDescent="0.15">
      <c r="B1462" s="213">
        <v>17197002628</v>
      </c>
      <c r="C1462" s="213">
        <v>17197001555</v>
      </c>
      <c r="D1462" s="213">
        <v>17197004789</v>
      </c>
      <c r="E1462" s="213" t="s">
        <v>533</v>
      </c>
      <c r="F1462" s="213" t="s">
        <v>534</v>
      </c>
      <c r="G1462" s="213" t="s">
        <v>377</v>
      </c>
      <c r="H1462" s="213" t="s">
        <v>551</v>
      </c>
      <c r="I1462" s="213"/>
      <c r="J1462" s="213" t="s">
        <v>535</v>
      </c>
      <c r="K1462" s="213" t="s">
        <v>615</v>
      </c>
      <c r="L1462" s="213"/>
      <c r="M1462" s="213"/>
      <c r="N1462" s="213"/>
      <c r="O1462" s="213"/>
      <c r="P1462" s="213"/>
      <c r="Q1462" s="213"/>
      <c r="R1462" s="213"/>
      <c r="S1462" s="213" t="s">
        <v>663</v>
      </c>
      <c r="T1462" s="213"/>
      <c r="U1462" s="213" t="s">
        <v>538</v>
      </c>
      <c r="V1462" s="213">
        <v>1</v>
      </c>
      <c r="W1462" s="213" t="s">
        <v>539</v>
      </c>
      <c r="X1462" s="213" t="s">
        <v>554</v>
      </c>
      <c r="Y1462" s="213" t="s">
        <v>540</v>
      </c>
      <c r="Z1462" s="212">
        <v>102461</v>
      </c>
      <c r="AA1462" s="212">
        <v>9930274</v>
      </c>
      <c r="AB1462" s="217">
        <v>1.531077</v>
      </c>
      <c r="AC1462" s="217">
        <v>2.464035</v>
      </c>
      <c r="AD1462" s="212">
        <f t="shared" si="22"/>
        <v>15204014.125097999</v>
      </c>
    </row>
    <row r="1463" spans="2:30" x14ac:dyDescent="0.15">
      <c r="B1463" s="213">
        <v>17197002637</v>
      </c>
      <c r="C1463" s="213">
        <v>17999026478</v>
      </c>
      <c r="D1463" s="213">
        <v>17197001810</v>
      </c>
      <c r="E1463" s="213" t="s">
        <v>533</v>
      </c>
      <c r="F1463" s="213" t="s">
        <v>534</v>
      </c>
      <c r="G1463" s="213" t="s">
        <v>377</v>
      </c>
      <c r="H1463" s="213" t="s">
        <v>382</v>
      </c>
      <c r="I1463" s="213"/>
      <c r="J1463" s="213" t="s">
        <v>542</v>
      </c>
      <c r="K1463" s="213"/>
      <c r="L1463" s="213"/>
      <c r="M1463" s="213"/>
      <c r="N1463" s="213"/>
      <c r="O1463" s="213"/>
      <c r="P1463" s="213"/>
      <c r="Q1463" s="213"/>
      <c r="R1463" s="213"/>
      <c r="S1463" s="213" t="s">
        <v>606</v>
      </c>
      <c r="T1463" s="213"/>
      <c r="U1463" s="213" t="s">
        <v>538</v>
      </c>
      <c r="V1463" s="213">
        <v>1</v>
      </c>
      <c r="W1463" s="213" t="s">
        <v>545</v>
      </c>
      <c r="X1463" s="213" t="s">
        <v>549</v>
      </c>
      <c r="Y1463" s="213" t="s">
        <v>541</v>
      </c>
      <c r="Z1463" s="212">
        <v>0</v>
      </c>
      <c r="AA1463" s="212">
        <v>0</v>
      </c>
      <c r="AB1463" s="217">
        <v>1.058281</v>
      </c>
      <c r="AC1463" s="217">
        <v>1.7031419999999999</v>
      </c>
      <c r="AD1463" s="212">
        <f t="shared" si="22"/>
        <v>0</v>
      </c>
    </row>
    <row r="1464" spans="2:30" x14ac:dyDescent="0.15">
      <c r="B1464" s="213">
        <v>17197003006</v>
      </c>
      <c r="C1464" s="213">
        <v>17197001461</v>
      </c>
      <c r="D1464" s="213">
        <v>17197001462</v>
      </c>
      <c r="E1464" s="213" t="s">
        <v>533</v>
      </c>
      <c r="F1464" s="213" t="s">
        <v>534</v>
      </c>
      <c r="G1464" s="213" t="s">
        <v>377</v>
      </c>
      <c r="H1464" s="213" t="s">
        <v>535</v>
      </c>
      <c r="I1464" s="213"/>
      <c r="J1464" s="213" t="s">
        <v>382</v>
      </c>
      <c r="K1464" s="213" t="s">
        <v>536</v>
      </c>
      <c r="L1464" s="213"/>
      <c r="M1464" s="213"/>
      <c r="N1464" s="213"/>
      <c r="O1464" s="213"/>
      <c r="P1464" s="213"/>
      <c r="Q1464" s="213"/>
      <c r="R1464" s="213"/>
      <c r="S1464" s="213" t="s">
        <v>550</v>
      </c>
      <c r="T1464" s="213"/>
      <c r="U1464" s="213" t="s">
        <v>538</v>
      </c>
      <c r="V1464" s="213">
        <v>1</v>
      </c>
      <c r="W1464" s="213" t="s">
        <v>545</v>
      </c>
      <c r="X1464" s="213" t="s">
        <v>541</v>
      </c>
      <c r="Y1464" s="213" t="s">
        <v>540</v>
      </c>
      <c r="Z1464" s="212">
        <v>25549</v>
      </c>
      <c r="AA1464" s="212">
        <v>2341588</v>
      </c>
      <c r="AB1464" s="217">
        <v>0.105213</v>
      </c>
      <c r="AC1464" s="217">
        <v>0.169324</v>
      </c>
      <c r="AD1464" s="212">
        <f t="shared" si="22"/>
        <v>246365.49824400002</v>
      </c>
    </row>
    <row r="1465" spans="2:30" x14ac:dyDescent="0.15">
      <c r="B1465" s="213">
        <v>17197003103</v>
      </c>
      <c r="C1465" s="213">
        <v>17197001570</v>
      </c>
      <c r="D1465" s="213">
        <v>17197007441</v>
      </c>
      <c r="E1465" s="213" t="s">
        <v>533</v>
      </c>
      <c r="F1465" s="213" t="s">
        <v>534</v>
      </c>
      <c r="G1465" s="213" t="s">
        <v>377</v>
      </c>
      <c r="H1465" s="213" t="s">
        <v>535</v>
      </c>
      <c r="I1465" s="213"/>
      <c r="J1465" s="213" t="s">
        <v>382</v>
      </c>
      <c r="K1465" s="213" t="s">
        <v>536</v>
      </c>
      <c r="L1465" s="213"/>
      <c r="M1465" s="213"/>
      <c r="N1465" s="213"/>
      <c r="O1465" s="213"/>
      <c r="P1465" s="213"/>
      <c r="Q1465" s="213"/>
      <c r="R1465" s="213"/>
      <c r="S1465" s="213" t="s">
        <v>537</v>
      </c>
      <c r="T1465" s="213"/>
      <c r="U1465" s="213" t="s">
        <v>538</v>
      </c>
      <c r="V1465" s="213">
        <v>2</v>
      </c>
      <c r="W1465" s="213" t="s">
        <v>545</v>
      </c>
      <c r="X1465" s="213" t="s">
        <v>549</v>
      </c>
      <c r="Y1465" s="213" t="s">
        <v>540</v>
      </c>
      <c r="Z1465" s="212">
        <v>25709</v>
      </c>
      <c r="AA1465" s="212">
        <v>2350988</v>
      </c>
      <c r="AB1465" s="217">
        <v>3.2129470000000002</v>
      </c>
      <c r="AC1465" s="217">
        <v>5.1707470000000004</v>
      </c>
      <c r="AD1465" s="212">
        <f t="shared" si="22"/>
        <v>7553599.8416360002</v>
      </c>
    </row>
    <row r="1466" spans="2:30" x14ac:dyDescent="0.15">
      <c r="B1466" s="213">
        <v>17197003104</v>
      </c>
      <c r="C1466" s="213">
        <v>17197001570</v>
      </c>
      <c r="D1466" s="213">
        <v>17197004794</v>
      </c>
      <c r="E1466" s="213" t="s">
        <v>533</v>
      </c>
      <c r="F1466" s="213" t="s">
        <v>534</v>
      </c>
      <c r="G1466" s="213" t="s">
        <v>377</v>
      </c>
      <c r="H1466" s="213" t="s">
        <v>535</v>
      </c>
      <c r="I1466" s="213"/>
      <c r="J1466" s="213" t="s">
        <v>382</v>
      </c>
      <c r="K1466" s="213" t="s">
        <v>536</v>
      </c>
      <c r="L1466" s="213"/>
      <c r="M1466" s="213"/>
      <c r="N1466" s="213"/>
      <c r="O1466" s="213"/>
      <c r="P1466" s="213"/>
      <c r="Q1466" s="213"/>
      <c r="R1466" s="213"/>
      <c r="S1466" s="213" t="s">
        <v>537</v>
      </c>
      <c r="T1466" s="213"/>
      <c r="U1466" s="213" t="s">
        <v>538</v>
      </c>
      <c r="V1466" s="213">
        <v>2</v>
      </c>
      <c r="W1466" s="213" t="s">
        <v>545</v>
      </c>
      <c r="X1466" s="213" t="s">
        <v>549</v>
      </c>
      <c r="Y1466" s="213" t="s">
        <v>540</v>
      </c>
      <c r="Z1466" s="212">
        <v>26829</v>
      </c>
      <c r="AA1466" s="212">
        <v>2434428</v>
      </c>
      <c r="AB1466" s="217">
        <v>3.1872060000000002</v>
      </c>
      <c r="AC1466" s="217">
        <v>5.129321</v>
      </c>
      <c r="AD1466" s="212">
        <f t="shared" si="22"/>
        <v>7759023.5281680003</v>
      </c>
    </row>
    <row r="1467" spans="2:30" x14ac:dyDescent="0.15">
      <c r="B1467" s="213">
        <v>17197003230</v>
      </c>
      <c r="C1467" s="213">
        <v>17197001617</v>
      </c>
      <c r="D1467" s="213">
        <v>17197007386</v>
      </c>
      <c r="E1467" s="213" t="s">
        <v>533</v>
      </c>
      <c r="F1467" s="213" t="s">
        <v>534</v>
      </c>
      <c r="G1467" s="213" t="s">
        <v>377</v>
      </c>
      <c r="H1467" s="213" t="s">
        <v>535</v>
      </c>
      <c r="I1467" s="213"/>
      <c r="J1467" s="213" t="s">
        <v>542</v>
      </c>
      <c r="K1467" s="213" t="s">
        <v>543</v>
      </c>
      <c r="L1467" s="213" t="s">
        <v>382</v>
      </c>
      <c r="M1467" s="213"/>
      <c r="N1467" s="213"/>
      <c r="O1467" s="213"/>
      <c r="P1467" s="213"/>
      <c r="Q1467" s="213"/>
      <c r="R1467" s="213"/>
      <c r="S1467" s="213" t="s">
        <v>544</v>
      </c>
      <c r="T1467" s="213"/>
      <c r="U1467" s="213" t="s">
        <v>538</v>
      </c>
      <c r="V1467" s="213">
        <v>1</v>
      </c>
      <c r="W1467" s="213" t="s">
        <v>545</v>
      </c>
      <c r="X1467" s="213" t="s">
        <v>549</v>
      </c>
      <c r="Y1467" s="213" t="s">
        <v>546</v>
      </c>
      <c r="Z1467" s="212">
        <v>402638</v>
      </c>
      <c r="AA1467" s="212">
        <v>21806039</v>
      </c>
      <c r="AB1467" s="217">
        <v>0.81872699999999998</v>
      </c>
      <c r="AC1467" s="217">
        <v>1.3176159999999999</v>
      </c>
      <c r="AD1467" s="212">
        <f t="shared" si="22"/>
        <v>17853192.892352998</v>
      </c>
    </row>
    <row r="1468" spans="2:30" x14ac:dyDescent="0.15">
      <c r="B1468" s="213">
        <v>17197003231</v>
      </c>
      <c r="C1468" s="213">
        <v>17197001604</v>
      </c>
      <c r="D1468" s="213">
        <v>17999024399</v>
      </c>
      <c r="E1468" s="213" t="s">
        <v>533</v>
      </c>
      <c r="F1468" s="213" t="s">
        <v>534</v>
      </c>
      <c r="G1468" s="213" t="s">
        <v>377</v>
      </c>
      <c r="H1468" s="213" t="s">
        <v>535</v>
      </c>
      <c r="I1468" s="213"/>
      <c r="J1468" s="213" t="s">
        <v>542</v>
      </c>
      <c r="K1468" s="213" t="s">
        <v>543</v>
      </c>
      <c r="L1468" s="213" t="s">
        <v>382</v>
      </c>
      <c r="M1468" s="213"/>
      <c r="N1468" s="213"/>
      <c r="O1468" s="213"/>
      <c r="P1468" s="213"/>
      <c r="Q1468" s="213"/>
      <c r="R1468" s="213"/>
      <c r="S1468" s="213" t="s">
        <v>544</v>
      </c>
      <c r="T1468" s="213"/>
      <c r="U1468" s="213" t="s">
        <v>538</v>
      </c>
      <c r="V1468" s="213">
        <v>2</v>
      </c>
      <c r="W1468" s="213" t="s">
        <v>545</v>
      </c>
      <c r="X1468" s="213" t="s">
        <v>540</v>
      </c>
      <c r="Y1468" s="213" t="s">
        <v>546</v>
      </c>
      <c r="Z1468" s="212">
        <v>403238</v>
      </c>
      <c r="AA1468" s="212">
        <v>21862919</v>
      </c>
      <c r="AB1468" s="217">
        <v>0.788605</v>
      </c>
      <c r="AC1468" s="217">
        <v>1.269139</v>
      </c>
      <c r="AD1468" s="212">
        <f t="shared" si="22"/>
        <v>17241207.237994999</v>
      </c>
    </row>
    <row r="1469" spans="2:30" x14ac:dyDescent="0.15">
      <c r="B1469" s="213">
        <v>17197003238</v>
      </c>
      <c r="C1469" s="213">
        <v>17197001670</v>
      </c>
      <c r="D1469" s="213">
        <v>17197004810</v>
      </c>
      <c r="E1469" s="213" t="s">
        <v>533</v>
      </c>
      <c r="F1469" s="213" t="s">
        <v>534</v>
      </c>
      <c r="G1469" s="213" t="s">
        <v>377</v>
      </c>
      <c r="H1469" s="213" t="s">
        <v>381</v>
      </c>
      <c r="I1469" s="213"/>
      <c r="J1469" s="213" t="s">
        <v>382</v>
      </c>
      <c r="K1469" s="213"/>
      <c r="L1469" s="213"/>
      <c r="M1469" s="213"/>
      <c r="N1469" s="213"/>
      <c r="O1469" s="213"/>
      <c r="P1469" s="213"/>
      <c r="Q1469" s="213"/>
      <c r="R1469" s="213"/>
      <c r="S1469" s="213" t="s">
        <v>647</v>
      </c>
      <c r="T1469" s="213"/>
      <c r="U1469" s="213" t="s">
        <v>538</v>
      </c>
      <c r="V1469" s="213">
        <v>1</v>
      </c>
      <c r="W1469" s="213" t="s">
        <v>582</v>
      </c>
      <c r="X1469" s="213" t="s">
        <v>549</v>
      </c>
      <c r="Y1469" s="213" t="s">
        <v>580</v>
      </c>
      <c r="Z1469" s="212">
        <v>986618</v>
      </c>
      <c r="AA1469" s="212">
        <v>29330692</v>
      </c>
      <c r="AB1469" s="217">
        <v>1.7368859999999999</v>
      </c>
      <c r="AC1469" s="217">
        <v>2.7952530000000002</v>
      </c>
      <c r="AD1469" s="212">
        <f t="shared" si="22"/>
        <v>50944068.305111997</v>
      </c>
    </row>
    <row r="1470" spans="2:30" x14ac:dyDescent="0.15">
      <c r="B1470" s="213">
        <v>17197003487</v>
      </c>
      <c r="C1470" s="213">
        <v>17197001697</v>
      </c>
      <c r="D1470" s="213">
        <v>17197001640</v>
      </c>
      <c r="E1470" s="213" t="s">
        <v>533</v>
      </c>
      <c r="F1470" s="213" t="s">
        <v>534</v>
      </c>
      <c r="G1470" s="213" t="s">
        <v>377</v>
      </c>
      <c r="H1470" s="213" t="s">
        <v>382</v>
      </c>
      <c r="I1470" s="213"/>
      <c r="J1470" s="213" t="s">
        <v>542</v>
      </c>
      <c r="K1470" s="213"/>
      <c r="L1470" s="213"/>
      <c r="M1470" s="213"/>
      <c r="N1470" s="213"/>
      <c r="O1470" s="213"/>
      <c r="P1470" s="213"/>
      <c r="Q1470" s="213"/>
      <c r="R1470" s="213"/>
      <c r="S1470" s="213" t="s">
        <v>606</v>
      </c>
      <c r="T1470" s="213"/>
      <c r="U1470" s="213" t="s">
        <v>538</v>
      </c>
      <c r="V1470" s="213">
        <v>1</v>
      </c>
      <c r="W1470" s="213" t="s">
        <v>545</v>
      </c>
      <c r="X1470" s="213" t="s">
        <v>549</v>
      </c>
      <c r="Y1470" s="213" t="s">
        <v>541</v>
      </c>
      <c r="Z1470" s="212">
        <v>80</v>
      </c>
      <c r="AA1470" s="212">
        <v>7600</v>
      </c>
      <c r="AB1470" s="217">
        <v>3.0607920000000002</v>
      </c>
      <c r="AC1470" s="217">
        <v>4.925878</v>
      </c>
      <c r="AD1470" s="212">
        <f t="shared" si="22"/>
        <v>23262.019200000002</v>
      </c>
    </row>
    <row r="1471" spans="2:30" x14ac:dyDescent="0.15">
      <c r="B1471" s="213">
        <v>17197003874</v>
      </c>
      <c r="C1471" s="213">
        <v>17197004802</v>
      </c>
      <c r="D1471" s="213">
        <v>17999022465</v>
      </c>
      <c r="E1471" s="213" t="s">
        <v>533</v>
      </c>
      <c r="F1471" s="213" t="s">
        <v>534</v>
      </c>
      <c r="G1471" s="213" t="s">
        <v>377</v>
      </c>
      <c r="H1471" s="213" t="s">
        <v>535</v>
      </c>
      <c r="I1471" s="213"/>
      <c r="J1471" s="213" t="s">
        <v>542</v>
      </c>
      <c r="K1471" s="213" t="s">
        <v>572</v>
      </c>
      <c r="L1471" s="213" t="s">
        <v>547</v>
      </c>
      <c r="M1471" s="213" t="s">
        <v>382</v>
      </c>
      <c r="N1471" s="213"/>
      <c r="O1471" s="213"/>
      <c r="P1471" s="213"/>
      <c r="Q1471" s="213"/>
      <c r="R1471" s="213"/>
      <c r="S1471" s="213" t="s">
        <v>601</v>
      </c>
      <c r="T1471" s="213"/>
      <c r="U1471" s="213" t="s">
        <v>538</v>
      </c>
      <c r="V1471" s="213">
        <v>2</v>
      </c>
      <c r="W1471" s="213" t="s">
        <v>545</v>
      </c>
      <c r="X1471" s="213" t="s">
        <v>549</v>
      </c>
      <c r="Y1471" s="213" t="s">
        <v>540</v>
      </c>
      <c r="Z1471" s="212">
        <v>416386</v>
      </c>
      <c r="AA1471" s="212">
        <v>6195335</v>
      </c>
      <c r="AB1471" s="217">
        <v>0.459984</v>
      </c>
      <c r="AC1471" s="217">
        <v>0.74027399999999999</v>
      </c>
      <c r="AD1471" s="212">
        <f t="shared" si="22"/>
        <v>2849754.9746400001</v>
      </c>
    </row>
    <row r="1472" spans="2:30" x14ac:dyDescent="0.15">
      <c r="B1472" s="213">
        <v>17197004220</v>
      </c>
      <c r="C1472" s="213">
        <v>17197004810</v>
      </c>
      <c r="D1472" s="213">
        <v>17197001632</v>
      </c>
      <c r="E1472" s="213" t="s">
        <v>533</v>
      </c>
      <c r="F1472" s="213" t="s">
        <v>534</v>
      </c>
      <c r="G1472" s="213" t="s">
        <v>377</v>
      </c>
      <c r="H1472" s="213" t="s">
        <v>381</v>
      </c>
      <c r="I1472" s="213"/>
      <c r="J1472" s="213" t="s">
        <v>382</v>
      </c>
      <c r="K1472" s="213"/>
      <c r="L1472" s="213"/>
      <c r="M1472" s="213"/>
      <c r="N1472" s="213"/>
      <c r="O1472" s="213"/>
      <c r="P1472" s="213"/>
      <c r="Q1472" s="213"/>
      <c r="R1472" s="213"/>
      <c r="S1472" s="213" t="s">
        <v>647</v>
      </c>
      <c r="T1472" s="213"/>
      <c r="U1472" s="213" t="s">
        <v>538</v>
      </c>
      <c r="V1472" s="213">
        <v>1</v>
      </c>
      <c r="W1472" s="213" t="s">
        <v>582</v>
      </c>
      <c r="X1472" s="213" t="s">
        <v>549</v>
      </c>
      <c r="Y1472" s="213" t="s">
        <v>580</v>
      </c>
      <c r="Z1472" s="212">
        <v>988632</v>
      </c>
      <c r="AA1472" s="212">
        <v>29529385</v>
      </c>
      <c r="AB1472" s="217">
        <v>1.113877</v>
      </c>
      <c r="AC1472" s="217">
        <v>1.7926139999999999</v>
      </c>
      <c r="AD1472" s="212">
        <f t="shared" si="22"/>
        <v>32892102.775644999</v>
      </c>
    </row>
    <row r="1473" spans="2:30" x14ac:dyDescent="0.15">
      <c r="B1473" s="213">
        <v>17197004231</v>
      </c>
      <c r="C1473" s="213">
        <v>17197001657</v>
      </c>
      <c r="D1473" s="213">
        <v>17197001633</v>
      </c>
      <c r="E1473" s="213" t="s">
        <v>533</v>
      </c>
      <c r="F1473" s="213" t="s">
        <v>534</v>
      </c>
      <c r="G1473" s="213" t="s">
        <v>377</v>
      </c>
      <c r="H1473" s="213" t="s">
        <v>381</v>
      </c>
      <c r="I1473" s="213"/>
      <c r="J1473" s="213" t="s">
        <v>382</v>
      </c>
      <c r="K1473" s="213"/>
      <c r="L1473" s="213"/>
      <c r="M1473" s="213"/>
      <c r="N1473" s="213"/>
      <c r="O1473" s="213"/>
      <c r="P1473" s="213"/>
      <c r="Q1473" s="213"/>
      <c r="R1473" s="213"/>
      <c r="S1473" s="213" t="s">
        <v>647</v>
      </c>
      <c r="T1473" s="213"/>
      <c r="U1473" s="213" t="s">
        <v>538</v>
      </c>
      <c r="V1473" s="213">
        <v>1</v>
      </c>
      <c r="W1473" s="213" t="s">
        <v>582</v>
      </c>
      <c r="X1473" s="213" t="s">
        <v>549</v>
      </c>
      <c r="Y1473" s="213" t="s">
        <v>580</v>
      </c>
      <c r="Z1473" s="212">
        <v>1256</v>
      </c>
      <c r="AA1473" s="212">
        <v>68572</v>
      </c>
      <c r="AB1473" s="217">
        <v>1.4265760000000001</v>
      </c>
      <c r="AC1473" s="217">
        <v>2.2958569999999998</v>
      </c>
      <c r="AD1473" s="212">
        <f t="shared" si="22"/>
        <v>97823.169472000009</v>
      </c>
    </row>
    <row r="1474" spans="2:30" x14ac:dyDescent="0.15">
      <c r="B1474" s="213">
        <v>17197004232</v>
      </c>
      <c r="C1474" s="213">
        <v>17197001633</v>
      </c>
      <c r="D1474" s="213">
        <v>17197004811</v>
      </c>
      <c r="E1474" s="213" t="s">
        <v>533</v>
      </c>
      <c r="F1474" s="213" t="s">
        <v>534</v>
      </c>
      <c r="G1474" s="213" t="s">
        <v>377</v>
      </c>
      <c r="H1474" s="213" t="s">
        <v>381</v>
      </c>
      <c r="I1474" s="213"/>
      <c r="J1474" s="213" t="s">
        <v>382</v>
      </c>
      <c r="K1474" s="213"/>
      <c r="L1474" s="213"/>
      <c r="M1474" s="213"/>
      <c r="N1474" s="213"/>
      <c r="O1474" s="213"/>
      <c r="P1474" s="213"/>
      <c r="Q1474" s="213"/>
      <c r="R1474" s="213"/>
      <c r="S1474" s="213" t="s">
        <v>647</v>
      </c>
      <c r="T1474" s="213"/>
      <c r="U1474" s="213" t="s">
        <v>538</v>
      </c>
      <c r="V1474" s="213">
        <v>1</v>
      </c>
      <c r="W1474" s="213" t="s">
        <v>582</v>
      </c>
      <c r="X1474" s="213" t="s">
        <v>549</v>
      </c>
      <c r="Y1474" s="213" t="s">
        <v>580</v>
      </c>
      <c r="Z1474" s="212">
        <v>1600</v>
      </c>
      <c r="AA1474" s="212">
        <v>136712</v>
      </c>
      <c r="AB1474" s="217">
        <v>0.240761</v>
      </c>
      <c r="AC1474" s="217">
        <v>0.38746799999999998</v>
      </c>
      <c r="AD1474" s="212">
        <f t="shared" si="22"/>
        <v>32914.917831999999</v>
      </c>
    </row>
    <row r="1475" spans="2:30" x14ac:dyDescent="0.15">
      <c r="B1475" s="213">
        <v>17197004700</v>
      </c>
      <c r="C1475" s="213">
        <v>17197007161</v>
      </c>
      <c r="D1475" s="213">
        <v>17197007163</v>
      </c>
      <c r="E1475" s="213" t="s">
        <v>533</v>
      </c>
      <c r="F1475" s="213" t="s">
        <v>534</v>
      </c>
      <c r="G1475" s="213" t="s">
        <v>377</v>
      </c>
      <c r="H1475" s="213" t="s">
        <v>535</v>
      </c>
      <c r="I1475" s="213"/>
      <c r="J1475" s="213"/>
      <c r="K1475" s="213"/>
      <c r="L1475" s="213"/>
      <c r="M1475" s="213"/>
      <c r="N1475" s="213"/>
      <c r="O1475" s="213"/>
      <c r="P1475" s="213"/>
      <c r="Q1475" s="213"/>
      <c r="R1475" s="213"/>
      <c r="S1475" s="213" t="s">
        <v>681</v>
      </c>
      <c r="T1475" s="213"/>
      <c r="U1475" s="213" t="s">
        <v>559</v>
      </c>
      <c r="V1475" s="213">
        <v>1</v>
      </c>
      <c r="W1475" s="213" t="s">
        <v>560</v>
      </c>
      <c r="X1475" s="213" t="s">
        <v>541</v>
      </c>
      <c r="Y1475" s="213" t="s">
        <v>541</v>
      </c>
      <c r="Z1475" s="212">
        <v>14376</v>
      </c>
      <c r="AA1475" s="212">
        <v>1731008</v>
      </c>
      <c r="AB1475" s="217">
        <v>2.515199</v>
      </c>
      <c r="AC1475" s="217">
        <v>4.0478290000000001</v>
      </c>
      <c r="AD1475" s="212">
        <f t="shared" si="22"/>
        <v>4353829.5905919997</v>
      </c>
    </row>
    <row r="1476" spans="2:30" x14ac:dyDescent="0.15">
      <c r="B1476" s="213">
        <v>17197005161</v>
      </c>
      <c r="C1476" s="213">
        <v>17197001469</v>
      </c>
      <c r="D1476" s="213">
        <v>17197001471</v>
      </c>
      <c r="E1476" s="213" t="s">
        <v>533</v>
      </c>
      <c r="F1476" s="213" t="s">
        <v>534</v>
      </c>
      <c r="G1476" s="213" t="s">
        <v>377</v>
      </c>
      <c r="H1476" s="213" t="s">
        <v>535</v>
      </c>
      <c r="I1476" s="213"/>
      <c r="J1476" s="213"/>
      <c r="K1476" s="213"/>
      <c r="L1476" s="213"/>
      <c r="M1476" s="213"/>
      <c r="N1476" s="213"/>
      <c r="O1476" s="213"/>
      <c r="P1476" s="213"/>
      <c r="Q1476" s="213"/>
      <c r="R1476" s="213"/>
      <c r="S1476" s="213"/>
      <c r="T1476" s="213"/>
      <c r="U1476" s="213" t="s">
        <v>559</v>
      </c>
      <c r="V1476" s="213">
        <v>1</v>
      </c>
      <c r="W1476" s="213" t="s">
        <v>560</v>
      </c>
      <c r="X1476" s="213" t="s">
        <v>541</v>
      </c>
      <c r="Y1476" s="213" t="s">
        <v>541</v>
      </c>
      <c r="Z1476" s="212">
        <v>33720</v>
      </c>
      <c r="AA1476" s="212">
        <v>656320</v>
      </c>
      <c r="AB1476" s="217">
        <v>0.55895499999999998</v>
      </c>
      <c r="AC1476" s="217">
        <v>0.89955200000000002</v>
      </c>
      <c r="AD1476" s="212">
        <f t="shared" si="22"/>
        <v>366853.3456</v>
      </c>
    </row>
    <row r="1477" spans="2:30" x14ac:dyDescent="0.15">
      <c r="B1477" s="213">
        <v>17197005162</v>
      </c>
      <c r="C1477" s="213">
        <v>17197001468</v>
      </c>
      <c r="D1477" s="213">
        <v>17197001469</v>
      </c>
      <c r="E1477" s="213" t="s">
        <v>533</v>
      </c>
      <c r="F1477" s="213" t="s">
        <v>534</v>
      </c>
      <c r="G1477" s="213" t="s">
        <v>377</v>
      </c>
      <c r="H1477" s="213" t="s">
        <v>535</v>
      </c>
      <c r="I1477" s="213"/>
      <c r="J1477" s="213"/>
      <c r="K1477" s="213"/>
      <c r="L1477" s="213"/>
      <c r="M1477" s="213"/>
      <c r="N1477" s="213"/>
      <c r="O1477" s="213"/>
      <c r="P1477" s="213"/>
      <c r="Q1477" s="213"/>
      <c r="R1477" s="213"/>
      <c r="S1477" s="213"/>
      <c r="T1477" s="213"/>
      <c r="U1477" s="213" t="s">
        <v>559</v>
      </c>
      <c r="V1477" s="213">
        <v>1</v>
      </c>
      <c r="W1477" s="213" t="s">
        <v>560</v>
      </c>
      <c r="X1477" s="213" t="s">
        <v>541</v>
      </c>
      <c r="Y1477" s="213" t="s">
        <v>541</v>
      </c>
      <c r="Z1477" s="212">
        <v>32280</v>
      </c>
      <c r="AA1477" s="212">
        <v>528640</v>
      </c>
      <c r="AB1477" s="217">
        <v>0.17567099999999999</v>
      </c>
      <c r="AC1477" s="217">
        <v>0.28271600000000002</v>
      </c>
      <c r="AD1477" s="212">
        <f t="shared" si="22"/>
        <v>92866.717439999993</v>
      </c>
    </row>
    <row r="1478" spans="2:30" x14ac:dyDescent="0.15">
      <c r="B1478" s="213">
        <v>17197005382</v>
      </c>
      <c r="C1478" s="213">
        <v>17197004806</v>
      </c>
      <c r="D1478" s="213">
        <v>17197001463</v>
      </c>
      <c r="E1478" s="213" t="s">
        <v>533</v>
      </c>
      <c r="F1478" s="213" t="s">
        <v>534</v>
      </c>
      <c r="G1478" s="213" t="s">
        <v>377</v>
      </c>
      <c r="H1478" s="213" t="s">
        <v>381</v>
      </c>
      <c r="I1478" s="213"/>
      <c r="J1478" s="213"/>
      <c r="K1478" s="213"/>
      <c r="L1478" s="213"/>
      <c r="M1478" s="213"/>
      <c r="N1478" s="213"/>
      <c r="O1478" s="213"/>
      <c r="P1478" s="213"/>
      <c r="Q1478" s="213"/>
      <c r="R1478" s="213"/>
      <c r="S1478" s="213" t="s">
        <v>647</v>
      </c>
      <c r="T1478" s="213" t="s">
        <v>705</v>
      </c>
      <c r="U1478" s="213" t="s">
        <v>538</v>
      </c>
      <c r="V1478" s="213">
        <v>2</v>
      </c>
      <c r="W1478" s="213" t="s">
        <v>545</v>
      </c>
      <c r="X1478" s="213" t="s">
        <v>540</v>
      </c>
      <c r="Y1478" s="213" t="s">
        <v>580</v>
      </c>
      <c r="Z1478" s="212">
        <v>522866</v>
      </c>
      <c r="AA1478" s="212">
        <v>20489290</v>
      </c>
      <c r="AB1478" s="217">
        <v>0.653582</v>
      </c>
      <c r="AC1478" s="217">
        <v>1.051841</v>
      </c>
      <c r="AD1478" s="212">
        <f t="shared" ref="AD1478:AD1541" si="23">AA1478*AB1478</f>
        <v>13391431.136779999</v>
      </c>
    </row>
    <row r="1479" spans="2:30" x14ac:dyDescent="0.15">
      <c r="B1479" s="213">
        <v>17197005462</v>
      </c>
      <c r="C1479" s="213">
        <v>17197004791</v>
      </c>
      <c r="D1479" s="213">
        <v>17197001480</v>
      </c>
      <c r="E1479" s="213" t="s">
        <v>533</v>
      </c>
      <c r="F1479" s="213" t="s">
        <v>534</v>
      </c>
      <c r="G1479" s="213" t="s">
        <v>377</v>
      </c>
      <c r="H1479" s="213" t="s">
        <v>547</v>
      </c>
      <c r="I1479" s="213"/>
      <c r="J1479" s="213" t="s">
        <v>551</v>
      </c>
      <c r="K1479" s="213" t="s">
        <v>615</v>
      </c>
      <c r="L1479" s="213"/>
      <c r="M1479" s="213"/>
      <c r="N1479" s="213"/>
      <c r="O1479" s="213"/>
      <c r="P1479" s="213"/>
      <c r="Q1479" s="213"/>
      <c r="R1479" s="213"/>
      <c r="S1479" s="213" t="s">
        <v>581</v>
      </c>
      <c r="T1479" s="213"/>
      <c r="U1479" s="213" t="s">
        <v>538</v>
      </c>
      <c r="V1479" s="213">
        <v>2</v>
      </c>
      <c r="W1479" s="213" t="s">
        <v>582</v>
      </c>
      <c r="X1479" s="213" t="s">
        <v>540</v>
      </c>
      <c r="Y1479" s="213" t="s">
        <v>540</v>
      </c>
      <c r="Z1479" s="212">
        <v>107353</v>
      </c>
      <c r="AA1479" s="212">
        <v>10405458</v>
      </c>
      <c r="AB1479" s="217">
        <v>4.3017240000000001</v>
      </c>
      <c r="AC1479" s="217">
        <v>6.922968</v>
      </c>
      <c r="AD1479" s="212">
        <f t="shared" si="23"/>
        <v>44761408.409592003</v>
      </c>
    </row>
    <row r="1480" spans="2:30" x14ac:dyDescent="0.15">
      <c r="B1480" s="213">
        <v>17197005985</v>
      </c>
      <c r="C1480" s="213">
        <v>17197001487</v>
      </c>
      <c r="D1480" s="213">
        <v>17197001493</v>
      </c>
      <c r="E1480" s="213" t="s">
        <v>533</v>
      </c>
      <c r="F1480" s="213" t="s">
        <v>534</v>
      </c>
      <c r="G1480" s="213" t="s">
        <v>377</v>
      </c>
      <c r="H1480" s="213" t="s">
        <v>535</v>
      </c>
      <c r="I1480" s="213"/>
      <c r="J1480" s="213" t="s">
        <v>542</v>
      </c>
      <c r="K1480" s="213" t="s">
        <v>547</v>
      </c>
      <c r="L1480" s="213" t="s">
        <v>382</v>
      </c>
      <c r="M1480" s="213"/>
      <c r="N1480" s="213"/>
      <c r="O1480" s="213"/>
      <c r="P1480" s="213"/>
      <c r="Q1480" s="213"/>
      <c r="R1480" s="213"/>
      <c r="S1480" s="213" t="s">
        <v>601</v>
      </c>
      <c r="T1480" s="213"/>
      <c r="U1480" s="213" t="s">
        <v>538</v>
      </c>
      <c r="V1480" s="213">
        <v>2</v>
      </c>
      <c r="W1480" s="213" t="s">
        <v>539</v>
      </c>
      <c r="X1480" s="213" t="s">
        <v>554</v>
      </c>
      <c r="Y1480" s="213" t="s">
        <v>540</v>
      </c>
      <c r="Z1480" s="212">
        <v>381760</v>
      </c>
      <c r="AA1480" s="212">
        <v>5478080</v>
      </c>
      <c r="AB1480" s="217">
        <v>8.7849999999999998E-2</v>
      </c>
      <c r="AC1480" s="217">
        <v>0.14138100000000001</v>
      </c>
      <c r="AD1480" s="212">
        <f t="shared" si="23"/>
        <v>481249.32799999998</v>
      </c>
    </row>
    <row r="1481" spans="2:30" x14ac:dyDescent="0.15">
      <c r="B1481" s="213">
        <v>17197006061</v>
      </c>
      <c r="C1481" s="213">
        <v>17197001658</v>
      </c>
      <c r="D1481" s="213">
        <v>17197001657</v>
      </c>
      <c r="E1481" s="213" t="s">
        <v>533</v>
      </c>
      <c r="F1481" s="213" t="s">
        <v>534</v>
      </c>
      <c r="G1481" s="213" t="s">
        <v>377</v>
      </c>
      <c r="H1481" s="213" t="s">
        <v>381</v>
      </c>
      <c r="I1481" s="213"/>
      <c r="J1481" s="213" t="s">
        <v>382</v>
      </c>
      <c r="K1481" s="213"/>
      <c r="L1481" s="213"/>
      <c r="M1481" s="213"/>
      <c r="N1481" s="213"/>
      <c r="O1481" s="213"/>
      <c r="P1481" s="213"/>
      <c r="Q1481" s="213"/>
      <c r="R1481" s="213"/>
      <c r="S1481" s="213" t="s">
        <v>647</v>
      </c>
      <c r="T1481" s="213"/>
      <c r="U1481" s="213" t="s">
        <v>538</v>
      </c>
      <c r="V1481" s="213">
        <v>1</v>
      </c>
      <c r="W1481" s="213" t="s">
        <v>582</v>
      </c>
      <c r="X1481" s="213" t="s">
        <v>549</v>
      </c>
      <c r="Y1481" s="213" t="s">
        <v>580</v>
      </c>
      <c r="Z1481" s="212">
        <v>3270</v>
      </c>
      <c r="AA1481" s="212">
        <v>267265</v>
      </c>
      <c r="AB1481" s="217">
        <v>0.73939999999999995</v>
      </c>
      <c r="AC1481" s="217">
        <v>1.189951</v>
      </c>
      <c r="AD1481" s="212">
        <f t="shared" si="23"/>
        <v>197615.74099999998</v>
      </c>
    </row>
    <row r="1482" spans="2:30" x14ac:dyDescent="0.15">
      <c r="B1482" s="213">
        <v>17197006230</v>
      </c>
      <c r="C1482" s="213">
        <v>17197001222</v>
      </c>
      <c r="D1482" s="213">
        <v>17197007187</v>
      </c>
      <c r="E1482" s="213" t="s">
        <v>533</v>
      </c>
      <c r="F1482" s="213" t="s">
        <v>534</v>
      </c>
      <c r="G1482" s="213" t="s">
        <v>377</v>
      </c>
      <c r="H1482" s="213" t="s">
        <v>381</v>
      </c>
      <c r="I1482" s="213"/>
      <c r="J1482" s="213"/>
      <c r="K1482" s="213"/>
      <c r="L1482" s="213"/>
      <c r="M1482" s="213"/>
      <c r="N1482" s="213"/>
      <c r="O1482" s="213"/>
      <c r="P1482" s="213"/>
      <c r="Q1482" s="213"/>
      <c r="R1482" s="213"/>
      <c r="S1482" s="213"/>
      <c r="T1482" s="213"/>
      <c r="U1482" s="213" t="s">
        <v>559</v>
      </c>
      <c r="V1482" s="213">
        <v>1</v>
      </c>
      <c r="W1482" s="213" t="s">
        <v>560</v>
      </c>
      <c r="X1482" s="213" t="s">
        <v>541</v>
      </c>
      <c r="Y1482" s="213" t="s">
        <v>541</v>
      </c>
      <c r="Z1482" s="212">
        <v>0</v>
      </c>
      <c r="AA1482" s="212">
        <v>0</v>
      </c>
      <c r="AB1482" s="217">
        <v>1.4820500000000001</v>
      </c>
      <c r="AC1482" s="217">
        <v>2.3851330000000002</v>
      </c>
      <c r="AD1482" s="212">
        <f t="shared" si="23"/>
        <v>0</v>
      </c>
    </row>
    <row r="1483" spans="2:30" x14ac:dyDescent="0.15">
      <c r="B1483" s="213">
        <v>17197006279</v>
      </c>
      <c r="C1483" s="213">
        <v>17197001810</v>
      </c>
      <c r="D1483" s="213">
        <v>17197007191</v>
      </c>
      <c r="E1483" s="213" t="s">
        <v>533</v>
      </c>
      <c r="F1483" s="213" t="s">
        <v>534</v>
      </c>
      <c r="G1483" s="213" t="s">
        <v>377</v>
      </c>
      <c r="H1483" s="213" t="s">
        <v>687</v>
      </c>
      <c r="I1483" s="213"/>
      <c r="J1483" s="213" t="s">
        <v>382</v>
      </c>
      <c r="K1483" s="213"/>
      <c r="L1483" s="213"/>
      <c r="M1483" s="213"/>
      <c r="N1483" s="213"/>
      <c r="O1483" s="213"/>
      <c r="P1483" s="213"/>
      <c r="Q1483" s="213"/>
      <c r="R1483" s="213"/>
      <c r="S1483" s="213"/>
      <c r="T1483" s="213"/>
      <c r="U1483" s="213" t="s">
        <v>559</v>
      </c>
      <c r="V1483" s="213">
        <v>1</v>
      </c>
      <c r="W1483" s="213" t="s">
        <v>560</v>
      </c>
      <c r="X1483" s="213" t="s">
        <v>541</v>
      </c>
      <c r="Y1483" s="213" t="s">
        <v>541</v>
      </c>
      <c r="Z1483" s="212">
        <v>0</v>
      </c>
      <c r="AA1483" s="212">
        <v>0</v>
      </c>
      <c r="AB1483" s="217">
        <v>0.43812699999999999</v>
      </c>
      <c r="AC1483" s="217">
        <v>0.705098</v>
      </c>
      <c r="AD1483" s="212">
        <f t="shared" si="23"/>
        <v>0</v>
      </c>
    </row>
    <row r="1484" spans="2:30" x14ac:dyDescent="0.15">
      <c r="B1484" s="213">
        <v>17197006545</v>
      </c>
      <c r="C1484" s="213">
        <v>17197004799</v>
      </c>
      <c r="D1484" s="213">
        <v>17197004798</v>
      </c>
      <c r="E1484" s="213" t="s">
        <v>533</v>
      </c>
      <c r="F1484" s="213" t="s">
        <v>534</v>
      </c>
      <c r="G1484" s="213" t="s">
        <v>377</v>
      </c>
      <c r="H1484" s="213" t="s">
        <v>535</v>
      </c>
      <c r="I1484" s="213"/>
      <c r="J1484" s="213"/>
      <c r="K1484" s="213"/>
      <c r="L1484" s="213"/>
      <c r="M1484" s="213"/>
      <c r="N1484" s="213"/>
      <c r="O1484" s="213"/>
      <c r="P1484" s="213"/>
      <c r="Q1484" s="213"/>
      <c r="R1484" s="213"/>
      <c r="S1484" s="213" t="s">
        <v>681</v>
      </c>
      <c r="T1484" s="213"/>
      <c r="U1484" s="213" t="s">
        <v>559</v>
      </c>
      <c r="V1484" s="213">
        <v>1</v>
      </c>
      <c r="W1484" s="213" t="s">
        <v>560</v>
      </c>
      <c r="X1484" s="213" t="s">
        <v>541</v>
      </c>
      <c r="Y1484" s="213" t="s">
        <v>541</v>
      </c>
      <c r="Z1484" s="212">
        <v>0</v>
      </c>
      <c r="AA1484" s="212">
        <v>0</v>
      </c>
      <c r="AB1484" s="217">
        <v>0.28321800000000003</v>
      </c>
      <c r="AC1484" s="217">
        <v>0.45579599999999998</v>
      </c>
      <c r="AD1484" s="212">
        <f t="shared" si="23"/>
        <v>0</v>
      </c>
    </row>
    <row r="1485" spans="2:30" x14ac:dyDescent="0.15">
      <c r="B1485" s="213">
        <v>17197007026</v>
      </c>
      <c r="C1485" s="213">
        <v>17197004511</v>
      </c>
      <c r="D1485" s="213">
        <v>17197005582</v>
      </c>
      <c r="E1485" s="213" t="s">
        <v>533</v>
      </c>
      <c r="F1485" s="213" t="s">
        <v>534</v>
      </c>
      <c r="G1485" s="213" t="s">
        <v>377</v>
      </c>
      <c r="H1485" s="213" t="s">
        <v>381</v>
      </c>
      <c r="I1485" s="213"/>
      <c r="J1485" s="213" t="s">
        <v>382</v>
      </c>
      <c r="K1485" s="213"/>
      <c r="L1485" s="213"/>
      <c r="M1485" s="213"/>
      <c r="N1485" s="213"/>
      <c r="O1485" s="213"/>
      <c r="P1485" s="213"/>
      <c r="Q1485" s="213"/>
      <c r="R1485" s="213"/>
      <c r="S1485" s="213" t="s">
        <v>647</v>
      </c>
      <c r="T1485" s="213"/>
      <c r="U1485" s="213" t="s">
        <v>538</v>
      </c>
      <c r="V1485" s="213">
        <v>1</v>
      </c>
      <c r="W1485" s="213" t="s">
        <v>582</v>
      </c>
      <c r="X1485" s="213" t="s">
        <v>549</v>
      </c>
      <c r="Y1485" s="213" t="s">
        <v>580</v>
      </c>
      <c r="Z1485" s="212">
        <v>225440</v>
      </c>
      <c r="AA1485" s="212">
        <v>2913712</v>
      </c>
      <c r="AB1485" s="217">
        <v>0.74538400000000005</v>
      </c>
      <c r="AC1485" s="217">
        <v>1.1995819999999999</v>
      </c>
      <c r="AD1485" s="212">
        <f t="shared" si="23"/>
        <v>2171834.305408</v>
      </c>
    </row>
    <row r="1486" spans="2:30" x14ac:dyDescent="0.15">
      <c r="B1486" s="213">
        <v>17197007037</v>
      </c>
      <c r="C1486" s="213">
        <v>17197005590</v>
      </c>
      <c r="D1486" s="213">
        <v>17197005587</v>
      </c>
      <c r="E1486" s="213" t="s">
        <v>533</v>
      </c>
      <c r="F1486" s="213" t="s">
        <v>534</v>
      </c>
      <c r="G1486" s="213" t="s">
        <v>377</v>
      </c>
      <c r="H1486" s="213" t="s">
        <v>382</v>
      </c>
      <c r="I1486" s="213"/>
      <c r="J1486" s="213"/>
      <c r="K1486" s="213"/>
      <c r="L1486" s="213"/>
      <c r="M1486" s="213"/>
      <c r="N1486" s="213"/>
      <c r="O1486" s="213"/>
      <c r="P1486" s="213"/>
      <c r="Q1486" s="213"/>
      <c r="R1486" s="213"/>
      <c r="S1486" s="213" t="s">
        <v>592</v>
      </c>
      <c r="T1486" s="213" t="s">
        <v>593</v>
      </c>
      <c r="U1486" s="213" t="s">
        <v>559</v>
      </c>
      <c r="V1486" s="213">
        <v>1</v>
      </c>
      <c r="W1486" s="213" t="s">
        <v>539</v>
      </c>
      <c r="X1486" s="213" t="s">
        <v>541</v>
      </c>
      <c r="Y1486" s="213" t="s">
        <v>541</v>
      </c>
      <c r="Z1486" s="212">
        <v>0</v>
      </c>
      <c r="AA1486" s="212">
        <v>0</v>
      </c>
      <c r="AB1486" s="217">
        <v>0.118217</v>
      </c>
      <c r="AC1486" s="217">
        <v>0.190252</v>
      </c>
      <c r="AD1486" s="212">
        <f t="shared" si="23"/>
        <v>0</v>
      </c>
    </row>
    <row r="1487" spans="2:30" x14ac:dyDescent="0.15">
      <c r="B1487" s="213">
        <v>17197007045</v>
      </c>
      <c r="C1487" s="213">
        <v>17197005594</v>
      </c>
      <c r="D1487" s="213">
        <v>17197005595</v>
      </c>
      <c r="E1487" s="213" t="s">
        <v>533</v>
      </c>
      <c r="F1487" s="213" t="s">
        <v>534</v>
      </c>
      <c r="G1487" s="213" t="s">
        <v>377</v>
      </c>
      <c r="H1487" s="213" t="s">
        <v>382</v>
      </c>
      <c r="I1487" s="213"/>
      <c r="J1487" s="213"/>
      <c r="K1487" s="213"/>
      <c r="L1487" s="213"/>
      <c r="M1487" s="213"/>
      <c r="N1487" s="213"/>
      <c r="O1487" s="213"/>
      <c r="P1487" s="213"/>
      <c r="Q1487" s="213"/>
      <c r="R1487" s="213"/>
      <c r="S1487" s="213" t="s">
        <v>592</v>
      </c>
      <c r="T1487" s="213"/>
      <c r="U1487" s="213" t="s">
        <v>559</v>
      </c>
      <c r="V1487" s="213">
        <v>1</v>
      </c>
      <c r="W1487" s="213" t="s">
        <v>539</v>
      </c>
      <c r="X1487" s="213" t="s">
        <v>541</v>
      </c>
      <c r="Y1487" s="213" t="s">
        <v>541</v>
      </c>
      <c r="Z1487" s="212">
        <v>0</v>
      </c>
      <c r="AA1487" s="212">
        <v>0</v>
      </c>
      <c r="AB1487" s="217">
        <v>0.644841</v>
      </c>
      <c r="AC1487" s="217">
        <v>1.0377730000000001</v>
      </c>
      <c r="AD1487" s="212">
        <f t="shared" si="23"/>
        <v>0</v>
      </c>
    </row>
    <row r="1488" spans="2:30" x14ac:dyDescent="0.15">
      <c r="B1488" s="213">
        <v>17197007047</v>
      </c>
      <c r="C1488" s="213">
        <v>17197005595</v>
      </c>
      <c r="D1488" s="213">
        <v>17197005593</v>
      </c>
      <c r="E1488" s="213" t="s">
        <v>533</v>
      </c>
      <c r="F1488" s="213" t="s">
        <v>534</v>
      </c>
      <c r="G1488" s="213" t="s">
        <v>377</v>
      </c>
      <c r="H1488" s="213" t="s">
        <v>382</v>
      </c>
      <c r="I1488" s="213"/>
      <c r="J1488" s="213"/>
      <c r="K1488" s="213"/>
      <c r="L1488" s="213"/>
      <c r="M1488" s="213"/>
      <c r="N1488" s="213"/>
      <c r="O1488" s="213"/>
      <c r="P1488" s="213"/>
      <c r="Q1488" s="213"/>
      <c r="R1488" s="213"/>
      <c r="S1488" s="213" t="s">
        <v>592</v>
      </c>
      <c r="T1488" s="213"/>
      <c r="U1488" s="213" t="s">
        <v>559</v>
      </c>
      <c r="V1488" s="213">
        <v>1</v>
      </c>
      <c r="W1488" s="213" t="s">
        <v>539</v>
      </c>
      <c r="X1488" s="213" t="s">
        <v>541</v>
      </c>
      <c r="Y1488" s="213" t="s">
        <v>541</v>
      </c>
      <c r="Z1488" s="212">
        <v>0</v>
      </c>
      <c r="AA1488" s="212">
        <v>0</v>
      </c>
      <c r="AB1488" s="217">
        <v>0.30571500000000001</v>
      </c>
      <c r="AC1488" s="217">
        <v>0.49200100000000002</v>
      </c>
      <c r="AD1488" s="212">
        <f t="shared" si="23"/>
        <v>0</v>
      </c>
    </row>
    <row r="1489" spans="2:30" x14ac:dyDescent="0.15">
      <c r="B1489" s="213">
        <v>17197007049</v>
      </c>
      <c r="C1489" s="213">
        <v>17197005593</v>
      </c>
      <c r="D1489" s="213">
        <v>17197005596</v>
      </c>
      <c r="E1489" s="213" t="s">
        <v>533</v>
      </c>
      <c r="F1489" s="213" t="s">
        <v>534</v>
      </c>
      <c r="G1489" s="213" t="s">
        <v>377</v>
      </c>
      <c r="H1489" s="213" t="s">
        <v>382</v>
      </c>
      <c r="I1489" s="213"/>
      <c r="J1489" s="213"/>
      <c r="K1489" s="213"/>
      <c r="L1489" s="213"/>
      <c r="M1489" s="213"/>
      <c r="N1489" s="213"/>
      <c r="O1489" s="213"/>
      <c r="P1489" s="213"/>
      <c r="Q1489" s="213"/>
      <c r="R1489" s="213"/>
      <c r="S1489" s="213" t="s">
        <v>592</v>
      </c>
      <c r="T1489" s="213"/>
      <c r="U1489" s="213" t="s">
        <v>559</v>
      </c>
      <c r="V1489" s="213">
        <v>1</v>
      </c>
      <c r="W1489" s="213" t="s">
        <v>539</v>
      </c>
      <c r="X1489" s="213" t="s">
        <v>541</v>
      </c>
      <c r="Y1489" s="213" t="s">
        <v>541</v>
      </c>
      <c r="Z1489" s="212">
        <v>378200</v>
      </c>
      <c r="AA1489" s="212">
        <v>5154600</v>
      </c>
      <c r="AB1489" s="217">
        <v>0.182694</v>
      </c>
      <c r="AC1489" s="217">
        <v>0.294018</v>
      </c>
      <c r="AD1489" s="212">
        <f t="shared" si="23"/>
        <v>941714.49239999999</v>
      </c>
    </row>
    <row r="1490" spans="2:30" x14ac:dyDescent="0.15">
      <c r="B1490" s="213">
        <v>17197008221</v>
      </c>
      <c r="C1490" s="213">
        <v>17197006574</v>
      </c>
      <c r="D1490" s="213">
        <v>17197006581</v>
      </c>
      <c r="E1490" s="213" t="s">
        <v>533</v>
      </c>
      <c r="F1490" s="213" t="s">
        <v>534</v>
      </c>
      <c r="G1490" s="213" t="s">
        <v>377</v>
      </c>
      <c r="H1490" s="213" t="s">
        <v>381</v>
      </c>
      <c r="I1490" s="213"/>
      <c r="J1490" s="213" t="s">
        <v>382</v>
      </c>
      <c r="K1490" s="213"/>
      <c r="L1490" s="213"/>
      <c r="M1490" s="213"/>
      <c r="N1490" s="213"/>
      <c r="O1490" s="213"/>
      <c r="P1490" s="213"/>
      <c r="Q1490" s="213"/>
      <c r="R1490" s="213"/>
      <c r="S1490" s="213" t="s">
        <v>651</v>
      </c>
      <c r="T1490" s="213" t="s">
        <v>651</v>
      </c>
      <c r="U1490" s="213" t="s">
        <v>559</v>
      </c>
      <c r="V1490" s="213">
        <v>1</v>
      </c>
      <c r="W1490" s="213" t="s">
        <v>539</v>
      </c>
      <c r="X1490" s="213" t="s">
        <v>554</v>
      </c>
      <c r="Y1490" s="213" t="s">
        <v>540</v>
      </c>
      <c r="Z1490" s="212">
        <v>0</v>
      </c>
      <c r="AA1490" s="212">
        <v>0</v>
      </c>
      <c r="AB1490" s="217">
        <v>0.226136</v>
      </c>
      <c r="AC1490" s="217">
        <v>0.363931</v>
      </c>
      <c r="AD1490" s="212">
        <f t="shared" si="23"/>
        <v>0</v>
      </c>
    </row>
    <row r="1491" spans="2:30" x14ac:dyDescent="0.15">
      <c r="B1491" s="213">
        <v>17197008265</v>
      </c>
      <c r="C1491" s="213">
        <v>17197006615</v>
      </c>
      <c r="D1491" s="213">
        <v>17197001466</v>
      </c>
      <c r="E1491" s="213" t="s">
        <v>533</v>
      </c>
      <c r="F1491" s="213" t="s">
        <v>534</v>
      </c>
      <c r="G1491" s="213" t="s">
        <v>377</v>
      </c>
      <c r="H1491" s="213" t="s">
        <v>535</v>
      </c>
      <c r="I1491" s="213"/>
      <c r="J1491" s="213" t="s">
        <v>382</v>
      </c>
      <c r="K1491" s="213" t="s">
        <v>536</v>
      </c>
      <c r="L1491" s="213"/>
      <c r="M1491" s="213"/>
      <c r="N1491" s="213"/>
      <c r="O1491" s="213"/>
      <c r="P1491" s="213"/>
      <c r="Q1491" s="213"/>
      <c r="R1491" s="213"/>
      <c r="S1491" s="213" t="s">
        <v>537</v>
      </c>
      <c r="T1491" s="213" t="s">
        <v>596</v>
      </c>
      <c r="U1491" s="213" t="s">
        <v>538</v>
      </c>
      <c r="V1491" s="213">
        <v>2</v>
      </c>
      <c r="W1491" s="213" t="s">
        <v>539</v>
      </c>
      <c r="X1491" s="213" t="s">
        <v>541</v>
      </c>
      <c r="Y1491" s="213" t="s">
        <v>540</v>
      </c>
      <c r="Z1491" s="212">
        <v>55429</v>
      </c>
      <c r="AA1491" s="212">
        <v>2662548</v>
      </c>
      <c r="AB1491" s="217">
        <v>0.25714799999999999</v>
      </c>
      <c r="AC1491" s="217">
        <v>0.41384100000000001</v>
      </c>
      <c r="AD1491" s="212">
        <f t="shared" si="23"/>
        <v>684668.89310400002</v>
      </c>
    </row>
    <row r="1492" spans="2:30" x14ac:dyDescent="0.15">
      <c r="B1492" s="213">
        <v>17197008957</v>
      </c>
      <c r="C1492" s="213">
        <v>17197007178</v>
      </c>
      <c r="D1492" s="213">
        <v>17197001465</v>
      </c>
      <c r="E1492" s="213" t="s">
        <v>533</v>
      </c>
      <c r="F1492" s="213" t="s">
        <v>534</v>
      </c>
      <c r="G1492" s="213" t="s">
        <v>377</v>
      </c>
      <c r="H1492" s="213" t="s">
        <v>535</v>
      </c>
      <c r="I1492" s="213"/>
      <c r="J1492" s="213" t="s">
        <v>542</v>
      </c>
      <c r="K1492" s="213" t="s">
        <v>572</v>
      </c>
      <c r="L1492" s="213" t="s">
        <v>547</v>
      </c>
      <c r="M1492" s="213" t="s">
        <v>382</v>
      </c>
      <c r="N1492" s="213"/>
      <c r="O1492" s="213"/>
      <c r="P1492" s="213"/>
      <c r="Q1492" s="213"/>
      <c r="R1492" s="213"/>
      <c r="S1492" s="213" t="s">
        <v>601</v>
      </c>
      <c r="T1492" s="213"/>
      <c r="U1492" s="213" t="s">
        <v>538</v>
      </c>
      <c r="V1492" s="213">
        <v>2</v>
      </c>
      <c r="W1492" s="213" t="s">
        <v>545</v>
      </c>
      <c r="X1492" s="213" t="s">
        <v>549</v>
      </c>
      <c r="Y1492" s="213" t="s">
        <v>540</v>
      </c>
      <c r="Z1492" s="212">
        <v>416386</v>
      </c>
      <c r="AA1492" s="212">
        <v>6195335</v>
      </c>
      <c r="AB1492" s="217">
        <v>0.168827</v>
      </c>
      <c r="AC1492" s="217">
        <v>0.2717</v>
      </c>
      <c r="AD1492" s="212">
        <f t="shared" si="23"/>
        <v>1045939.822045</v>
      </c>
    </row>
    <row r="1493" spans="2:30" x14ac:dyDescent="0.15">
      <c r="B1493" s="213">
        <v>17197008960</v>
      </c>
      <c r="C1493" s="213">
        <v>17197007179</v>
      </c>
      <c r="D1493" s="213">
        <v>17197007178</v>
      </c>
      <c r="E1493" s="213" t="s">
        <v>533</v>
      </c>
      <c r="F1493" s="213" t="s">
        <v>534</v>
      </c>
      <c r="G1493" s="213" t="s">
        <v>377</v>
      </c>
      <c r="H1493" s="213" t="s">
        <v>535</v>
      </c>
      <c r="I1493" s="213"/>
      <c r="J1493" s="213" t="s">
        <v>542</v>
      </c>
      <c r="K1493" s="213" t="s">
        <v>572</v>
      </c>
      <c r="L1493" s="213" t="s">
        <v>547</v>
      </c>
      <c r="M1493" s="213" t="s">
        <v>382</v>
      </c>
      <c r="N1493" s="213"/>
      <c r="O1493" s="213"/>
      <c r="P1493" s="213"/>
      <c r="Q1493" s="213"/>
      <c r="R1493" s="213"/>
      <c r="S1493" s="213" t="s">
        <v>601</v>
      </c>
      <c r="T1493" s="213"/>
      <c r="U1493" s="213" t="s">
        <v>538</v>
      </c>
      <c r="V1493" s="213">
        <v>2</v>
      </c>
      <c r="W1493" s="213" t="s">
        <v>545</v>
      </c>
      <c r="X1493" s="213" t="s">
        <v>549</v>
      </c>
      <c r="Y1493" s="213" t="s">
        <v>540</v>
      </c>
      <c r="Z1493" s="212">
        <v>416386</v>
      </c>
      <c r="AA1493" s="212">
        <v>6195335</v>
      </c>
      <c r="AB1493" s="217">
        <v>0.45243800000000001</v>
      </c>
      <c r="AC1493" s="217">
        <v>0.72813000000000005</v>
      </c>
      <c r="AD1493" s="212">
        <f t="shared" si="23"/>
        <v>2803004.9767300002</v>
      </c>
    </row>
    <row r="1494" spans="2:30" x14ac:dyDescent="0.15">
      <c r="B1494" s="213">
        <v>17197009014</v>
      </c>
      <c r="C1494" s="213">
        <v>17197007228</v>
      </c>
      <c r="D1494" s="213">
        <v>17197007226</v>
      </c>
      <c r="E1494" s="213" t="s">
        <v>533</v>
      </c>
      <c r="F1494" s="213" t="s">
        <v>534</v>
      </c>
      <c r="G1494" s="213" t="s">
        <v>377</v>
      </c>
      <c r="H1494" s="213" t="s">
        <v>381</v>
      </c>
      <c r="I1494" s="213"/>
      <c r="J1494" s="213"/>
      <c r="K1494" s="213"/>
      <c r="L1494" s="213"/>
      <c r="M1494" s="213"/>
      <c r="N1494" s="213"/>
      <c r="O1494" s="213"/>
      <c r="P1494" s="213"/>
      <c r="Q1494" s="213"/>
      <c r="R1494" s="213"/>
      <c r="S1494" s="213" t="s">
        <v>591</v>
      </c>
      <c r="T1494" s="213"/>
      <c r="U1494" s="213" t="s">
        <v>559</v>
      </c>
      <c r="V1494" s="213">
        <v>1</v>
      </c>
      <c r="W1494" s="213" t="s">
        <v>560</v>
      </c>
      <c r="X1494" s="213" t="s">
        <v>541</v>
      </c>
      <c r="Y1494" s="213" t="s">
        <v>541</v>
      </c>
      <c r="Z1494" s="212">
        <v>0</v>
      </c>
      <c r="AA1494" s="212">
        <v>0</v>
      </c>
      <c r="AB1494" s="217">
        <v>0.139595</v>
      </c>
      <c r="AC1494" s="217">
        <v>0.22465599999999999</v>
      </c>
      <c r="AD1494" s="212">
        <f t="shared" si="23"/>
        <v>0</v>
      </c>
    </row>
    <row r="1495" spans="2:30" x14ac:dyDescent="0.15">
      <c r="B1495" s="213">
        <v>17197009040</v>
      </c>
      <c r="C1495" s="213">
        <v>17197001632</v>
      </c>
      <c r="D1495" s="213">
        <v>17197007254</v>
      </c>
      <c r="E1495" s="213" t="s">
        <v>533</v>
      </c>
      <c r="F1495" s="213" t="s">
        <v>534</v>
      </c>
      <c r="G1495" s="213" t="s">
        <v>377</v>
      </c>
      <c r="H1495" s="213" t="s">
        <v>381</v>
      </c>
      <c r="I1495" s="213"/>
      <c r="J1495" s="213" t="s">
        <v>382</v>
      </c>
      <c r="K1495" s="213"/>
      <c r="L1495" s="213"/>
      <c r="M1495" s="213"/>
      <c r="N1495" s="213"/>
      <c r="O1495" s="213"/>
      <c r="P1495" s="213"/>
      <c r="Q1495" s="213"/>
      <c r="R1495" s="213"/>
      <c r="S1495" s="213" t="s">
        <v>647</v>
      </c>
      <c r="T1495" s="213"/>
      <c r="U1495" s="213" t="s">
        <v>538</v>
      </c>
      <c r="V1495" s="213">
        <v>1</v>
      </c>
      <c r="W1495" s="213" t="s">
        <v>545</v>
      </c>
      <c r="X1495" s="213" t="s">
        <v>549</v>
      </c>
      <c r="Y1495" s="213" t="s">
        <v>580</v>
      </c>
      <c r="Z1495" s="212">
        <v>302032</v>
      </c>
      <c r="AA1495" s="212">
        <v>17970705</v>
      </c>
      <c r="AB1495" s="217">
        <v>0.64574900000000002</v>
      </c>
      <c r="AC1495" s="217">
        <v>1.039234</v>
      </c>
      <c r="AD1495" s="212">
        <f t="shared" si="23"/>
        <v>11604564.783044999</v>
      </c>
    </row>
    <row r="1496" spans="2:30" x14ac:dyDescent="0.15">
      <c r="B1496" s="213">
        <v>17197009262</v>
      </c>
      <c r="C1496" s="213">
        <v>17197001618</v>
      </c>
      <c r="D1496" s="213">
        <v>17197007389</v>
      </c>
      <c r="E1496" s="213" t="s">
        <v>533</v>
      </c>
      <c r="F1496" s="213" t="s">
        <v>534</v>
      </c>
      <c r="G1496" s="213" t="s">
        <v>377</v>
      </c>
      <c r="H1496" s="213" t="s">
        <v>535</v>
      </c>
      <c r="I1496" s="213"/>
      <c r="J1496" s="213" t="s">
        <v>382</v>
      </c>
      <c r="K1496" s="213"/>
      <c r="L1496" s="213"/>
      <c r="M1496" s="213"/>
      <c r="N1496" s="213"/>
      <c r="O1496" s="213"/>
      <c r="P1496" s="213"/>
      <c r="Q1496" s="213"/>
      <c r="R1496" s="213"/>
      <c r="S1496" s="213"/>
      <c r="T1496" s="213"/>
      <c r="U1496" s="213" t="s">
        <v>559</v>
      </c>
      <c r="V1496" s="213">
        <v>1</v>
      </c>
      <c r="W1496" s="213" t="s">
        <v>560</v>
      </c>
      <c r="X1496" s="213" t="s">
        <v>541</v>
      </c>
      <c r="Y1496" s="213" t="s">
        <v>541</v>
      </c>
      <c r="Z1496" s="212">
        <v>0</v>
      </c>
      <c r="AA1496" s="212">
        <v>0</v>
      </c>
      <c r="AB1496" s="217">
        <v>0.24926899999999999</v>
      </c>
      <c r="AC1496" s="217">
        <v>0.40116000000000002</v>
      </c>
      <c r="AD1496" s="212">
        <f t="shared" si="23"/>
        <v>0</v>
      </c>
    </row>
    <row r="1497" spans="2:30" x14ac:dyDescent="0.15">
      <c r="B1497" s="213">
        <v>17197009263</v>
      </c>
      <c r="C1497" s="213">
        <v>17197007389</v>
      </c>
      <c r="D1497" s="213">
        <v>17197007388</v>
      </c>
      <c r="E1497" s="213" t="s">
        <v>533</v>
      </c>
      <c r="F1497" s="213" t="s">
        <v>534</v>
      </c>
      <c r="G1497" s="213" t="s">
        <v>377</v>
      </c>
      <c r="H1497" s="213" t="s">
        <v>535</v>
      </c>
      <c r="I1497" s="213"/>
      <c r="J1497" s="213" t="s">
        <v>382</v>
      </c>
      <c r="K1497" s="213"/>
      <c r="L1497" s="213"/>
      <c r="M1497" s="213"/>
      <c r="N1497" s="213"/>
      <c r="O1497" s="213"/>
      <c r="P1497" s="213"/>
      <c r="Q1497" s="213"/>
      <c r="R1497" s="213"/>
      <c r="S1497" s="213"/>
      <c r="T1497" s="213"/>
      <c r="U1497" s="213" t="s">
        <v>559</v>
      </c>
      <c r="V1497" s="213">
        <v>1</v>
      </c>
      <c r="W1497" s="213" t="s">
        <v>560</v>
      </c>
      <c r="X1497" s="213" t="s">
        <v>541</v>
      </c>
      <c r="Y1497" s="213" t="s">
        <v>541</v>
      </c>
      <c r="Z1497" s="212">
        <v>0</v>
      </c>
      <c r="AA1497" s="212">
        <v>0</v>
      </c>
      <c r="AB1497" s="217">
        <v>1.6865999999999999E-2</v>
      </c>
      <c r="AC1497" s="217">
        <v>2.7143E-2</v>
      </c>
      <c r="AD1497" s="212">
        <f t="shared" si="23"/>
        <v>0</v>
      </c>
    </row>
    <row r="1498" spans="2:30" x14ac:dyDescent="0.15">
      <c r="B1498" s="213">
        <v>17197009265</v>
      </c>
      <c r="C1498" s="213">
        <v>17197001609</v>
      </c>
      <c r="D1498" s="213">
        <v>17197007391</v>
      </c>
      <c r="E1498" s="213" t="s">
        <v>533</v>
      </c>
      <c r="F1498" s="213" t="s">
        <v>534</v>
      </c>
      <c r="G1498" s="213" t="s">
        <v>377</v>
      </c>
      <c r="H1498" s="213" t="s">
        <v>535</v>
      </c>
      <c r="I1498" s="213"/>
      <c r="J1498" s="213" t="s">
        <v>382</v>
      </c>
      <c r="K1498" s="213"/>
      <c r="L1498" s="213"/>
      <c r="M1498" s="213"/>
      <c r="N1498" s="213"/>
      <c r="O1498" s="213"/>
      <c r="P1498" s="213"/>
      <c r="Q1498" s="213"/>
      <c r="R1498" s="213"/>
      <c r="S1498" s="213"/>
      <c r="T1498" s="213"/>
      <c r="U1498" s="213" t="s">
        <v>559</v>
      </c>
      <c r="V1498" s="213">
        <v>1</v>
      </c>
      <c r="W1498" s="213" t="s">
        <v>560</v>
      </c>
      <c r="X1498" s="213" t="s">
        <v>541</v>
      </c>
      <c r="Y1498" s="213" t="s">
        <v>541</v>
      </c>
      <c r="Z1498" s="212">
        <v>0</v>
      </c>
      <c r="AA1498" s="212">
        <v>0</v>
      </c>
      <c r="AB1498" s="217">
        <v>0.718669</v>
      </c>
      <c r="AC1498" s="217">
        <v>1.156587</v>
      </c>
      <c r="AD1498" s="212">
        <f t="shared" si="23"/>
        <v>0</v>
      </c>
    </row>
    <row r="1499" spans="2:30" x14ac:dyDescent="0.15">
      <c r="B1499" s="213">
        <v>17197009268</v>
      </c>
      <c r="C1499" s="213">
        <v>17197007394</v>
      </c>
      <c r="D1499" s="213">
        <v>17197004790</v>
      </c>
      <c r="E1499" s="213" t="s">
        <v>533</v>
      </c>
      <c r="F1499" s="213" t="s">
        <v>534</v>
      </c>
      <c r="G1499" s="213" t="s">
        <v>377</v>
      </c>
      <c r="H1499" s="213" t="s">
        <v>547</v>
      </c>
      <c r="I1499" s="213"/>
      <c r="J1499" s="213" t="s">
        <v>577</v>
      </c>
      <c r="K1499" s="213" t="s">
        <v>551</v>
      </c>
      <c r="L1499" s="213" t="s">
        <v>615</v>
      </c>
      <c r="M1499" s="213"/>
      <c r="N1499" s="213"/>
      <c r="O1499" s="213"/>
      <c r="P1499" s="213"/>
      <c r="Q1499" s="213"/>
      <c r="R1499" s="213"/>
      <c r="S1499" s="213" t="s">
        <v>581</v>
      </c>
      <c r="T1499" s="213"/>
      <c r="U1499" s="213" t="s">
        <v>538</v>
      </c>
      <c r="V1499" s="213">
        <v>2</v>
      </c>
      <c r="W1499" s="213" t="s">
        <v>582</v>
      </c>
      <c r="X1499" s="213" t="s">
        <v>540</v>
      </c>
      <c r="Y1499" s="213" t="s">
        <v>540</v>
      </c>
      <c r="Z1499" s="212">
        <v>103629</v>
      </c>
      <c r="AA1499" s="212">
        <v>10039458</v>
      </c>
      <c r="AB1499" s="217">
        <v>1.083048</v>
      </c>
      <c r="AC1499" s="217">
        <v>1.7430000000000001</v>
      </c>
      <c r="AD1499" s="212">
        <f t="shared" si="23"/>
        <v>10873214.907984</v>
      </c>
    </row>
    <row r="1500" spans="2:30" x14ac:dyDescent="0.15">
      <c r="B1500" s="213">
        <v>17197009272</v>
      </c>
      <c r="C1500" s="213">
        <v>17197001486</v>
      </c>
      <c r="D1500" s="213">
        <v>17197007398</v>
      </c>
      <c r="E1500" s="213" t="s">
        <v>533</v>
      </c>
      <c r="F1500" s="213" t="s">
        <v>534</v>
      </c>
      <c r="G1500" s="213" t="s">
        <v>377</v>
      </c>
      <c r="H1500" s="213" t="s">
        <v>547</v>
      </c>
      <c r="I1500" s="213"/>
      <c r="J1500" s="213" t="s">
        <v>551</v>
      </c>
      <c r="K1500" s="213" t="s">
        <v>615</v>
      </c>
      <c r="L1500" s="213" t="s">
        <v>535</v>
      </c>
      <c r="M1500" s="213"/>
      <c r="N1500" s="213"/>
      <c r="O1500" s="213"/>
      <c r="P1500" s="213"/>
      <c r="Q1500" s="213"/>
      <c r="R1500" s="213"/>
      <c r="S1500" s="213" t="s">
        <v>581</v>
      </c>
      <c r="T1500" s="213"/>
      <c r="U1500" s="213" t="s">
        <v>538</v>
      </c>
      <c r="V1500" s="213">
        <v>2</v>
      </c>
      <c r="W1500" s="213" t="s">
        <v>582</v>
      </c>
      <c r="X1500" s="213" t="s">
        <v>540</v>
      </c>
      <c r="Y1500" s="213" t="s">
        <v>540</v>
      </c>
      <c r="Z1500" s="212">
        <v>106953</v>
      </c>
      <c r="AA1500" s="212">
        <v>10367418</v>
      </c>
      <c r="AB1500" s="217">
        <v>4.9383000000000003E-2</v>
      </c>
      <c r="AC1500" s="217">
        <v>7.9475000000000004E-2</v>
      </c>
      <c r="AD1500" s="212">
        <f t="shared" si="23"/>
        <v>511974.20309400005</v>
      </c>
    </row>
    <row r="1501" spans="2:30" x14ac:dyDescent="0.15">
      <c r="B1501" s="213">
        <v>17197009275</v>
      </c>
      <c r="C1501" s="213">
        <v>17197007397</v>
      </c>
      <c r="D1501" s="213">
        <v>17197007399</v>
      </c>
      <c r="E1501" s="213" t="s">
        <v>533</v>
      </c>
      <c r="F1501" s="213" t="s">
        <v>534</v>
      </c>
      <c r="G1501" s="213" t="s">
        <v>377</v>
      </c>
      <c r="H1501" s="213" t="s">
        <v>547</v>
      </c>
      <c r="I1501" s="213"/>
      <c r="J1501" s="213" t="s">
        <v>551</v>
      </c>
      <c r="K1501" s="213" t="s">
        <v>615</v>
      </c>
      <c r="L1501" s="213" t="s">
        <v>535</v>
      </c>
      <c r="M1501" s="213"/>
      <c r="N1501" s="213"/>
      <c r="O1501" s="213"/>
      <c r="P1501" s="213"/>
      <c r="Q1501" s="213"/>
      <c r="R1501" s="213"/>
      <c r="S1501" s="213" t="s">
        <v>581</v>
      </c>
      <c r="T1501" s="213"/>
      <c r="U1501" s="213" t="s">
        <v>538</v>
      </c>
      <c r="V1501" s="213">
        <v>2</v>
      </c>
      <c r="W1501" s="213" t="s">
        <v>582</v>
      </c>
      <c r="X1501" s="213" t="s">
        <v>540</v>
      </c>
      <c r="Y1501" s="213" t="s">
        <v>540</v>
      </c>
      <c r="Z1501" s="212">
        <v>106953</v>
      </c>
      <c r="AA1501" s="212">
        <v>10367418</v>
      </c>
      <c r="AB1501" s="217">
        <v>0.194412</v>
      </c>
      <c r="AC1501" s="217">
        <v>0.31287599999999999</v>
      </c>
      <c r="AD1501" s="212">
        <f t="shared" si="23"/>
        <v>2015550.4682160001</v>
      </c>
    </row>
    <row r="1502" spans="2:30" x14ac:dyDescent="0.15">
      <c r="B1502" s="213">
        <v>17197009284</v>
      </c>
      <c r="C1502" s="213">
        <v>17197007408</v>
      </c>
      <c r="D1502" s="213">
        <v>17197007406</v>
      </c>
      <c r="E1502" s="213" t="s">
        <v>533</v>
      </c>
      <c r="F1502" s="213" t="s">
        <v>534</v>
      </c>
      <c r="G1502" s="213" t="s">
        <v>377</v>
      </c>
      <c r="H1502" s="213" t="s">
        <v>551</v>
      </c>
      <c r="I1502" s="213"/>
      <c r="J1502" s="213" t="s">
        <v>535</v>
      </c>
      <c r="K1502" s="213"/>
      <c r="L1502" s="213"/>
      <c r="M1502" s="213"/>
      <c r="N1502" s="213"/>
      <c r="O1502" s="213"/>
      <c r="P1502" s="213"/>
      <c r="Q1502" s="213"/>
      <c r="R1502" s="213"/>
      <c r="S1502" s="213" t="s">
        <v>594</v>
      </c>
      <c r="T1502" s="213"/>
      <c r="U1502" s="213" t="s">
        <v>559</v>
      </c>
      <c r="V1502" s="213">
        <v>1</v>
      </c>
      <c r="W1502" s="213" t="s">
        <v>560</v>
      </c>
      <c r="X1502" s="213" t="s">
        <v>541</v>
      </c>
      <c r="Y1502" s="213" t="s">
        <v>541</v>
      </c>
      <c r="Z1502" s="212">
        <v>0</v>
      </c>
      <c r="AA1502" s="212">
        <v>0</v>
      </c>
      <c r="AB1502" s="217">
        <v>0.11058</v>
      </c>
      <c r="AC1502" s="217">
        <v>0.17796200000000001</v>
      </c>
      <c r="AD1502" s="212">
        <f t="shared" si="23"/>
        <v>0</v>
      </c>
    </row>
    <row r="1503" spans="2:30" x14ac:dyDescent="0.15">
      <c r="B1503" s="213">
        <v>17197009299</v>
      </c>
      <c r="C1503" s="213">
        <v>17197007421</v>
      </c>
      <c r="D1503" s="213">
        <v>17197007422</v>
      </c>
      <c r="E1503" s="213" t="s">
        <v>533</v>
      </c>
      <c r="F1503" s="213" t="s">
        <v>534</v>
      </c>
      <c r="G1503" s="213" t="s">
        <v>377</v>
      </c>
      <c r="H1503" s="213" t="s">
        <v>551</v>
      </c>
      <c r="I1503" s="213"/>
      <c r="J1503" s="213" t="s">
        <v>535</v>
      </c>
      <c r="K1503" s="213"/>
      <c r="L1503" s="213"/>
      <c r="M1503" s="213"/>
      <c r="N1503" s="213"/>
      <c r="O1503" s="213"/>
      <c r="P1503" s="213"/>
      <c r="Q1503" s="213"/>
      <c r="R1503" s="213"/>
      <c r="S1503" s="213" t="s">
        <v>594</v>
      </c>
      <c r="T1503" s="213"/>
      <c r="U1503" s="213" t="s">
        <v>559</v>
      </c>
      <c r="V1503" s="213">
        <v>1</v>
      </c>
      <c r="W1503" s="213" t="s">
        <v>560</v>
      </c>
      <c r="X1503" s="213" t="s">
        <v>541</v>
      </c>
      <c r="Y1503" s="213" t="s">
        <v>541</v>
      </c>
      <c r="Z1503" s="212">
        <v>0</v>
      </c>
      <c r="AA1503" s="212">
        <v>0</v>
      </c>
      <c r="AB1503" s="217">
        <v>0.46231899999999998</v>
      </c>
      <c r="AC1503" s="217">
        <v>0.744031</v>
      </c>
      <c r="AD1503" s="212">
        <f t="shared" si="23"/>
        <v>0</v>
      </c>
    </row>
    <row r="1504" spans="2:30" x14ac:dyDescent="0.15">
      <c r="B1504" s="213">
        <v>17197009309</v>
      </c>
      <c r="C1504" s="213">
        <v>17197007432</v>
      </c>
      <c r="D1504" s="213">
        <v>17197001603</v>
      </c>
      <c r="E1504" s="213" t="s">
        <v>533</v>
      </c>
      <c r="F1504" s="213" t="s">
        <v>534</v>
      </c>
      <c r="G1504" s="213" t="s">
        <v>377</v>
      </c>
      <c r="H1504" s="213" t="s">
        <v>551</v>
      </c>
      <c r="I1504" s="213"/>
      <c r="J1504" s="213" t="s">
        <v>535</v>
      </c>
      <c r="K1504" s="213"/>
      <c r="L1504" s="213"/>
      <c r="M1504" s="213"/>
      <c r="N1504" s="213"/>
      <c r="O1504" s="213"/>
      <c r="P1504" s="213"/>
      <c r="Q1504" s="213"/>
      <c r="R1504" s="213"/>
      <c r="S1504" s="213" t="s">
        <v>594</v>
      </c>
      <c r="T1504" s="213"/>
      <c r="U1504" s="213" t="s">
        <v>559</v>
      </c>
      <c r="V1504" s="213">
        <v>1</v>
      </c>
      <c r="W1504" s="213" t="s">
        <v>560</v>
      </c>
      <c r="X1504" s="213" t="s">
        <v>541</v>
      </c>
      <c r="Y1504" s="213" t="s">
        <v>541</v>
      </c>
      <c r="Z1504" s="212">
        <v>0</v>
      </c>
      <c r="AA1504" s="212">
        <v>0</v>
      </c>
      <c r="AB1504" s="217">
        <v>0.30752400000000002</v>
      </c>
      <c r="AC1504" s="217">
        <v>0.49491200000000002</v>
      </c>
      <c r="AD1504" s="212">
        <f t="shared" si="23"/>
        <v>0</v>
      </c>
    </row>
    <row r="1505" spans="2:30" x14ac:dyDescent="0.15">
      <c r="B1505" s="213">
        <v>17197009323</v>
      </c>
      <c r="C1505" s="213">
        <v>17197007445</v>
      </c>
      <c r="D1505" s="213">
        <v>17197001292</v>
      </c>
      <c r="E1505" s="213" t="s">
        <v>533</v>
      </c>
      <c r="F1505" s="213" t="s">
        <v>534</v>
      </c>
      <c r="G1505" s="213" t="s">
        <v>377</v>
      </c>
      <c r="H1505" s="213" t="s">
        <v>535</v>
      </c>
      <c r="I1505" s="213"/>
      <c r="J1505" s="213" t="s">
        <v>382</v>
      </c>
      <c r="K1505" s="213" t="s">
        <v>536</v>
      </c>
      <c r="L1505" s="213"/>
      <c r="M1505" s="213"/>
      <c r="N1505" s="213"/>
      <c r="O1505" s="213"/>
      <c r="P1505" s="213"/>
      <c r="Q1505" s="213"/>
      <c r="R1505" s="213"/>
      <c r="S1505" s="213" t="s">
        <v>550</v>
      </c>
      <c r="T1505" s="213"/>
      <c r="U1505" s="213" t="s">
        <v>538</v>
      </c>
      <c r="V1505" s="213">
        <v>1</v>
      </c>
      <c r="W1505" s="213" t="s">
        <v>545</v>
      </c>
      <c r="X1505" s="213" t="s">
        <v>549</v>
      </c>
      <c r="Y1505" s="213" t="s">
        <v>540</v>
      </c>
      <c r="Z1505" s="212">
        <v>66683</v>
      </c>
      <c r="AA1505" s="212">
        <v>7416364</v>
      </c>
      <c r="AB1505" s="217">
        <v>0.39119300000000001</v>
      </c>
      <c r="AC1505" s="217">
        <v>0.62956500000000004</v>
      </c>
      <c r="AD1505" s="212">
        <f t="shared" si="23"/>
        <v>2901229.6822520001</v>
      </c>
    </row>
    <row r="1506" spans="2:30" x14ac:dyDescent="0.15">
      <c r="B1506" s="213">
        <v>17031001121</v>
      </c>
      <c r="C1506" s="213">
        <v>17031001279</v>
      </c>
      <c r="D1506" s="213">
        <v>17031001289</v>
      </c>
      <c r="E1506" s="213" t="s">
        <v>533</v>
      </c>
      <c r="F1506" s="213" t="s">
        <v>534</v>
      </c>
      <c r="G1506" s="213" t="s">
        <v>365</v>
      </c>
      <c r="H1506" s="213" t="s">
        <v>627</v>
      </c>
      <c r="I1506" s="213"/>
      <c r="J1506" s="213" t="s">
        <v>572</v>
      </c>
      <c r="K1506" s="213"/>
      <c r="L1506" s="213"/>
      <c r="M1506" s="213"/>
      <c r="N1506" s="213"/>
      <c r="O1506" s="213"/>
      <c r="P1506" s="213"/>
      <c r="Q1506" s="213"/>
      <c r="R1506" s="213"/>
      <c r="S1506" s="213"/>
      <c r="T1506" s="213"/>
      <c r="U1506" s="213" t="s">
        <v>538</v>
      </c>
      <c r="V1506" s="213">
        <v>2</v>
      </c>
      <c r="W1506" s="213" t="s">
        <v>545</v>
      </c>
      <c r="X1506" s="213" t="s">
        <v>540</v>
      </c>
      <c r="Y1506" s="213" t="s">
        <v>541</v>
      </c>
      <c r="Z1506" s="212">
        <v>14702</v>
      </c>
      <c r="AA1506" s="212">
        <v>1326476</v>
      </c>
      <c r="AB1506" s="217">
        <v>2.4963410000000001</v>
      </c>
      <c r="AC1506" s="217">
        <v>4.0174799999999999</v>
      </c>
      <c r="AD1506" s="212">
        <f t="shared" si="23"/>
        <v>3311336.4243160002</v>
      </c>
    </row>
    <row r="1507" spans="2:30" x14ac:dyDescent="0.15">
      <c r="B1507" s="213">
        <v>17031001946</v>
      </c>
      <c r="C1507" s="213">
        <v>17031000916</v>
      </c>
      <c r="D1507" s="213">
        <v>17031000910</v>
      </c>
      <c r="E1507" s="213" t="s">
        <v>533</v>
      </c>
      <c r="F1507" s="213" t="s">
        <v>534</v>
      </c>
      <c r="G1507" s="213" t="s">
        <v>365</v>
      </c>
      <c r="H1507" s="213" t="s">
        <v>535</v>
      </c>
      <c r="I1507" s="213"/>
      <c r="J1507" s="213" t="s">
        <v>542</v>
      </c>
      <c r="K1507" s="213" t="s">
        <v>572</v>
      </c>
      <c r="L1507" s="213" t="s">
        <v>547</v>
      </c>
      <c r="M1507" s="213" t="s">
        <v>382</v>
      </c>
      <c r="N1507" s="213"/>
      <c r="O1507" s="213"/>
      <c r="P1507" s="213"/>
      <c r="Q1507" s="213"/>
      <c r="R1507" s="213"/>
      <c r="S1507" s="213" t="s">
        <v>601</v>
      </c>
      <c r="T1507" s="213"/>
      <c r="U1507" s="213" t="s">
        <v>538</v>
      </c>
      <c r="V1507" s="213">
        <v>2</v>
      </c>
      <c r="W1507" s="213" t="s">
        <v>545</v>
      </c>
      <c r="X1507" s="213" t="s">
        <v>540</v>
      </c>
      <c r="Y1507" s="213" t="s">
        <v>540</v>
      </c>
      <c r="Z1507" s="212">
        <v>316840</v>
      </c>
      <c r="AA1507" s="212">
        <v>4374840</v>
      </c>
      <c r="AB1507" s="217">
        <v>0.21934899999999999</v>
      </c>
      <c r="AC1507" s="217">
        <v>0.35300799999999999</v>
      </c>
      <c r="AD1507" s="212">
        <f t="shared" si="23"/>
        <v>959616.77915999992</v>
      </c>
    </row>
    <row r="1508" spans="2:30" x14ac:dyDescent="0.15">
      <c r="B1508" s="213">
        <v>17031001957</v>
      </c>
      <c r="C1508" s="213">
        <v>17031004668</v>
      </c>
      <c r="D1508" s="213">
        <v>17031007703</v>
      </c>
      <c r="E1508" s="213" t="s">
        <v>533</v>
      </c>
      <c r="F1508" s="213" t="s">
        <v>534</v>
      </c>
      <c r="G1508" s="213" t="s">
        <v>365</v>
      </c>
      <c r="H1508" s="213" t="s">
        <v>535</v>
      </c>
      <c r="I1508" s="213"/>
      <c r="J1508" s="213" t="s">
        <v>542</v>
      </c>
      <c r="K1508" s="213" t="s">
        <v>572</v>
      </c>
      <c r="L1508" s="213" t="s">
        <v>547</v>
      </c>
      <c r="M1508" s="213" t="s">
        <v>382</v>
      </c>
      <c r="N1508" s="213"/>
      <c r="O1508" s="213"/>
      <c r="P1508" s="213"/>
      <c r="Q1508" s="213"/>
      <c r="R1508" s="213"/>
      <c r="S1508" s="213" t="s">
        <v>601</v>
      </c>
      <c r="T1508" s="213"/>
      <c r="U1508" s="213" t="s">
        <v>538</v>
      </c>
      <c r="V1508" s="213">
        <v>2</v>
      </c>
      <c r="W1508" s="213" t="s">
        <v>545</v>
      </c>
      <c r="X1508" s="213" t="s">
        <v>549</v>
      </c>
      <c r="Y1508" s="213" t="s">
        <v>540</v>
      </c>
      <c r="Z1508" s="212">
        <v>421038</v>
      </c>
      <c r="AA1508" s="212">
        <v>6627039</v>
      </c>
      <c r="AB1508" s="217">
        <v>2.8520780000000001</v>
      </c>
      <c r="AC1508" s="217">
        <v>4.5899830000000001</v>
      </c>
      <c r="AD1508" s="212">
        <f t="shared" si="23"/>
        <v>18900832.137042001</v>
      </c>
    </row>
    <row r="1509" spans="2:30" x14ac:dyDescent="0.15">
      <c r="B1509" s="213">
        <v>17031001959</v>
      </c>
      <c r="C1509" s="213">
        <v>17031001238</v>
      </c>
      <c r="D1509" s="213">
        <v>17031004725</v>
      </c>
      <c r="E1509" s="213" t="s">
        <v>533</v>
      </c>
      <c r="F1509" s="213" t="s">
        <v>534</v>
      </c>
      <c r="G1509" s="213" t="s">
        <v>365</v>
      </c>
      <c r="H1509" s="213" t="s">
        <v>547</v>
      </c>
      <c r="I1509" s="213"/>
      <c r="J1509" s="213"/>
      <c r="K1509" s="213"/>
      <c r="L1509" s="213"/>
      <c r="M1509" s="213"/>
      <c r="N1509" s="213"/>
      <c r="O1509" s="213"/>
      <c r="P1509" s="213"/>
      <c r="Q1509" s="213"/>
      <c r="R1509" s="213"/>
      <c r="S1509" s="213"/>
      <c r="T1509" s="213"/>
      <c r="U1509" s="213" t="s">
        <v>538</v>
      </c>
      <c r="V1509" s="213">
        <v>1</v>
      </c>
      <c r="W1509" s="213" t="s">
        <v>582</v>
      </c>
      <c r="X1509" s="213" t="s">
        <v>541</v>
      </c>
      <c r="Y1509" s="213" t="s">
        <v>541</v>
      </c>
      <c r="Z1509" s="212">
        <v>0</v>
      </c>
      <c r="AA1509" s="212">
        <v>0</v>
      </c>
      <c r="AB1509" s="217">
        <v>0.55371899999999996</v>
      </c>
      <c r="AC1509" s="217">
        <v>0.89112599999999997</v>
      </c>
      <c r="AD1509" s="212">
        <f t="shared" si="23"/>
        <v>0</v>
      </c>
    </row>
    <row r="1510" spans="2:30" x14ac:dyDescent="0.15">
      <c r="B1510" s="213">
        <v>17031001963</v>
      </c>
      <c r="C1510" s="213">
        <v>17031004713</v>
      </c>
      <c r="D1510" s="213">
        <v>17031001459</v>
      </c>
      <c r="E1510" s="213" t="s">
        <v>533</v>
      </c>
      <c r="F1510" s="213" t="s">
        <v>534</v>
      </c>
      <c r="G1510" s="213" t="s">
        <v>365</v>
      </c>
      <c r="H1510" s="213" t="s">
        <v>551</v>
      </c>
      <c r="I1510" s="213"/>
      <c r="J1510" s="213"/>
      <c r="K1510" s="213"/>
      <c r="L1510" s="213"/>
      <c r="M1510" s="213"/>
      <c r="N1510" s="213"/>
      <c r="O1510" s="213"/>
      <c r="P1510" s="213"/>
      <c r="Q1510" s="213"/>
      <c r="R1510" s="213"/>
      <c r="S1510" s="213" t="s">
        <v>628</v>
      </c>
      <c r="T1510" s="213"/>
      <c r="U1510" s="213" t="s">
        <v>538</v>
      </c>
      <c r="V1510" s="213">
        <v>1</v>
      </c>
      <c r="W1510" s="213" t="s">
        <v>560</v>
      </c>
      <c r="X1510" s="213" t="s">
        <v>541</v>
      </c>
      <c r="Y1510" s="213" t="s">
        <v>541</v>
      </c>
      <c r="Z1510" s="212">
        <v>0</v>
      </c>
      <c r="AA1510" s="212">
        <v>0</v>
      </c>
      <c r="AB1510" s="217">
        <v>0.54272299999999996</v>
      </c>
      <c r="AC1510" s="217">
        <v>0.87343000000000004</v>
      </c>
      <c r="AD1510" s="212">
        <f t="shared" si="23"/>
        <v>0</v>
      </c>
    </row>
    <row r="1511" spans="2:30" x14ac:dyDescent="0.15">
      <c r="B1511" s="213">
        <v>17031002097</v>
      </c>
      <c r="C1511" s="213">
        <v>17031004644</v>
      </c>
      <c r="D1511" s="213">
        <v>17031000500</v>
      </c>
      <c r="E1511" s="213" t="s">
        <v>533</v>
      </c>
      <c r="F1511" s="213" t="s">
        <v>534</v>
      </c>
      <c r="G1511" s="213" t="s">
        <v>365</v>
      </c>
      <c r="H1511" s="213" t="s">
        <v>557</v>
      </c>
      <c r="I1511" s="213"/>
      <c r="J1511" s="213" t="s">
        <v>535</v>
      </c>
      <c r="K1511" s="213" t="s">
        <v>552</v>
      </c>
      <c r="L1511" s="213" t="s">
        <v>543</v>
      </c>
      <c r="M1511" s="213" t="s">
        <v>382</v>
      </c>
      <c r="N1511" s="213"/>
      <c r="O1511" s="213"/>
      <c r="P1511" s="213"/>
      <c r="Q1511" s="213"/>
      <c r="R1511" s="213"/>
      <c r="S1511" s="213" t="s">
        <v>570</v>
      </c>
      <c r="T1511" s="213"/>
      <c r="U1511" s="213" t="s">
        <v>538</v>
      </c>
      <c r="V1511" s="213">
        <v>2</v>
      </c>
      <c r="W1511" s="213" t="s">
        <v>545</v>
      </c>
      <c r="X1511" s="213" t="s">
        <v>554</v>
      </c>
      <c r="Y1511" s="213" t="s">
        <v>546</v>
      </c>
      <c r="Z1511" s="212">
        <v>884309</v>
      </c>
      <c r="AA1511" s="212">
        <v>46298682</v>
      </c>
      <c r="AB1511" s="217">
        <v>0.41100500000000001</v>
      </c>
      <c r="AC1511" s="217">
        <v>0.66144999999999998</v>
      </c>
      <c r="AD1511" s="212">
        <f t="shared" si="23"/>
        <v>19028989.79541</v>
      </c>
    </row>
    <row r="1512" spans="2:30" x14ac:dyDescent="0.15">
      <c r="B1512" s="213">
        <v>17031002170</v>
      </c>
      <c r="C1512" s="213">
        <v>17031001356</v>
      </c>
      <c r="D1512" s="213">
        <v>17031001355</v>
      </c>
      <c r="E1512" s="213" t="s">
        <v>533</v>
      </c>
      <c r="F1512" s="213" t="s">
        <v>534</v>
      </c>
      <c r="G1512" s="213" t="s">
        <v>365</v>
      </c>
      <c r="H1512" s="213" t="s">
        <v>557</v>
      </c>
      <c r="I1512" s="213"/>
      <c r="J1512" s="213" t="s">
        <v>381</v>
      </c>
      <c r="K1512" s="213" t="s">
        <v>535</v>
      </c>
      <c r="L1512" s="213" t="s">
        <v>552</v>
      </c>
      <c r="M1512" s="213" t="s">
        <v>551</v>
      </c>
      <c r="N1512" s="213" t="s">
        <v>615</v>
      </c>
      <c r="O1512" s="213" t="s">
        <v>543</v>
      </c>
      <c r="P1512" s="213" t="s">
        <v>382</v>
      </c>
      <c r="Q1512" s="213" t="s">
        <v>569</v>
      </c>
      <c r="R1512" s="213"/>
      <c r="S1512" s="213" t="s">
        <v>570</v>
      </c>
      <c r="T1512" s="213" t="s">
        <v>600</v>
      </c>
      <c r="U1512" s="213" t="s">
        <v>538</v>
      </c>
      <c r="V1512" s="213">
        <v>2</v>
      </c>
      <c r="W1512" s="213" t="s">
        <v>545</v>
      </c>
      <c r="X1512" s="213" t="s">
        <v>554</v>
      </c>
      <c r="Y1512" s="213" t="s">
        <v>546</v>
      </c>
      <c r="Z1512" s="212">
        <v>1231391</v>
      </c>
      <c r="AA1512" s="212">
        <v>46096560</v>
      </c>
      <c r="AB1512" s="217">
        <v>1.096975</v>
      </c>
      <c r="AC1512" s="217">
        <v>1.765414</v>
      </c>
      <c r="AD1512" s="212">
        <f t="shared" si="23"/>
        <v>50566773.906000003</v>
      </c>
    </row>
    <row r="1513" spans="2:30" x14ac:dyDescent="0.15">
      <c r="B1513" s="213">
        <v>17031002177</v>
      </c>
      <c r="C1513" s="213">
        <v>17031001375</v>
      </c>
      <c r="D1513" s="213">
        <v>17031001368</v>
      </c>
      <c r="E1513" s="213" t="s">
        <v>533</v>
      </c>
      <c r="F1513" s="213" t="s">
        <v>534</v>
      </c>
      <c r="G1513" s="213" t="s">
        <v>365</v>
      </c>
      <c r="H1513" s="213" t="s">
        <v>557</v>
      </c>
      <c r="I1513" s="213"/>
      <c r="J1513" s="213" t="s">
        <v>381</v>
      </c>
      <c r="K1513" s="213" t="s">
        <v>535</v>
      </c>
      <c r="L1513" s="213" t="s">
        <v>552</v>
      </c>
      <c r="M1513" s="213" t="s">
        <v>551</v>
      </c>
      <c r="N1513" s="213" t="s">
        <v>615</v>
      </c>
      <c r="O1513" s="213" t="s">
        <v>543</v>
      </c>
      <c r="P1513" s="213" t="s">
        <v>382</v>
      </c>
      <c r="Q1513" s="213"/>
      <c r="R1513" s="213"/>
      <c r="S1513" s="213" t="s">
        <v>570</v>
      </c>
      <c r="T1513" s="213"/>
      <c r="U1513" s="213" t="s">
        <v>538</v>
      </c>
      <c r="V1513" s="213">
        <v>2</v>
      </c>
      <c r="W1513" s="213" t="s">
        <v>545</v>
      </c>
      <c r="X1513" s="213" t="s">
        <v>554</v>
      </c>
      <c r="Y1513" s="213" t="s">
        <v>546</v>
      </c>
      <c r="Z1513" s="212">
        <v>1236177</v>
      </c>
      <c r="AA1513" s="212">
        <v>46570627</v>
      </c>
      <c r="AB1513" s="217">
        <v>0.16749</v>
      </c>
      <c r="AC1513" s="217">
        <v>0.26955000000000001</v>
      </c>
      <c r="AD1513" s="212">
        <f t="shared" si="23"/>
        <v>7800114.31623</v>
      </c>
    </row>
    <row r="1514" spans="2:30" x14ac:dyDescent="0.15">
      <c r="B1514" s="213">
        <v>17031002179</v>
      </c>
      <c r="C1514" s="213">
        <v>17031004750</v>
      </c>
      <c r="D1514" s="213">
        <v>17031004747</v>
      </c>
      <c r="E1514" s="213" t="s">
        <v>533</v>
      </c>
      <c r="F1514" s="213" t="s">
        <v>534</v>
      </c>
      <c r="G1514" s="213" t="s">
        <v>365</v>
      </c>
      <c r="H1514" s="213" t="s">
        <v>557</v>
      </c>
      <c r="I1514" s="213"/>
      <c r="J1514" s="213" t="s">
        <v>552</v>
      </c>
      <c r="K1514" s="213"/>
      <c r="L1514" s="213"/>
      <c r="M1514" s="213"/>
      <c r="N1514" s="213"/>
      <c r="O1514" s="213"/>
      <c r="P1514" s="213"/>
      <c r="Q1514" s="213"/>
      <c r="R1514" s="213"/>
      <c r="S1514" s="213" t="s">
        <v>634</v>
      </c>
      <c r="T1514" s="213"/>
      <c r="U1514" s="213" t="s">
        <v>559</v>
      </c>
      <c r="V1514" s="213">
        <v>1</v>
      </c>
      <c r="W1514" s="213" t="s">
        <v>560</v>
      </c>
      <c r="X1514" s="213" t="s">
        <v>541</v>
      </c>
      <c r="Y1514" s="213" t="s">
        <v>541</v>
      </c>
      <c r="Z1514" s="212">
        <v>440</v>
      </c>
      <c r="AA1514" s="212">
        <v>41160</v>
      </c>
      <c r="AB1514" s="217">
        <v>0.30687599999999998</v>
      </c>
      <c r="AC1514" s="217">
        <v>0.49386999999999998</v>
      </c>
      <c r="AD1514" s="212">
        <f t="shared" si="23"/>
        <v>12631.016159999999</v>
      </c>
    </row>
    <row r="1515" spans="2:30" x14ac:dyDescent="0.15">
      <c r="B1515" s="213">
        <v>17031002184</v>
      </c>
      <c r="C1515" s="213">
        <v>17031004605</v>
      </c>
      <c r="D1515" s="213">
        <v>17031000301</v>
      </c>
      <c r="E1515" s="213" t="s">
        <v>533</v>
      </c>
      <c r="F1515" s="213" t="s">
        <v>534</v>
      </c>
      <c r="G1515" s="213" t="s">
        <v>365</v>
      </c>
      <c r="H1515" s="213" t="s">
        <v>382</v>
      </c>
      <c r="I1515" s="213"/>
      <c r="J1515" s="213" t="s">
        <v>547</v>
      </c>
      <c r="K1515" s="213"/>
      <c r="L1515" s="213"/>
      <c r="M1515" s="213"/>
      <c r="N1515" s="213"/>
      <c r="O1515" s="213"/>
      <c r="P1515" s="213"/>
      <c r="Q1515" s="213"/>
      <c r="R1515" s="213"/>
      <c r="S1515" s="213" t="s">
        <v>608</v>
      </c>
      <c r="T1515" s="213"/>
      <c r="U1515" s="213" t="s">
        <v>538</v>
      </c>
      <c r="V1515" s="213">
        <v>3</v>
      </c>
      <c r="W1515" s="213" t="s">
        <v>566</v>
      </c>
      <c r="X1515" s="213" t="s">
        <v>549</v>
      </c>
      <c r="Y1515" s="213" t="s">
        <v>554</v>
      </c>
      <c r="Z1515" s="212">
        <v>0</v>
      </c>
      <c r="AA1515" s="212">
        <v>0</v>
      </c>
      <c r="AB1515" s="217">
        <v>1.941549</v>
      </c>
      <c r="AC1515" s="217">
        <v>3.1246260000000001</v>
      </c>
      <c r="AD1515" s="212">
        <f t="shared" si="23"/>
        <v>0</v>
      </c>
    </row>
    <row r="1516" spans="2:30" x14ac:dyDescent="0.15">
      <c r="B1516" s="213">
        <v>17031002187</v>
      </c>
      <c r="C1516" s="213">
        <v>17031000747</v>
      </c>
      <c r="D1516" s="213">
        <v>17031000739</v>
      </c>
      <c r="E1516" s="213" t="s">
        <v>533</v>
      </c>
      <c r="F1516" s="213" t="s">
        <v>534</v>
      </c>
      <c r="G1516" s="213" t="s">
        <v>365</v>
      </c>
      <c r="H1516" s="213" t="s">
        <v>535</v>
      </c>
      <c r="I1516" s="213"/>
      <c r="J1516" s="213"/>
      <c r="K1516" s="213"/>
      <c r="L1516" s="213"/>
      <c r="M1516" s="213"/>
      <c r="N1516" s="213"/>
      <c r="O1516" s="213"/>
      <c r="P1516" s="213"/>
      <c r="Q1516" s="213"/>
      <c r="R1516" s="213"/>
      <c r="S1516" s="213" t="s">
        <v>624</v>
      </c>
      <c r="T1516" s="213"/>
      <c r="U1516" s="213" t="s">
        <v>538</v>
      </c>
      <c r="V1516" s="213">
        <v>2</v>
      </c>
      <c r="W1516" s="213" t="s">
        <v>582</v>
      </c>
      <c r="X1516" s="213" t="s">
        <v>554</v>
      </c>
      <c r="Y1516" s="213" t="s">
        <v>554</v>
      </c>
      <c r="Z1516" s="212">
        <v>0</v>
      </c>
      <c r="AA1516" s="212">
        <v>0</v>
      </c>
      <c r="AB1516" s="217">
        <v>1.540519</v>
      </c>
      <c r="AC1516" s="217">
        <v>2.479231</v>
      </c>
      <c r="AD1516" s="212">
        <f t="shared" si="23"/>
        <v>0</v>
      </c>
    </row>
    <row r="1517" spans="2:30" x14ac:dyDescent="0.15">
      <c r="B1517" s="213">
        <v>17031002192</v>
      </c>
      <c r="C1517" s="213">
        <v>17031000654</v>
      </c>
      <c r="D1517" s="213">
        <v>17031000655</v>
      </c>
      <c r="E1517" s="213" t="s">
        <v>533</v>
      </c>
      <c r="F1517" s="213" t="s">
        <v>534</v>
      </c>
      <c r="G1517" s="213" t="s">
        <v>365</v>
      </c>
      <c r="H1517" s="213" t="s">
        <v>382</v>
      </c>
      <c r="I1517" s="213"/>
      <c r="J1517" s="213" t="s">
        <v>572</v>
      </c>
      <c r="K1517" s="213"/>
      <c r="L1517" s="213"/>
      <c r="M1517" s="213"/>
      <c r="N1517" s="213"/>
      <c r="O1517" s="213"/>
      <c r="P1517" s="213"/>
      <c r="Q1517" s="213"/>
      <c r="R1517" s="213"/>
      <c r="S1517" s="213" t="s">
        <v>609</v>
      </c>
      <c r="T1517" s="213" t="s">
        <v>695</v>
      </c>
      <c r="U1517" s="213" t="s">
        <v>538</v>
      </c>
      <c r="V1517" s="213">
        <v>1</v>
      </c>
      <c r="W1517" s="213" t="s">
        <v>560</v>
      </c>
      <c r="X1517" s="213" t="s">
        <v>541</v>
      </c>
      <c r="Y1517" s="213" t="s">
        <v>540</v>
      </c>
      <c r="Z1517" s="212">
        <v>5628</v>
      </c>
      <c r="AA1517" s="212">
        <v>424432</v>
      </c>
      <c r="AB1517" s="217">
        <v>0.142322</v>
      </c>
      <c r="AC1517" s="217">
        <v>0.229045</v>
      </c>
      <c r="AD1517" s="212">
        <f t="shared" si="23"/>
        <v>60406.011104000005</v>
      </c>
    </row>
    <row r="1518" spans="2:30" x14ac:dyDescent="0.15">
      <c r="B1518" s="213">
        <v>17031002217</v>
      </c>
      <c r="C1518" s="213">
        <v>17031004606</v>
      </c>
      <c r="D1518" s="213">
        <v>17031004605</v>
      </c>
      <c r="E1518" s="213" t="s">
        <v>533</v>
      </c>
      <c r="F1518" s="213" t="s">
        <v>534</v>
      </c>
      <c r="G1518" s="213" t="s">
        <v>365</v>
      </c>
      <c r="H1518" s="213" t="s">
        <v>382</v>
      </c>
      <c r="I1518" s="213"/>
      <c r="J1518" s="213" t="s">
        <v>547</v>
      </c>
      <c r="K1518" s="213"/>
      <c r="L1518" s="213"/>
      <c r="M1518" s="213"/>
      <c r="N1518" s="213"/>
      <c r="O1518" s="213"/>
      <c r="P1518" s="213"/>
      <c r="Q1518" s="213"/>
      <c r="R1518" s="213"/>
      <c r="S1518" s="213" t="s">
        <v>608</v>
      </c>
      <c r="T1518" s="213"/>
      <c r="U1518" s="213" t="s">
        <v>538</v>
      </c>
      <c r="V1518" s="213">
        <v>3</v>
      </c>
      <c r="W1518" s="213" t="s">
        <v>566</v>
      </c>
      <c r="X1518" s="213" t="s">
        <v>549</v>
      </c>
      <c r="Y1518" s="213" t="s">
        <v>554</v>
      </c>
      <c r="Z1518" s="212">
        <v>0</v>
      </c>
      <c r="AA1518" s="212">
        <v>0</v>
      </c>
      <c r="AB1518" s="217">
        <v>1.586957</v>
      </c>
      <c r="AC1518" s="217">
        <v>2.5539649999999998</v>
      </c>
      <c r="AD1518" s="212">
        <f t="shared" si="23"/>
        <v>0</v>
      </c>
    </row>
    <row r="1519" spans="2:30" x14ac:dyDescent="0.15">
      <c r="B1519" s="213">
        <v>17031002221</v>
      </c>
      <c r="C1519" s="213">
        <v>17031004580</v>
      </c>
      <c r="D1519" s="213">
        <v>17031004579</v>
      </c>
      <c r="E1519" s="213" t="s">
        <v>533</v>
      </c>
      <c r="F1519" s="213" t="s">
        <v>534</v>
      </c>
      <c r="G1519" s="213" t="s">
        <v>365</v>
      </c>
      <c r="H1519" s="213" t="s">
        <v>382</v>
      </c>
      <c r="I1519" s="213"/>
      <c r="J1519" s="213" t="s">
        <v>547</v>
      </c>
      <c r="K1519" s="213"/>
      <c r="L1519" s="213"/>
      <c r="M1519" s="213"/>
      <c r="N1519" s="213"/>
      <c r="O1519" s="213"/>
      <c r="P1519" s="213"/>
      <c r="Q1519" s="213"/>
      <c r="R1519" s="213"/>
      <c r="S1519" s="213" t="s">
        <v>565</v>
      </c>
      <c r="T1519" s="213"/>
      <c r="U1519" s="213" t="s">
        <v>538</v>
      </c>
      <c r="V1519" s="213">
        <v>2</v>
      </c>
      <c r="W1519" s="213" t="s">
        <v>566</v>
      </c>
      <c r="X1519" s="213" t="s">
        <v>541</v>
      </c>
      <c r="Y1519" s="213" t="s">
        <v>541</v>
      </c>
      <c r="Z1519" s="212">
        <v>0</v>
      </c>
      <c r="AA1519" s="212">
        <v>0</v>
      </c>
      <c r="AB1519" s="217">
        <v>1.0932040000000001</v>
      </c>
      <c r="AC1519" s="217">
        <v>1.7593449999999999</v>
      </c>
      <c r="AD1519" s="212">
        <f t="shared" si="23"/>
        <v>0</v>
      </c>
    </row>
    <row r="1520" spans="2:30" x14ac:dyDescent="0.15">
      <c r="B1520" s="213">
        <v>17031002236</v>
      </c>
      <c r="C1520" s="213">
        <v>17031000434</v>
      </c>
      <c r="D1520" s="213">
        <v>17031000426</v>
      </c>
      <c r="E1520" s="213" t="s">
        <v>533</v>
      </c>
      <c r="F1520" s="213" t="s">
        <v>534</v>
      </c>
      <c r="G1520" s="213" t="s">
        <v>365</v>
      </c>
      <c r="H1520" s="213" t="s">
        <v>552</v>
      </c>
      <c r="I1520" s="213"/>
      <c r="J1520" s="213" t="s">
        <v>551</v>
      </c>
      <c r="K1520" s="213" t="s">
        <v>547</v>
      </c>
      <c r="L1520" s="213" t="s">
        <v>382</v>
      </c>
      <c r="M1520" s="213" t="s">
        <v>563</v>
      </c>
      <c r="N1520" s="213"/>
      <c r="O1520" s="213"/>
      <c r="P1520" s="213"/>
      <c r="Q1520" s="213"/>
      <c r="R1520" s="213"/>
      <c r="S1520" s="213" t="s">
        <v>589</v>
      </c>
      <c r="T1520" s="213"/>
      <c r="U1520" s="213" t="s">
        <v>538</v>
      </c>
      <c r="V1520" s="213">
        <v>2</v>
      </c>
      <c r="W1520" s="213" t="s">
        <v>545</v>
      </c>
      <c r="X1520" s="213" t="s">
        <v>549</v>
      </c>
      <c r="Y1520" s="213" t="s">
        <v>549</v>
      </c>
      <c r="Z1520" s="212">
        <v>441257</v>
      </c>
      <c r="AA1520" s="212">
        <v>33611158</v>
      </c>
      <c r="AB1520" s="217">
        <v>0.916381</v>
      </c>
      <c r="AC1520" s="217">
        <v>1.4747760000000001</v>
      </c>
      <c r="AD1520" s="212">
        <f t="shared" si="23"/>
        <v>30800626.579197999</v>
      </c>
    </row>
    <row r="1521" spans="2:30" x14ac:dyDescent="0.15">
      <c r="B1521" s="213">
        <v>17031002338</v>
      </c>
      <c r="C1521" s="213">
        <v>17031001296</v>
      </c>
      <c r="D1521" s="213">
        <v>17031001294</v>
      </c>
      <c r="E1521" s="213" t="s">
        <v>533</v>
      </c>
      <c r="F1521" s="213" t="s">
        <v>534</v>
      </c>
      <c r="G1521" s="213" t="s">
        <v>365</v>
      </c>
      <c r="H1521" s="213" t="s">
        <v>557</v>
      </c>
      <c r="I1521" s="213"/>
      <c r="J1521" s="213" t="s">
        <v>535</v>
      </c>
      <c r="K1521" s="213" t="s">
        <v>552</v>
      </c>
      <c r="L1521" s="213" t="s">
        <v>551</v>
      </c>
      <c r="M1521" s="213" t="s">
        <v>615</v>
      </c>
      <c r="N1521" s="213" t="s">
        <v>543</v>
      </c>
      <c r="O1521" s="213" t="s">
        <v>382</v>
      </c>
      <c r="P1521" s="213"/>
      <c r="Q1521" s="213"/>
      <c r="R1521" s="213"/>
      <c r="S1521" s="213"/>
      <c r="T1521" s="213"/>
      <c r="U1521" s="213" t="s">
        <v>538</v>
      </c>
      <c r="V1521" s="213">
        <v>1</v>
      </c>
      <c r="W1521" s="213" t="s">
        <v>545</v>
      </c>
      <c r="X1521" s="213" t="s">
        <v>540</v>
      </c>
      <c r="Y1521" s="213" t="s">
        <v>549</v>
      </c>
      <c r="Z1521" s="212">
        <v>680147</v>
      </c>
      <c r="AA1521" s="212">
        <v>31128323</v>
      </c>
      <c r="AB1521" s="217">
        <v>0.24670800000000001</v>
      </c>
      <c r="AC1521" s="217">
        <v>0.39704</v>
      </c>
      <c r="AD1521" s="212">
        <f t="shared" si="23"/>
        <v>7679606.3106840001</v>
      </c>
    </row>
    <row r="1522" spans="2:30" x14ac:dyDescent="0.15">
      <c r="B1522" s="213">
        <v>17031002357</v>
      </c>
      <c r="C1522" s="213">
        <v>17031001364</v>
      </c>
      <c r="D1522" s="213">
        <v>17031001362</v>
      </c>
      <c r="E1522" s="213" t="s">
        <v>533</v>
      </c>
      <c r="F1522" s="213" t="s">
        <v>534</v>
      </c>
      <c r="G1522" s="213" t="s">
        <v>365</v>
      </c>
      <c r="H1522" s="213" t="s">
        <v>557</v>
      </c>
      <c r="I1522" s="213"/>
      <c r="J1522" s="213" t="s">
        <v>569</v>
      </c>
      <c r="K1522" s="213" t="s">
        <v>535</v>
      </c>
      <c r="L1522" s="213" t="s">
        <v>551</v>
      </c>
      <c r="M1522" s="213" t="s">
        <v>543</v>
      </c>
      <c r="N1522" s="213" t="s">
        <v>382</v>
      </c>
      <c r="O1522" s="213" t="s">
        <v>552</v>
      </c>
      <c r="P1522" s="213" t="s">
        <v>555</v>
      </c>
      <c r="Q1522" s="213"/>
      <c r="R1522" s="213"/>
      <c r="S1522" s="213" t="s">
        <v>570</v>
      </c>
      <c r="T1522" s="213"/>
      <c r="U1522" s="213" t="s">
        <v>538</v>
      </c>
      <c r="V1522" s="213">
        <v>2</v>
      </c>
      <c r="W1522" s="213" t="s">
        <v>545</v>
      </c>
      <c r="X1522" s="213" t="s">
        <v>554</v>
      </c>
      <c r="Y1522" s="213" t="s">
        <v>546</v>
      </c>
      <c r="Z1522" s="212">
        <v>941853</v>
      </c>
      <c r="AA1522" s="212">
        <v>24392561</v>
      </c>
      <c r="AB1522" s="217">
        <v>0.104766</v>
      </c>
      <c r="AC1522" s="217">
        <v>0.168605</v>
      </c>
      <c r="AD1522" s="212">
        <f t="shared" si="23"/>
        <v>2555511.0457259999</v>
      </c>
    </row>
    <row r="1523" spans="2:30" x14ac:dyDescent="0.15">
      <c r="B1523" s="213">
        <v>17031002358</v>
      </c>
      <c r="C1523" s="213">
        <v>17031000583</v>
      </c>
      <c r="D1523" s="213">
        <v>17031000561</v>
      </c>
      <c r="E1523" s="213" t="s">
        <v>533</v>
      </c>
      <c r="F1523" s="213" t="s">
        <v>534</v>
      </c>
      <c r="G1523" s="213" t="s">
        <v>365</v>
      </c>
      <c r="H1523" s="213" t="s">
        <v>382</v>
      </c>
      <c r="I1523" s="213"/>
      <c r="J1523" s="213" t="s">
        <v>547</v>
      </c>
      <c r="K1523" s="213"/>
      <c r="L1523" s="213"/>
      <c r="M1523" s="213"/>
      <c r="N1523" s="213"/>
      <c r="O1523" s="213"/>
      <c r="P1523" s="213"/>
      <c r="Q1523" s="213"/>
      <c r="R1523" s="213"/>
      <c r="S1523" s="213" t="s">
        <v>583</v>
      </c>
      <c r="T1523" s="213"/>
      <c r="U1523" s="213" t="s">
        <v>538</v>
      </c>
      <c r="V1523" s="213">
        <v>4</v>
      </c>
      <c r="W1523" s="213" t="s">
        <v>545</v>
      </c>
      <c r="X1523" s="213" t="s">
        <v>541</v>
      </c>
      <c r="Y1523" s="213" t="s">
        <v>541</v>
      </c>
      <c r="Z1523" s="212">
        <v>0</v>
      </c>
      <c r="AA1523" s="212">
        <v>0</v>
      </c>
      <c r="AB1523" s="217">
        <v>0.21868599999999999</v>
      </c>
      <c r="AC1523" s="217">
        <v>0.351941</v>
      </c>
      <c r="AD1523" s="212">
        <f t="shared" si="23"/>
        <v>0</v>
      </c>
    </row>
    <row r="1524" spans="2:30" x14ac:dyDescent="0.15">
      <c r="B1524" s="213">
        <v>17031002364</v>
      </c>
      <c r="C1524" s="213">
        <v>17031001446</v>
      </c>
      <c r="D1524" s="213">
        <v>17031001434</v>
      </c>
      <c r="E1524" s="213" t="s">
        <v>533</v>
      </c>
      <c r="F1524" s="213" t="s">
        <v>534</v>
      </c>
      <c r="G1524" s="213" t="s">
        <v>365</v>
      </c>
      <c r="H1524" s="213" t="s">
        <v>535</v>
      </c>
      <c r="I1524" s="213"/>
      <c r="J1524" s="213" t="s">
        <v>542</v>
      </c>
      <c r="K1524" s="213" t="s">
        <v>543</v>
      </c>
      <c r="L1524" s="213" t="s">
        <v>382</v>
      </c>
      <c r="M1524" s="213"/>
      <c r="N1524" s="213"/>
      <c r="O1524" s="213"/>
      <c r="P1524" s="213"/>
      <c r="Q1524" s="213"/>
      <c r="R1524" s="213"/>
      <c r="S1524" s="213" t="s">
        <v>544</v>
      </c>
      <c r="T1524" s="213" t="s">
        <v>621</v>
      </c>
      <c r="U1524" s="213" t="s">
        <v>538</v>
      </c>
      <c r="V1524" s="213">
        <v>2</v>
      </c>
      <c r="W1524" s="213" t="s">
        <v>545</v>
      </c>
      <c r="X1524" s="213" t="s">
        <v>549</v>
      </c>
      <c r="Y1524" s="213" t="s">
        <v>546</v>
      </c>
      <c r="Z1524" s="212">
        <v>394797</v>
      </c>
      <c r="AA1524" s="212">
        <v>21023531</v>
      </c>
      <c r="AB1524" s="217">
        <v>1.3117179999999999</v>
      </c>
      <c r="AC1524" s="217">
        <v>2.1110099999999998</v>
      </c>
      <c r="AD1524" s="212">
        <f t="shared" si="23"/>
        <v>27576944.036257997</v>
      </c>
    </row>
    <row r="1525" spans="2:30" x14ac:dyDescent="0.15">
      <c r="B1525" s="213">
        <v>17031002369</v>
      </c>
      <c r="C1525" s="213">
        <v>17031001578</v>
      </c>
      <c r="D1525" s="213">
        <v>17031001587</v>
      </c>
      <c r="E1525" s="213" t="s">
        <v>533</v>
      </c>
      <c r="F1525" s="213" t="s">
        <v>534</v>
      </c>
      <c r="G1525" s="213" t="s">
        <v>365</v>
      </c>
      <c r="H1525" s="213" t="s">
        <v>382</v>
      </c>
      <c r="I1525" s="213"/>
      <c r="J1525" s="213" t="s">
        <v>551</v>
      </c>
      <c r="K1525" s="213" t="s">
        <v>555</v>
      </c>
      <c r="L1525" s="213"/>
      <c r="M1525" s="213"/>
      <c r="N1525" s="213"/>
      <c r="O1525" s="213"/>
      <c r="P1525" s="213"/>
      <c r="Q1525" s="213"/>
      <c r="R1525" s="213"/>
      <c r="S1525" s="213" t="s">
        <v>556</v>
      </c>
      <c r="T1525" s="213"/>
      <c r="U1525" s="213" t="s">
        <v>538</v>
      </c>
      <c r="V1525" s="213">
        <v>2</v>
      </c>
      <c r="W1525" s="213" t="s">
        <v>545</v>
      </c>
      <c r="X1525" s="213" t="s">
        <v>540</v>
      </c>
      <c r="Y1525" s="213" t="s">
        <v>580</v>
      </c>
      <c r="Z1525" s="212">
        <v>846321</v>
      </c>
      <c r="AA1525" s="212">
        <v>33452495</v>
      </c>
      <c r="AB1525" s="217">
        <v>0.11637599999999999</v>
      </c>
      <c r="AC1525" s="217">
        <v>0.18729000000000001</v>
      </c>
      <c r="AD1525" s="212">
        <f t="shared" si="23"/>
        <v>3893067.5581199997</v>
      </c>
    </row>
    <row r="1526" spans="2:30" x14ac:dyDescent="0.15">
      <c r="B1526" s="213">
        <v>17031002391</v>
      </c>
      <c r="C1526" s="213">
        <v>17031000562</v>
      </c>
      <c r="D1526" s="213">
        <v>17031000559</v>
      </c>
      <c r="E1526" s="213" t="s">
        <v>533</v>
      </c>
      <c r="F1526" s="213" t="s">
        <v>534</v>
      </c>
      <c r="G1526" s="213" t="s">
        <v>365</v>
      </c>
      <c r="H1526" s="213" t="s">
        <v>552</v>
      </c>
      <c r="I1526" s="213"/>
      <c r="J1526" s="213" t="s">
        <v>542</v>
      </c>
      <c r="K1526" s="213" t="s">
        <v>547</v>
      </c>
      <c r="L1526" s="213"/>
      <c r="M1526" s="213"/>
      <c r="N1526" s="213"/>
      <c r="O1526" s="213"/>
      <c r="P1526" s="213"/>
      <c r="Q1526" s="213"/>
      <c r="R1526" s="213"/>
      <c r="S1526" s="213" t="s">
        <v>564</v>
      </c>
      <c r="T1526" s="213"/>
      <c r="U1526" s="213" t="s">
        <v>538</v>
      </c>
      <c r="V1526" s="213">
        <v>3</v>
      </c>
      <c r="W1526" s="213" t="s">
        <v>545</v>
      </c>
      <c r="X1526" s="213" t="s">
        <v>540</v>
      </c>
      <c r="Y1526" s="213" t="s">
        <v>541</v>
      </c>
      <c r="Z1526" s="212">
        <v>74113</v>
      </c>
      <c r="AA1526" s="212">
        <v>5380834</v>
      </c>
      <c r="AB1526" s="217">
        <v>0.13687199999999999</v>
      </c>
      <c r="AC1526" s="217">
        <v>0.220275</v>
      </c>
      <c r="AD1526" s="212">
        <f t="shared" si="23"/>
        <v>736485.51124799997</v>
      </c>
    </row>
    <row r="1527" spans="2:30" x14ac:dyDescent="0.15">
      <c r="B1527" s="213">
        <v>17031002421</v>
      </c>
      <c r="C1527" s="213">
        <v>17031000475</v>
      </c>
      <c r="D1527" s="213">
        <v>17031004639</v>
      </c>
      <c r="E1527" s="213" t="s">
        <v>533</v>
      </c>
      <c r="F1527" s="213" t="s">
        <v>534</v>
      </c>
      <c r="G1527" s="213" t="s">
        <v>365</v>
      </c>
      <c r="H1527" s="213" t="s">
        <v>552</v>
      </c>
      <c r="I1527" s="213"/>
      <c r="J1527" s="213" t="s">
        <v>551</v>
      </c>
      <c r="K1527" s="213" t="s">
        <v>547</v>
      </c>
      <c r="L1527" s="213" t="s">
        <v>382</v>
      </c>
      <c r="M1527" s="213" t="s">
        <v>563</v>
      </c>
      <c r="N1527" s="213"/>
      <c r="O1527" s="213"/>
      <c r="P1527" s="213"/>
      <c r="Q1527" s="213"/>
      <c r="R1527" s="213"/>
      <c r="S1527" s="213" t="s">
        <v>589</v>
      </c>
      <c r="T1527" s="213"/>
      <c r="U1527" s="213" t="s">
        <v>538</v>
      </c>
      <c r="V1527" s="213">
        <v>3</v>
      </c>
      <c r="W1527" s="213" t="s">
        <v>545</v>
      </c>
      <c r="X1527" s="213" t="s">
        <v>549</v>
      </c>
      <c r="Y1527" s="213" t="s">
        <v>549</v>
      </c>
      <c r="Z1527" s="212">
        <v>244221</v>
      </c>
      <c r="AA1527" s="212">
        <v>19989495</v>
      </c>
      <c r="AB1527" s="217">
        <v>0.30520999999999998</v>
      </c>
      <c r="AC1527" s="217">
        <v>0.49118899999999999</v>
      </c>
      <c r="AD1527" s="212">
        <f t="shared" si="23"/>
        <v>6100993.7689499995</v>
      </c>
    </row>
    <row r="1528" spans="2:30" x14ac:dyDescent="0.15">
      <c r="B1528" s="213">
        <v>17031002423</v>
      </c>
      <c r="C1528" s="213">
        <v>17031001295</v>
      </c>
      <c r="D1528" s="213">
        <v>17031001208</v>
      </c>
      <c r="E1528" s="213" t="s">
        <v>533</v>
      </c>
      <c r="F1528" s="213" t="s">
        <v>534</v>
      </c>
      <c r="G1528" s="213" t="s">
        <v>365</v>
      </c>
      <c r="H1528" s="213" t="s">
        <v>535</v>
      </c>
      <c r="I1528" s="213"/>
      <c r="J1528" s="213" t="s">
        <v>542</v>
      </c>
      <c r="K1528" s="213" t="s">
        <v>543</v>
      </c>
      <c r="L1528" s="213"/>
      <c r="M1528" s="213"/>
      <c r="N1528" s="213"/>
      <c r="O1528" s="213"/>
      <c r="P1528" s="213"/>
      <c r="Q1528" s="213"/>
      <c r="R1528" s="213"/>
      <c r="S1528" s="213" t="s">
        <v>544</v>
      </c>
      <c r="T1528" s="213"/>
      <c r="U1528" s="213" t="s">
        <v>538</v>
      </c>
      <c r="V1528" s="213">
        <v>2</v>
      </c>
      <c r="W1528" s="213" t="s">
        <v>545</v>
      </c>
      <c r="X1528" s="213" t="s">
        <v>549</v>
      </c>
      <c r="Y1528" s="213" t="s">
        <v>546</v>
      </c>
      <c r="Z1528" s="212">
        <v>41055</v>
      </c>
      <c r="AA1528" s="212">
        <v>3783906</v>
      </c>
      <c r="AB1528" s="217">
        <v>1.83351</v>
      </c>
      <c r="AC1528" s="217">
        <v>2.9507539999999999</v>
      </c>
      <c r="AD1528" s="212">
        <f t="shared" si="23"/>
        <v>6937829.4900599997</v>
      </c>
    </row>
    <row r="1529" spans="2:30" x14ac:dyDescent="0.15">
      <c r="B1529" s="213">
        <v>17031002599</v>
      </c>
      <c r="C1529" s="213">
        <v>17031004695</v>
      </c>
      <c r="D1529" s="213">
        <v>17031004696</v>
      </c>
      <c r="E1529" s="213" t="s">
        <v>533</v>
      </c>
      <c r="F1529" s="213" t="s">
        <v>534</v>
      </c>
      <c r="G1529" s="213" t="s">
        <v>365</v>
      </c>
      <c r="H1529" s="213" t="s">
        <v>547</v>
      </c>
      <c r="I1529" s="213"/>
      <c r="J1529" s="213" t="s">
        <v>577</v>
      </c>
      <c r="K1529" s="213" t="s">
        <v>551</v>
      </c>
      <c r="L1529" s="213" t="s">
        <v>615</v>
      </c>
      <c r="M1529" s="213"/>
      <c r="N1529" s="213"/>
      <c r="O1529" s="213"/>
      <c r="P1529" s="213"/>
      <c r="Q1529" s="213"/>
      <c r="R1529" s="213"/>
      <c r="S1529" s="213" t="s">
        <v>581</v>
      </c>
      <c r="T1529" s="213"/>
      <c r="U1529" s="213" t="s">
        <v>538</v>
      </c>
      <c r="V1529" s="213">
        <v>2</v>
      </c>
      <c r="W1529" s="213" t="s">
        <v>582</v>
      </c>
      <c r="X1529" s="213" t="s">
        <v>540</v>
      </c>
      <c r="Y1529" s="213" t="s">
        <v>540</v>
      </c>
      <c r="Z1529" s="212">
        <v>103629</v>
      </c>
      <c r="AA1529" s="212">
        <v>10039458</v>
      </c>
      <c r="AB1529" s="217">
        <v>1.0622579999999999</v>
      </c>
      <c r="AC1529" s="217">
        <v>1.709541</v>
      </c>
      <c r="AD1529" s="212">
        <f t="shared" si="23"/>
        <v>10664494.576164</v>
      </c>
    </row>
    <row r="1530" spans="2:30" x14ac:dyDescent="0.15">
      <c r="B1530" s="213">
        <v>17031002613</v>
      </c>
      <c r="C1530" s="213">
        <v>17031001153</v>
      </c>
      <c r="D1530" s="213">
        <v>17031004689</v>
      </c>
      <c r="E1530" s="213" t="s">
        <v>533</v>
      </c>
      <c r="F1530" s="213" t="s">
        <v>534</v>
      </c>
      <c r="G1530" s="213" t="s">
        <v>365</v>
      </c>
      <c r="H1530" s="213" t="s">
        <v>547</v>
      </c>
      <c r="I1530" s="213"/>
      <c r="J1530" s="213" t="s">
        <v>543</v>
      </c>
      <c r="K1530" s="213"/>
      <c r="L1530" s="213"/>
      <c r="M1530" s="213"/>
      <c r="N1530" s="213"/>
      <c r="O1530" s="213"/>
      <c r="P1530" s="213"/>
      <c r="Q1530" s="213"/>
      <c r="R1530" s="213"/>
      <c r="S1530" s="213" t="s">
        <v>602</v>
      </c>
      <c r="T1530" s="213"/>
      <c r="U1530" s="213" t="s">
        <v>538</v>
      </c>
      <c r="V1530" s="213">
        <v>2</v>
      </c>
      <c r="W1530" s="213" t="s">
        <v>582</v>
      </c>
      <c r="X1530" s="213" t="s">
        <v>540</v>
      </c>
      <c r="Y1530" s="213" t="s">
        <v>541</v>
      </c>
      <c r="Z1530" s="212">
        <v>0</v>
      </c>
      <c r="AA1530" s="212">
        <v>0</v>
      </c>
      <c r="AB1530" s="217">
        <v>1.6759269999999999</v>
      </c>
      <c r="AC1530" s="217">
        <v>2.6971479999999999</v>
      </c>
      <c r="AD1530" s="212">
        <f t="shared" si="23"/>
        <v>0</v>
      </c>
    </row>
    <row r="1531" spans="2:30" x14ac:dyDescent="0.15">
      <c r="B1531" s="213">
        <v>17031002696</v>
      </c>
      <c r="C1531" s="213">
        <v>17031001329</v>
      </c>
      <c r="D1531" s="213">
        <v>17031001340</v>
      </c>
      <c r="E1531" s="213" t="s">
        <v>533</v>
      </c>
      <c r="F1531" s="213" t="s">
        <v>534</v>
      </c>
      <c r="G1531" s="213" t="s">
        <v>365</v>
      </c>
      <c r="H1531" s="213" t="s">
        <v>551</v>
      </c>
      <c r="I1531" s="213"/>
      <c r="J1531" s="213" t="s">
        <v>381</v>
      </c>
      <c r="K1531" s="213" t="s">
        <v>535</v>
      </c>
      <c r="L1531" s="213" t="s">
        <v>552</v>
      </c>
      <c r="M1531" s="213"/>
      <c r="N1531" s="213"/>
      <c r="O1531" s="213"/>
      <c r="P1531" s="213"/>
      <c r="Q1531" s="213"/>
      <c r="R1531" s="213"/>
      <c r="S1531" s="213" t="s">
        <v>628</v>
      </c>
      <c r="T1531" s="213"/>
      <c r="U1531" s="213" t="s">
        <v>538</v>
      </c>
      <c r="V1531" s="213">
        <v>1</v>
      </c>
      <c r="W1531" s="213" t="s">
        <v>545</v>
      </c>
      <c r="X1531" s="213" t="s">
        <v>541</v>
      </c>
      <c r="Y1531" s="213" t="s">
        <v>541</v>
      </c>
      <c r="Z1531" s="212">
        <v>600</v>
      </c>
      <c r="AA1531" s="212">
        <v>60080</v>
      </c>
      <c r="AB1531" s="217">
        <v>0.21310299999999999</v>
      </c>
      <c r="AC1531" s="217">
        <v>0.34295599999999998</v>
      </c>
      <c r="AD1531" s="212">
        <f t="shared" si="23"/>
        <v>12803.228239999999</v>
      </c>
    </row>
    <row r="1532" spans="2:30" x14ac:dyDescent="0.15">
      <c r="B1532" s="213">
        <v>17031002777</v>
      </c>
      <c r="C1532" s="213">
        <v>17031001096</v>
      </c>
      <c r="D1532" s="213">
        <v>17031001101</v>
      </c>
      <c r="E1532" s="213" t="s">
        <v>533</v>
      </c>
      <c r="F1532" s="213" t="s">
        <v>534</v>
      </c>
      <c r="G1532" s="213" t="s">
        <v>365</v>
      </c>
      <c r="H1532" s="213" t="s">
        <v>571</v>
      </c>
      <c r="I1532" s="213"/>
      <c r="J1532" s="213" t="s">
        <v>552</v>
      </c>
      <c r="K1532" s="213" t="s">
        <v>543</v>
      </c>
      <c r="L1532" s="213"/>
      <c r="M1532" s="213"/>
      <c r="N1532" s="213"/>
      <c r="O1532" s="213"/>
      <c r="P1532" s="213"/>
      <c r="Q1532" s="213"/>
      <c r="R1532" s="213"/>
      <c r="S1532" s="213" t="s">
        <v>573</v>
      </c>
      <c r="T1532" s="213"/>
      <c r="U1532" s="213" t="s">
        <v>538</v>
      </c>
      <c r="V1532" s="213">
        <v>1</v>
      </c>
      <c r="W1532" s="213" t="s">
        <v>545</v>
      </c>
      <c r="X1532" s="213" t="s">
        <v>554</v>
      </c>
      <c r="Y1532" s="213" t="s">
        <v>580</v>
      </c>
      <c r="Z1532" s="212">
        <v>201254</v>
      </c>
      <c r="AA1532" s="212">
        <v>10786005</v>
      </c>
      <c r="AB1532" s="217">
        <v>0.131054</v>
      </c>
      <c r="AC1532" s="217">
        <v>0.21091199999999999</v>
      </c>
      <c r="AD1532" s="212">
        <f t="shared" si="23"/>
        <v>1413549.0992700001</v>
      </c>
    </row>
    <row r="1533" spans="2:30" x14ac:dyDescent="0.15">
      <c r="B1533" s="213">
        <v>17031002903</v>
      </c>
      <c r="C1533" s="213">
        <v>17031001107</v>
      </c>
      <c r="D1533" s="213">
        <v>17031001105</v>
      </c>
      <c r="E1533" s="213" t="s">
        <v>533</v>
      </c>
      <c r="F1533" s="213" t="s">
        <v>534</v>
      </c>
      <c r="G1533" s="213" t="s">
        <v>365</v>
      </c>
      <c r="H1533" s="213" t="s">
        <v>577</v>
      </c>
      <c r="I1533" s="213"/>
      <c r="J1533" s="213"/>
      <c r="K1533" s="213"/>
      <c r="L1533" s="213"/>
      <c r="M1533" s="213"/>
      <c r="N1533" s="213"/>
      <c r="O1533" s="213"/>
      <c r="P1533" s="213"/>
      <c r="Q1533" s="213"/>
      <c r="R1533" s="213"/>
      <c r="S1533" s="213"/>
      <c r="T1533" s="213"/>
      <c r="U1533" s="213" t="s">
        <v>538</v>
      </c>
      <c r="V1533" s="213">
        <v>1</v>
      </c>
      <c r="W1533" s="213" t="s">
        <v>560</v>
      </c>
      <c r="X1533" s="213" t="s">
        <v>541</v>
      </c>
      <c r="Y1533" s="213" t="s">
        <v>541</v>
      </c>
      <c r="Z1533" s="212">
        <v>0</v>
      </c>
      <c r="AA1533" s="212">
        <v>0</v>
      </c>
      <c r="AB1533" s="217">
        <v>4.4794E-2</v>
      </c>
      <c r="AC1533" s="217">
        <v>7.2087999999999999E-2</v>
      </c>
      <c r="AD1533" s="212">
        <f t="shared" si="23"/>
        <v>0</v>
      </c>
    </row>
    <row r="1534" spans="2:30" x14ac:dyDescent="0.15">
      <c r="B1534" s="213">
        <v>17031002996</v>
      </c>
      <c r="C1534" s="213">
        <v>17031007756</v>
      </c>
      <c r="D1534" s="213">
        <v>17031000259</v>
      </c>
      <c r="E1534" s="213" t="s">
        <v>533</v>
      </c>
      <c r="F1534" s="213" t="s">
        <v>534</v>
      </c>
      <c r="G1534" s="213" t="s">
        <v>365</v>
      </c>
      <c r="H1534" s="213" t="s">
        <v>552</v>
      </c>
      <c r="I1534" s="213"/>
      <c r="J1534" s="213" t="s">
        <v>382</v>
      </c>
      <c r="K1534" s="213"/>
      <c r="L1534" s="213"/>
      <c r="M1534" s="213"/>
      <c r="N1534" s="213"/>
      <c r="O1534" s="213"/>
      <c r="P1534" s="213"/>
      <c r="Q1534" s="213"/>
      <c r="R1534" s="213"/>
      <c r="S1534" s="213" t="s">
        <v>564</v>
      </c>
      <c r="T1534" s="213"/>
      <c r="U1534" s="213" t="s">
        <v>538</v>
      </c>
      <c r="V1534" s="213">
        <v>2</v>
      </c>
      <c r="W1534" s="213" t="s">
        <v>545</v>
      </c>
      <c r="X1534" s="213" t="s">
        <v>554</v>
      </c>
      <c r="Y1534" s="213" t="s">
        <v>549</v>
      </c>
      <c r="Z1534" s="212">
        <v>472708</v>
      </c>
      <c r="AA1534" s="212">
        <v>31636317</v>
      </c>
      <c r="AB1534" s="217">
        <v>0.69904299999999997</v>
      </c>
      <c r="AC1534" s="217">
        <v>1.125003</v>
      </c>
      <c r="AD1534" s="212">
        <f t="shared" si="23"/>
        <v>22115145.944630999</v>
      </c>
    </row>
    <row r="1535" spans="2:30" x14ac:dyDescent="0.15">
      <c r="B1535" s="213">
        <v>17031002997</v>
      </c>
      <c r="C1535" s="213">
        <v>17031000426</v>
      </c>
      <c r="D1535" s="213">
        <v>17031000417</v>
      </c>
      <c r="E1535" s="213" t="s">
        <v>533</v>
      </c>
      <c r="F1535" s="213" t="s">
        <v>534</v>
      </c>
      <c r="G1535" s="213" t="s">
        <v>365</v>
      </c>
      <c r="H1535" s="213" t="s">
        <v>552</v>
      </c>
      <c r="I1535" s="213"/>
      <c r="J1535" s="213" t="s">
        <v>551</v>
      </c>
      <c r="K1535" s="213" t="s">
        <v>547</v>
      </c>
      <c r="L1535" s="213" t="s">
        <v>382</v>
      </c>
      <c r="M1535" s="213" t="s">
        <v>563</v>
      </c>
      <c r="N1535" s="213"/>
      <c r="O1535" s="213"/>
      <c r="P1535" s="213"/>
      <c r="Q1535" s="213"/>
      <c r="R1535" s="213"/>
      <c r="S1535" s="213" t="s">
        <v>589</v>
      </c>
      <c r="T1535" s="213" t="s">
        <v>632</v>
      </c>
      <c r="U1535" s="213" t="s">
        <v>538</v>
      </c>
      <c r="V1535" s="213">
        <v>2</v>
      </c>
      <c r="W1535" s="213" t="s">
        <v>545</v>
      </c>
      <c r="X1535" s="213" t="s">
        <v>540</v>
      </c>
      <c r="Y1535" s="213" t="s">
        <v>549</v>
      </c>
      <c r="Z1535" s="212">
        <v>441257</v>
      </c>
      <c r="AA1535" s="212">
        <v>33611158</v>
      </c>
      <c r="AB1535" s="217">
        <v>0.21757799999999999</v>
      </c>
      <c r="AC1535" s="217">
        <v>0.35015800000000002</v>
      </c>
      <c r="AD1535" s="212">
        <f t="shared" si="23"/>
        <v>7313048.5353239998</v>
      </c>
    </row>
    <row r="1536" spans="2:30" x14ac:dyDescent="0.15">
      <c r="B1536" s="213">
        <v>17031003015</v>
      </c>
      <c r="C1536" s="213">
        <v>17031000972</v>
      </c>
      <c r="D1536" s="213">
        <v>17031000953</v>
      </c>
      <c r="E1536" s="213" t="s">
        <v>533</v>
      </c>
      <c r="F1536" s="213" t="s">
        <v>534</v>
      </c>
      <c r="G1536" s="213" t="s">
        <v>365</v>
      </c>
      <c r="H1536" s="213" t="s">
        <v>571</v>
      </c>
      <c r="I1536" s="213"/>
      <c r="J1536" s="213" t="s">
        <v>381</v>
      </c>
      <c r="K1536" s="213" t="s">
        <v>535</v>
      </c>
      <c r="L1536" s="213" t="s">
        <v>552</v>
      </c>
      <c r="M1536" s="213" t="s">
        <v>551</v>
      </c>
      <c r="N1536" s="213" t="s">
        <v>382</v>
      </c>
      <c r="O1536" s="213" t="s">
        <v>563</v>
      </c>
      <c r="P1536" s="213" t="s">
        <v>543</v>
      </c>
      <c r="Q1536" s="213"/>
      <c r="R1536" s="213"/>
      <c r="S1536" s="213" t="s">
        <v>622</v>
      </c>
      <c r="T1536" s="213"/>
      <c r="U1536" s="213" t="s">
        <v>538</v>
      </c>
      <c r="V1536" s="213">
        <v>1</v>
      </c>
      <c r="W1536" s="213" t="s">
        <v>545</v>
      </c>
      <c r="X1536" s="213" t="s">
        <v>541</v>
      </c>
      <c r="Y1536" s="213" t="s">
        <v>554</v>
      </c>
      <c r="Z1536" s="212">
        <v>7596</v>
      </c>
      <c r="AA1536" s="212">
        <v>658104</v>
      </c>
      <c r="AB1536" s="217">
        <v>0.29472700000000002</v>
      </c>
      <c r="AC1536" s="217">
        <v>0.47431800000000002</v>
      </c>
      <c r="AD1536" s="212">
        <f t="shared" si="23"/>
        <v>193961.01760800002</v>
      </c>
    </row>
    <row r="1537" spans="2:30" x14ac:dyDescent="0.15">
      <c r="B1537" s="213">
        <v>17031003088</v>
      </c>
      <c r="C1537" s="213">
        <v>17031000852</v>
      </c>
      <c r="D1537" s="213">
        <v>17031000848</v>
      </c>
      <c r="E1537" s="213" t="s">
        <v>533</v>
      </c>
      <c r="F1537" s="213" t="s">
        <v>534</v>
      </c>
      <c r="G1537" s="213" t="s">
        <v>365</v>
      </c>
      <c r="H1537" s="213" t="s">
        <v>535</v>
      </c>
      <c r="I1537" s="213"/>
      <c r="J1537" s="213" t="s">
        <v>543</v>
      </c>
      <c r="K1537" s="213"/>
      <c r="L1537" s="213"/>
      <c r="M1537" s="213"/>
      <c r="N1537" s="213"/>
      <c r="O1537" s="213"/>
      <c r="P1537" s="213"/>
      <c r="Q1537" s="213"/>
      <c r="R1537" s="213"/>
      <c r="S1537" s="213" t="s">
        <v>553</v>
      </c>
      <c r="T1537" s="213" t="s">
        <v>553</v>
      </c>
      <c r="U1537" s="213" t="s">
        <v>538</v>
      </c>
      <c r="V1537" s="213">
        <v>1</v>
      </c>
      <c r="W1537" s="213" t="s">
        <v>539</v>
      </c>
      <c r="X1537" s="213" t="s">
        <v>554</v>
      </c>
      <c r="Y1537" s="213" t="s">
        <v>541</v>
      </c>
      <c r="Z1537" s="212">
        <v>72673</v>
      </c>
      <c r="AA1537" s="212">
        <v>3647669</v>
      </c>
      <c r="AB1537" s="217">
        <v>0.27474700000000002</v>
      </c>
      <c r="AC1537" s="217">
        <v>0.44216299999999997</v>
      </c>
      <c r="AD1537" s="212">
        <f t="shared" si="23"/>
        <v>1002186.114743</v>
      </c>
    </row>
    <row r="1538" spans="2:30" x14ac:dyDescent="0.15">
      <c r="B1538" s="213">
        <v>17031003109</v>
      </c>
      <c r="C1538" s="213">
        <v>17031000830</v>
      </c>
      <c r="D1538" s="213">
        <v>17031000818</v>
      </c>
      <c r="E1538" s="213" t="s">
        <v>533</v>
      </c>
      <c r="F1538" s="213" t="s">
        <v>534</v>
      </c>
      <c r="G1538" s="213" t="s">
        <v>365</v>
      </c>
      <c r="H1538" s="213" t="s">
        <v>535</v>
      </c>
      <c r="I1538" s="213"/>
      <c r="J1538" s="213" t="s">
        <v>543</v>
      </c>
      <c r="K1538" s="213"/>
      <c r="L1538" s="213"/>
      <c r="M1538" s="213"/>
      <c r="N1538" s="213"/>
      <c r="O1538" s="213"/>
      <c r="P1538" s="213"/>
      <c r="Q1538" s="213"/>
      <c r="R1538" s="213"/>
      <c r="S1538" s="213" t="s">
        <v>553</v>
      </c>
      <c r="T1538" s="213" t="s">
        <v>696</v>
      </c>
      <c r="U1538" s="213" t="s">
        <v>538</v>
      </c>
      <c r="V1538" s="213">
        <v>1</v>
      </c>
      <c r="W1538" s="213" t="s">
        <v>539</v>
      </c>
      <c r="X1538" s="213" t="s">
        <v>554</v>
      </c>
      <c r="Y1538" s="213" t="s">
        <v>541</v>
      </c>
      <c r="Z1538" s="212">
        <v>72673</v>
      </c>
      <c r="AA1538" s="212">
        <v>3647669</v>
      </c>
      <c r="AB1538" s="217">
        <v>0.47084100000000001</v>
      </c>
      <c r="AC1538" s="217">
        <v>0.75774600000000003</v>
      </c>
      <c r="AD1538" s="212">
        <f t="shared" si="23"/>
        <v>1717472.1196290001</v>
      </c>
    </row>
    <row r="1539" spans="2:30" x14ac:dyDescent="0.15">
      <c r="B1539" s="213">
        <v>17031003119</v>
      </c>
      <c r="C1539" s="213">
        <v>17031001131</v>
      </c>
      <c r="D1539" s="213">
        <v>17031001124</v>
      </c>
      <c r="E1539" s="213" t="s">
        <v>533</v>
      </c>
      <c r="F1539" s="213" t="s">
        <v>534</v>
      </c>
      <c r="G1539" s="213" t="s">
        <v>365</v>
      </c>
      <c r="H1539" s="213" t="s">
        <v>661</v>
      </c>
      <c r="I1539" s="213"/>
      <c r="J1539" s="213"/>
      <c r="K1539" s="213"/>
      <c r="L1539" s="213"/>
      <c r="M1539" s="213"/>
      <c r="N1539" s="213"/>
      <c r="O1539" s="213"/>
      <c r="P1539" s="213"/>
      <c r="Q1539" s="213"/>
      <c r="R1539" s="213"/>
      <c r="S1539" s="213"/>
      <c r="T1539" s="213"/>
      <c r="U1539" s="213" t="s">
        <v>538</v>
      </c>
      <c r="V1539" s="213">
        <v>1</v>
      </c>
      <c r="W1539" s="213" t="s">
        <v>560</v>
      </c>
      <c r="X1539" s="213" t="s">
        <v>541</v>
      </c>
      <c r="Y1539" s="213" t="s">
        <v>541</v>
      </c>
      <c r="Z1539" s="212">
        <v>0</v>
      </c>
      <c r="AA1539" s="212">
        <v>0</v>
      </c>
      <c r="AB1539" s="217">
        <v>0.50889200000000001</v>
      </c>
      <c r="AC1539" s="217">
        <v>0.81898400000000005</v>
      </c>
      <c r="AD1539" s="212">
        <f t="shared" si="23"/>
        <v>0</v>
      </c>
    </row>
    <row r="1540" spans="2:30" x14ac:dyDescent="0.15">
      <c r="B1540" s="213">
        <v>17031003232</v>
      </c>
      <c r="C1540" s="213">
        <v>17031001589</v>
      </c>
      <c r="D1540" s="213">
        <v>17031001558</v>
      </c>
      <c r="E1540" s="213" t="s">
        <v>533</v>
      </c>
      <c r="F1540" s="213" t="s">
        <v>534</v>
      </c>
      <c r="G1540" s="213" t="s">
        <v>365</v>
      </c>
      <c r="H1540" s="213" t="s">
        <v>535</v>
      </c>
      <c r="I1540" s="213"/>
      <c r="J1540" s="213" t="s">
        <v>542</v>
      </c>
      <c r="K1540" s="213" t="s">
        <v>543</v>
      </c>
      <c r="L1540" s="213" t="s">
        <v>382</v>
      </c>
      <c r="M1540" s="213"/>
      <c r="N1540" s="213"/>
      <c r="O1540" s="213"/>
      <c r="P1540" s="213"/>
      <c r="Q1540" s="213"/>
      <c r="R1540" s="213"/>
      <c r="S1540" s="213" t="s">
        <v>544</v>
      </c>
      <c r="T1540" s="213"/>
      <c r="U1540" s="213" t="s">
        <v>538</v>
      </c>
      <c r="V1540" s="213">
        <v>2</v>
      </c>
      <c r="W1540" s="213" t="s">
        <v>545</v>
      </c>
      <c r="X1540" s="213" t="s">
        <v>540</v>
      </c>
      <c r="Y1540" s="213" t="s">
        <v>546</v>
      </c>
      <c r="Z1540" s="212">
        <v>382973</v>
      </c>
      <c r="AA1540" s="212">
        <v>19987551</v>
      </c>
      <c r="AB1540" s="217">
        <v>0.93279500000000004</v>
      </c>
      <c r="AC1540" s="217">
        <v>1.5011909999999999</v>
      </c>
      <c r="AD1540" s="212">
        <f t="shared" si="23"/>
        <v>18644287.635044999</v>
      </c>
    </row>
    <row r="1541" spans="2:30" x14ac:dyDescent="0.15">
      <c r="B1541" s="213">
        <v>17031003242</v>
      </c>
      <c r="C1541" s="213">
        <v>17031004686</v>
      </c>
      <c r="D1541" s="213">
        <v>17031004687</v>
      </c>
      <c r="E1541" s="213" t="s">
        <v>533</v>
      </c>
      <c r="F1541" s="213" t="s">
        <v>534</v>
      </c>
      <c r="G1541" s="213" t="s">
        <v>365</v>
      </c>
      <c r="H1541" s="213" t="s">
        <v>547</v>
      </c>
      <c r="I1541" s="213"/>
      <c r="J1541" s="213" t="s">
        <v>543</v>
      </c>
      <c r="K1541" s="213"/>
      <c r="L1541" s="213"/>
      <c r="M1541" s="213"/>
      <c r="N1541" s="213"/>
      <c r="O1541" s="213"/>
      <c r="P1541" s="213"/>
      <c r="Q1541" s="213"/>
      <c r="R1541" s="213"/>
      <c r="S1541" s="213" t="s">
        <v>602</v>
      </c>
      <c r="T1541" s="213"/>
      <c r="U1541" s="213" t="s">
        <v>538</v>
      </c>
      <c r="V1541" s="213">
        <v>2</v>
      </c>
      <c r="W1541" s="213" t="s">
        <v>582</v>
      </c>
      <c r="X1541" s="213" t="s">
        <v>540</v>
      </c>
      <c r="Y1541" s="213" t="s">
        <v>541</v>
      </c>
      <c r="Z1541" s="212">
        <v>480</v>
      </c>
      <c r="AA1541" s="212">
        <v>35280</v>
      </c>
      <c r="AB1541" s="217">
        <v>0.87663199999999997</v>
      </c>
      <c r="AC1541" s="217">
        <v>1.4108050000000001</v>
      </c>
      <c r="AD1541" s="212">
        <f t="shared" si="23"/>
        <v>30927.576959999999</v>
      </c>
    </row>
    <row r="1542" spans="2:30" x14ac:dyDescent="0.15">
      <c r="B1542" s="213">
        <v>17031003258</v>
      </c>
      <c r="C1542" s="213">
        <v>17031000964</v>
      </c>
      <c r="D1542" s="213">
        <v>17031000908</v>
      </c>
      <c r="E1542" s="213" t="s">
        <v>533</v>
      </c>
      <c r="F1542" s="213" t="s">
        <v>534</v>
      </c>
      <c r="G1542" s="213" t="s">
        <v>365</v>
      </c>
      <c r="H1542" s="213" t="s">
        <v>571</v>
      </c>
      <c r="I1542" s="213"/>
      <c r="J1542" s="213" t="s">
        <v>381</v>
      </c>
      <c r="K1542" s="213" t="s">
        <v>535</v>
      </c>
      <c r="L1542" s="213" t="s">
        <v>552</v>
      </c>
      <c r="M1542" s="213" t="s">
        <v>551</v>
      </c>
      <c r="N1542" s="213" t="s">
        <v>382</v>
      </c>
      <c r="O1542" s="213" t="s">
        <v>563</v>
      </c>
      <c r="P1542" s="213"/>
      <c r="Q1542" s="213"/>
      <c r="R1542" s="213"/>
      <c r="S1542" s="213" t="s">
        <v>655</v>
      </c>
      <c r="T1542" s="213"/>
      <c r="U1542" s="213" t="s">
        <v>538</v>
      </c>
      <c r="V1542" s="213">
        <v>2</v>
      </c>
      <c r="W1542" s="213" t="s">
        <v>545</v>
      </c>
      <c r="X1542" s="213" t="s">
        <v>554</v>
      </c>
      <c r="Y1542" s="213" t="s">
        <v>546</v>
      </c>
      <c r="Z1542" s="212">
        <v>83041</v>
      </c>
      <c r="AA1542" s="212">
        <v>4657881</v>
      </c>
      <c r="AB1542" s="217">
        <v>1.5724260000000001</v>
      </c>
      <c r="AC1542" s="217">
        <v>2.5305789999999999</v>
      </c>
      <c r="AD1542" s="212">
        <f t="shared" ref="AD1542:AD1605" si="24">AA1542*AB1542</f>
        <v>7324173.1893060002</v>
      </c>
    </row>
    <row r="1543" spans="2:30" x14ac:dyDescent="0.15">
      <c r="B1543" s="213">
        <v>17031003263</v>
      </c>
      <c r="C1543" s="213">
        <v>17031000775</v>
      </c>
      <c r="D1543" s="213">
        <v>17031000729</v>
      </c>
      <c r="E1543" s="213" t="s">
        <v>533</v>
      </c>
      <c r="F1543" s="213" t="s">
        <v>534</v>
      </c>
      <c r="G1543" s="213" t="s">
        <v>365</v>
      </c>
      <c r="H1543" s="213" t="s">
        <v>535</v>
      </c>
      <c r="I1543" s="213"/>
      <c r="J1543" s="213" t="s">
        <v>542</v>
      </c>
      <c r="K1543" s="213" t="s">
        <v>572</v>
      </c>
      <c r="L1543" s="213" t="s">
        <v>547</v>
      </c>
      <c r="M1543" s="213" t="s">
        <v>382</v>
      </c>
      <c r="N1543" s="213"/>
      <c r="O1543" s="213"/>
      <c r="P1543" s="213"/>
      <c r="Q1543" s="213"/>
      <c r="R1543" s="213"/>
      <c r="S1543" s="213" t="s">
        <v>601</v>
      </c>
      <c r="T1543" s="213"/>
      <c r="U1543" s="213" t="s">
        <v>538</v>
      </c>
      <c r="V1543" s="213">
        <v>2</v>
      </c>
      <c r="W1543" s="213" t="s">
        <v>545</v>
      </c>
      <c r="X1543" s="213" t="s">
        <v>540</v>
      </c>
      <c r="Y1543" s="213" t="s">
        <v>540</v>
      </c>
      <c r="Z1543" s="212">
        <v>2332</v>
      </c>
      <c r="AA1543" s="212">
        <v>215240</v>
      </c>
      <c r="AB1543" s="217">
        <v>1.5072080000000001</v>
      </c>
      <c r="AC1543" s="217">
        <v>2.425621</v>
      </c>
      <c r="AD1543" s="212">
        <f t="shared" si="24"/>
        <v>324411.44992000004</v>
      </c>
    </row>
    <row r="1544" spans="2:30" x14ac:dyDescent="0.15">
      <c r="B1544" s="213">
        <v>17031003281</v>
      </c>
      <c r="C1544" s="213">
        <v>17031000298</v>
      </c>
      <c r="D1544" s="213">
        <v>17031004603</v>
      </c>
      <c r="E1544" s="213" t="s">
        <v>533</v>
      </c>
      <c r="F1544" s="213" t="s">
        <v>534</v>
      </c>
      <c r="G1544" s="213" t="s">
        <v>365</v>
      </c>
      <c r="H1544" s="213" t="s">
        <v>382</v>
      </c>
      <c r="I1544" s="213"/>
      <c r="J1544" s="213" t="s">
        <v>535</v>
      </c>
      <c r="K1544" s="213" t="s">
        <v>547</v>
      </c>
      <c r="L1544" s="213"/>
      <c r="M1544" s="213"/>
      <c r="N1544" s="213"/>
      <c r="O1544" s="213"/>
      <c r="P1544" s="213"/>
      <c r="Q1544" s="213"/>
      <c r="R1544" s="213"/>
      <c r="S1544" s="213" t="s">
        <v>608</v>
      </c>
      <c r="T1544" s="213"/>
      <c r="U1544" s="213" t="s">
        <v>538</v>
      </c>
      <c r="V1544" s="213">
        <v>3</v>
      </c>
      <c r="W1544" s="213" t="s">
        <v>566</v>
      </c>
      <c r="X1544" s="213" t="s">
        <v>549</v>
      </c>
      <c r="Y1544" s="213" t="s">
        <v>554</v>
      </c>
      <c r="Z1544" s="212">
        <v>40</v>
      </c>
      <c r="AA1544" s="212">
        <v>3920</v>
      </c>
      <c r="AB1544" s="217">
        <v>0.67344999999999999</v>
      </c>
      <c r="AC1544" s="217">
        <v>1.0838159999999999</v>
      </c>
      <c r="AD1544" s="212">
        <f t="shared" si="24"/>
        <v>2639.924</v>
      </c>
    </row>
    <row r="1545" spans="2:30" x14ac:dyDescent="0.15">
      <c r="B1545" s="213">
        <v>17031003285</v>
      </c>
      <c r="C1545" s="213">
        <v>17031004641</v>
      </c>
      <c r="D1545" s="213">
        <v>17031000479</v>
      </c>
      <c r="E1545" s="213" t="s">
        <v>533</v>
      </c>
      <c r="F1545" s="213" t="s">
        <v>534</v>
      </c>
      <c r="G1545" s="213" t="s">
        <v>365</v>
      </c>
      <c r="H1545" s="213" t="s">
        <v>552</v>
      </c>
      <c r="I1545" s="213"/>
      <c r="J1545" s="213" t="s">
        <v>551</v>
      </c>
      <c r="K1545" s="213" t="s">
        <v>547</v>
      </c>
      <c r="L1545" s="213" t="s">
        <v>382</v>
      </c>
      <c r="M1545" s="213" t="s">
        <v>563</v>
      </c>
      <c r="N1545" s="213"/>
      <c r="O1545" s="213"/>
      <c r="P1545" s="213"/>
      <c r="Q1545" s="213"/>
      <c r="R1545" s="213"/>
      <c r="S1545" s="213" t="s">
        <v>589</v>
      </c>
      <c r="T1545" s="213" t="s">
        <v>691</v>
      </c>
      <c r="U1545" s="213" t="s">
        <v>538</v>
      </c>
      <c r="V1545" s="213">
        <v>3</v>
      </c>
      <c r="W1545" s="213" t="s">
        <v>545</v>
      </c>
      <c r="X1545" s="213" t="s">
        <v>549</v>
      </c>
      <c r="Y1545" s="213" t="s">
        <v>549</v>
      </c>
      <c r="Z1545" s="212">
        <v>244221</v>
      </c>
      <c r="AA1545" s="212">
        <v>19989495</v>
      </c>
      <c r="AB1545" s="217">
        <v>0.68124700000000005</v>
      </c>
      <c r="AC1545" s="217">
        <v>1.096363</v>
      </c>
      <c r="AD1545" s="212">
        <f t="shared" si="24"/>
        <v>13617783.500265</v>
      </c>
    </row>
    <row r="1546" spans="2:30" x14ac:dyDescent="0.15">
      <c r="B1546" s="213">
        <v>17031003288</v>
      </c>
      <c r="C1546" s="213">
        <v>17031000574</v>
      </c>
      <c r="D1546" s="213">
        <v>17031004622</v>
      </c>
      <c r="E1546" s="213" t="s">
        <v>533</v>
      </c>
      <c r="F1546" s="213" t="s">
        <v>534</v>
      </c>
      <c r="G1546" s="213" t="s">
        <v>365</v>
      </c>
      <c r="H1546" s="213" t="s">
        <v>552</v>
      </c>
      <c r="I1546" s="213"/>
      <c r="J1546" s="213" t="s">
        <v>542</v>
      </c>
      <c r="K1546" s="213" t="s">
        <v>547</v>
      </c>
      <c r="L1546" s="213"/>
      <c r="M1546" s="213"/>
      <c r="N1546" s="213"/>
      <c r="O1546" s="213"/>
      <c r="P1546" s="213"/>
      <c r="Q1546" s="213"/>
      <c r="R1546" s="213"/>
      <c r="S1546" s="213" t="s">
        <v>564</v>
      </c>
      <c r="T1546" s="213"/>
      <c r="U1546" s="213" t="s">
        <v>538</v>
      </c>
      <c r="V1546" s="213">
        <v>3</v>
      </c>
      <c r="W1546" s="213" t="s">
        <v>545</v>
      </c>
      <c r="X1546" s="213" t="s">
        <v>541</v>
      </c>
      <c r="Y1546" s="213" t="s">
        <v>541</v>
      </c>
      <c r="Z1546" s="212">
        <v>74113</v>
      </c>
      <c r="AA1546" s="212">
        <v>5380834</v>
      </c>
      <c r="AB1546" s="217">
        <v>0.75495299999999999</v>
      </c>
      <c r="AC1546" s="217">
        <v>1.2149810000000001</v>
      </c>
      <c r="AD1546" s="212">
        <f t="shared" si="24"/>
        <v>4062276.7708020001</v>
      </c>
    </row>
    <row r="1547" spans="2:30" x14ac:dyDescent="0.15">
      <c r="B1547" s="213">
        <v>17031003299</v>
      </c>
      <c r="C1547" s="213">
        <v>17031004671</v>
      </c>
      <c r="D1547" s="213">
        <v>17031004672</v>
      </c>
      <c r="E1547" s="213" t="s">
        <v>533</v>
      </c>
      <c r="F1547" s="213" t="s">
        <v>534</v>
      </c>
      <c r="G1547" s="213" t="s">
        <v>365</v>
      </c>
      <c r="H1547" s="213" t="s">
        <v>551</v>
      </c>
      <c r="I1547" s="213"/>
      <c r="J1547" s="213" t="s">
        <v>535</v>
      </c>
      <c r="K1547" s="213"/>
      <c r="L1547" s="213"/>
      <c r="M1547" s="213"/>
      <c r="N1547" s="213"/>
      <c r="O1547" s="213"/>
      <c r="P1547" s="213"/>
      <c r="Q1547" s="213"/>
      <c r="R1547" s="213"/>
      <c r="S1547" s="213" t="s">
        <v>667</v>
      </c>
      <c r="T1547" s="213"/>
      <c r="U1547" s="213" t="s">
        <v>538</v>
      </c>
      <c r="V1547" s="213">
        <v>2</v>
      </c>
      <c r="W1547" s="213" t="s">
        <v>582</v>
      </c>
      <c r="X1547" s="213" t="s">
        <v>541</v>
      </c>
      <c r="Y1547" s="213" t="s">
        <v>541</v>
      </c>
      <c r="Z1547" s="212">
        <v>0</v>
      </c>
      <c r="AA1547" s="212">
        <v>0</v>
      </c>
      <c r="AB1547" s="217">
        <v>1.0304660000000001</v>
      </c>
      <c r="AC1547" s="217">
        <v>1.6583779999999999</v>
      </c>
      <c r="AD1547" s="212">
        <f t="shared" si="24"/>
        <v>0</v>
      </c>
    </row>
    <row r="1548" spans="2:30" x14ac:dyDescent="0.15">
      <c r="B1548" s="213">
        <v>17031003331</v>
      </c>
      <c r="C1548" s="213">
        <v>17031004669</v>
      </c>
      <c r="D1548" s="213">
        <v>17031000824</v>
      </c>
      <c r="E1548" s="213" t="s">
        <v>533</v>
      </c>
      <c r="F1548" s="213" t="s">
        <v>534</v>
      </c>
      <c r="G1548" s="213" t="s">
        <v>365</v>
      </c>
      <c r="H1548" s="213" t="s">
        <v>535</v>
      </c>
      <c r="I1548" s="213"/>
      <c r="J1548" s="213" t="s">
        <v>542</v>
      </c>
      <c r="K1548" s="213" t="s">
        <v>572</v>
      </c>
      <c r="L1548" s="213" t="s">
        <v>547</v>
      </c>
      <c r="M1548" s="213" t="s">
        <v>382</v>
      </c>
      <c r="N1548" s="213" t="s">
        <v>552</v>
      </c>
      <c r="O1548" s="213" t="s">
        <v>381</v>
      </c>
      <c r="P1548" s="213"/>
      <c r="Q1548" s="213"/>
      <c r="R1548" s="213"/>
      <c r="S1548" s="213" t="s">
        <v>601</v>
      </c>
      <c r="T1548" s="213" t="s">
        <v>692</v>
      </c>
      <c r="U1548" s="213" t="s">
        <v>538</v>
      </c>
      <c r="V1548" s="213">
        <v>2</v>
      </c>
      <c r="W1548" s="213" t="s">
        <v>545</v>
      </c>
      <c r="X1548" s="213" t="s">
        <v>549</v>
      </c>
      <c r="Y1548" s="213" t="s">
        <v>540</v>
      </c>
      <c r="Z1548" s="212">
        <v>1560</v>
      </c>
      <c r="AA1548" s="212">
        <v>135120</v>
      </c>
      <c r="AB1548" s="217">
        <v>0.44090000000000001</v>
      </c>
      <c r="AC1548" s="217">
        <v>0.709561</v>
      </c>
      <c r="AD1548" s="212">
        <f t="shared" si="24"/>
        <v>59574.408000000003</v>
      </c>
    </row>
    <row r="1549" spans="2:30" x14ac:dyDescent="0.15">
      <c r="B1549" s="213">
        <v>17031003489</v>
      </c>
      <c r="C1549" s="213">
        <v>17031001042</v>
      </c>
      <c r="D1549" s="213">
        <v>17031007733</v>
      </c>
      <c r="E1549" s="213" t="s">
        <v>533</v>
      </c>
      <c r="F1549" s="213" t="s">
        <v>534</v>
      </c>
      <c r="G1549" s="213" t="s">
        <v>365</v>
      </c>
      <c r="H1549" s="213" t="s">
        <v>381</v>
      </c>
      <c r="I1549" s="213"/>
      <c r="J1549" s="213" t="s">
        <v>551</v>
      </c>
      <c r="K1549" s="213" t="s">
        <v>543</v>
      </c>
      <c r="L1549" s="213" t="s">
        <v>382</v>
      </c>
      <c r="M1549" s="213"/>
      <c r="N1549" s="213"/>
      <c r="O1549" s="213"/>
      <c r="P1549" s="213"/>
      <c r="Q1549" s="213"/>
      <c r="R1549" s="213"/>
      <c r="S1549" s="213" t="s">
        <v>647</v>
      </c>
      <c r="T1549" s="213"/>
      <c r="U1549" s="213" t="s">
        <v>538</v>
      </c>
      <c r="V1549" s="213">
        <v>2</v>
      </c>
      <c r="W1549" s="213" t="s">
        <v>545</v>
      </c>
      <c r="X1549" s="213" t="s">
        <v>549</v>
      </c>
      <c r="Y1549" s="213" t="s">
        <v>580</v>
      </c>
      <c r="Z1549" s="212">
        <v>388210</v>
      </c>
      <c r="AA1549" s="212">
        <v>18134526</v>
      </c>
      <c r="AB1549" s="217">
        <v>0.89963599999999999</v>
      </c>
      <c r="AC1549" s="217">
        <v>1.447827</v>
      </c>
      <c r="AD1549" s="212">
        <f t="shared" si="24"/>
        <v>16314472.432536</v>
      </c>
    </row>
    <row r="1550" spans="2:30" x14ac:dyDescent="0.15">
      <c r="B1550" s="213">
        <v>17031003503</v>
      </c>
      <c r="C1550" s="213">
        <v>17031000485</v>
      </c>
      <c r="D1550" s="213">
        <v>17031000459</v>
      </c>
      <c r="E1550" s="213" t="s">
        <v>533</v>
      </c>
      <c r="F1550" s="213" t="s">
        <v>534</v>
      </c>
      <c r="G1550" s="213" t="s">
        <v>365</v>
      </c>
      <c r="H1550" s="213" t="s">
        <v>552</v>
      </c>
      <c r="I1550" s="213"/>
      <c r="J1550" s="213" t="s">
        <v>542</v>
      </c>
      <c r="K1550" s="213" t="s">
        <v>547</v>
      </c>
      <c r="L1550" s="213" t="s">
        <v>563</v>
      </c>
      <c r="M1550" s="213"/>
      <c r="N1550" s="213"/>
      <c r="O1550" s="213"/>
      <c r="P1550" s="213"/>
      <c r="Q1550" s="213"/>
      <c r="R1550" s="213"/>
      <c r="S1550" s="213" t="s">
        <v>564</v>
      </c>
      <c r="T1550" s="213"/>
      <c r="U1550" s="213" t="s">
        <v>538</v>
      </c>
      <c r="V1550" s="213">
        <v>2</v>
      </c>
      <c r="W1550" s="213" t="s">
        <v>545</v>
      </c>
      <c r="X1550" s="213" t="s">
        <v>549</v>
      </c>
      <c r="Y1550" s="213" t="s">
        <v>541</v>
      </c>
      <c r="Z1550" s="212">
        <v>27817</v>
      </c>
      <c r="AA1550" s="212">
        <v>2593647</v>
      </c>
      <c r="AB1550" s="217">
        <v>0.75945399999999996</v>
      </c>
      <c r="AC1550" s="217">
        <v>1.2222249999999999</v>
      </c>
      <c r="AD1550" s="212">
        <f t="shared" si="24"/>
        <v>1969755.5887379998</v>
      </c>
    </row>
    <row r="1551" spans="2:30" x14ac:dyDescent="0.15">
      <c r="B1551" s="213">
        <v>17031003534</v>
      </c>
      <c r="C1551" s="213">
        <v>17031000661</v>
      </c>
      <c r="D1551" s="213">
        <v>17031000653</v>
      </c>
      <c r="E1551" s="213" t="s">
        <v>533</v>
      </c>
      <c r="F1551" s="213" t="s">
        <v>534</v>
      </c>
      <c r="G1551" s="213" t="s">
        <v>365</v>
      </c>
      <c r="H1551" s="213" t="s">
        <v>535</v>
      </c>
      <c r="I1551" s="213"/>
      <c r="J1551" s="213" t="s">
        <v>542</v>
      </c>
      <c r="K1551" s="213" t="s">
        <v>572</v>
      </c>
      <c r="L1551" s="213"/>
      <c r="M1551" s="213"/>
      <c r="N1551" s="213"/>
      <c r="O1551" s="213"/>
      <c r="P1551" s="213"/>
      <c r="Q1551" s="213"/>
      <c r="R1551" s="213"/>
      <c r="S1551" s="213"/>
      <c r="T1551" s="213"/>
      <c r="U1551" s="213" t="s">
        <v>538</v>
      </c>
      <c r="V1551" s="213">
        <v>2</v>
      </c>
      <c r="W1551" s="213" t="s">
        <v>539</v>
      </c>
      <c r="X1551" s="213" t="s">
        <v>541</v>
      </c>
      <c r="Y1551" s="213" t="s">
        <v>554</v>
      </c>
      <c r="Z1551" s="212">
        <v>8186</v>
      </c>
      <c r="AA1551" s="212">
        <v>669776</v>
      </c>
      <c r="AB1551" s="217">
        <v>0.13933599999999999</v>
      </c>
      <c r="AC1551" s="217">
        <v>0.22423999999999999</v>
      </c>
      <c r="AD1551" s="212">
        <f t="shared" si="24"/>
        <v>93323.908735999998</v>
      </c>
    </row>
    <row r="1552" spans="2:30" x14ac:dyDescent="0.15">
      <c r="B1552" s="213">
        <v>17031003599</v>
      </c>
      <c r="C1552" s="213">
        <v>17031000957</v>
      </c>
      <c r="D1552" s="213">
        <v>17031000956</v>
      </c>
      <c r="E1552" s="213" t="s">
        <v>533</v>
      </c>
      <c r="F1552" s="213" t="s">
        <v>534</v>
      </c>
      <c r="G1552" s="213" t="s">
        <v>365</v>
      </c>
      <c r="H1552" s="213" t="s">
        <v>571</v>
      </c>
      <c r="I1552" s="213"/>
      <c r="J1552" s="213" t="s">
        <v>381</v>
      </c>
      <c r="K1552" s="213" t="s">
        <v>535</v>
      </c>
      <c r="L1552" s="213" t="s">
        <v>552</v>
      </c>
      <c r="M1552" s="213" t="s">
        <v>572</v>
      </c>
      <c r="N1552" s="213" t="s">
        <v>551</v>
      </c>
      <c r="O1552" s="213" t="s">
        <v>555</v>
      </c>
      <c r="P1552" s="213" t="s">
        <v>543</v>
      </c>
      <c r="Q1552" s="213" t="s">
        <v>382</v>
      </c>
      <c r="R1552" s="213" t="s">
        <v>563</v>
      </c>
      <c r="S1552" s="213" t="s">
        <v>605</v>
      </c>
      <c r="T1552" s="213" t="s">
        <v>574</v>
      </c>
      <c r="U1552" s="213" t="s">
        <v>538</v>
      </c>
      <c r="V1552" s="213">
        <v>2</v>
      </c>
      <c r="W1552" s="213" t="s">
        <v>545</v>
      </c>
      <c r="X1552" s="213" t="s">
        <v>554</v>
      </c>
      <c r="Y1552" s="213" t="s">
        <v>575</v>
      </c>
      <c r="Z1552" s="212">
        <v>344239</v>
      </c>
      <c r="AA1552" s="212">
        <v>17729268</v>
      </c>
      <c r="AB1552" s="217">
        <v>0.184585</v>
      </c>
      <c r="AC1552" s="217">
        <v>0.29706199999999999</v>
      </c>
      <c r="AD1552" s="212">
        <f t="shared" si="24"/>
        <v>3272556.9337800001</v>
      </c>
    </row>
    <row r="1553" spans="2:30" x14ac:dyDescent="0.15">
      <c r="B1553" s="213">
        <v>17031003609</v>
      </c>
      <c r="C1553" s="213">
        <v>17031000851</v>
      </c>
      <c r="D1553" s="213">
        <v>17031000840</v>
      </c>
      <c r="E1553" s="213" t="s">
        <v>533</v>
      </c>
      <c r="F1553" s="213" t="s">
        <v>534</v>
      </c>
      <c r="G1553" s="213" t="s">
        <v>365</v>
      </c>
      <c r="H1553" s="213" t="s">
        <v>571</v>
      </c>
      <c r="I1553" s="213"/>
      <c r="J1553" s="213" t="s">
        <v>381</v>
      </c>
      <c r="K1553" s="213" t="s">
        <v>382</v>
      </c>
      <c r="L1553" s="213"/>
      <c r="M1553" s="213"/>
      <c r="N1553" s="213"/>
      <c r="O1553" s="213"/>
      <c r="P1553" s="213"/>
      <c r="Q1553" s="213"/>
      <c r="R1553" s="213"/>
      <c r="S1553" s="213" t="s">
        <v>654</v>
      </c>
      <c r="T1553" s="213"/>
      <c r="U1553" s="213" t="s">
        <v>559</v>
      </c>
      <c r="V1553" s="213">
        <v>1</v>
      </c>
      <c r="W1553" s="213" t="s">
        <v>560</v>
      </c>
      <c r="X1553" s="213" t="s">
        <v>541</v>
      </c>
      <c r="Y1553" s="213" t="s">
        <v>541</v>
      </c>
      <c r="Z1553" s="212">
        <v>0</v>
      </c>
      <c r="AA1553" s="212">
        <v>0</v>
      </c>
      <c r="AB1553" s="217">
        <v>0.21345700000000001</v>
      </c>
      <c r="AC1553" s="217">
        <v>0.343526</v>
      </c>
      <c r="AD1553" s="212">
        <f t="shared" si="24"/>
        <v>0</v>
      </c>
    </row>
    <row r="1554" spans="2:30" x14ac:dyDescent="0.15">
      <c r="B1554" s="213">
        <v>17031003624</v>
      </c>
      <c r="C1554" s="213">
        <v>17031000897</v>
      </c>
      <c r="D1554" s="213">
        <v>17031000893</v>
      </c>
      <c r="E1554" s="213" t="s">
        <v>533</v>
      </c>
      <c r="F1554" s="213" t="s">
        <v>534</v>
      </c>
      <c r="G1554" s="213" t="s">
        <v>365</v>
      </c>
      <c r="H1554" s="213" t="s">
        <v>551</v>
      </c>
      <c r="I1554" s="213"/>
      <c r="J1554" s="213" t="s">
        <v>381</v>
      </c>
      <c r="K1554" s="213" t="s">
        <v>535</v>
      </c>
      <c r="L1554" s="213" t="s">
        <v>552</v>
      </c>
      <c r="M1554" s="213" t="s">
        <v>382</v>
      </c>
      <c r="N1554" s="213"/>
      <c r="O1554" s="213"/>
      <c r="P1554" s="213"/>
      <c r="Q1554" s="213"/>
      <c r="R1554" s="213"/>
      <c r="S1554" s="213" t="s">
        <v>600</v>
      </c>
      <c r="T1554" s="213" t="s">
        <v>633</v>
      </c>
      <c r="U1554" s="213" t="s">
        <v>538</v>
      </c>
      <c r="V1554" s="213">
        <v>3</v>
      </c>
      <c r="W1554" s="213" t="s">
        <v>582</v>
      </c>
      <c r="X1554" s="213" t="s">
        <v>540</v>
      </c>
      <c r="Y1554" s="213" t="s">
        <v>549</v>
      </c>
      <c r="Z1554" s="212">
        <v>192774</v>
      </c>
      <c r="AA1554" s="212">
        <v>6267418</v>
      </c>
      <c r="AB1554" s="217">
        <v>0.48685699999999998</v>
      </c>
      <c r="AC1554" s="217">
        <v>0.78352299999999997</v>
      </c>
      <c r="AD1554" s="212">
        <f t="shared" si="24"/>
        <v>3051336.325226</v>
      </c>
    </row>
    <row r="1555" spans="2:30" x14ac:dyDescent="0.15">
      <c r="B1555" s="213">
        <v>17031003655</v>
      </c>
      <c r="C1555" s="213">
        <v>17031001048</v>
      </c>
      <c r="D1555" s="213">
        <v>17031001335</v>
      </c>
      <c r="E1555" s="213" t="s">
        <v>533</v>
      </c>
      <c r="F1555" s="213" t="s">
        <v>534</v>
      </c>
      <c r="G1555" s="213" t="s">
        <v>365</v>
      </c>
      <c r="H1555" s="213" t="s">
        <v>382</v>
      </c>
      <c r="I1555" s="213"/>
      <c r="J1555" s="213" t="s">
        <v>542</v>
      </c>
      <c r="K1555" s="213" t="s">
        <v>555</v>
      </c>
      <c r="L1555" s="213"/>
      <c r="M1555" s="213"/>
      <c r="N1555" s="213"/>
      <c r="O1555" s="213"/>
      <c r="P1555" s="213"/>
      <c r="Q1555" s="213"/>
      <c r="R1555" s="213"/>
      <c r="S1555" s="213" t="s">
        <v>556</v>
      </c>
      <c r="T1555" s="213"/>
      <c r="U1555" s="213" t="s">
        <v>538</v>
      </c>
      <c r="V1555" s="213">
        <v>2</v>
      </c>
      <c r="W1555" s="213" t="s">
        <v>545</v>
      </c>
      <c r="X1555" s="213" t="s">
        <v>540</v>
      </c>
      <c r="Y1555" s="213" t="s">
        <v>540</v>
      </c>
      <c r="Z1555" s="212">
        <v>53566</v>
      </c>
      <c r="AA1555" s="212">
        <v>2591704</v>
      </c>
      <c r="AB1555" s="217">
        <v>7.5133840000000003</v>
      </c>
      <c r="AC1555" s="217">
        <v>12.091642999999999</v>
      </c>
      <c r="AD1555" s="212">
        <f t="shared" si="24"/>
        <v>19472467.366335999</v>
      </c>
    </row>
    <row r="1556" spans="2:30" x14ac:dyDescent="0.15">
      <c r="B1556" s="213">
        <v>17031003822</v>
      </c>
      <c r="C1556" s="213">
        <v>17031000777</v>
      </c>
      <c r="D1556" s="213">
        <v>17031000776</v>
      </c>
      <c r="E1556" s="213" t="s">
        <v>533</v>
      </c>
      <c r="F1556" s="213" t="s">
        <v>534</v>
      </c>
      <c r="G1556" s="213" t="s">
        <v>365</v>
      </c>
      <c r="H1556" s="213" t="s">
        <v>535</v>
      </c>
      <c r="I1556" s="213"/>
      <c r="J1556" s="213" t="s">
        <v>542</v>
      </c>
      <c r="K1556" s="213" t="s">
        <v>572</v>
      </c>
      <c r="L1556" s="213" t="s">
        <v>547</v>
      </c>
      <c r="M1556" s="213" t="s">
        <v>382</v>
      </c>
      <c r="N1556" s="213"/>
      <c r="O1556" s="213"/>
      <c r="P1556" s="213"/>
      <c r="Q1556" s="213"/>
      <c r="R1556" s="213"/>
      <c r="S1556" s="213" t="s">
        <v>601</v>
      </c>
      <c r="T1556" s="213"/>
      <c r="U1556" s="213" t="s">
        <v>538</v>
      </c>
      <c r="V1556" s="213">
        <v>2</v>
      </c>
      <c r="W1556" s="213" t="s">
        <v>545</v>
      </c>
      <c r="X1556" s="213" t="s">
        <v>549</v>
      </c>
      <c r="Y1556" s="213" t="s">
        <v>540</v>
      </c>
      <c r="Z1556" s="212">
        <v>2332</v>
      </c>
      <c r="AA1556" s="212">
        <v>215240</v>
      </c>
      <c r="AB1556" s="217">
        <v>6.5660999999999997E-2</v>
      </c>
      <c r="AC1556" s="217">
        <v>0.105671</v>
      </c>
      <c r="AD1556" s="212">
        <f t="shared" si="24"/>
        <v>14132.87364</v>
      </c>
    </row>
    <row r="1557" spans="2:30" x14ac:dyDescent="0.15">
      <c r="B1557" s="213">
        <v>17031003838</v>
      </c>
      <c r="C1557" s="213">
        <v>17031000409</v>
      </c>
      <c r="D1557" s="213">
        <v>17031004620</v>
      </c>
      <c r="E1557" s="213" t="s">
        <v>533</v>
      </c>
      <c r="F1557" s="213" t="s">
        <v>534</v>
      </c>
      <c r="G1557" s="213" t="s">
        <v>365</v>
      </c>
      <c r="H1557" s="213" t="s">
        <v>552</v>
      </c>
      <c r="I1557" s="213"/>
      <c r="J1557" s="213" t="s">
        <v>542</v>
      </c>
      <c r="K1557" s="213" t="s">
        <v>547</v>
      </c>
      <c r="L1557" s="213" t="s">
        <v>563</v>
      </c>
      <c r="M1557" s="213"/>
      <c r="N1557" s="213"/>
      <c r="O1557" s="213"/>
      <c r="P1557" s="213"/>
      <c r="Q1557" s="213"/>
      <c r="R1557" s="213"/>
      <c r="S1557" s="213" t="s">
        <v>564</v>
      </c>
      <c r="T1557" s="213"/>
      <c r="U1557" s="213" t="s">
        <v>538</v>
      </c>
      <c r="V1557" s="213">
        <v>2</v>
      </c>
      <c r="W1557" s="213" t="s">
        <v>545</v>
      </c>
      <c r="X1557" s="213" t="s">
        <v>549</v>
      </c>
      <c r="Y1557" s="213" t="s">
        <v>541</v>
      </c>
      <c r="Z1557" s="212">
        <v>27817</v>
      </c>
      <c r="AA1557" s="212">
        <v>2593647</v>
      </c>
      <c r="AB1557" s="217">
        <v>0.861124</v>
      </c>
      <c r="AC1557" s="217">
        <v>1.3858470000000001</v>
      </c>
      <c r="AD1557" s="212">
        <f t="shared" si="24"/>
        <v>2233451.6792279999</v>
      </c>
    </row>
    <row r="1558" spans="2:30" x14ac:dyDescent="0.15">
      <c r="B1558" s="213">
        <v>17031003840</v>
      </c>
      <c r="C1558" s="213">
        <v>17031000779</v>
      </c>
      <c r="D1558" s="213">
        <v>17031000773</v>
      </c>
      <c r="E1558" s="213" t="s">
        <v>533</v>
      </c>
      <c r="F1558" s="213" t="s">
        <v>534</v>
      </c>
      <c r="G1558" s="213" t="s">
        <v>365</v>
      </c>
      <c r="H1558" s="213" t="s">
        <v>381</v>
      </c>
      <c r="I1558" s="213"/>
      <c r="J1558" s="213"/>
      <c r="K1558" s="213"/>
      <c r="L1558" s="213"/>
      <c r="M1558" s="213"/>
      <c r="N1558" s="213"/>
      <c r="O1558" s="213"/>
      <c r="P1558" s="213"/>
      <c r="Q1558" s="213"/>
      <c r="R1558" s="213"/>
      <c r="S1558" s="213" t="s">
        <v>647</v>
      </c>
      <c r="T1558" s="213"/>
      <c r="U1558" s="213" t="s">
        <v>538</v>
      </c>
      <c r="V1558" s="213">
        <v>2</v>
      </c>
      <c r="W1558" s="213" t="s">
        <v>545</v>
      </c>
      <c r="X1558" s="213" t="s">
        <v>541</v>
      </c>
      <c r="Y1558" s="213" t="s">
        <v>541</v>
      </c>
      <c r="Z1558" s="212">
        <v>0</v>
      </c>
      <c r="AA1558" s="212">
        <v>0</v>
      </c>
      <c r="AB1558" s="217">
        <v>0.154164</v>
      </c>
      <c r="AC1558" s="217">
        <v>0.24810399999999999</v>
      </c>
      <c r="AD1558" s="212">
        <f t="shared" si="24"/>
        <v>0</v>
      </c>
    </row>
    <row r="1559" spans="2:30" x14ac:dyDescent="0.15">
      <c r="B1559" s="213">
        <v>17031003858</v>
      </c>
      <c r="C1559" s="213">
        <v>17031001191</v>
      </c>
      <c r="D1559" s="213">
        <v>17031001196</v>
      </c>
      <c r="E1559" s="213" t="s">
        <v>533</v>
      </c>
      <c r="F1559" s="213" t="s">
        <v>534</v>
      </c>
      <c r="G1559" s="213" t="s">
        <v>365</v>
      </c>
      <c r="H1559" s="213" t="s">
        <v>577</v>
      </c>
      <c r="I1559" s="213"/>
      <c r="J1559" s="213"/>
      <c r="K1559" s="213"/>
      <c r="L1559" s="213"/>
      <c r="M1559" s="213"/>
      <c r="N1559" s="213"/>
      <c r="O1559" s="213"/>
      <c r="P1559" s="213"/>
      <c r="Q1559" s="213"/>
      <c r="R1559" s="213"/>
      <c r="S1559" s="213"/>
      <c r="T1559" s="213"/>
      <c r="U1559" s="213" t="s">
        <v>538</v>
      </c>
      <c r="V1559" s="213">
        <v>1</v>
      </c>
      <c r="W1559" s="213" t="s">
        <v>560</v>
      </c>
      <c r="X1559" s="213" t="s">
        <v>541</v>
      </c>
      <c r="Y1559" s="213" t="s">
        <v>541</v>
      </c>
      <c r="Z1559" s="212">
        <v>0</v>
      </c>
      <c r="AA1559" s="212">
        <v>0</v>
      </c>
      <c r="AB1559" s="217">
        <v>7.7882000000000007E-2</v>
      </c>
      <c r="AC1559" s="217">
        <v>0.12534000000000001</v>
      </c>
      <c r="AD1559" s="212">
        <f t="shared" si="24"/>
        <v>0</v>
      </c>
    </row>
    <row r="1560" spans="2:30" x14ac:dyDescent="0.15">
      <c r="B1560" s="213">
        <v>17031003894</v>
      </c>
      <c r="C1560" s="213">
        <v>17031000490</v>
      </c>
      <c r="D1560" s="213">
        <v>17031008300</v>
      </c>
      <c r="E1560" s="213" t="s">
        <v>533</v>
      </c>
      <c r="F1560" s="213" t="s">
        <v>534</v>
      </c>
      <c r="G1560" s="213" t="s">
        <v>365</v>
      </c>
      <c r="H1560" s="213" t="s">
        <v>382</v>
      </c>
      <c r="I1560" s="213"/>
      <c r="J1560" s="213"/>
      <c r="K1560" s="213"/>
      <c r="L1560" s="213"/>
      <c r="M1560" s="213"/>
      <c r="N1560" s="213"/>
      <c r="O1560" s="213"/>
      <c r="P1560" s="213"/>
      <c r="Q1560" s="213"/>
      <c r="R1560" s="213"/>
      <c r="S1560" s="213" t="s">
        <v>586</v>
      </c>
      <c r="T1560" s="213" t="s">
        <v>689</v>
      </c>
      <c r="U1560" s="213" t="s">
        <v>538</v>
      </c>
      <c r="V1560" s="213">
        <v>2</v>
      </c>
      <c r="W1560" s="213" t="s">
        <v>582</v>
      </c>
      <c r="X1560" s="213" t="s">
        <v>554</v>
      </c>
      <c r="Y1560" s="213" t="s">
        <v>549</v>
      </c>
      <c r="Z1560" s="212">
        <v>139565</v>
      </c>
      <c r="AA1560" s="212">
        <v>16043772</v>
      </c>
      <c r="AB1560" s="217">
        <v>1.11283</v>
      </c>
      <c r="AC1560" s="217">
        <v>1.7909310000000001</v>
      </c>
      <c r="AD1560" s="212">
        <f t="shared" si="24"/>
        <v>17853990.79476</v>
      </c>
    </row>
    <row r="1561" spans="2:30" x14ac:dyDescent="0.15">
      <c r="B1561" s="213">
        <v>17031003931</v>
      </c>
      <c r="C1561" s="213">
        <v>17031001098</v>
      </c>
      <c r="D1561" s="213">
        <v>17031001106</v>
      </c>
      <c r="E1561" s="213" t="s">
        <v>533</v>
      </c>
      <c r="F1561" s="213" t="s">
        <v>534</v>
      </c>
      <c r="G1561" s="213" t="s">
        <v>365</v>
      </c>
      <c r="H1561" s="213" t="s">
        <v>543</v>
      </c>
      <c r="I1561" s="213"/>
      <c r="J1561" s="213" t="s">
        <v>577</v>
      </c>
      <c r="K1561" s="213"/>
      <c r="L1561" s="213"/>
      <c r="M1561" s="213"/>
      <c r="N1561" s="213"/>
      <c r="O1561" s="213"/>
      <c r="P1561" s="213"/>
      <c r="Q1561" s="213"/>
      <c r="R1561" s="213"/>
      <c r="S1561" s="213" t="s">
        <v>604</v>
      </c>
      <c r="T1561" s="213"/>
      <c r="U1561" s="213" t="s">
        <v>538</v>
      </c>
      <c r="V1561" s="213">
        <v>1</v>
      </c>
      <c r="W1561" s="213" t="s">
        <v>545</v>
      </c>
      <c r="X1561" s="213" t="s">
        <v>554</v>
      </c>
      <c r="Y1561" s="213" t="s">
        <v>546</v>
      </c>
      <c r="Z1561" s="212">
        <v>6400</v>
      </c>
      <c r="AA1561" s="212">
        <v>597639</v>
      </c>
      <c r="AB1561" s="217">
        <v>6.7876000000000006E-2</v>
      </c>
      <c r="AC1561" s="217">
        <v>0.109237</v>
      </c>
      <c r="AD1561" s="212">
        <f t="shared" si="24"/>
        <v>40565.344764000001</v>
      </c>
    </row>
    <row r="1562" spans="2:30" x14ac:dyDescent="0.15">
      <c r="B1562" s="213">
        <v>17031003938</v>
      </c>
      <c r="C1562" s="213">
        <v>17031000783</v>
      </c>
      <c r="D1562" s="213">
        <v>17031000780</v>
      </c>
      <c r="E1562" s="213" t="s">
        <v>533</v>
      </c>
      <c r="F1562" s="213" t="s">
        <v>534</v>
      </c>
      <c r="G1562" s="213" t="s">
        <v>365</v>
      </c>
      <c r="H1562" s="213" t="s">
        <v>535</v>
      </c>
      <c r="I1562" s="213"/>
      <c r="J1562" s="213" t="s">
        <v>382</v>
      </c>
      <c r="K1562" s="213"/>
      <c r="L1562" s="213"/>
      <c r="M1562" s="213"/>
      <c r="N1562" s="213"/>
      <c r="O1562" s="213"/>
      <c r="P1562" s="213"/>
      <c r="Q1562" s="213"/>
      <c r="R1562" s="213"/>
      <c r="S1562" s="213"/>
      <c r="T1562" s="213"/>
      <c r="U1562" s="213" t="s">
        <v>538</v>
      </c>
      <c r="V1562" s="213">
        <v>1</v>
      </c>
      <c r="W1562" s="213" t="s">
        <v>560</v>
      </c>
      <c r="X1562" s="213" t="s">
        <v>541</v>
      </c>
      <c r="Y1562" s="213" t="s">
        <v>541</v>
      </c>
      <c r="Z1562" s="212">
        <v>74313</v>
      </c>
      <c r="AA1562" s="212">
        <v>3798109</v>
      </c>
      <c r="AB1562" s="217">
        <v>0.17064499999999999</v>
      </c>
      <c r="AC1562" s="217">
        <v>0.27462799999999998</v>
      </c>
      <c r="AD1562" s="212">
        <f t="shared" si="24"/>
        <v>648128.31030499993</v>
      </c>
    </row>
    <row r="1563" spans="2:30" x14ac:dyDescent="0.15">
      <c r="B1563" s="213">
        <v>17031003980</v>
      </c>
      <c r="C1563" s="213">
        <v>17031000685</v>
      </c>
      <c r="D1563" s="213">
        <v>17031000679</v>
      </c>
      <c r="E1563" s="213" t="s">
        <v>533</v>
      </c>
      <c r="F1563" s="213" t="s">
        <v>534</v>
      </c>
      <c r="G1563" s="213" t="s">
        <v>365</v>
      </c>
      <c r="H1563" s="213" t="s">
        <v>543</v>
      </c>
      <c r="I1563" s="213"/>
      <c r="J1563" s="213" t="s">
        <v>542</v>
      </c>
      <c r="K1563" s="213" t="s">
        <v>547</v>
      </c>
      <c r="L1563" s="213" t="s">
        <v>382</v>
      </c>
      <c r="M1563" s="213"/>
      <c r="N1563" s="213"/>
      <c r="O1563" s="213"/>
      <c r="P1563" s="213"/>
      <c r="Q1563" s="213"/>
      <c r="R1563" s="213"/>
      <c r="S1563" s="213" t="s">
        <v>630</v>
      </c>
      <c r="T1563" s="213"/>
      <c r="U1563" s="213" t="s">
        <v>538</v>
      </c>
      <c r="V1563" s="213">
        <v>2</v>
      </c>
      <c r="W1563" s="213" t="s">
        <v>545</v>
      </c>
      <c r="X1563" s="213" t="s">
        <v>541</v>
      </c>
      <c r="Y1563" s="213" t="s">
        <v>540</v>
      </c>
      <c r="Z1563" s="212">
        <v>175990</v>
      </c>
      <c r="AA1563" s="212">
        <v>12673508</v>
      </c>
      <c r="AB1563" s="217">
        <v>0.151418</v>
      </c>
      <c r="AC1563" s="217">
        <v>0.24368400000000001</v>
      </c>
      <c r="AD1563" s="212">
        <f t="shared" si="24"/>
        <v>1918997.234344</v>
      </c>
    </row>
    <row r="1564" spans="2:30" x14ac:dyDescent="0.15">
      <c r="B1564" s="213">
        <v>17031004011</v>
      </c>
      <c r="C1564" s="213">
        <v>17031000582</v>
      </c>
      <c r="D1564" s="213">
        <v>17031000566</v>
      </c>
      <c r="E1564" s="213" t="s">
        <v>533</v>
      </c>
      <c r="F1564" s="213" t="s">
        <v>534</v>
      </c>
      <c r="G1564" s="213" t="s">
        <v>365</v>
      </c>
      <c r="H1564" s="213" t="s">
        <v>382</v>
      </c>
      <c r="I1564" s="213"/>
      <c r="J1564" s="213" t="s">
        <v>572</v>
      </c>
      <c r="K1564" s="213" t="s">
        <v>543</v>
      </c>
      <c r="L1564" s="213"/>
      <c r="M1564" s="213"/>
      <c r="N1564" s="213"/>
      <c r="O1564" s="213"/>
      <c r="P1564" s="213"/>
      <c r="Q1564" s="213"/>
      <c r="R1564" s="213"/>
      <c r="S1564" s="213" t="s">
        <v>609</v>
      </c>
      <c r="T1564" s="213"/>
      <c r="U1564" s="213" t="s">
        <v>538</v>
      </c>
      <c r="V1564" s="213">
        <v>1</v>
      </c>
      <c r="W1564" s="213" t="s">
        <v>539</v>
      </c>
      <c r="X1564" s="213" t="s">
        <v>554</v>
      </c>
      <c r="Y1564" s="213" t="s">
        <v>541</v>
      </c>
      <c r="Z1564" s="212">
        <v>0</v>
      </c>
      <c r="AA1564" s="212">
        <v>0</v>
      </c>
      <c r="AB1564" s="217">
        <v>0.35082099999999999</v>
      </c>
      <c r="AC1564" s="217">
        <v>0.56459300000000001</v>
      </c>
      <c r="AD1564" s="212">
        <f t="shared" si="24"/>
        <v>0</v>
      </c>
    </row>
    <row r="1565" spans="2:30" x14ac:dyDescent="0.15">
      <c r="B1565" s="213">
        <v>17031004015</v>
      </c>
      <c r="C1565" s="213">
        <v>17031000637</v>
      </c>
      <c r="D1565" s="213">
        <v>17031000683</v>
      </c>
      <c r="E1565" s="213" t="s">
        <v>533</v>
      </c>
      <c r="F1565" s="213" t="s">
        <v>534</v>
      </c>
      <c r="G1565" s="213" t="s">
        <v>365</v>
      </c>
      <c r="H1565" s="213" t="s">
        <v>644</v>
      </c>
      <c r="I1565" s="213"/>
      <c r="J1565" s="213"/>
      <c r="K1565" s="213"/>
      <c r="L1565" s="213"/>
      <c r="M1565" s="213"/>
      <c r="N1565" s="213"/>
      <c r="O1565" s="213"/>
      <c r="P1565" s="213"/>
      <c r="Q1565" s="213"/>
      <c r="R1565" s="213"/>
      <c r="S1565" s="213"/>
      <c r="T1565" s="213"/>
      <c r="U1565" s="213" t="s">
        <v>559</v>
      </c>
      <c r="V1565" s="213">
        <v>1</v>
      </c>
      <c r="W1565" s="213" t="s">
        <v>560</v>
      </c>
      <c r="X1565" s="213" t="s">
        <v>541</v>
      </c>
      <c r="Y1565" s="213" t="s">
        <v>541</v>
      </c>
      <c r="Z1565" s="212">
        <v>0</v>
      </c>
      <c r="AA1565" s="212">
        <v>0</v>
      </c>
      <c r="AB1565" s="217">
        <v>0.54106299999999996</v>
      </c>
      <c r="AC1565" s="217">
        <v>0.87075899999999995</v>
      </c>
      <c r="AD1565" s="212">
        <f t="shared" si="24"/>
        <v>0</v>
      </c>
    </row>
    <row r="1566" spans="2:30" x14ac:dyDescent="0.15">
      <c r="B1566" s="213">
        <v>17031004025</v>
      </c>
      <c r="C1566" s="213">
        <v>17031001421</v>
      </c>
      <c r="D1566" s="213">
        <v>17031004508</v>
      </c>
      <c r="E1566" s="213" t="s">
        <v>533</v>
      </c>
      <c r="F1566" s="213" t="s">
        <v>534</v>
      </c>
      <c r="G1566" s="213" t="s">
        <v>365</v>
      </c>
      <c r="H1566" s="213" t="s">
        <v>535</v>
      </c>
      <c r="I1566" s="213"/>
      <c r="J1566" s="213" t="s">
        <v>542</v>
      </c>
      <c r="K1566" s="213" t="s">
        <v>543</v>
      </c>
      <c r="L1566" s="213" t="s">
        <v>382</v>
      </c>
      <c r="M1566" s="213" t="s">
        <v>552</v>
      </c>
      <c r="N1566" s="213"/>
      <c r="O1566" s="213"/>
      <c r="P1566" s="213"/>
      <c r="Q1566" s="213"/>
      <c r="R1566" s="213"/>
      <c r="S1566" s="213" t="s">
        <v>544</v>
      </c>
      <c r="T1566" s="213"/>
      <c r="U1566" s="213" t="s">
        <v>538</v>
      </c>
      <c r="V1566" s="213">
        <v>2</v>
      </c>
      <c r="W1566" s="213" t="s">
        <v>545</v>
      </c>
      <c r="X1566" s="213" t="s">
        <v>549</v>
      </c>
      <c r="Y1566" s="213" t="s">
        <v>546</v>
      </c>
      <c r="Z1566" s="212">
        <v>616577</v>
      </c>
      <c r="AA1566" s="212">
        <v>24749499</v>
      </c>
      <c r="AB1566" s="217">
        <v>0.207679</v>
      </c>
      <c r="AC1566" s="217">
        <v>0.33422800000000003</v>
      </c>
      <c r="AD1566" s="212">
        <f t="shared" si="24"/>
        <v>5139951.2028210005</v>
      </c>
    </row>
    <row r="1567" spans="2:30" x14ac:dyDescent="0.15">
      <c r="B1567" s="213">
        <v>17031004027</v>
      </c>
      <c r="C1567" s="213">
        <v>17031000450</v>
      </c>
      <c r="D1567" s="213">
        <v>17031000471</v>
      </c>
      <c r="E1567" s="213" t="s">
        <v>533</v>
      </c>
      <c r="F1567" s="213" t="s">
        <v>534</v>
      </c>
      <c r="G1567" s="213" t="s">
        <v>365</v>
      </c>
      <c r="H1567" s="213" t="s">
        <v>590</v>
      </c>
      <c r="I1567" s="213"/>
      <c r="J1567" s="213"/>
      <c r="K1567" s="213"/>
      <c r="L1567" s="213"/>
      <c r="M1567" s="213"/>
      <c r="N1567" s="213"/>
      <c r="O1567" s="213"/>
      <c r="P1567" s="213"/>
      <c r="Q1567" s="213"/>
      <c r="R1567" s="213"/>
      <c r="S1567" s="213"/>
      <c r="T1567" s="213"/>
      <c r="U1567" s="213" t="s">
        <v>559</v>
      </c>
      <c r="V1567" s="213">
        <v>1</v>
      </c>
      <c r="W1567" s="213" t="s">
        <v>560</v>
      </c>
      <c r="X1567" s="213" t="s">
        <v>541</v>
      </c>
      <c r="Y1567" s="213" t="s">
        <v>541</v>
      </c>
      <c r="Z1567" s="212">
        <v>0</v>
      </c>
      <c r="AA1567" s="212">
        <v>0</v>
      </c>
      <c r="AB1567" s="217">
        <v>1.001339</v>
      </c>
      <c r="AC1567" s="217">
        <v>1.611502</v>
      </c>
      <c r="AD1567" s="212">
        <f t="shared" si="24"/>
        <v>0</v>
      </c>
    </row>
    <row r="1568" spans="2:30" x14ac:dyDescent="0.15">
      <c r="B1568" s="213">
        <v>17031004044</v>
      </c>
      <c r="C1568" s="213">
        <v>17031000453</v>
      </c>
      <c r="D1568" s="213">
        <v>17031000415</v>
      </c>
      <c r="E1568" s="213" t="s">
        <v>533</v>
      </c>
      <c r="F1568" s="213" t="s">
        <v>534</v>
      </c>
      <c r="G1568" s="213" t="s">
        <v>365</v>
      </c>
      <c r="H1568" s="213" t="s">
        <v>382</v>
      </c>
      <c r="I1568" s="213"/>
      <c r="J1568" s="213" t="s">
        <v>547</v>
      </c>
      <c r="K1568" s="213"/>
      <c r="L1568" s="213"/>
      <c r="M1568" s="213"/>
      <c r="N1568" s="213"/>
      <c r="O1568" s="213"/>
      <c r="P1568" s="213"/>
      <c r="Q1568" s="213"/>
      <c r="R1568" s="213"/>
      <c r="S1568" s="213" t="s">
        <v>608</v>
      </c>
      <c r="T1568" s="213"/>
      <c r="U1568" s="213" t="s">
        <v>538</v>
      </c>
      <c r="V1568" s="213">
        <v>3</v>
      </c>
      <c r="W1568" s="213" t="s">
        <v>566</v>
      </c>
      <c r="X1568" s="213" t="s">
        <v>540</v>
      </c>
      <c r="Y1568" s="213" t="s">
        <v>541</v>
      </c>
      <c r="Z1568" s="212">
        <v>0</v>
      </c>
      <c r="AA1568" s="212">
        <v>0</v>
      </c>
      <c r="AB1568" s="217">
        <v>1.8023469999999999</v>
      </c>
      <c r="AC1568" s="217">
        <v>2.9006020000000001</v>
      </c>
      <c r="AD1568" s="212">
        <f t="shared" si="24"/>
        <v>0</v>
      </c>
    </row>
    <row r="1569" spans="2:30" x14ac:dyDescent="0.15">
      <c r="B1569" s="213">
        <v>17031004127</v>
      </c>
      <c r="C1569" s="213">
        <v>17031000718</v>
      </c>
      <c r="D1569" s="213">
        <v>17031000712</v>
      </c>
      <c r="E1569" s="213" t="s">
        <v>533</v>
      </c>
      <c r="F1569" s="213" t="s">
        <v>534</v>
      </c>
      <c r="G1569" s="213" t="s">
        <v>365</v>
      </c>
      <c r="H1569" s="213" t="s">
        <v>381</v>
      </c>
      <c r="I1569" s="213"/>
      <c r="J1569" s="213"/>
      <c r="K1569" s="213"/>
      <c r="L1569" s="213"/>
      <c r="M1569" s="213"/>
      <c r="N1569" s="213"/>
      <c r="O1569" s="213"/>
      <c r="P1569" s="213"/>
      <c r="Q1569" s="213"/>
      <c r="R1569" s="213"/>
      <c r="S1569" s="213"/>
      <c r="T1569" s="213"/>
      <c r="U1569" s="213" t="s">
        <v>559</v>
      </c>
      <c r="V1569" s="213">
        <v>1</v>
      </c>
      <c r="W1569" s="213" t="s">
        <v>560</v>
      </c>
      <c r="X1569" s="213" t="s">
        <v>541</v>
      </c>
      <c r="Y1569" s="213" t="s">
        <v>541</v>
      </c>
      <c r="Z1569" s="212">
        <v>0</v>
      </c>
      <c r="AA1569" s="212">
        <v>0</v>
      </c>
      <c r="AB1569" s="217">
        <v>1.089594</v>
      </c>
      <c r="AC1569" s="217">
        <v>1.753536</v>
      </c>
      <c r="AD1569" s="212">
        <f t="shared" si="24"/>
        <v>0</v>
      </c>
    </row>
    <row r="1570" spans="2:30" x14ac:dyDescent="0.15">
      <c r="B1570" s="213">
        <v>17031004184</v>
      </c>
      <c r="C1570" s="213">
        <v>17031000691</v>
      </c>
      <c r="D1570" s="213">
        <v>17031000684</v>
      </c>
      <c r="E1570" s="213" t="s">
        <v>533</v>
      </c>
      <c r="F1570" s="213" t="s">
        <v>534</v>
      </c>
      <c r="G1570" s="213" t="s">
        <v>365</v>
      </c>
      <c r="H1570" s="213" t="s">
        <v>381</v>
      </c>
      <c r="I1570" s="213"/>
      <c r="J1570" s="213" t="s">
        <v>542</v>
      </c>
      <c r="K1570" s="213" t="s">
        <v>572</v>
      </c>
      <c r="L1570" s="213" t="s">
        <v>547</v>
      </c>
      <c r="M1570" s="213" t="s">
        <v>382</v>
      </c>
      <c r="N1570" s="213" t="s">
        <v>551</v>
      </c>
      <c r="O1570" s="213"/>
      <c r="P1570" s="213"/>
      <c r="Q1570" s="213"/>
      <c r="R1570" s="213"/>
      <c r="S1570" s="213" t="s">
        <v>579</v>
      </c>
      <c r="T1570" s="213"/>
      <c r="U1570" s="213" t="s">
        <v>538</v>
      </c>
      <c r="V1570" s="213">
        <v>4</v>
      </c>
      <c r="W1570" s="213" t="s">
        <v>545</v>
      </c>
      <c r="X1570" s="213" t="s">
        <v>540</v>
      </c>
      <c r="Y1570" s="213" t="s">
        <v>549</v>
      </c>
      <c r="Z1570" s="212">
        <v>2437713</v>
      </c>
      <c r="AA1570" s="212">
        <v>67580400</v>
      </c>
      <c r="AB1570" s="217">
        <v>0.295792</v>
      </c>
      <c r="AC1570" s="217">
        <v>0.47603200000000001</v>
      </c>
      <c r="AD1570" s="212">
        <f t="shared" si="24"/>
        <v>19989741.676800001</v>
      </c>
    </row>
    <row r="1571" spans="2:30" x14ac:dyDescent="0.15">
      <c r="B1571" s="213">
        <v>17031004236</v>
      </c>
      <c r="C1571" s="213">
        <v>17031001575</v>
      </c>
      <c r="D1571" s="213">
        <v>17031006632</v>
      </c>
      <c r="E1571" s="213" t="s">
        <v>533</v>
      </c>
      <c r="F1571" s="213" t="s">
        <v>534</v>
      </c>
      <c r="G1571" s="213" t="s">
        <v>365</v>
      </c>
      <c r="H1571" s="213" t="s">
        <v>382</v>
      </c>
      <c r="I1571" s="213"/>
      <c r="J1571" s="213"/>
      <c r="K1571" s="213"/>
      <c r="L1571" s="213"/>
      <c r="M1571" s="213"/>
      <c r="N1571" s="213"/>
      <c r="O1571" s="213"/>
      <c r="P1571" s="213"/>
      <c r="Q1571" s="213"/>
      <c r="R1571" s="213"/>
      <c r="S1571" s="213" t="s">
        <v>576</v>
      </c>
      <c r="T1571" s="213" t="s">
        <v>599</v>
      </c>
      <c r="U1571" s="213" t="s">
        <v>559</v>
      </c>
      <c r="V1571" s="213">
        <v>1</v>
      </c>
      <c r="W1571" s="213" t="s">
        <v>560</v>
      </c>
      <c r="X1571" s="213" t="s">
        <v>541</v>
      </c>
      <c r="Y1571" s="213" t="s">
        <v>541</v>
      </c>
      <c r="Z1571" s="212">
        <v>0</v>
      </c>
      <c r="AA1571" s="212">
        <v>0</v>
      </c>
      <c r="AB1571" s="217">
        <v>5.6807000000000003E-2</v>
      </c>
      <c r="AC1571" s="217">
        <v>9.1422000000000003E-2</v>
      </c>
      <c r="AD1571" s="212">
        <f t="shared" si="24"/>
        <v>0</v>
      </c>
    </row>
    <row r="1572" spans="2:30" x14ac:dyDescent="0.15">
      <c r="B1572" s="213">
        <v>17031004242</v>
      </c>
      <c r="C1572" s="213">
        <v>17031007665</v>
      </c>
      <c r="D1572" s="213">
        <v>17031001442</v>
      </c>
      <c r="E1572" s="213" t="s">
        <v>533</v>
      </c>
      <c r="F1572" s="213" t="s">
        <v>534</v>
      </c>
      <c r="G1572" s="213" t="s">
        <v>365</v>
      </c>
      <c r="H1572" s="213" t="s">
        <v>547</v>
      </c>
      <c r="I1572" s="213"/>
      <c r="J1572" s="213" t="s">
        <v>543</v>
      </c>
      <c r="K1572" s="213"/>
      <c r="L1572" s="213"/>
      <c r="M1572" s="213"/>
      <c r="N1572" s="213"/>
      <c r="O1572" s="213"/>
      <c r="P1572" s="213"/>
      <c r="Q1572" s="213"/>
      <c r="R1572" s="213"/>
      <c r="S1572" s="213" t="s">
        <v>602</v>
      </c>
      <c r="T1572" s="213"/>
      <c r="U1572" s="213" t="s">
        <v>538</v>
      </c>
      <c r="V1572" s="213">
        <v>1</v>
      </c>
      <c r="W1572" s="213" t="s">
        <v>582</v>
      </c>
      <c r="X1572" s="213" t="s">
        <v>540</v>
      </c>
      <c r="Y1572" s="213" t="s">
        <v>541</v>
      </c>
      <c r="Z1572" s="212">
        <v>480</v>
      </c>
      <c r="AA1572" s="212">
        <v>35280</v>
      </c>
      <c r="AB1572" s="217">
        <v>0.394453</v>
      </c>
      <c r="AC1572" s="217">
        <v>0.63481100000000001</v>
      </c>
      <c r="AD1572" s="212">
        <f t="shared" si="24"/>
        <v>13916.30184</v>
      </c>
    </row>
    <row r="1573" spans="2:30" x14ac:dyDescent="0.15">
      <c r="B1573" s="213">
        <v>17031004250</v>
      </c>
      <c r="C1573" s="213">
        <v>17031001562</v>
      </c>
      <c r="D1573" s="213">
        <v>17031007616</v>
      </c>
      <c r="E1573" s="213" t="s">
        <v>533</v>
      </c>
      <c r="F1573" s="213" t="s">
        <v>534</v>
      </c>
      <c r="G1573" s="213" t="s">
        <v>365</v>
      </c>
      <c r="H1573" s="213" t="s">
        <v>382</v>
      </c>
      <c r="I1573" s="213"/>
      <c r="J1573" s="213"/>
      <c r="K1573" s="213"/>
      <c r="L1573" s="213"/>
      <c r="M1573" s="213"/>
      <c r="N1573" s="213"/>
      <c r="O1573" s="213"/>
      <c r="P1573" s="213"/>
      <c r="Q1573" s="213"/>
      <c r="R1573" s="213"/>
      <c r="S1573" s="213" t="s">
        <v>576</v>
      </c>
      <c r="T1573" s="213"/>
      <c r="U1573" s="213" t="s">
        <v>559</v>
      </c>
      <c r="V1573" s="213">
        <v>1</v>
      </c>
      <c r="W1573" s="213" t="s">
        <v>560</v>
      </c>
      <c r="X1573" s="213" t="s">
        <v>541</v>
      </c>
      <c r="Y1573" s="213" t="s">
        <v>541</v>
      </c>
      <c r="Z1573" s="212">
        <v>0</v>
      </c>
      <c r="AA1573" s="212">
        <v>0</v>
      </c>
      <c r="AB1573" s="217">
        <v>0.376357</v>
      </c>
      <c r="AC1573" s="217">
        <v>0.60568900000000003</v>
      </c>
      <c r="AD1573" s="212">
        <f t="shared" si="24"/>
        <v>0</v>
      </c>
    </row>
    <row r="1574" spans="2:30" x14ac:dyDescent="0.15">
      <c r="B1574" s="213">
        <v>17031004272</v>
      </c>
      <c r="C1574" s="213">
        <v>17031000898</v>
      </c>
      <c r="D1574" s="213">
        <v>17031001006</v>
      </c>
      <c r="E1574" s="213" t="s">
        <v>533</v>
      </c>
      <c r="F1574" s="213" t="s">
        <v>534</v>
      </c>
      <c r="G1574" s="213" t="s">
        <v>365</v>
      </c>
      <c r="H1574" s="213" t="s">
        <v>547</v>
      </c>
      <c r="I1574" s="213"/>
      <c r="J1574" s="213" t="s">
        <v>542</v>
      </c>
      <c r="K1574" s="213" t="s">
        <v>543</v>
      </c>
      <c r="L1574" s="213" t="s">
        <v>382</v>
      </c>
      <c r="M1574" s="213"/>
      <c r="N1574" s="213"/>
      <c r="O1574" s="213"/>
      <c r="P1574" s="213"/>
      <c r="Q1574" s="213"/>
      <c r="R1574" s="213"/>
      <c r="S1574" s="213" t="s">
        <v>602</v>
      </c>
      <c r="T1574" s="213"/>
      <c r="U1574" s="213" t="s">
        <v>538</v>
      </c>
      <c r="V1574" s="213">
        <v>2</v>
      </c>
      <c r="W1574" s="213" t="s">
        <v>545</v>
      </c>
      <c r="X1574" s="213" t="s">
        <v>540</v>
      </c>
      <c r="Y1574" s="213" t="s">
        <v>540</v>
      </c>
      <c r="Z1574" s="212">
        <v>224110</v>
      </c>
      <c r="AA1574" s="212">
        <v>9929890</v>
      </c>
      <c r="AB1574" s="217">
        <v>1.664512</v>
      </c>
      <c r="AC1574" s="217">
        <v>2.6787770000000002</v>
      </c>
      <c r="AD1574" s="212">
        <f t="shared" si="24"/>
        <v>16528421.063680001</v>
      </c>
    </row>
    <row r="1575" spans="2:30" x14ac:dyDescent="0.15">
      <c r="B1575" s="213">
        <v>17031004274</v>
      </c>
      <c r="C1575" s="213">
        <v>17031000816</v>
      </c>
      <c r="D1575" s="213">
        <v>17031000804</v>
      </c>
      <c r="E1575" s="213" t="s">
        <v>533</v>
      </c>
      <c r="F1575" s="213" t="s">
        <v>534</v>
      </c>
      <c r="G1575" s="213" t="s">
        <v>365</v>
      </c>
      <c r="H1575" s="213" t="s">
        <v>543</v>
      </c>
      <c r="I1575" s="213"/>
      <c r="J1575" s="213" t="s">
        <v>542</v>
      </c>
      <c r="K1575" s="213" t="s">
        <v>547</v>
      </c>
      <c r="L1575" s="213" t="s">
        <v>382</v>
      </c>
      <c r="M1575" s="213"/>
      <c r="N1575" s="213"/>
      <c r="O1575" s="213"/>
      <c r="P1575" s="213"/>
      <c r="Q1575" s="213"/>
      <c r="R1575" s="213"/>
      <c r="S1575" s="213" t="s">
        <v>630</v>
      </c>
      <c r="T1575" s="213"/>
      <c r="U1575" s="213" t="s">
        <v>538</v>
      </c>
      <c r="V1575" s="213">
        <v>2</v>
      </c>
      <c r="W1575" s="213" t="s">
        <v>545</v>
      </c>
      <c r="X1575" s="213" t="s">
        <v>540</v>
      </c>
      <c r="Y1575" s="213" t="s">
        <v>549</v>
      </c>
      <c r="Z1575" s="212">
        <v>2668259</v>
      </c>
      <c r="AA1575" s="212">
        <v>73732617</v>
      </c>
      <c r="AB1575" s="217">
        <v>3.9274000000000003E-2</v>
      </c>
      <c r="AC1575" s="217">
        <v>6.3204999999999997E-2</v>
      </c>
      <c r="AD1575" s="212">
        <f t="shared" si="24"/>
        <v>2895774.8000580003</v>
      </c>
    </row>
    <row r="1576" spans="2:30" x14ac:dyDescent="0.15">
      <c r="B1576" s="213">
        <v>17031004275</v>
      </c>
      <c r="C1576" s="213">
        <v>17031000804</v>
      </c>
      <c r="D1576" s="213">
        <v>17031000810</v>
      </c>
      <c r="E1576" s="213" t="s">
        <v>533</v>
      </c>
      <c r="F1576" s="213" t="s">
        <v>534</v>
      </c>
      <c r="G1576" s="213" t="s">
        <v>365</v>
      </c>
      <c r="H1576" s="213" t="s">
        <v>547</v>
      </c>
      <c r="I1576" s="213"/>
      <c r="J1576" s="213" t="s">
        <v>543</v>
      </c>
      <c r="K1576" s="213" t="s">
        <v>382</v>
      </c>
      <c r="L1576" s="213"/>
      <c r="M1576" s="213"/>
      <c r="N1576" s="213"/>
      <c r="O1576" s="213"/>
      <c r="P1576" s="213"/>
      <c r="Q1576" s="213"/>
      <c r="R1576" s="213"/>
      <c r="S1576" s="213" t="s">
        <v>602</v>
      </c>
      <c r="T1576" s="213"/>
      <c r="U1576" s="213" t="s">
        <v>538</v>
      </c>
      <c r="V1576" s="213">
        <v>2</v>
      </c>
      <c r="W1576" s="213" t="s">
        <v>545</v>
      </c>
      <c r="X1576" s="213" t="s">
        <v>541</v>
      </c>
      <c r="Y1576" s="213" t="s">
        <v>549</v>
      </c>
      <c r="Z1576" s="212">
        <v>2548047</v>
      </c>
      <c r="AA1576" s="212">
        <v>66187127</v>
      </c>
      <c r="AB1576" s="217">
        <v>5.6675000000000003E-2</v>
      </c>
      <c r="AC1576" s="217">
        <v>9.1208999999999998E-2</v>
      </c>
      <c r="AD1576" s="212">
        <f t="shared" si="24"/>
        <v>3751155.4227250004</v>
      </c>
    </row>
    <row r="1577" spans="2:30" x14ac:dyDescent="0.15">
      <c r="B1577" s="213">
        <v>17031004281</v>
      </c>
      <c r="C1577" s="213">
        <v>17031000517</v>
      </c>
      <c r="D1577" s="213">
        <v>17031000636</v>
      </c>
      <c r="E1577" s="213" t="s">
        <v>533</v>
      </c>
      <c r="F1577" s="213" t="s">
        <v>534</v>
      </c>
      <c r="G1577" s="213" t="s">
        <v>365</v>
      </c>
      <c r="H1577" s="213" t="s">
        <v>571</v>
      </c>
      <c r="I1577" s="213"/>
      <c r="J1577" s="213" t="s">
        <v>552</v>
      </c>
      <c r="K1577" s="213" t="s">
        <v>551</v>
      </c>
      <c r="L1577" s="213" t="s">
        <v>563</v>
      </c>
      <c r="M1577" s="213"/>
      <c r="N1577" s="213"/>
      <c r="O1577" s="213"/>
      <c r="P1577" s="213"/>
      <c r="Q1577" s="213"/>
      <c r="R1577" s="213"/>
      <c r="S1577" s="213" t="s">
        <v>573</v>
      </c>
      <c r="T1577" s="213"/>
      <c r="U1577" s="213" t="s">
        <v>538</v>
      </c>
      <c r="V1577" s="213">
        <v>2</v>
      </c>
      <c r="W1577" s="213" t="s">
        <v>545</v>
      </c>
      <c r="X1577" s="213" t="s">
        <v>554</v>
      </c>
      <c r="Y1577" s="213" t="s">
        <v>546</v>
      </c>
      <c r="Z1577" s="212">
        <v>59256</v>
      </c>
      <c r="AA1577" s="212">
        <v>3443324</v>
      </c>
      <c r="AB1577" s="217">
        <v>2.215856</v>
      </c>
      <c r="AC1577" s="217">
        <v>3.5660820000000002</v>
      </c>
      <c r="AD1577" s="212">
        <f t="shared" si="24"/>
        <v>7629910.1453440003</v>
      </c>
    </row>
    <row r="1578" spans="2:30" x14ac:dyDescent="0.15">
      <c r="B1578" s="213">
        <v>17031004284</v>
      </c>
      <c r="C1578" s="213">
        <v>17031006638</v>
      </c>
      <c r="D1578" s="213">
        <v>17031000699</v>
      </c>
      <c r="E1578" s="213" t="s">
        <v>533</v>
      </c>
      <c r="F1578" s="213" t="s">
        <v>534</v>
      </c>
      <c r="G1578" s="213" t="s">
        <v>365</v>
      </c>
      <c r="H1578" s="213" t="s">
        <v>571</v>
      </c>
      <c r="I1578" s="213"/>
      <c r="J1578" s="213" t="s">
        <v>535</v>
      </c>
      <c r="K1578" s="213" t="s">
        <v>552</v>
      </c>
      <c r="L1578" s="213" t="s">
        <v>551</v>
      </c>
      <c r="M1578" s="213" t="s">
        <v>563</v>
      </c>
      <c r="N1578" s="213"/>
      <c r="O1578" s="213"/>
      <c r="P1578" s="213"/>
      <c r="Q1578" s="213"/>
      <c r="R1578" s="213"/>
      <c r="S1578" s="213" t="s">
        <v>573</v>
      </c>
      <c r="T1578" s="213" t="s">
        <v>612</v>
      </c>
      <c r="U1578" s="213" t="s">
        <v>538</v>
      </c>
      <c r="V1578" s="213">
        <v>2</v>
      </c>
      <c r="W1578" s="213" t="s">
        <v>545</v>
      </c>
      <c r="X1578" s="213" t="s">
        <v>554</v>
      </c>
      <c r="Y1578" s="213" t="s">
        <v>580</v>
      </c>
      <c r="Z1578" s="212">
        <v>60456</v>
      </c>
      <c r="AA1578" s="212">
        <v>3547604</v>
      </c>
      <c r="AB1578" s="217">
        <v>0.55068499999999998</v>
      </c>
      <c r="AC1578" s="217">
        <v>0.88624400000000003</v>
      </c>
      <c r="AD1578" s="212">
        <f t="shared" si="24"/>
        <v>1953612.30874</v>
      </c>
    </row>
    <row r="1579" spans="2:30" x14ac:dyDescent="0.15">
      <c r="B1579" s="213">
        <v>17031004544</v>
      </c>
      <c r="C1579" s="213">
        <v>17031001518</v>
      </c>
      <c r="D1579" s="213">
        <v>17031001519</v>
      </c>
      <c r="E1579" s="213" t="s">
        <v>533</v>
      </c>
      <c r="F1579" s="213" t="s">
        <v>534</v>
      </c>
      <c r="G1579" s="213" t="s">
        <v>365</v>
      </c>
      <c r="H1579" s="213" t="s">
        <v>382</v>
      </c>
      <c r="I1579" s="213"/>
      <c r="J1579" s="213"/>
      <c r="K1579" s="213"/>
      <c r="L1579" s="213"/>
      <c r="M1579" s="213"/>
      <c r="N1579" s="213"/>
      <c r="O1579" s="213"/>
      <c r="P1579" s="213"/>
      <c r="Q1579" s="213"/>
      <c r="R1579" s="213"/>
      <c r="S1579" s="213" t="s">
        <v>576</v>
      </c>
      <c r="T1579" s="213"/>
      <c r="U1579" s="213" t="s">
        <v>559</v>
      </c>
      <c r="V1579" s="213">
        <v>1</v>
      </c>
      <c r="W1579" s="213" t="s">
        <v>560</v>
      </c>
      <c r="X1579" s="213" t="s">
        <v>541</v>
      </c>
      <c r="Y1579" s="213" t="s">
        <v>541</v>
      </c>
      <c r="Z1579" s="212">
        <v>0</v>
      </c>
      <c r="AA1579" s="212">
        <v>0</v>
      </c>
      <c r="AB1579" s="217">
        <v>5.2263999999999998E-2</v>
      </c>
      <c r="AC1579" s="217">
        <v>8.4111000000000005E-2</v>
      </c>
      <c r="AD1579" s="212">
        <f t="shared" si="24"/>
        <v>0</v>
      </c>
    </row>
    <row r="1580" spans="2:30" x14ac:dyDescent="0.15">
      <c r="B1580" s="213">
        <v>17031004838</v>
      </c>
      <c r="C1580" s="213">
        <v>17031006725</v>
      </c>
      <c r="D1580" s="213">
        <v>17031006727</v>
      </c>
      <c r="E1580" s="213" t="s">
        <v>533</v>
      </c>
      <c r="F1580" s="213" t="s">
        <v>534</v>
      </c>
      <c r="G1580" s="213" t="s">
        <v>365</v>
      </c>
      <c r="H1580" s="213" t="s">
        <v>577</v>
      </c>
      <c r="I1580" s="213"/>
      <c r="J1580" s="213"/>
      <c r="K1580" s="213"/>
      <c r="L1580" s="213"/>
      <c r="M1580" s="213"/>
      <c r="N1580" s="213"/>
      <c r="O1580" s="213"/>
      <c r="P1580" s="213"/>
      <c r="Q1580" s="213"/>
      <c r="R1580" s="213"/>
      <c r="S1580" s="213"/>
      <c r="T1580" s="213"/>
      <c r="U1580" s="213" t="s">
        <v>559</v>
      </c>
      <c r="V1580" s="213">
        <v>1</v>
      </c>
      <c r="W1580" s="213" t="s">
        <v>560</v>
      </c>
      <c r="X1580" s="213" t="s">
        <v>541</v>
      </c>
      <c r="Y1580" s="213" t="s">
        <v>541</v>
      </c>
      <c r="Z1580" s="212">
        <v>0</v>
      </c>
      <c r="AA1580" s="212">
        <v>0</v>
      </c>
      <c r="AB1580" s="217">
        <v>0.108917</v>
      </c>
      <c r="AC1580" s="217">
        <v>0.175285</v>
      </c>
      <c r="AD1580" s="212">
        <f t="shared" si="24"/>
        <v>0</v>
      </c>
    </row>
    <row r="1581" spans="2:30" x14ac:dyDescent="0.15">
      <c r="B1581" s="213">
        <v>17031005304</v>
      </c>
      <c r="C1581" s="213">
        <v>17031000701</v>
      </c>
      <c r="D1581" s="213">
        <v>17031000702</v>
      </c>
      <c r="E1581" s="213" t="s">
        <v>533</v>
      </c>
      <c r="F1581" s="213" t="s">
        <v>534</v>
      </c>
      <c r="G1581" s="213" t="s">
        <v>365</v>
      </c>
      <c r="H1581" s="213" t="s">
        <v>381</v>
      </c>
      <c r="I1581" s="213"/>
      <c r="J1581" s="213"/>
      <c r="K1581" s="213"/>
      <c r="L1581" s="213"/>
      <c r="M1581" s="213"/>
      <c r="N1581" s="213"/>
      <c r="O1581" s="213"/>
      <c r="P1581" s="213"/>
      <c r="Q1581" s="213"/>
      <c r="R1581" s="213"/>
      <c r="S1581" s="213"/>
      <c r="T1581" s="213"/>
      <c r="U1581" s="213" t="s">
        <v>559</v>
      </c>
      <c r="V1581" s="213">
        <v>1</v>
      </c>
      <c r="W1581" s="213" t="s">
        <v>560</v>
      </c>
      <c r="X1581" s="213" t="s">
        <v>541</v>
      </c>
      <c r="Y1581" s="213" t="s">
        <v>541</v>
      </c>
      <c r="Z1581" s="212">
        <v>0</v>
      </c>
      <c r="AA1581" s="212">
        <v>0</v>
      </c>
      <c r="AB1581" s="217">
        <v>0.25811499999999998</v>
      </c>
      <c r="AC1581" s="217">
        <v>0.41539599999999999</v>
      </c>
      <c r="AD1581" s="212">
        <f t="shared" si="24"/>
        <v>0</v>
      </c>
    </row>
    <row r="1582" spans="2:30" x14ac:dyDescent="0.15">
      <c r="B1582" s="213">
        <v>17031005344</v>
      </c>
      <c r="C1582" s="213">
        <v>17031000298</v>
      </c>
      <c r="D1582" s="213">
        <v>17031000299</v>
      </c>
      <c r="E1582" s="213" t="s">
        <v>533</v>
      </c>
      <c r="F1582" s="213" t="s">
        <v>534</v>
      </c>
      <c r="G1582" s="213" t="s">
        <v>365</v>
      </c>
      <c r="H1582" s="213" t="s">
        <v>382</v>
      </c>
      <c r="I1582" s="213"/>
      <c r="J1582" s="213" t="s">
        <v>535</v>
      </c>
      <c r="K1582" s="213" t="s">
        <v>547</v>
      </c>
      <c r="L1582" s="213"/>
      <c r="M1582" s="213"/>
      <c r="N1582" s="213"/>
      <c r="O1582" s="213"/>
      <c r="P1582" s="213"/>
      <c r="Q1582" s="213"/>
      <c r="R1582" s="213"/>
      <c r="S1582" s="213" t="s">
        <v>608</v>
      </c>
      <c r="T1582" s="213"/>
      <c r="U1582" s="213" t="s">
        <v>538</v>
      </c>
      <c r="V1582" s="213">
        <v>1</v>
      </c>
      <c r="W1582" s="213" t="s">
        <v>560</v>
      </c>
      <c r="X1582" s="213" t="s">
        <v>541</v>
      </c>
      <c r="Y1582" s="213" t="s">
        <v>541</v>
      </c>
      <c r="Z1582" s="212">
        <v>1800</v>
      </c>
      <c r="AA1582" s="212">
        <v>162400</v>
      </c>
      <c r="AB1582" s="217">
        <v>0.14291200000000001</v>
      </c>
      <c r="AC1582" s="217">
        <v>0.22999600000000001</v>
      </c>
      <c r="AD1582" s="212">
        <f t="shared" si="24"/>
        <v>23208.908800000001</v>
      </c>
    </row>
    <row r="1583" spans="2:30" x14ac:dyDescent="0.15">
      <c r="B1583" s="213">
        <v>17031005459</v>
      </c>
      <c r="C1583" s="213">
        <v>17031001293</v>
      </c>
      <c r="D1583" s="213">
        <v>17031004697</v>
      </c>
      <c r="E1583" s="213" t="s">
        <v>533</v>
      </c>
      <c r="F1583" s="213" t="s">
        <v>534</v>
      </c>
      <c r="G1583" s="213" t="s">
        <v>365</v>
      </c>
      <c r="H1583" s="213" t="s">
        <v>547</v>
      </c>
      <c r="I1583" s="213"/>
      <c r="J1583" s="213" t="s">
        <v>577</v>
      </c>
      <c r="K1583" s="213" t="s">
        <v>615</v>
      </c>
      <c r="L1583" s="213"/>
      <c r="M1583" s="213"/>
      <c r="N1583" s="213"/>
      <c r="O1583" s="213"/>
      <c r="P1583" s="213"/>
      <c r="Q1583" s="213"/>
      <c r="R1583" s="213"/>
      <c r="S1583" s="213" t="s">
        <v>581</v>
      </c>
      <c r="T1583" s="213"/>
      <c r="U1583" s="213" t="s">
        <v>538</v>
      </c>
      <c r="V1583" s="213">
        <v>2</v>
      </c>
      <c r="W1583" s="213" t="s">
        <v>582</v>
      </c>
      <c r="X1583" s="213" t="s">
        <v>540</v>
      </c>
      <c r="Y1583" s="213" t="s">
        <v>541</v>
      </c>
      <c r="Z1583" s="212">
        <v>0</v>
      </c>
      <c r="AA1583" s="212">
        <v>0</v>
      </c>
      <c r="AB1583" s="217">
        <v>0.56481800000000004</v>
      </c>
      <c r="AC1583" s="217">
        <v>0.90898900000000005</v>
      </c>
      <c r="AD1583" s="212">
        <f t="shared" si="24"/>
        <v>0</v>
      </c>
    </row>
    <row r="1584" spans="2:30" x14ac:dyDescent="0.15">
      <c r="B1584" s="213">
        <v>17031005466</v>
      </c>
      <c r="C1584" s="213">
        <v>17031000937</v>
      </c>
      <c r="D1584" s="213">
        <v>17031000959</v>
      </c>
      <c r="E1584" s="213" t="s">
        <v>533</v>
      </c>
      <c r="F1584" s="213" t="s">
        <v>534</v>
      </c>
      <c r="G1584" s="213" t="s">
        <v>365</v>
      </c>
      <c r="H1584" s="213" t="s">
        <v>571</v>
      </c>
      <c r="I1584" s="213"/>
      <c r="J1584" s="213"/>
      <c r="K1584" s="213"/>
      <c r="L1584" s="213"/>
      <c r="M1584" s="213"/>
      <c r="N1584" s="213"/>
      <c r="O1584" s="213"/>
      <c r="P1584" s="213"/>
      <c r="Q1584" s="213"/>
      <c r="R1584" s="213"/>
      <c r="S1584" s="213" t="s">
        <v>693</v>
      </c>
      <c r="T1584" s="213"/>
      <c r="U1584" s="213" t="s">
        <v>559</v>
      </c>
      <c r="V1584" s="213">
        <v>1</v>
      </c>
      <c r="W1584" s="213" t="s">
        <v>560</v>
      </c>
      <c r="X1584" s="213" t="s">
        <v>541</v>
      </c>
      <c r="Y1584" s="213" t="s">
        <v>541</v>
      </c>
      <c r="Z1584" s="212">
        <v>0</v>
      </c>
      <c r="AA1584" s="212">
        <v>0</v>
      </c>
      <c r="AB1584" s="217">
        <v>0.80945299999999998</v>
      </c>
      <c r="AC1584" s="217">
        <v>1.302691</v>
      </c>
      <c r="AD1584" s="212">
        <f t="shared" si="24"/>
        <v>0</v>
      </c>
    </row>
    <row r="1585" spans="2:30" x14ac:dyDescent="0.15">
      <c r="B1585" s="213">
        <v>17031005505</v>
      </c>
      <c r="C1585" s="213">
        <v>17031000721</v>
      </c>
      <c r="D1585" s="213">
        <v>17031000716</v>
      </c>
      <c r="E1585" s="213" t="s">
        <v>533</v>
      </c>
      <c r="F1585" s="213" t="s">
        <v>534</v>
      </c>
      <c r="G1585" s="213" t="s">
        <v>365</v>
      </c>
      <c r="H1585" s="213" t="s">
        <v>571</v>
      </c>
      <c r="I1585" s="213"/>
      <c r="J1585" s="213" t="s">
        <v>381</v>
      </c>
      <c r="K1585" s="213"/>
      <c r="L1585" s="213"/>
      <c r="M1585" s="213"/>
      <c r="N1585" s="213"/>
      <c r="O1585" s="213"/>
      <c r="P1585" s="213"/>
      <c r="Q1585" s="213"/>
      <c r="R1585" s="213"/>
      <c r="S1585" s="213"/>
      <c r="T1585" s="213"/>
      <c r="U1585" s="213" t="s">
        <v>538</v>
      </c>
      <c r="V1585" s="213">
        <v>1</v>
      </c>
      <c r="W1585" s="213" t="s">
        <v>560</v>
      </c>
      <c r="X1585" s="213" t="s">
        <v>541</v>
      </c>
      <c r="Y1585" s="213" t="s">
        <v>541</v>
      </c>
      <c r="Z1585" s="212">
        <v>0</v>
      </c>
      <c r="AA1585" s="212">
        <v>0</v>
      </c>
      <c r="AB1585" s="217">
        <v>0.78609399999999996</v>
      </c>
      <c r="AC1585" s="217">
        <v>1.2650980000000001</v>
      </c>
      <c r="AD1585" s="212">
        <f t="shared" si="24"/>
        <v>0</v>
      </c>
    </row>
    <row r="1586" spans="2:30" x14ac:dyDescent="0.15">
      <c r="B1586" s="213">
        <v>17031005604</v>
      </c>
      <c r="C1586" s="213">
        <v>17031000545</v>
      </c>
      <c r="D1586" s="213">
        <v>17031000543</v>
      </c>
      <c r="E1586" s="213" t="s">
        <v>533</v>
      </c>
      <c r="F1586" s="213" t="s">
        <v>534</v>
      </c>
      <c r="G1586" s="213" t="s">
        <v>365</v>
      </c>
      <c r="H1586" s="213" t="s">
        <v>382</v>
      </c>
      <c r="I1586" s="213"/>
      <c r="J1586" s="213"/>
      <c r="K1586" s="213"/>
      <c r="L1586" s="213"/>
      <c r="M1586" s="213"/>
      <c r="N1586" s="213"/>
      <c r="O1586" s="213"/>
      <c r="P1586" s="213"/>
      <c r="Q1586" s="213"/>
      <c r="R1586" s="213"/>
      <c r="S1586" s="213"/>
      <c r="T1586" s="213" t="s">
        <v>626</v>
      </c>
      <c r="U1586" s="213" t="s">
        <v>559</v>
      </c>
      <c r="V1586" s="213">
        <v>1</v>
      </c>
      <c r="W1586" s="213" t="s">
        <v>539</v>
      </c>
      <c r="X1586" s="213" t="s">
        <v>541</v>
      </c>
      <c r="Y1586" s="213" t="s">
        <v>541</v>
      </c>
      <c r="Z1586" s="212">
        <v>0</v>
      </c>
      <c r="AA1586" s="212">
        <v>0</v>
      </c>
      <c r="AB1586" s="217">
        <v>0.21937699999999999</v>
      </c>
      <c r="AC1586" s="217">
        <v>0.35305399999999998</v>
      </c>
      <c r="AD1586" s="212">
        <f t="shared" si="24"/>
        <v>0</v>
      </c>
    </row>
    <row r="1587" spans="2:30" x14ac:dyDescent="0.15">
      <c r="B1587" s="213">
        <v>17031005731</v>
      </c>
      <c r="C1587" s="213">
        <v>17031000823</v>
      </c>
      <c r="D1587" s="213">
        <v>17031000875</v>
      </c>
      <c r="E1587" s="213" t="s">
        <v>533</v>
      </c>
      <c r="F1587" s="213" t="s">
        <v>534</v>
      </c>
      <c r="G1587" s="213" t="s">
        <v>365</v>
      </c>
      <c r="H1587" s="213" t="s">
        <v>543</v>
      </c>
      <c r="I1587" s="213"/>
      <c r="J1587" s="213" t="s">
        <v>542</v>
      </c>
      <c r="K1587" s="213"/>
      <c r="L1587" s="213"/>
      <c r="M1587" s="213"/>
      <c r="N1587" s="213"/>
      <c r="O1587" s="213"/>
      <c r="P1587" s="213"/>
      <c r="Q1587" s="213"/>
      <c r="R1587" s="213"/>
      <c r="S1587" s="213" t="s">
        <v>630</v>
      </c>
      <c r="T1587" s="213" t="s">
        <v>659</v>
      </c>
      <c r="U1587" s="213" t="s">
        <v>538</v>
      </c>
      <c r="V1587" s="213">
        <v>2</v>
      </c>
      <c r="W1587" s="213" t="s">
        <v>545</v>
      </c>
      <c r="X1587" s="213" t="s">
        <v>540</v>
      </c>
      <c r="Y1587" s="213" t="s">
        <v>546</v>
      </c>
      <c r="Z1587" s="212">
        <v>2463629</v>
      </c>
      <c r="AA1587" s="212">
        <v>64091127</v>
      </c>
      <c r="AB1587" s="217">
        <v>1.0068330000000001</v>
      </c>
      <c r="AC1587" s="217">
        <v>1.620344</v>
      </c>
      <c r="AD1587" s="212">
        <f t="shared" si="24"/>
        <v>64529061.670791008</v>
      </c>
    </row>
    <row r="1588" spans="2:30" x14ac:dyDescent="0.15">
      <c r="B1588" s="213">
        <v>17031005841</v>
      </c>
      <c r="C1588" s="213">
        <v>17031000700</v>
      </c>
      <c r="D1588" s="213">
        <v>17031000696</v>
      </c>
      <c r="E1588" s="213" t="s">
        <v>533</v>
      </c>
      <c r="F1588" s="213" t="s">
        <v>534</v>
      </c>
      <c r="G1588" s="213" t="s">
        <v>365</v>
      </c>
      <c r="H1588" s="213" t="s">
        <v>381</v>
      </c>
      <c r="I1588" s="213"/>
      <c r="J1588" s="213"/>
      <c r="K1588" s="213"/>
      <c r="L1588" s="213"/>
      <c r="M1588" s="213"/>
      <c r="N1588" s="213"/>
      <c r="O1588" s="213"/>
      <c r="P1588" s="213"/>
      <c r="Q1588" s="213"/>
      <c r="R1588" s="213"/>
      <c r="S1588" s="213"/>
      <c r="T1588" s="213"/>
      <c r="U1588" s="213" t="s">
        <v>559</v>
      </c>
      <c r="V1588" s="213">
        <v>1</v>
      </c>
      <c r="W1588" s="213" t="s">
        <v>560</v>
      </c>
      <c r="X1588" s="213" t="s">
        <v>541</v>
      </c>
      <c r="Y1588" s="213" t="s">
        <v>541</v>
      </c>
      <c r="Z1588" s="212">
        <v>0</v>
      </c>
      <c r="AA1588" s="212">
        <v>0</v>
      </c>
      <c r="AB1588" s="217">
        <v>5.5292000000000001E-2</v>
      </c>
      <c r="AC1588" s="217">
        <v>8.8983999999999994E-2</v>
      </c>
      <c r="AD1588" s="212">
        <f t="shared" si="24"/>
        <v>0</v>
      </c>
    </row>
    <row r="1589" spans="2:30" x14ac:dyDescent="0.15">
      <c r="B1589" s="213">
        <v>17031006093</v>
      </c>
      <c r="C1589" s="213">
        <v>17031000669</v>
      </c>
      <c r="D1589" s="213">
        <v>17031000708</v>
      </c>
      <c r="E1589" s="213" t="s">
        <v>533</v>
      </c>
      <c r="F1589" s="213" t="s">
        <v>534</v>
      </c>
      <c r="G1589" s="213" t="s">
        <v>365</v>
      </c>
      <c r="H1589" s="213" t="s">
        <v>644</v>
      </c>
      <c r="I1589" s="213"/>
      <c r="J1589" s="213"/>
      <c r="K1589" s="213"/>
      <c r="L1589" s="213"/>
      <c r="M1589" s="213"/>
      <c r="N1589" s="213"/>
      <c r="O1589" s="213"/>
      <c r="P1589" s="213"/>
      <c r="Q1589" s="213"/>
      <c r="R1589" s="213"/>
      <c r="S1589" s="213"/>
      <c r="T1589" s="213"/>
      <c r="U1589" s="213" t="s">
        <v>559</v>
      </c>
      <c r="V1589" s="213">
        <v>1</v>
      </c>
      <c r="W1589" s="213" t="s">
        <v>560</v>
      </c>
      <c r="X1589" s="213" t="s">
        <v>541</v>
      </c>
      <c r="Y1589" s="213" t="s">
        <v>541</v>
      </c>
      <c r="Z1589" s="212">
        <v>0</v>
      </c>
      <c r="AA1589" s="212">
        <v>0</v>
      </c>
      <c r="AB1589" s="217">
        <v>0.65022199999999997</v>
      </c>
      <c r="AC1589" s="217">
        <v>1.0464329999999999</v>
      </c>
      <c r="AD1589" s="212">
        <f t="shared" si="24"/>
        <v>0</v>
      </c>
    </row>
    <row r="1590" spans="2:30" x14ac:dyDescent="0.15">
      <c r="B1590" s="213">
        <v>17031006134</v>
      </c>
      <c r="C1590" s="213">
        <v>17031000656</v>
      </c>
      <c r="D1590" s="213">
        <v>17031000657</v>
      </c>
      <c r="E1590" s="213" t="s">
        <v>533</v>
      </c>
      <c r="F1590" s="213" t="s">
        <v>534</v>
      </c>
      <c r="G1590" s="213" t="s">
        <v>365</v>
      </c>
      <c r="H1590" s="213" t="s">
        <v>382</v>
      </c>
      <c r="I1590" s="213"/>
      <c r="J1590" s="213" t="s">
        <v>572</v>
      </c>
      <c r="K1590" s="213"/>
      <c r="L1590" s="213"/>
      <c r="M1590" s="213"/>
      <c r="N1590" s="213"/>
      <c r="O1590" s="213"/>
      <c r="P1590" s="213"/>
      <c r="Q1590" s="213"/>
      <c r="R1590" s="213"/>
      <c r="S1590" s="213" t="s">
        <v>609</v>
      </c>
      <c r="T1590" s="213"/>
      <c r="U1590" s="213" t="s">
        <v>538</v>
      </c>
      <c r="V1590" s="213">
        <v>1</v>
      </c>
      <c r="W1590" s="213" t="s">
        <v>539</v>
      </c>
      <c r="X1590" s="213" t="s">
        <v>541</v>
      </c>
      <c r="Y1590" s="213" t="s">
        <v>540</v>
      </c>
      <c r="Z1590" s="212">
        <v>5628</v>
      </c>
      <c r="AA1590" s="212">
        <v>424432</v>
      </c>
      <c r="AB1590" s="217">
        <v>0.183695</v>
      </c>
      <c r="AC1590" s="217">
        <v>0.29562899999999998</v>
      </c>
      <c r="AD1590" s="212">
        <f t="shared" si="24"/>
        <v>77966.036240000001</v>
      </c>
    </row>
    <row r="1591" spans="2:30" x14ac:dyDescent="0.15">
      <c r="B1591" s="213">
        <v>17031006145</v>
      </c>
      <c r="C1591" s="213">
        <v>17031000746</v>
      </c>
      <c r="D1591" s="213">
        <v>17031000772</v>
      </c>
      <c r="E1591" s="213" t="s">
        <v>533</v>
      </c>
      <c r="F1591" s="213" t="s">
        <v>534</v>
      </c>
      <c r="G1591" s="213" t="s">
        <v>365</v>
      </c>
      <c r="H1591" s="213" t="s">
        <v>551</v>
      </c>
      <c r="I1591" s="213"/>
      <c r="J1591" s="213"/>
      <c r="K1591" s="213"/>
      <c r="L1591" s="213"/>
      <c r="M1591" s="213"/>
      <c r="N1591" s="213"/>
      <c r="O1591" s="213"/>
      <c r="P1591" s="213"/>
      <c r="Q1591" s="213"/>
      <c r="R1591" s="213"/>
      <c r="S1591" s="213" t="s">
        <v>600</v>
      </c>
      <c r="T1591" s="213"/>
      <c r="U1591" s="213" t="s">
        <v>538</v>
      </c>
      <c r="V1591" s="213">
        <v>2</v>
      </c>
      <c r="W1591" s="213" t="s">
        <v>582</v>
      </c>
      <c r="X1591" s="213" t="s">
        <v>554</v>
      </c>
      <c r="Y1591" s="213" t="s">
        <v>549</v>
      </c>
      <c r="Z1591" s="212">
        <v>192774</v>
      </c>
      <c r="AA1591" s="212">
        <v>6267418</v>
      </c>
      <c r="AB1591" s="217">
        <v>0.32191500000000001</v>
      </c>
      <c r="AC1591" s="217">
        <v>0.51807300000000001</v>
      </c>
      <c r="AD1591" s="212">
        <f t="shared" si="24"/>
        <v>2017575.8654700001</v>
      </c>
    </row>
    <row r="1592" spans="2:30" x14ac:dyDescent="0.15">
      <c r="B1592" s="213">
        <v>17031006160</v>
      </c>
      <c r="C1592" s="213">
        <v>17031001498</v>
      </c>
      <c r="D1592" s="213">
        <v>17031001516</v>
      </c>
      <c r="E1592" s="213" t="s">
        <v>533</v>
      </c>
      <c r="F1592" s="213" t="s">
        <v>534</v>
      </c>
      <c r="G1592" s="213" t="s">
        <v>365</v>
      </c>
      <c r="H1592" s="213" t="s">
        <v>382</v>
      </c>
      <c r="I1592" s="213"/>
      <c r="J1592" s="213"/>
      <c r="K1592" s="213"/>
      <c r="L1592" s="213"/>
      <c r="M1592" s="213"/>
      <c r="N1592" s="213"/>
      <c r="O1592" s="213"/>
      <c r="P1592" s="213"/>
      <c r="Q1592" s="213"/>
      <c r="R1592" s="213"/>
      <c r="S1592" s="213" t="s">
        <v>576</v>
      </c>
      <c r="T1592" s="213"/>
      <c r="U1592" s="213" t="s">
        <v>559</v>
      </c>
      <c r="V1592" s="213">
        <v>1</v>
      </c>
      <c r="W1592" s="213" t="s">
        <v>560</v>
      </c>
      <c r="X1592" s="213" t="s">
        <v>541</v>
      </c>
      <c r="Y1592" s="213" t="s">
        <v>541</v>
      </c>
      <c r="Z1592" s="212">
        <v>0</v>
      </c>
      <c r="AA1592" s="212">
        <v>0</v>
      </c>
      <c r="AB1592" s="217">
        <v>0.31131799999999998</v>
      </c>
      <c r="AC1592" s="217">
        <v>0.50101899999999999</v>
      </c>
      <c r="AD1592" s="212">
        <f t="shared" si="24"/>
        <v>0</v>
      </c>
    </row>
    <row r="1593" spans="2:30" x14ac:dyDescent="0.15">
      <c r="B1593" s="213">
        <v>17031006174</v>
      </c>
      <c r="C1593" s="213">
        <v>17031000680</v>
      </c>
      <c r="D1593" s="213">
        <v>17031000677</v>
      </c>
      <c r="E1593" s="213" t="s">
        <v>533</v>
      </c>
      <c r="F1593" s="213" t="s">
        <v>534</v>
      </c>
      <c r="G1593" s="213" t="s">
        <v>365</v>
      </c>
      <c r="H1593" s="213" t="s">
        <v>551</v>
      </c>
      <c r="I1593" s="213"/>
      <c r="J1593" s="213"/>
      <c r="K1593" s="213"/>
      <c r="L1593" s="213"/>
      <c r="M1593" s="213"/>
      <c r="N1593" s="213"/>
      <c r="O1593" s="213"/>
      <c r="P1593" s="213"/>
      <c r="Q1593" s="213"/>
      <c r="R1593" s="213"/>
      <c r="S1593" s="213"/>
      <c r="T1593" s="213"/>
      <c r="U1593" s="213" t="s">
        <v>538</v>
      </c>
      <c r="V1593" s="213">
        <v>1</v>
      </c>
      <c r="W1593" s="213" t="s">
        <v>560</v>
      </c>
      <c r="X1593" s="213" t="s">
        <v>541</v>
      </c>
      <c r="Y1593" s="213" t="s">
        <v>541</v>
      </c>
      <c r="Z1593" s="212">
        <v>0</v>
      </c>
      <c r="AA1593" s="212">
        <v>0</v>
      </c>
      <c r="AB1593" s="217">
        <v>4.2894000000000002E-2</v>
      </c>
      <c r="AC1593" s="217">
        <v>6.9030999999999995E-2</v>
      </c>
      <c r="AD1593" s="212">
        <f t="shared" si="24"/>
        <v>0</v>
      </c>
    </row>
    <row r="1594" spans="2:30" x14ac:dyDescent="0.15">
      <c r="B1594" s="213">
        <v>17031006187</v>
      </c>
      <c r="C1594" s="213">
        <v>17031001097</v>
      </c>
      <c r="D1594" s="213">
        <v>17031001113</v>
      </c>
      <c r="E1594" s="213" t="s">
        <v>533</v>
      </c>
      <c r="F1594" s="213" t="s">
        <v>534</v>
      </c>
      <c r="G1594" s="213" t="s">
        <v>365</v>
      </c>
      <c r="H1594" s="213" t="s">
        <v>571</v>
      </c>
      <c r="I1594" s="213"/>
      <c r="J1594" s="213" t="s">
        <v>572</v>
      </c>
      <c r="K1594" s="213" t="s">
        <v>543</v>
      </c>
      <c r="L1594" s="213"/>
      <c r="M1594" s="213"/>
      <c r="N1594" s="213"/>
      <c r="O1594" s="213"/>
      <c r="P1594" s="213"/>
      <c r="Q1594" s="213"/>
      <c r="R1594" s="213"/>
      <c r="S1594" s="213" t="s">
        <v>573</v>
      </c>
      <c r="T1594" s="213"/>
      <c r="U1594" s="213" t="s">
        <v>538</v>
      </c>
      <c r="V1594" s="213">
        <v>1</v>
      </c>
      <c r="W1594" s="213" t="s">
        <v>545</v>
      </c>
      <c r="X1594" s="213" t="s">
        <v>554</v>
      </c>
      <c r="Y1594" s="213" t="s">
        <v>554</v>
      </c>
      <c r="Z1594" s="212">
        <v>6960</v>
      </c>
      <c r="AA1594" s="212">
        <v>647239</v>
      </c>
      <c r="AB1594" s="217">
        <v>8.7989999999999999E-2</v>
      </c>
      <c r="AC1594" s="217">
        <v>0.14160700000000001</v>
      </c>
      <c r="AD1594" s="212">
        <f t="shared" si="24"/>
        <v>56950.559609999997</v>
      </c>
    </row>
    <row r="1595" spans="2:30" x14ac:dyDescent="0.15">
      <c r="B1595" s="213">
        <v>17031006191</v>
      </c>
      <c r="C1595" s="213">
        <v>17031001113</v>
      </c>
      <c r="D1595" s="213">
        <v>17031001098</v>
      </c>
      <c r="E1595" s="213" t="s">
        <v>533</v>
      </c>
      <c r="F1595" s="213" t="s">
        <v>534</v>
      </c>
      <c r="G1595" s="213" t="s">
        <v>365</v>
      </c>
      <c r="H1595" s="213" t="s">
        <v>543</v>
      </c>
      <c r="I1595" s="213"/>
      <c r="J1595" s="213" t="s">
        <v>577</v>
      </c>
      <c r="K1595" s="213"/>
      <c r="L1595" s="213"/>
      <c r="M1595" s="213"/>
      <c r="N1595" s="213"/>
      <c r="O1595" s="213"/>
      <c r="P1595" s="213"/>
      <c r="Q1595" s="213"/>
      <c r="R1595" s="213"/>
      <c r="S1595" s="213" t="s">
        <v>604</v>
      </c>
      <c r="T1595" s="213"/>
      <c r="U1595" s="213" t="s">
        <v>538</v>
      </c>
      <c r="V1595" s="213">
        <v>1</v>
      </c>
      <c r="W1595" s="213" t="s">
        <v>545</v>
      </c>
      <c r="X1595" s="213" t="s">
        <v>554</v>
      </c>
      <c r="Y1595" s="213" t="s">
        <v>546</v>
      </c>
      <c r="Z1595" s="212">
        <v>6400</v>
      </c>
      <c r="AA1595" s="212">
        <v>597639</v>
      </c>
      <c r="AB1595" s="217">
        <v>7.7578999999999995E-2</v>
      </c>
      <c r="AC1595" s="217">
        <v>0.124852</v>
      </c>
      <c r="AD1595" s="212">
        <f t="shared" si="24"/>
        <v>46364.235980999998</v>
      </c>
    </row>
    <row r="1596" spans="2:30" x14ac:dyDescent="0.15">
      <c r="B1596" s="213">
        <v>17031006238</v>
      </c>
      <c r="C1596" s="213">
        <v>17031000568</v>
      </c>
      <c r="D1596" s="213">
        <v>17031000575</v>
      </c>
      <c r="E1596" s="213" t="s">
        <v>533</v>
      </c>
      <c r="F1596" s="213" t="s">
        <v>534</v>
      </c>
      <c r="G1596" s="213" t="s">
        <v>365</v>
      </c>
      <c r="H1596" s="213" t="s">
        <v>382</v>
      </c>
      <c r="I1596" s="213"/>
      <c r="J1596" s="213"/>
      <c r="K1596" s="213"/>
      <c r="L1596" s="213"/>
      <c r="M1596" s="213"/>
      <c r="N1596" s="213"/>
      <c r="O1596" s="213"/>
      <c r="P1596" s="213"/>
      <c r="Q1596" s="213"/>
      <c r="R1596" s="213"/>
      <c r="S1596" s="213" t="s">
        <v>646</v>
      </c>
      <c r="T1596" s="213"/>
      <c r="U1596" s="213" t="s">
        <v>559</v>
      </c>
      <c r="V1596" s="213">
        <v>1</v>
      </c>
      <c r="W1596" s="213" t="s">
        <v>560</v>
      </c>
      <c r="X1596" s="213" t="s">
        <v>541</v>
      </c>
      <c r="Y1596" s="213" t="s">
        <v>541</v>
      </c>
      <c r="Z1596" s="212">
        <v>0</v>
      </c>
      <c r="AA1596" s="212">
        <v>0</v>
      </c>
      <c r="AB1596" s="217">
        <v>0.40781200000000001</v>
      </c>
      <c r="AC1596" s="217">
        <v>0.65631200000000001</v>
      </c>
      <c r="AD1596" s="212">
        <f t="shared" si="24"/>
        <v>0</v>
      </c>
    </row>
    <row r="1597" spans="2:30" x14ac:dyDescent="0.15">
      <c r="B1597" s="213">
        <v>17031006310</v>
      </c>
      <c r="C1597" s="213">
        <v>17031000958</v>
      </c>
      <c r="D1597" s="213">
        <v>17031000874</v>
      </c>
      <c r="E1597" s="213" t="s">
        <v>533</v>
      </c>
      <c r="F1597" s="213" t="s">
        <v>534</v>
      </c>
      <c r="G1597" s="213" t="s">
        <v>365</v>
      </c>
      <c r="H1597" s="213" t="s">
        <v>547</v>
      </c>
      <c r="I1597" s="213"/>
      <c r="J1597" s="213" t="s">
        <v>627</v>
      </c>
      <c r="K1597" s="213"/>
      <c r="L1597" s="213"/>
      <c r="M1597" s="213"/>
      <c r="N1597" s="213"/>
      <c r="O1597" s="213"/>
      <c r="P1597" s="213"/>
      <c r="Q1597" s="213"/>
      <c r="R1597" s="213"/>
      <c r="S1597" s="213"/>
      <c r="T1597" s="213"/>
      <c r="U1597" s="213" t="s">
        <v>538</v>
      </c>
      <c r="V1597" s="213">
        <v>4</v>
      </c>
      <c r="W1597" s="213" t="s">
        <v>545</v>
      </c>
      <c r="X1597" s="213" t="s">
        <v>540</v>
      </c>
      <c r="Y1597" s="213" t="s">
        <v>541</v>
      </c>
      <c r="Z1597" s="212">
        <v>0</v>
      </c>
      <c r="AA1597" s="212">
        <v>0</v>
      </c>
      <c r="AB1597" s="217">
        <v>2.0032640000000002</v>
      </c>
      <c r="AC1597" s="217">
        <v>3.2239469999999999</v>
      </c>
      <c r="AD1597" s="212">
        <f t="shared" si="24"/>
        <v>0</v>
      </c>
    </row>
    <row r="1598" spans="2:30" x14ac:dyDescent="0.15">
      <c r="B1598" s="213">
        <v>17031006316</v>
      </c>
      <c r="C1598" s="213">
        <v>17031004621</v>
      </c>
      <c r="D1598" s="213">
        <v>17031000496</v>
      </c>
      <c r="E1598" s="213" t="s">
        <v>533</v>
      </c>
      <c r="F1598" s="213" t="s">
        <v>534</v>
      </c>
      <c r="G1598" s="213" t="s">
        <v>365</v>
      </c>
      <c r="H1598" s="213" t="s">
        <v>552</v>
      </c>
      <c r="I1598" s="213"/>
      <c r="J1598" s="213" t="s">
        <v>542</v>
      </c>
      <c r="K1598" s="213" t="s">
        <v>547</v>
      </c>
      <c r="L1598" s="213"/>
      <c r="M1598" s="213"/>
      <c r="N1598" s="213"/>
      <c r="O1598" s="213"/>
      <c r="P1598" s="213"/>
      <c r="Q1598" s="213"/>
      <c r="R1598" s="213"/>
      <c r="S1598" s="213" t="s">
        <v>564</v>
      </c>
      <c r="T1598" s="213"/>
      <c r="U1598" s="213" t="s">
        <v>538</v>
      </c>
      <c r="V1598" s="213">
        <v>3</v>
      </c>
      <c r="W1598" s="213" t="s">
        <v>545</v>
      </c>
      <c r="X1598" s="213" t="s">
        <v>540</v>
      </c>
      <c r="Y1598" s="213" t="s">
        <v>541</v>
      </c>
      <c r="Z1598" s="212">
        <v>74113</v>
      </c>
      <c r="AA1598" s="212">
        <v>5380834</v>
      </c>
      <c r="AB1598" s="217">
        <v>3.3359E-2</v>
      </c>
      <c r="AC1598" s="217">
        <v>5.3684999999999997E-2</v>
      </c>
      <c r="AD1598" s="212">
        <f t="shared" si="24"/>
        <v>179499.24140599999</v>
      </c>
    </row>
    <row r="1599" spans="2:30" x14ac:dyDescent="0.15">
      <c r="B1599" s="213">
        <v>17031006332</v>
      </c>
      <c r="C1599" s="213">
        <v>17031004576</v>
      </c>
      <c r="D1599" s="213">
        <v>17031000258</v>
      </c>
      <c r="E1599" s="213" t="s">
        <v>533</v>
      </c>
      <c r="F1599" s="213" t="s">
        <v>534</v>
      </c>
      <c r="G1599" s="213" t="s">
        <v>365</v>
      </c>
      <c r="H1599" s="213" t="s">
        <v>382</v>
      </c>
      <c r="I1599" s="213"/>
      <c r="J1599" s="213" t="s">
        <v>547</v>
      </c>
      <c r="K1599" s="213"/>
      <c r="L1599" s="213"/>
      <c r="M1599" s="213"/>
      <c r="N1599" s="213"/>
      <c r="O1599" s="213"/>
      <c r="P1599" s="213"/>
      <c r="Q1599" s="213"/>
      <c r="R1599" s="213"/>
      <c r="S1599" s="213" t="s">
        <v>565</v>
      </c>
      <c r="T1599" s="213"/>
      <c r="U1599" s="213" t="s">
        <v>538</v>
      </c>
      <c r="V1599" s="213">
        <v>2</v>
      </c>
      <c r="W1599" s="213" t="s">
        <v>566</v>
      </c>
      <c r="X1599" s="213" t="s">
        <v>549</v>
      </c>
      <c r="Y1599" s="213" t="s">
        <v>541</v>
      </c>
      <c r="Z1599" s="212">
        <v>0</v>
      </c>
      <c r="AA1599" s="212">
        <v>0</v>
      </c>
      <c r="AB1599" s="217">
        <v>0.426591</v>
      </c>
      <c r="AC1599" s="217">
        <v>0.68653299999999995</v>
      </c>
      <c r="AD1599" s="212">
        <f t="shared" si="24"/>
        <v>0</v>
      </c>
    </row>
    <row r="1600" spans="2:30" x14ac:dyDescent="0.15">
      <c r="B1600" s="213">
        <v>17031006374</v>
      </c>
      <c r="C1600" s="213">
        <v>17031004665</v>
      </c>
      <c r="D1600" s="213">
        <v>17031000663</v>
      </c>
      <c r="E1600" s="213" t="s">
        <v>533</v>
      </c>
      <c r="F1600" s="213" t="s">
        <v>534</v>
      </c>
      <c r="G1600" s="213" t="s">
        <v>365</v>
      </c>
      <c r="H1600" s="213" t="s">
        <v>381</v>
      </c>
      <c r="I1600" s="213"/>
      <c r="J1600" s="213" t="s">
        <v>542</v>
      </c>
      <c r="K1600" s="213" t="s">
        <v>577</v>
      </c>
      <c r="L1600" s="213" t="s">
        <v>572</v>
      </c>
      <c r="M1600" s="213" t="s">
        <v>547</v>
      </c>
      <c r="N1600" s="213" t="s">
        <v>382</v>
      </c>
      <c r="O1600" s="213"/>
      <c r="P1600" s="213"/>
      <c r="Q1600" s="213"/>
      <c r="R1600" s="213"/>
      <c r="S1600" s="213" t="s">
        <v>579</v>
      </c>
      <c r="T1600" s="213"/>
      <c r="U1600" s="213" t="s">
        <v>538</v>
      </c>
      <c r="V1600" s="213">
        <v>4</v>
      </c>
      <c r="W1600" s="213" t="s">
        <v>545</v>
      </c>
      <c r="X1600" s="213" t="s">
        <v>540</v>
      </c>
      <c r="Y1600" s="213" t="s">
        <v>549</v>
      </c>
      <c r="Z1600" s="212">
        <v>2436993</v>
      </c>
      <c r="AA1600" s="212">
        <v>67512640</v>
      </c>
      <c r="AB1600" s="217">
        <v>2.1704000000000001E-2</v>
      </c>
      <c r="AC1600" s="217">
        <v>3.4929000000000002E-2</v>
      </c>
      <c r="AD1600" s="212">
        <f t="shared" si="24"/>
        <v>1465294.3385600001</v>
      </c>
    </row>
    <row r="1601" spans="2:30" x14ac:dyDescent="0.15">
      <c r="B1601" s="213">
        <v>17031006376</v>
      </c>
      <c r="C1601" s="213">
        <v>17031000885</v>
      </c>
      <c r="D1601" s="213">
        <v>17031000901</v>
      </c>
      <c r="E1601" s="213" t="s">
        <v>533</v>
      </c>
      <c r="F1601" s="213" t="s">
        <v>534</v>
      </c>
      <c r="G1601" s="213" t="s">
        <v>365</v>
      </c>
      <c r="H1601" s="213" t="s">
        <v>557</v>
      </c>
      <c r="I1601" s="213"/>
      <c r="J1601" s="213" t="s">
        <v>381</v>
      </c>
      <c r="K1601" s="213" t="s">
        <v>382</v>
      </c>
      <c r="L1601" s="213"/>
      <c r="M1601" s="213"/>
      <c r="N1601" s="213"/>
      <c r="O1601" s="213"/>
      <c r="P1601" s="213"/>
      <c r="Q1601" s="213"/>
      <c r="R1601" s="213"/>
      <c r="S1601" s="213"/>
      <c r="T1601" s="213"/>
      <c r="U1601" s="213" t="s">
        <v>538</v>
      </c>
      <c r="V1601" s="213">
        <v>1</v>
      </c>
      <c r="W1601" s="213" t="s">
        <v>560</v>
      </c>
      <c r="X1601" s="213" t="s">
        <v>541</v>
      </c>
      <c r="Y1601" s="213" t="s">
        <v>541</v>
      </c>
      <c r="Z1601" s="212">
        <v>0</v>
      </c>
      <c r="AA1601" s="212">
        <v>0</v>
      </c>
      <c r="AB1601" s="217">
        <v>3.0856000000000001E-2</v>
      </c>
      <c r="AC1601" s="217">
        <v>4.9658000000000001E-2</v>
      </c>
      <c r="AD1601" s="212">
        <f t="shared" si="24"/>
        <v>0</v>
      </c>
    </row>
    <row r="1602" spans="2:30" x14ac:dyDescent="0.15">
      <c r="B1602" s="213">
        <v>17031006440</v>
      </c>
      <c r="C1602" s="213">
        <v>17031004738</v>
      </c>
      <c r="D1602" s="213">
        <v>17031001276</v>
      </c>
      <c r="E1602" s="213" t="s">
        <v>533</v>
      </c>
      <c r="F1602" s="213" t="s">
        <v>534</v>
      </c>
      <c r="G1602" s="213" t="s">
        <v>365</v>
      </c>
      <c r="H1602" s="213" t="s">
        <v>543</v>
      </c>
      <c r="I1602" s="213"/>
      <c r="J1602" s="213"/>
      <c r="K1602" s="213"/>
      <c r="L1602" s="213"/>
      <c r="M1602" s="213"/>
      <c r="N1602" s="213"/>
      <c r="O1602" s="213"/>
      <c r="P1602" s="213"/>
      <c r="Q1602" s="213"/>
      <c r="R1602" s="213"/>
      <c r="S1602" s="213" t="s">
        <v>604</v>
      </c>
      <c r="T1602" s="213"/>
      <c r="U1602" s="213" t="s">
        <v>538</v>
      </c>
      <c r="V1602" s="213">
        <v>2</v>
      </c>
      <c r="W1602" s="213" t="s">
        <v>545</v>
      </c>
      <c r="X1602" s="213" t="s">
        <v>554</v>
      </c>
      <c r="Y1602" s="213" t="s">
        <v>546</v>
      </c>
      <c r="Z1602" s="212">
        <v>6400</v>
      </c>
      <c r="AA1602" s="212">
        <v>597639</v>
      </c>
      <c r="AB1602" s="217">
        <v>0.37386000000000003</v>
      </c>
      <c r="AC1602" s="217">
        <v>0.60167099999999996</v>
      </c>
      <c r="AD1602" s="212">
        <f t="shared" si="24"/>
        <v>223433.31654000003</v>
      </c>
    </row>
    <row r="1603" spans="2:30" x14ac:dyDescent="0.15">
      <c r="B1603" s="213">
        <v>17031006484</v>
      </c>
      <c r="C1603" s="213">
        <v>17031001361</v>
      </c>
      <c r="D1603" s="213">
        <v>17031004746</v>
      </c>
      <c r="E1603" s="213" t="s">
        <v>533</v>
      </c>
      <c r="F1603" s="213" t="s">
        <v>534</v>
      </c>
      <c r="G1603" s="213" t="s">
        <v>365</v>
      </c>
      <c r="H1603" s="213" t="s">
        <v>551</v>
      </c>
      <c r="I1603" s="213"/>
      <c r="J1603" s="213"/>
      <c r="K1603" s="213"/>
      <c r="L1603" s="213"/>
      <c r="M1603" s="213"/>
      <c r="N1603" s="213"/>
      <c r="O1603" s="213"/>
      <c r="P1603" s="213"/>
      <c r="Q1603" s="213"/>
      <c r="R1603" s="213"/>
      <c r="S1603" s="213" t="s">
        <v>603</v>
      </c>
      <c r="T1603" s="213"/>
      <c r="U1603" s="213" t="s">
        <v>538</v>
      </c>
      <c r="V1603" s="213">
        <v>2</v>
      </c>
      <c r="W1603" s="213" t="s">
        <v>545</v>
      </c>
      <c r="X1603" s="213" t="s">
        <v>540</v>
      </c>
      <c r="Y1603" s="213" t="s">
        <v>575</v>
      </c>
      <c r="Z1603" s="212">
        <v>1123178</v>
      </c>
      <c r="AA1603" s="212">
        <v>56790848</v>
      </c>
      <c r="AB1603" s="217">
        <v>9.7070000000000004E-2</v>
      </c>
      <c r="AC1603" s="217">
        <v>0.15622</v>
      </c>
      <c r="AD1603" s="212">
        <f t="shared" si="24"/>
        <v>5512687.6153600002</v>
      </c>
    </row>
    <row r="1604" spans="2:30" x14ac:dyDescent="0.15">
      <c r="B1604" s="213">
        <v>17031006520</v>
      </c>
      <c r="C1604" s="213">
        <v>17031001101</v>
      </c>
      <c r="D1604" s="213">
        <v>17031001115</v>
      </c>
      <c r="E1604" s="213" t="s">
        <v>533</v>
      </c>
      <c r="F1604" s="213" t="s">
        <v>534</v>
      </c>
      <c r="G1604" s="213" t="s">
        <v>365</v>
      </c>
      <c r="H1604" s="213" t="s">
        <v>571</v>
      </c>
      <c r="I1604" s="213"/>
      <c r="J1604" s="213"/>
      <c r="K1604" s="213"/>
      <c r="L1604" s="213"/>
      <c r="M1604" s="213"/>
      <c r="N1604" s="213"/>
      <c r="O1604" s="213"/>
      <c r="P1604" s="213"/>
      <c r="Q1604" s="213"/>
      <c r="R1604" s="213"/>
      <c r="S1604" s="213" t="s">
        <v>573</v>
      </c>
      <c r="T1604" s="213"/>
      <c r="U1604" s="213" t="s">
        <v>538</v>
      </c>
      <c r="V1604" s="213">
        <v>1</v>
      </c>
      <c r="W1604" s="213" t="s">
        <v>545</v>
      </c>
      <c r="X1604" s="213" t="s">
        <v>541</v>
      </c>
      <c r="Y1604" s="213" t="s">
        <v>546</v>
      </c>
      <c r="Z1604" s="212">
        <v>0</v>
      </c>
      <c r="AA1604" s="212">
        <v>0</v>
      </c>
      <c r="AB1604" s="217">
        <v>0.18854499999999999</v>
      </c>
      <c r="AC1604" s="217">
        <v>0.30343399999999998</v>
      </c>
      <c r="AD1604" s="212">
        <f t="shared" si="24"/>
        <v>0</v>
      </c>
    </row>
    <row r="1605" spans="2:30" x14ac:dyDescent="0.15">
      <c r="B1605" s="213">
        <v>17031006521</v>
      </c>
      <c r="C1605" s="213">
        <v>17031001120</v>
      </c>
      <c r="D1605" s="213">
        <v>17031001133</v>
      </c>
      <c r="E1605" s="213" t="s">
        <v>533</v>
      </c>
      <c r="F1605" s="213" t="s">
        <v>534</v>
      </c>
      <c r="G1605" s="213" t="s">
        <v>365</v>
      </c>
      <c r="H1605" s="213" t="s">
        <v>577</v>
      </c>
      <c r="I1605" s="213"/>
      <c r="J1605" s="213"/>
      <c r="K1605" s="213"/>
      <c r="L1605" s="213"/>
      <c r="M1605" s="213"/>
      <c r="N1605" s="213"/>
      <c r="O1605" s="213"/>
      <c r="P1605" s="213"/>
      <c r="Q1605" s="213"/>
      <c r="R1605" s="213"/>
      <c r="S1605" s="213"/>
      <c r="T1605" s="213"/>
      <c r="U1605" s="213" t="s">
        <v>538</v>
      </c>
      <c r="V1605" s="213">
        <v>1</v>
      </c>
      <c r="W1605" s="213" t="s">
        <v>560</v>
      </c>
      <c r="X1605" s="213" t="s">
        <v>541</v>
      </c>
      <c r="Y1605" s="213" t="s">
        <v>541</v>
      </c>
      <c r="Z1605" s="212">
        <v>0</v>
      </c>
      <c r="AA1605" s="212">
        <v>0</v>
      </c>
      <c r="AB1605" s="217">
        <v>0.38375100000000001</v>
      </c>
      <c r="AC1605" s="217">
        <v>0.61758800000000003</v>
      </c>
      <c r="AD1605" s="212">
        <f t="shared" si="24"/>
        <v>0</v>
      </c>
    </row>
    <row r="1606" spans="2:30" x14ac:dyDescent="0.15">
      <c r="B1606" s="213">
        <v>17031008547</v>
      </c>
      <c r="C1606" s="213">
        <v>17031007032</v>
      </c>
      <c r="D1606" s="213">
        <v>17031001380</v>
      </c>
      <c r="E1606" s="213" t="s">
        <v>533</v>
      </c>
      <c r="F1606" s="213" t="s">
        <v>534</v>
      </c>
      <c r="G1606" s="213" t="s">
        <v>365</v>
      </c>
      <c r="H1606" s="213" t="s">
        <v>557</v>
      </c>
      <c r="I1606" s="213"/>
      <c r="J1606" s="213"/>
      <c r="K1606" s="213"/>
      <c r="L1606" s="213"/>
      <c r="M1606" s="213"/>
      <c r="N1606" s="213"/>
      <c r="O1606" s="213"/>
      <c r="P1606" s="213"/>
      <c r="Q1606" s="213"/>
      <c r="R1606" s="213"/>
      <c r="S1606" s="213" t="s">
        <v>567</v>
      </c>
      <c r="T1606" s="213" t="s">
        <v>568</v>
      </c>
      <c r="U1606" s="213" t="s">
        <v>559</v>
      </c>
      <c r="V1606" s="213">
        <v>1</v>
      </c>
      <c r="W1606" s="213" t="s">
        <v>560</v>
      </c>
      <c r="X1606" s="213" t="s">
        <v>541</v>
      </c>
      <c r="Y1606" s="213" t="s">
        <v>541</v>
      </c>
      <c r="Z1606" s="212">
        <v>280</v>
      </c>
      <c r="AA1606" s="212">
        <v>28520</v>
      </c>
      <c r="AB1606" s="217">
        <v>3.2052999999999998E-2</v>
      </c>
      <c r="AC1606" s="217">
        <v>5.1584999999999999E-2</v>
      </c>
      <c r="AD1606" s="212">
        <f t="shared" ref="AD1606:AD1670" si="25">AA1606*AB1606</f>
        <v>914.1515599999999</v>
      </c>
    </row>
    <row r="1607" spans="2:30" x14ac:dyDescent="0.15">
      <c r="B1607" s="213">
        <v>17031008721</v>
      </c>
      <c r="C1607" s="213">
        <v>17031006778</v>
      </c>
      <c r="D1607" s="213">
        <v>17031001024</v>
      </c>
      <c r="E1607" s="213" t="s">
        <v>533</v>
      </c>
      <c r="F1607" s="213" t="s">
        <v>534</v>
      </c>
      <c r="G1607" s="213" t="s">
        <v>365</v>
      </c>
      <c r="H1607" s="213" t="s">
        <v>571</v>
      </c>
      <c r="I1607" s="213"/>
      <c r="J1607" s="213" t="s">
        <v>552</v>
      </c>
      <c r="K1607" s="213" t="s">
        <v>572</v>
      </c>
      <c r="L1607" s="213" t="s">
        <v>551</v>
      </c>
      <c r="M1607" s="213" t="s">
        <v>555</v>
      </c>
      <c r="N1607" s="213" t="s">
        <v>543</v>
      </c>
      <c r="O1607" s="213" t="s">
        <v>382</v>
      </c>
      <c r="P1607" s="213" t="s">
        <v>535</v>
      </c>
      <c r="Q1607" s="213" t="s">
        <v>381</v>
      </c>
      <c r="R1607" s="213"/>
      <c r="S1607" s="213" t="s">
        <v>573</v>
      </c>
      <c r="T1607" s="213" t="s">
        <v>677</v>
      </c>
      <c r="U1607" s="213" t="s">
        <v>538</v>
      </c>
      <c r="V1607" s="213">
        <v>2</v>
      </c>
      <c r="W1607" s="213" t="s">
        <v>545</v>
      </c>
      <c r="X1607" s="213" t="s">
        <v>554</v>
      </c>
      <c r="Y1607" s="213" t="s">
        <v>580</v>
      </c>
      <c r="Z1607" s="212">
        <v>388467</v>
      </c>
      <c r="AA1607" s="212">
        <v>19916620</v>
      </c>
      <c r="AB1607" s="217">
        <v>2.3147999999999998E-2</v>
      </c>
      <c r="AC1607" s="217">
        <v>3.7253000000000001E-2</v>
      </c>
      <c r="AD1607" s="212">
        <f t="shared" si="25"/>
        <v>461029.91975999996</v>
      </c>
    </row>
    <row r="1608" spans="2:30" x14ac:dyDescent="0.15">
      <c r="B1608" s="213">
        <v>17031009671</v>
      </c>
      <c r="C1608" s="213">
        <v>17031007754</v>
      </c>
      <c r="D1608" s="213">
        <v>17031004601</v>
      </c>
      <c r="E1608" s="213" t="s">
        <v>533</v>
      </c>
      <c r="F1608" s="213" t="s">
        <v>534</v>
      </c>
      <c r="G1608" s="213" t="s">
        <v>365</v>
      </c>
      <c r="H1608" s="213" t="s">
        <v>382</v>
      </c>
      <c r="I1608" s="213"/>
      <c r="J1608" s="213" t="s">
        <v>535</v>
      </c>
      <c r="K1608" s="213" t="s">
        <v>547</v>
      </c>
      <c r="L1608" s="213"/>
      <c r="M1608" s="213"/>
      <c r="N1608" s="213"/>
      <c r="O1608" s="213"/>
      <c r="P1608" s="213"/>
      <c r="Q1608" s="213"/>
      <c r="R1608" s="213"/>
      <c r="S1608" s="213" t="s">
        <v>608</v>
      </c>
      <c r="T1608" s="213"/>
      <c r="U1608" s="213" t="s">
        <v>538</v>
      </c>
      <c r="V1608" s="213">
        <v>3</v>
      </c>
      <c r="W1608" s="213" t="s">
        <v>566</v>
      </c>
      <c r="X1608" s="213" t="s">
        <v>549</v>
      </c>
      <c r="Y1608" s="213" t="s">
        <v>549</v>
      </c>
      <c r="Z1608" s="212">
        <v>15951</v>
      </c>
      <c r="AA1608" s="212">
        <v>1564397</v>
      </c>
      <c r="AB1608" s="217">
        <v>0.58747400000000005</v>
      </c>
      <c r="AC1608" s="217">
        <v>0.94544899999999998</v>
      </c>
      <c r="AD1608" s="212">
        <f t="shared" si="25"/>
        <v>919042.56317800004</v>
      </c>
    </row>
    <row r="1609" spans="2:30" x14ac:dyDescent="0.15">
      <c r="B1609" s="213">
        <v>17043002228</v>
      </c>
      <c r="C1609" s="213">
        <v>17043004769</v>
      </c>
      <c r="D1609" s="213">
        <v>17043004768</v>
      </c>
      <c r="E1609" s="213" t="s">
        <v>533</v>
      </c>
      <c r="F1609" s="213" t="s">
        <v>534</v>
      </c>
      <c r="G1609" s="213" t="s">
        <v>367</v>
      </c>
      <c r="H1609" s="213" t="s">
        <v>552</v>
      </c>
      <c r="I1609" s="213"/>
      <c r="J1609" s="213" t="s">
        <v>547</v>
      </c>
      <c r="K1609" s="213"/>
      <c r="L1609" s="213"/>
      <c r="M1609" s="213"/>
      <c r="N1609" s="213"/>
      <c r="O1609" s="213"/>
      <c r="P1609" s="213"/>
      <c r="Q1609" s="213"/>
      <c r="R1609" s="213"/>
      <c r="S1609" s="213" t="s">
        <v>589</v>
      </c>
      <c r="T1609" s="213"/>
      <c r="U1609" s="213" t="s">
        <v>538</v>
      </c>
      <c r="V1609" s="213">
        <v>2</v>
      </c>
      <c r="W1609" s="213" t="s">
        <v>545</v>
      </c>
      <c r="X1609" s="213" t="s">
        <v>549</v>
      </c>
      <c r="Y1609" s="213" t="s">
        <v>540</v>
      </c>
      <c r="Z1609" s="212">
        <v>63091</v>
      </c>
      <c r="AA1609" s="212">
        <v>6650748</v>
      </c>
      <c r="AB1609" s="217">
        <v>0.80951700000000004</v>
      </c>
      <c r="AC1609" s="217">
        <v>1.3027930000000001</v>
      </c>
      <c r="AD1609" s="212">
        <f t="shared" si="25"/>
        <v>5383893.5687159998</v>
      </c>
    </row>
    <row r="1610" spans="2:30" x14ac:dyDescent="0.15">
      <c r="B1610" s="213">
        <v>17043002381</v>
      </c>
      <c r="C1610" s="213">
        <v>17043004886</v>
      </c>
      <c r="D1610" s="213">
        <v>17043000870</v>
      </c>
      <c r="E1610" s="213" t="s">
        <v>533</v>
      </c>
      <c r="F1610" s="213" t="s">
        <v>534</v>
      </c>
      <c r="G1610" s="213" t="s">
        <v>367</v>
      </c>
      <c r="H1610" s="213" t="s">
        <v>381</v>
      </c>
      <c r="I1610" s="213"/>
      <c r="J1610" s="213" t="s">
        <v>542</v>
      </c>
      <c r="K1610" s="213" t="s">
        <v>547</v>
      </c>
      <c r="L1610" s="213" t="s">
        <v>382</v>
      </c>
      <c r="M1610" s="213"/>
      <c r="N1610" s="213"/>
      <c r="O1610" s="213"/>
      <c r="P1610" s="213"/>
      <c r="Q1610" s="213"/>
      <c r="R1610" s="213"/>
      <c r="S1610" s="213" t="s">
        <v>579</v>
      </c>
      <c r="T1610" s="213"/>
      <c r="U1610" s="213" t="s">
        <v>538</v>
      </c>
      <c r="V1610" s="213">
        <v>3</v>
      </c>
      <c r="W1610" s="213" t="s">
        <v>545</v>
      </c>
      <c r="X1610" s="213" t="s">
        <v>549</v>
      </c>
      <c r="Y1610" s="213" t="s">
        <v>580</v>
      </c>
      <c r="Z1610" s="212">
        <v>2794758</v>
      </c>
      <c r="AA1610" s="212">
        <v>85265824</v>
      </c>
      <c r="AB1610" s="217">
        <v>0.89617999999999998</v>
      </c>
      <c r="AC1610" s="217">
        <v>1.442264</v>
      </c>
      <c r="AD1610" s="212">
        <f t="shared" si="25"/>
        <v>76413526.152319998</v>
      </c>
    </row>
    <row r="1611" spans="2:30" x14ac:dyDescent="0.15">
      <c r="B1611" s="213">
        <v>17043002387</v>
      </c>
      <c r="C1611" s="213">
        <v>17043000366</v>
      </c>
      <c r="D1611" s="213">
        <v>17043007335</v>
      </c>
      <c r="E1611" s="213" t="s">
        <v>533</v>
      </c>
      <c r="F1611" s="213" t="s">
        <v>534</v>
      </c>
      <c r="G1611" s="213" t="s">
        <v>367</v>
      </c>
      <c r="H1611" s="213" t="s">
        <v>552</v>
      </c>
      <c r="I1611" s="213"/>
      <c r="J1611" s="213" t="s">
        <v>547</v>
      </c>
      <c r="K1611" s="213"/>
      <c r="L1611" s="213"/>
      <c r="M1611" s="213"/>
      <c r="N1611" s="213"/>
      <c r="O1611" s="213"/>
      <c r="P1611" s="213"/>
      <c r="Q1611" s="213"/>
      <c r="R1611" s="213"/>
      <c r="S1611" s="213" t="s">
        <v>589</v>
      </c>
      <c r="T1611" s="213"/>
      <c r="U1611" s="213" t="s">
        <v>538</v>
      </c>
      <c r="V1611" s="213">
        <v>2</v>
      </c>
      <c r="W1611" s="213" t="s">
        <v>545</v>
      </c>
      <c r="X1611" s="213" t="s">
        <v>549</v>
      </c>
      <c r="Y1611" s="213" t="s">
        <v>540</v>
      </c>
      <c r="Z1611" s="212">
        <v>63051</v>
      </c>
      <c r="AA1611" s="212">
        <v>6646788</v>
      </c>
      <c r="AB1611" s="217">
        <v>0.488153</v>
      </c>
      <c r="AC1611" s="217">
        <v>0.78560799999999997</v>
      </c>
      <c r="AD1611" s="212">
        <f t="shared" si="25"/>
        <v>3244649.502564</v>
      </c>
    </row>
    <row r="1612" spans="2:30" x14ac:dyDescent="0.15">
      <c r="B1612" s="213">
        <v>17043002392</v>
      </c>
      <c r="C1612" s="213">
        <v>17043004765</v>
      </c>
      <c r="D1612" s="213">
        <v>17043007366</v>
      </c>
      <c r="E1612" s="213" t="s">
        <v>533</v>
      </c>
      <c r="F1612" s="213" t="s">
        <v>534</v>
      </c>
      <c r="G1612" s="213" t="s">
        <v>367</v>
      </c>
      <c r="H1612" s="213" t="s">
        <v>382</v>
      </c>
      <c r="I1612" s="213"/>
      <c r="J1612" s="213"/>
      <c r="K1612" s="213"/>
      <c r="L1612" s="213"/>
      <c r="M1612" s="213"/>
      <c r="N1612" s="213"/>
      <c r="O1612" s="213"/>
      <c r="P1612" s="213"/>
      <c r="Q1612" s="213"/>
      <c r="R1612" s="213"/>
      <c r="S1612" s="213" t="s">
        <v>561</v>
      </c>
      <c r="T1612" s="213"/>
      <c r="U1612" s="213" t="s">
        <v>538</v>
      </c>
      <c r="V1612" s="213">
        <v>1</v>
      </c>
      <c r="W1612" s="213" t="s">
        <v>562</v>
      </c>
      <c r="X1612" s="213" t="s">
        <v>540</v>
      </c>
      <c r="Y1612" s="213" t="s">
        <v>541</v>
      </c>
      <c r="Z1612" s="212">
        <v>26584</v>
      </c>
      <c r="AA1612" s="212">
        <v>636580</v>
      </c>
      <c r="AB1612" s="217">
        <v>0.398169</v>
      </c>
      <c r="AC1612" s="217">
        <v>0.64079299999999995</v>
      </c>
      <c r="AD1612" s="212">
        <f t="shared" si="25"/>
        <v>253466.42202</v>
      </c>
    </row>
    <row r="1613" spans="2:30" x14ac:dyDescent="0.15">
      <c r="B1613" s="213">
        <v>17043002393</v>
      </c>
      <c r="C1613" s="213">
        <v>17043000541</v>
      </c>
      <c r="D1613" s="213">
        <v>17043004764</v>
      </c>
      <c r="E1613" s="213" t="s">
        <v>533</v>
      </c>
      <c r="F1613" s="213" t="s">
        <v>534</v>
      </c>
      <c r="G1613" s="213" t="s">
        <v>367</v>
      </c>
      <c r="H1613" s="213" t="s">
        <v>382</v>
      </c>
      <c r="I1613" s="213"/>
      <c r="J1613" s="213"/>
      <c r="K1613" s="213"/>
      <c r="L1613" s="213"/>
      <c r="M1613" s="213"/>
      <c r="N1613" s="213"/>
      <c r="O1613" s="213"/>
      <c r="P1613" s="213"/>
      <c r="Q1613" s="213"/>
      <c r="R1613" s="213"/>
      <c r="S1613" s="213" t="s">
        <v>653</v>
      </c>
      <c r="T1613" s="213"/>
      <c r="U1613" s="213" t="s">
        <v>559</v>
      </c>
      <c r="V1613" s="213">
        <v>1</v>
      </c>
      <c r="W1613" s="213" t="s">
        <v>560</v>
      </c>
      <c r="X1613" s="213" t="s">
        <v>541</v>
      </c>
      <c r="Y1613" s="213" t="s">
        <v>541</v>
      </c>
      <c r="Z1613" s="212">
        <v>0</v>
      </c>
      <c r="AA1613" s="212">
        <v>0</v>
      </c>
      <c r="AB1613" s="217">
        <v>0.14943500000000001</v>
      </c>
      <c r="AC1613" s="217">
        <v>0.24049400000000001</v>
      </c>
      <c r="AD1613" s="212">
        <f t="shared" si="25"/>
        <v>0</v>
      </c>
    </row>
    <row r="1614" spans="2:30" x14ac:dyDescent="0.15">
      <c r="B1614" s="213">
        <v>17043002404</v>
      </c>
      <c r="C1614" s="213">
        <v>17999020915</v>
      </c>
      <c r="D1614" s="213">
        <v>17043007303</v>
      </c>
      <c r="E1614" s="213" t="s">
        <v>533</v>
      </c>
      <c r="F1614" s="213" t="s">
        <v>534</v>
      </c>
      <c r="G1614" s="213" t="s">
        <v>367</v>
      </c>
      <c r="H1614" s="213" t="s">
        <v>381</v>
      </c>
      <c r="I1614" s="213"/>
      <c r="J1614" s="213"/>
      <c r="K1614" s="213"/>
      <c r="L1614" s="213"/>
      <c r="M1614" s="213"/>
      <c r="N1614" s="213"/>
      <c r="O1614" s="213"/>
      <c r="P1614" s="213"/>
      <c r="Q1614" s="213"/>
      <c r="R1614" s="213"/>
      <c r="S1614" s="213" t="s">
        <v>585</v>
      </c>
      <c r="T1614" s="213"/>
      <c r="U1614" s="213" t="s">
        <v>559</v>
      </c>
      <c r="V1614" s="213">
        <v>1</v>
      </c>
      <c r="W1614" s="213" t="s">
        <v>560</v>
      </c>
      <c r="X1614" s="213" t="s">
        <v>541</v>
      </c>
      <c r="Y1614" s="213" t="s">
        <v>541</v>
      </c>
      <c r="Z1614" s="212">
        <v>200</v>
      </c>
      <c r="AA1614" s="212">
        <v>20560</v>
      </c>
      <c r="AB1614" s="217">
        <v>2.3105579999999999</v>
      </c>
      <c r="AC1614" s="217">
        <v>3.7184910000000002</v>
      </c>
      <c r="AD1614" s="212">
        <f t="shared" si="25"/>
        <v>47505.072479999995</v>
      </c>
    </row>
    <row r="1615" spans="2:30" x14ac:dyDescent="0.15">
      <c r="B1615" s="213">
        <v>17043002420</v>
      </c>
      <c r="C1615" s="213">
        <v>17043000380</v>
      </c>
      <c r="D1615" s="213">
        <v>17043000387</v>
      </c>
      <c r="E1615" s="213" t="s">
        <v>533</v>
      </c>
      <c r="F1615" s="213" t="s">
        <v>534</v>
      </c>
      <c r="G1615" s="213" t="s">
        <v>367</v>
      </c>
      <c r="H1615" s="213" t="s">
        <v>638</v>
      </c>
      <c r="I1615" s="213"/>
      <c r="J1615" s="213"/>
      <c r="K1615" s="213"/>
      <c r="L1615" s="213"/>
      <c r="M1615" s="213"/>
      <c r="N1615" s="213"/>
      <c r="O1615" s="213"/>
      <c r="P1615" s="213"/>
      <c r="Q1615" s="213"/>
      <c r="R1615" s="213"/>
      <c r="S1615" s="213"/>
      <c r="T1615" s="213"/>
      <c r="U1615" s="213" t="s">
        <v>559</v>
      </c>
      <c r="V1615" s="213">
        <v>1</v>
      </c>
      <c r="W1615" s="213" t="s">
        <v>560</v>
      </c>
      <c r="X1615" s="213" t="s">
        <v>541</v>
      </c>
      <c r="Y1615" s="213" t="s">
        <v>541</v>
      </c>
      <c r="Z1615" s="212">
        <v>0</v>
      </c>
      <c r="AA1615" s="212">
        <v>0</v>
      </c>
      <c r="AB1615" s="217">
        <v>0.194323</v>
      </c>
      <c r="AC1615" s="217">
        <v>0.31273299999999998</v>
      </c>
      <c r="AD1615" s="212">
        <f t="shared" si="25"/>
        <v>0</v>
      </c>
    </row>
    <row r="1616" spans="2:30" x14ac:dyDescent="0.15">
      <c r="B1616" s="213">
        <v>17043002990</v>
      </c>
      <c r="C1616" s="213">
        <v>17043004778</v>
      </c>
      <c r="D1616" s="213">
        <v>17043004779</v>
      </c>
      <c r="E1616" s="213" t="s">
        <v>533</v>
      </c>
      <c r="F1616" s="213" t="s">
        <v>534</v>
      </c>
      <c r="G1616" s="213" t="s">
        <v>367</v>
      </c>
      <c r="H1616" s="213" t="s">
        <v>382</v>
      </c>
      <c r="I1616" s="213"/>
      <c r="J1616" s="213" t="s">
        <v>547</v>
      </c>
      <c r="K1616" s="213"/>
      <c r="L1616" s="213"/>
      <c r="M1616" s="213"/>
      <c r="N1616" s="213"/>
      <c r="O1616" s="213"/>
      <c r="P1616" s="213"/>
      <c r="Q1616" s="213"/>
      <c r="R1616" s="213"/>
      <c r="S1616" s="213" t="s">
        <v>583</v>
      </c>
      <c r="T1616" s="213"/>
      <c r="U1616" s="213" t="s">
        <v>538</v>
      </c>
      <c r="V1616" s="213">
        <v>3</v>
      </c>
      <c r="W1616" s="213" t="s">
        <v>588</v>
      </c>
      <c r="X1616" s="213" t="s">
        <v>549</v>
      </c>
      <c r="Y1616" s="213" t="s">
        <v>575</v>
      </c>
      <c r="Z1616" s="212">
        <v>1900169</v>
      </c>
      <c r="AA1616" s="212">
        <v>66518260</v>
      </c>
      <c r="AB1616" s="217">
        <v>0.351493</v>
      </c>
      <c r="AC1616" s="217">
        <v>0.56567400000000001</v>
      </c>
      <c r="AD1616" s="212">
        <f t="shared" si="25"/>
        <v>23380702.762180001</v>
      </c>
    </row>
    <row r="1617" spans="2:30" x14ac:dyDescent="0.15">
      <c r="B1617" s="213">
        <v>17043003101</v>
      </c>
      <c r="C1617" s="213">
        <v>17043004779</v>
      </c>
      <c r="D1617" s="213">
        <v>17043000594</v>
      </c>
      <c r="E1617" s="213" t="s">
        <v>533</v>
      </c>
      <c r="F1617" s="213" t="s">
        <v>534</v>
      </c>
      <c r="G1617" s="213" t="s">
        <v>367</v>
      </c>
      <c r="H1617" s="213" t="s">
        <v>382</v>
      </c>
      <c r="I1617" s="213"/>
      <c r="J1617" s="213" t="s">
        <v>547</v>
      </c>
      <c r="K1617" s="213"/>
      <c r="L1617" s="213"/>
      <c r="M1617" s="213"/>
      <c r="N1617" s="213"/>
      <c r="O1617" s="213"/>
      <c r="P1617" s="213"/>
      <c r="Q1617" s="213"/>
      <c r="R1617" s="213"/>
      <c r="S1617" s="213" t="s">
        <v>583</v>
      </c>
      <c r="T1617" s="213"/>
      <c r="U1617" s="213" t="s">
        <v>538</v>
      </c>
      <c r="V1617" s="213">
        <v>3</v>
      </c>
      <c r="W1617" s="213" t="s">
        <v>588</v>
      </c>
      <c r="X1617" s="213" t="s">
        <v>540</v>
      </c>
      <c r="Y1617" s="213" t="s">
        <v>575</v>
      </c>
      <c r="Z1617" s="212">
        <v>1900169</v>
      </c>
      <c r="AA1617" s="212">
        <v>66518260</v>
      </c>
      <c r="AB1617" s="217">
        <v>0.288049</v>
      </c>
      <c r="AC1617" s="217">
        <v>0.46357199999999998</v>
      </c>
      <c r="AD1617" s="212">
        <f t="shared" si="25"/>
        <v>19160518.274739999</v>
      </c>
    </row>
    <row r="1618" spans="2:30" x14ac:dyDescent="0.15">
      <c r="B1618" s="213">
        <v>17043003526</v>
      </c>
      <c r="C1618" s="213">
        <v>17043000367</v>
      </c>
      <c r="D1618" s="213">
        <v>17043000364</v>
      </c>
      <c r="E1618" s="213" t="s">
        <v>533</v>
      </c>
      <c r="F1618" s="213" t="s">
        <v>534</v>
      </c>
      <c r="G1618" s="213" t="s">
        <v>367</v>
      </c>
      <c r="H1618" s="213" t="s">
        <v>552</v>
      </c>
      <c r="I1618" s="213"/>
      <c r="J1618" s="213"/>
      <c r="K1618" s="213"/>
      <c r="L1618" s="213"/>
      <c r="M1618" s="213"/>
      <c r="N1618" s="213"/>
      <c r="O1618" s="213"/>
      <c r="P1618" s="213"/>
      <c r="Q1618" s="213"/>
      <c r="R1618" s="213"/>
      <c r="S1618" s="213"/>
      <c r="T1618" s="213"/>
      <c r="U1618" s="213" t="s">
        <v>559</v>
      </c>
      <c r="V1618" s="213">
        <v>1</v>
      </c>
      <c r="W1618" s="213" t="s">
        <v>560</v>
      </c>
      <c r="X1618" s="213" t="s">
        <v>541</v>
      </c>
      <c r="Y1618" s="213" t="s">
        <v>541</v>
      </c>
      <c r="Z1618" s="212">
        <v>0</v>
      </c>
      <c r="AA1618" s="212">
        <v>0</v>
      </c>
      <c r="AB1618" s="217">
        <v>0.218747</v>
      </c>
      <c r="AC1618" s="217">
        <v>0.35204000000000002</v>
      </c>
      <c r="AD1618" s="212">
        <f t="shared" si="25"/>
        <v>0</v>
      </c>
    </row>
    <row r="1619" spans="2:30" x14ac:dyDescent="0.15">
      <c r="B1619" s="213">
        <v>17043003527</v>
      </c>
      <c r="C1619" s="213">
        <v>17043007337</v>
      </c>
      <c r="D1619" s="213">
        <v>17043007341</v>
      </c>
      <c r="E1619" s="213" t="s">
        <v>533</v>
      </c>
      <c r="F1619" s="213" t="s">
        <v>534</v>
      </c>
      <c r="G1619" s="213" t="s">
        <v>367</v>
      </c>
      <c r="H1619" s="213" t="s">
        <v>552</v>
      </c>
      <c r="I1619" s="213"/>
      <c r="J1619" s="213"/>
      <c r="K1619" s="213"/>
      <c r="L1619" s="213"/>
      <c r="M1619" s="213"/>
      <c r="N1619" s="213"/>
      <c r="O1619" s="213"/>
      <c r="P1619" s="213"/>
      <c r="Q1619" s="213"/>
      <c r="R1619" s="213"/>
      <c r="S1619" s="213"/>
      <c r="T1619" s="213"/>
      <c r="U1619" s="213" t="s">
        <v>559</v>
      </c>
      <c r="V1619" s="213">
        <v>1</v>
      </c>
      <c r="W1619" s="213" t="s">
        <v>560</v>
      </c>
      <c r="X1619" s="213" t="s">
        <v>541</v>
      </c>
      <c r="Y1619" s="213" t="s">
        <v>541</v>
      </c>
      <c r="Z1619" s="212">
        <v>0</v>
      </c>
      <c r="AA1619" s="212">
        <v>0</v>
      </c>
      <c r="AB1619" s="217">
        <v>0.61138899999999996</v>
      </c>
      <c r="AC1619" s="217">
        <v>0.98393699999999995</v>
      </c>
      <c r="AD1619" s="212">
        <f t="shared" si="25"/>
        <v>0</v>
      </c>
    </row>
    <row r="1620" spans="2:30" x14ac:dyDescent="0.15">
      <c r="B1620" s="213">
        <v>17043005911</v>
      </c>
      <c r="C1620" s="213">
        <v>17043008299</v>
      </c>
      <c r="D1620" s="213">
        <v>17043000390</v>
      </c>
      <c r="E1620" s="213" t="s">
        <v>533</v>
      </c>
      <c r="F1620" s="213" t="s">
        <v>534</v>
      </c>
      <c r="G1620" s="213" t="s">
        <v>367</v>
      </c>
      <c r="H1620" s="213" t="s">
        <v>638</v>
      </c>
      <c r="I1620" s="213"/>
      <c r="J1620" s="213"/>
      <c r="K1620" s="213"/>
      <c r="L1620" s="213"/>
      <c r="M1620" s="213"/>
      <c r="N1620" s="213"/>
      <c r="O1620" s="213"/>
      <c r="P1620" s="213"/>
      <c r="Q1620" s="213"/>
      <c r="R1620" s="213"/>
      <c r="S1620" s="213"/>
      <c r="T1620" s="213"/>
      <c r="U1620" s="213" t="s">
        <v>559</v>
      </c>
      <c r="V1620" s="213">
        <v>1</v>
      </c>
      <c r="W1620" s="213" t="s">
        <v>560</v>
      </c>
      <c r="X1620" s="213" t="s">
        <v>541</v>
      </c>
      <c r="Y1620" s="213" t="s">
        <v>541</v>
      </c>
      <c r="Z1620" s="212">
        <v>0</v>
      </c>
      <c r="AA1620" s="212">
        <v>0</v>
      </c>
      <c r="AB1620" s="217">
        <v>0.100592</v>
      </c>
      <c r="AC1620" s="217">
        <v>0.161888</v>
      </c>
      <c r="AD1620" s="212">
        <f t="shared" si="25"/>
        <v>0</v>
      </c>
    </row>
    <row r="1621" spans="2:30" x14ac:dyDescent="0.15">
      <c r="B1621" s="213">
        <v>17043005912</v>
      </c>
      <c r="C1621" s="213">
        <v>17043000392</v>
      </c>
      <c r="D1621" s="213">
        <v>17043000390</v>
      </c>
      <c r="E1621" s="213" t="s">
        <v>533</v>
      </c>
      <c r="F1621" s="213" t="s">
        <v>534</v>
      </c>
      <c r="G1621" s="213" t="s">
        <v>367</v>
      </c>
      <c r="H1621" s="213" t="s">
        <v>638</v>
      </c>
      <c r="I1621" s="213"/>
      <c r="J1621" s="213"/>
      <c r="K1621" s="213"/>
      <c r="L1621" s="213"/>
      <c r="M1621" s="213"/>
      <c r="N1621" s="213"/>
      <c r="O1621" s="213"/>
      <c r="P1621" s="213"/>
      <c r="Q1621" s="213"/>
      <c r="R1621" s="213"/>
      <c r="S1621" s="213"/>
      <c r="T1621" s="213"/>
      <c r="U1621" s="213" t="s">
        <v>559</v>
      </c>
      <c r="V1621" s="213">
        <v>1</v>
      </c>
      <c r="W1621" s="213" t="s">
        <v>560</v>
      </c>
      <c r="X1621" s="213" t="s">
        <v>541</v>
      </c>
      <c r="Y1621" s="213" t="s">
        <v>541</v>
      </c>
      <c r="Z1621" s="212">
        <v>0</v>
      </c>
      <c r="AA1621" s="212">
        <v>0</v>
      </c>
      <c r="AB1621" s="217">
        <v>0.175593</v>
      </c>
      <c r="AC1621" s="217">
        <v>0.28259000000000001</v>
      </c>
      <c r="AD1621" s="212">
        <f t="shared" si="25"/>
        <v>0</v>
      </c>
    </row>
    <row r="1622" spans="2:30" x14ac:dyDescent="0.15">
      <c r="B1622" s="213">
        <v>17043006527</v>
      </c>
      <c r="C1622" s="213">
        <v>17043004765</v>
      </c>
      <c r="D1622" s="213">
        <v>17043000541</v>
      </c>
      <c r="E1622" s="213" t="s">
        <v>533</v>
      </c>
      <c r="F1622" s="213" t="s">
        <v>534</v>
      </c>
      <c r="G1622" s="213" t="s">
        <v>367</v>
      </c>
      <c r="H1622" s="213" t="s">
        <v>382</v>
      </c>
      <c r="I1622" s="213"/>
      <c r="J1622" s="213"/>
      <c r="K1622" s="213"/>
      <c r="L1622" s="213"/>
      <c r="M1622" s="213"/>
      <c r="N1622" s="213"/>
      <c r="O1622" s="213"/>
      <c r="P1622" s="213"/>
      <c r="Q1622" s="213"/>
      <c r="R1622" s="213"/>
      <c r="S1622" s="213"/>
      <c r="T1622" s="213"/>
      <c r="U1622" s="213" t="s">
        <v>559</v>
      </c>
      <c r="V1622" s="213">
        <v>1</v>
      </c>
      <c r="W1622" s="213" t="s">
        <v>560</v>
      </c>
      <c r="X1622" s="213" t="s">
        <v>541</v>
      </c>
      <c r="Y1622" s="213" t="s">
        <v>541</v>
      </c>
      <c r="Z1622" s="212">
        <v>0</v>
      </c>
      <c r="AA1622" s="212">
        <v>0</v>
      </c>
      <c r="AB1622" s="217">
        <v>3.6759E-2</v>
      </c>
      <c r="AC1622" s="217">
        <v>5.9158000000000002E-2</v>
      </c>
      <c r="AD1622" s="212">
        <f t="shared" si="25"/>
        <v>0</v>
      </c>
    </row>
    <row r="1623" spans="2:30" x14ac:dyDescent="0.15">
      <c r="B1623" s="213">
        <v>17043006530</v>
      </c>
      <c r="C1623" s="213">
        <v>17043000364</v>
      </c>
      <c r="D1623" s="213">
        <v>17043007345</v>
      </c>
      <c r="E1623" s="213" t="s">
        <v>533</v>
      </c>
      <c r="F1623" s="213" t="s">
        <v>534</v>
      </c>
      <c r="G1623" s="213" t="s">
        <v>367</v>
      </c>
      <c r="H1623" s="213" t="s">
        <v>552</v>
      </c>
      <c r="I1623" s="213"/>
      <c r="J1623" s="213"/>
      <c r="K1623" s="213"/>
      <c r="L1623" s="213"/>
      <c r="M1623" s="213"/>
      <c r="N1623" s="213"/>
      <c r="O1623" s="213"/>
      <c r="P1623" s="213"/>
      <c r="Q1623" s="213"/>
      <c r="R1623" s="213"/>
      <c r="S1623" s="213"/>
      <c r="T1623" s="213"/>
      <c r="U1623" s="213" t="s">
        <v>559</v>
      </c>
      <c r="V1623" s="213">
        <v>1</v>
      </c>
      <c r="W1623" s="213" t="s">
        <v>560</v>
      </c>
      <c r="X1623" s="213" t="s">
        <v>541</v>
      </c>
      <c r="Y1623" s="213" t="s">
        <v>541</v>
      </c>
      <c r="Z1623" s="212">
        <v>0</v>
      </c>
      <c r="AA1623" s="212">
        <v>0</v>
      </c>
      <c r="AB1623" s="217">
        <v>0.202038</v>
      </c>
      <c r="AC1623" s="217">
        <v>0.32514999999999999</v>
      </c>
      <c r="AD1623" s="212">
        <f t="shared" si="25"/>
        <v>0</v>
      </c>
    </row>
    <row r="1624" spans="2:30" x14ac:dyDescent="0.15">
      <c r="B1624" s="213">
        <v>17043006534</v>
      </c>
      <c r="C1624" s="213">
        <v>17043000592</v>
      </c>
      <c r="D1624" s="213">
        <v>17043006564</v>
      </c>
      <c r="E1624" s="213" t="s">
        <v>533</v>
      </c>
      <c r="F1624" s="213" t="s">
        <v>534</v>
      </c>
      <c r="G1624" s="213" t="s">
        <v>367</v>
      </c>
      <c r="H1624" s="213" t="s">
        <v>382</v>
      </c>
      <c r="I1624" s="213"/>
      <c r="J1624" s="213"/>
      <c r="K1624" s="213"/>
      <c r="L1624" s="213"/>
      <c r="M1624" s="213"/>
      <c r="N1624" s="213"/>
      <c r="O1624" s="213"/>
      <c r="P1624" s="213"/>
      <c r="Q1624" s="213"/>
      <c r="R1624" s="213"/>
      <c r="S1624" s="213" t="s">
        <v>653</v>
      </c>
      <c r="T1624" s="213"/>
      <c r="U1624" s="213" t="s">
        <v>559</v>
      </c>
      <c r="V1624" s="213">
        <v>1</v>
      </c>
      <c r="W1624" s="213" t="s">
        <v>560</v>
      </c>
      <c r="X1624" s="213" t="s">
        <v>541</v>
      </c>
      <c r="Y1624" s="213" t="s">
        <v>541</v>
      </c>
      <c r="Z1624" s="212">
        <v>46894</v>
      </c>
      <c r="AA1624" s="212">
        <v>5608448</v>
      </c>
      <c r="AB1624" s="217">
        <v>5.2051E-2</v>
      </c>
      <c r="AC1624" s="217">
        <v>8.3768999999999996E-2</v>
      </c>
      <c r="AD1624" s="212">
        <f t="shared" si="25"/>
        <v>291925.326848</v>
      </c>
    </row>
    <row r="1625" spans="2:30" x14ac:dyDescent="0.15">
      <c r="B1625" s="213">
        <v>17043009141</v>
      </c>
      <c r="C1625" s="213">
        <v>17043007347</v>
      </c>
      <c r="D1625" s="213">
        <v>17043000378</v>
      </c>
      <c r="E1625" s="213" t="s">
        <v>533</v>
      </c>
      <c r="F1625" s="213" t="s">
        <v>534</v>
      </c>
      <c r="G1625" s="213" t="s">
        <v>367</v>
      </c>
      <c r="H1625" s="213" t="s">
        <v>552</v>
      </c>
      <c r="I1625" s="213"/>
      <c r="J1625" s="213"/>
      <c r="K1625" s="213"/>
      <c r="L1625" s="213"/>
      <c r="M1625" s="213"/>
      <c r="N1625" s="213"/>
      <c r="O1625" s="213"/>
      <c r="P1625" s="213"/>
      <c r="Q1625" s="213"/>
      <c r="R1625" s="213"/>
      <c r="S1625" s="213"/>
      <c r="T1625" s="213"/>
      <c r="U1625" s="213" t="s">
        <v>559</v>
      </c>
      <c r="V1625" s="213">
        <v>1</v>
      </c>
      <c r="W1625" s="213" t="s">
        <v>560</v>
      </c>
      <c r="X1625" s="213" t="s">
        <v>541</v>
      </c>
      <c r="Y1625" s="213" t="s">
        <v>541</v>
      </c>
      <c r="Z1625" s="212">
        <v>0</v>
      </c>
      <c r="AA1625" s="212">
        <v>0</v>
      </c>
      <c r="AB1625" s="217">
        <v>0.139764</v>
      </c>
      <c r="AC1625" s="217">
        <v>0.22492899999999999</v>
      </c>
      <c r="AD1625" s="212">
        <f t="shared" si="25"/>
        <v>0</v>
      </c>
    </row>
    <row r="1626" spans="2:30" x14ac:dyDescent="0.15">
      <c r="B1626" s="213">
        <v>17043009154</v>
      </c>
      <c r="C1626" s="213">
        <v>17043007360</v>
      </c>
      <c r="D1626" s="213">
        <v>17043000499</v>
      </c>
      <c r="E1626" s="213" t="s">
        <v>533</v>
      </c>
      <c r="F1626" s="213" t="s">
        <v>534</v>
      </c>
      <c r="G1626" s="213" t="s">
        <v>367</v>
      </c>
      <c r="H1626" s="213" t="s">
        <v>382</v>
      </c>
      <c r="I1626" s="213"/>
      <c r="J1626" s="213"/>
      <c r="K1626" s="213"/>
      <c r="L1626" s="213"/>
      <c r="M1626" s="213"/>
      <c r="N1626" s="213"/>
      <c r="O1626" s="213"/>
      <c r="P1626" s="213"/>
      <c r="Q1626" s="213"/>
      <c r="R1626" s="213"/>
      <c r="S1626" s="213" t="s">
        <v>561</v>
      </c>
      <c r="T1626" s="213"/>
      <c r="U1626" s="213" t="s">
        <v>538</v>
      </c>
      <c r="V1626" s="213">
        <v>1</v>
      </c>
      <c r="W1626" s="213" t="s">
        <v>562</v>
      </c>
      <c r="X1626" s="213" t="s">
        <v>540</v>
      </c>
      <c r="Y1626" s="213" t="s">
        <v>541</v>
      </c>
      <c r="Z1626" s="212">
        <v>26584</v>
      </c>
      <c r="AA1626" s="212">
        <v>636580</v>
      </c>
      <c r="AB1626" s="217">
        <v>0.417713</v>
      </c>
      <c r="AC1626" s="217">
        <v>0.67224600000000001</v>
      </c>
      <c r="AD1626" s="212">
        <f t="shared" si="25"/>
        <v>265907.74154000002</v>
      </c>
    </row>
    <row r="1627" spans="2:30" x14ac:dyDescent="0.15">
      <c r="B1627" s="213">
        <v>17043009162</v>
      </c>
      <c r="C1627" s="213">
        <v>17043007366</v>
      </c>
      <c r="D1627" s="213">
        <v>17043007368</v>
      </c>
      <c r="E1627" s="213" t="s">
        <v>533</v>
      </c>
      <c r="F1627" s="213" t="s">
        <v>534</v>
      </c>
      <c r="G1627" s="213" t="s">
        <v>367</v>
      </c>
      <c r="H1627" s="213" t="s">
        <v>382</v>
      </c>
      <c r="I1627" s="213"/>
      <c r="J1627" s="213"/>
      <c r="K1627" s="213"/>
      <c r="L1627" s="213"/>
      <c r="M1627" s="213"/>
      <c r="N1627" s="213"/>
      <c r="O1627" s="213"/>
      <c r="P1627" s="213"/>
      <c r="Q1627" s="213"/>
      <c r="R1627" s="213"/>
      <c r="S1627" s="213" t="s">
        <v>561</v>
      </c>
      <c r="T1627" s="213"/>
      <c r="U1627" s="213" t="s">
        <v>538</v>
      </c>
      <c r="V1627" s="213">
        <v>1</v>
      </c>
      <c r="W1627" s="213" t="s">
        <v>562</v>
      </c>
      <c r="X1627" s="213" t="s">
        <v>540</v>
      </c>
      <c r="Y1627" s="213" t="s">
        <v>541</v>
      </c>
      <c r="Z1627" s="212">
        <v>26584</v>
      </c>
      <c r="AA1627" s="212">
        <v>636580</v>
      </c>
      <c r="AB1627" s="217">
        <v>8.2573999999999995E-2</v>
      </c>
      <c r="AC1627" s="217">
        <v>0.13289000000000001</v>
      </c>
      <c r="AD1627" s="212">
        <f t="shared" si="25"/>
        <v>52564.956919999997</v>
      </c>
    </row>
    <row r="1628" spans="2:30" x14ac:dyDescent="0.15">
      <c r="B1628" s="213">
        <v>17089001834</v>
      </c>
      <c r="C1628" s="213">
        <v>17089000989</v>
      </c>
      <c r="D1628" s="213">
        <v>17999021616</v>
      </c>
      <c r="E1628" s="213" t="s">
        <v>533</v>
      </c>
      <c r="F1628" s="213" t="s">
        <v>534</v>
      </c>
      <c r="G1628" s="213" t="s">
        <v>369</v>
      </c>
      <c r="H1628" s="213" t="s">
        <v>381</v>
      </c>
      <c r="I1628" s="213"/>
      <c r="J1628" s="213"/>
      <c r="K1628" s="213"/>
      <c r="L1628" s="213"/>
      <c r="M1628" s="213"/>
      <c r="N1628" s="213"/>
      <c r="O1628" s="213"/>
      <c r="P1628" s="213"/>
      <c r="Q1628" s="213"/>
      <c r="R1628" s="213"/>
      <c r="S1628" s="213" t="s">
        <v>595</v>
      </c>
      <c r="T1628" s="213"/>
      <c r="U1628" s="213" t="s">
        <v>538</v>
      </c>
      <c r="V1628" s="213">
        <v>1</v>
      </c>
      <c r="W1628" s="213" t="s">
        <v>545</v>
      </c>
      <c r="X1628" s="213" t="s">
        <v>549</v>
      </c>
      <c r="Y1628" s="213" t="s">
        <v>546</v>
      </c>
      <c r="Z1628" s="212">
        <v>969717</v>
      </c>
      <c r="AA1628" s="212">
        <v>40873798</v>
      </c>
      <c r="AB1628" s="217">
        <v>2.0536650000000001</v>
      </c>
      <c r="AC1628" s="217">
        <v>3.3050600000000001</v>
      </c>
      <c r="AD1628" s="212">
        <f t="shared" si="25"/>
        <v>83941088.369670004</v>
      </c>
    </row>
    <row r="1629" spans="2:30" x14ac:dyDescent="0.15">
      <c r="B1629" s="213">
        <v>17089001836</v>
      </c>
      <c r="C1629" s="213">
        <v>17089000839</v>
      </c>
      <c r="D1629" s="213">
        <v>17089000709</v>
      </c>
      <c r="E1629" s="213" t="s">
        <v>533</v>
      </c>
      <c r="F1629" s="213" t="s">
        <v>534</v>
      </c>
      <c r="G1629" s="213" t="s">
        <v>369</v>
      </c>
      <c r="H1629" s="213" t="s">
        <v>381</v>
      </c>
      <c r="I1629" s="213"/>
      <c r="J1629" s="213"/>
      <c r="K1629" s="213"/>
      <c r="L1629" s="213"/>
      <c r="M1629" s="213"/>
      <c r="N1629" s="213"/>
      <c r="O1629" s="213"/>
      <c r="P1629" s="213"/>
      <c r="Q1629" s="213"/>
      <c r="R1629" s="213"/>
      <c r="S1629" s="213" t="s">
        <v>585</v>
      </c>
      <c r="T1629" s="213"/>
      <c r="U1629" s="213" t="s">
        <v>559</v>
      </c>
      <c r="V1629" s="213">
        <v>1</v>
      </c>
      <c r="W1629" s="213" t="s">
        <v>560</v>
      </c>
      <c r="X1629" s="213" t="s">
        <v>541</v>
      </c>
      <c r="Y1629" s="213" t="s">
        <v>541</v>
      </c>
      <c r="Z1629" s="212">
        <v>1120</v>
      </c>
      <c r="AA1629" s="212">
        <v>101480</v>
      </c>
      <c r="AB1629" s="217">
        <v>4.4170509999999998</v>
      </c>
      <c r="AC1629" s="217">
        <v>7.1085690000000001</v>
      </c>
      <c r="AD1629" s="212">
        <f t="shared" si="25"/>
        <v>448242.33548000001</v>
      </c>
    </row>
    <row r="1630" spans="2:30" x14ac:dyDescent="0.15">
      <c r="B1630" s="213">
        <v>17089002006</v>
      </c>
      <c r="C1630" s="213">
        <v>17089001038</v>
      </c>
      <c r="D1630" s="213">
        <v>17089000982</v>
      </c>
      <c r="E1630" s="213" t="s">
        <v>533</v>
      </c>
      <c r="F1630" s="213" t="s">
        <v>534</v>
      </c>
      <c r="G1630" s="213" t="s">
        <v>369</v>
      </c>
      <c r="H1630" s="213" t="s">
        <v>381</v>
      </c>
      <c r="I1630" s="213"/>
      <c r="J1630" s="213" t="s">
        <v>542</v>
      </c>
      <c r="K1630" s="213" t="s">
        <v>578</v>
      </c>
      <c r="L1630" s="213" t="s">
        <v>382</v>
      </c>
      <c r="M1630" s="213"/>
      <c r="N1630" s="213"/>
      <c r="O1630" s="213"/>
      <c r="P1630" s="213"/>
      <c r="Q1630" s="213"/>
      <c r="R1630" s="213"/>
      <c r="S1630" s="213" t="s">
        <v>579</v>
      </c>
      <c r="T1630" s="213"/>
      <c r="U1630" s="213" t="s">
        <v>538</v>
      </c>
      <c r="V1630" s="213">
        <v>2</v>
      </c>
      <c r="W1630" s="213" t="s">
        <v>545</v>
      </c>
      <c r="X1630" s="213" t="s">
        <v>549</v>
      </c>
      <c r="Y1630" s="213" t="s">
        <v>575</v>
      </c>
      <c r="Z1630" s="212">
        <v>2798818</v>
      </c>
      <c r="AA1630" s="212">
        <v>85650012</v>
      </c>
      <c r="AB1630" s="217">
        <v>2.1868910000000001</v>
      </c>
      <c r="AC1630" s="217">
        <v>3.5194679999999998</v>
      </c>
      <c r="AD1630" s="212">
        <f t="shared" si="25"/>
        <v>187307240.392692</v>
      </c>
    </row>
    <row r="1631" spans="2:30" x14ac:dyDescent="0.15">
      <c r="B1631" s="213">
        <v>17089002007</v>
      </c>
      <c r="C1631" s="213">
        <v>17089000990</v>
      </c>
      <c r="D1631" s="213">
        <v>17089000971</v>
      </c>
      <c r="E1631" s="213" t="s">
        <v>533</v>
      </c>
      <c r="F1631" s="213" t="s">
        <v>534</v>
      </c>
      <c r="G1631" s="213" t="s">
        <v>369</v>
      </c>
      <c r="H1631" s="213" t="s">
        <v>381</v>
      </c>
      <c r="I1631" s="213"/>
      <c r="J1631" s="213" t="s">
        <v>547</v>
      </c>
      <c r="K1631" s="213"/>
      <c r="L1631" s="213"/>
      <c r="M1631" s="213"/>
      <c r="N1631" s="213"/>
      <c r="O1631" s="213"/>
      <c r="P1631" s="213"/>
      <c r="Q1631" s="213"/>
      <c r="R1631" s="213"/>
      <c r="S1631" s="213" t="s">
        <v>585</v>
      </c>
      <c r="T1631" s="213"/>
      <c r="U1631" s="213" t="s">
        <v>559</v>
      </c>
      <c r="V1631" s="213">
        <v>1</v>
      </c>
      <c r="W1631" s="213" t="s">
        <v>560</v>
      </c>
      <c r="X1631" s="213" t="s">
        <v>541</v>
      </c>
      <c r="Y1631" s="213" t="s">
        <v>541</v>
      </c>
      <c r="Z1631" s="212">
        <v>1120</v>
      </c>
      <c r="AA1631" s="212">
        <v>101480</v>
      </c>
      <c r="AB1631" s="217">
        <v>0.19717599999999999</v>
      </c>
      <c r="AC1631" s="217">
        <v>0.31732500000000002</v>
      </c>
      <c r="AD1631" s="212">
        <f t="shared" si="25"/>
        <v>20009.420480000001</v>
      </c>
    </row>
    <row r="1632" spans="2:30" x14ac:dyDescent="0.15">
      <c r="B1632" s="213">
        <v>17089002013</v>
      </c>
      <c r="C1632" s="213">
        <v>17089001052</v>
      </c>
      <c r="D1632" s="213">
        <v>17089001055</v>
      </c>
      <c r="E1632" s="213" t="s">
        <v>533</v>
      </c>
      <c r="F1632" s="213" t="s">
        <v>534</v>
      </c>
      <c r="G1632" s="213" t="s">
        <v>369</v>
      </c>
      <c r="H1632" s="213" t="s">
        <v>381</v>
      </c>
      <c r="I1632" s="213"/>
      <c r="J1632" s="213"/>
      <c r="K1632" s="213"/>
      <c r="L1632" s="213"/>
      <c r="M1632" s="213"/>
      <c r="N1632" s="213"/>
      <c r="O1632" s="213"/>
      <c r="P1632" s="213"/>
      <c r="Q1632" s="213"/>
      <c r="R1632" s="213"/>
      <c r="S1632" s="213"/>
      <c r="T1632" s="213"/>
      <c r="U1632" s="213" t="s">
        <v>559</v>
      </c>
      <c r="V1632" s="213">
        <v>1</v>
      </c>
      <c r="W1632" s="213" t="s">
        <v>560</v>
      </c>
      <c r="X1632" s="213" t="s">
        <v>541</v>
      </c>
      <c r="Y1632" s="213" t="s">
        <v>541</v>
      </c>
      <c r="Z1632" s="212">
        <v>0</v>
      </c>
      <c r="AA1632" s="212">
        <v>0</v>
      </c>
      <c r="AB1632" s="217">
        <v>1.468324</v>
      </c>
      <c r="AC1632" s="217">
        <v>2.3630429999999998</v>
      </c>
      <c r="AD1632" s="212">
        <f t="shared" si="25"/>
        <v>0</v>
      </c>
    </row>
    <row r="1633" spans="2:30" x14ac:dyDescent="0.15">
      <c r="B1633" s="213">
        <v>17089002038</v>
      </c>
      <c r="C1633" s="213">
        <v>17999020068</v>
      </c>
      <c r="D1633" s="213">
        <v>17089004843</v>
      </c>
      <c r="E1633" s="213" t="s">
        <v>533</v>
      </c>
      <c r="F1633" s="213" t="s">
        <v>534</v>
      </c>
      <c r="G1633" s="213" t="s">
        <v>369</v>
      </c>
      <c r="H1633" s="213" t="s">
        <v>382</v>
      </c>
      <c r="I1633" s="213"/>
      <c r="J1633" s="213"/>
      <c r="K1633" s="213"/>
      <c r="L1633" s="213"/>
      <c r="M1633" s="213"/>
      <c r="N1633" s="213"/>
      <c r="O1633" s="213"/>
      <c r="P1633" s="213"/>
      <c r="Q1633" s="213"/>
      <c r="R1633" s="213"/>
      <c r="S1633" s="213" t="s">
        <v>561</v>
      </c>
      <c r="T1633" s="213"/>
      <c r="U1633" s="213" t="s">
        <v>538</v>
      </c>
      <c r="V1633" s="213">
        <v>1</v>
      </c>
      <c r="W1633" s="213" t="s">
        <v>562</v>
      </c>
      <c r="X1633" s="213" t="s">
        <v>540</v>
      </c>
      <c r="Y1633" s="213" t="s">
        <v>541</v>
      </c>
      <c r="Z1633" s="212">
        <v>26584</v>
      </c>
      <c r="AA1633" s="212">
        <v>636580</v>
      </c>
      <c r="AB1633" s="217">
        <v>2.4580769999999998</v>
      </c>
      <c r="AC1633" s="217">
        <v>3.9558990000000001</v>
      </c>
      <c r="AD1633" s="212">
        <f t="shared" si="25"/>
        <v>1564762.6566599999</v>
      </c>
    </row>
    <row r="1634" spans="2:30" x14ac:dyDescent="0.15">
      <c r="B1634" s="213">
        <v>17089002043</v>
      </c>
      <c r="C1634" s="213">
        <v>17089000544</v>
      </c>
      <c r="D1634" s="213">
        <v>17089004872</v>
      </c>
      <c r="E1634" s="213" t="s">
        <v>533</v>
      </c>
      <c r="F1634" s="213" t="s">
        <v>534</v>
      </c>
      <c r="G1634" s="213" t="s">
        <v>369</v>
      </c>
      <c r="H1634" s="213" t="s">
        <v>382</v>
      </c>
      <c r="I1634" s="213"/>
      <c r="J1634" s="213"/>
      <c r="K1634" s="213"/>
      <c r="L1634" s="213"/>
      <c r="M1634" s="213"/>
      <c r="N1634" s="213"/>
      <c r="O1634" s="213"/>
      <c r="P1634" s="213"/>
      <c r="Q1634" s="213"/>
      <c r="R1634" s="213"/>
      <c r="S1634" s="213" t="s">
        <v>583</v>
      </c>
      <c r="T1634" s="213"/>
      <c r="U1634" s="213" t="s">
        <v>538</v>
      </c>
      <c r="V1634" s="213">
        <v>2</v>
      </c>
      <c r="W1634" s="213" t="s">
        <v>588</v>
      </c>
      <c r="X1634" s="213" t="s">
        <v>549</v>
      </c>
      <c r="Y1634" s="213" t="s">
        <v>575</v>
      </c>
      <c r="Z1634" s="212">
        <v>1961175</v>
      </c>
      <c r="AA1634" s="212">
        <v>73798714</v>
      </c>
      <c r="AB1634" s="217">
        <v>4.9247769999999997</v>
      </c>
      <c r="AC1634" s="217">
        <v>7.9256760000000002</v>
      </c>
      <c r="AD1634" s="212">
        <f t="shared" si="25"/>
        <v>363442209.33677799</v>
      </c>
    </row>
    <row r="1635" spans="2:30" x14ac:dyDescent="0.15">
      <c r="B1635" s="213">
        <v>17089002045</v>
      </c>
      <c r="C1635" s="213">
        <v>17089004847</v>
      </c>
      <c r="D1635" s="213">
        <v>17089004848</v>
      </c>
      <c r="E1635" s="213" t="s">
        <v>533</v>
      </c>
      <c r="F1635" s="213" t="s">
        <v>534</v>
      </c>
      <c r="G1635" s="213" t="s">
        <v>369</v>
      </c>
      <c r="H1635" s="213" t="s">
        <v>382</v>
      </c>
      <c r="I1635" s="213"/>
      <c r="J1635" s="213" t="s">
        <v>547</v>
      </c>
      <c r="K1635" s="213"/>
      <c r="L1635" s="213"/>
      <c r="M1635" s="213"/>
      <c r="N1635" s="213"/>
      <c r="O1635" s="213"/>
      <c r="P1635" s="213"/>
      <c r="Q1635" s="213"/>
      <c r="R1635" s="213"/>
      <c r="S1635" s="213" t="s">
        <v>583</v>
      </c>
      <c r="T1635" s="213"/>
      <c r="U1635" s="213" t="s">
        <v>538</v>
      </c>
      <c r="V1635" s="213">
        <v>3</v>
      </c>
      <c r="W1635" s="213" t="s">
        <v>588</v>
      </c>
      <c r="X1635" s="213" t="s">
        <v>549</v>
      </c>
      <c r="Y1635" s="213" t="s">
        <v>575</v>
      </c>
      <c r="Z1635" s="212">
        <v>1961175</v>
      </c>
      <c r="AA1635" s="212">
        <v>73798714</v>
      </c>
      <c r="AB1635" s="217">
        <v>2.4800740000000001</v>
      </c>
      <c r="AC1635" s="217">
        <v>3.9912999999999998</v>
      </c>
      <c r="AD1635" s="212">
        <f t="shared" si="25"/>
        <v>183026271.82483602</v>
      </c>
    </row>
    <row r="1636" spans="2:30" x14ac:dyDescent="0.15">
      <c r="B1636" s="213">
        <v>17089003971</v>
      </c>
      <c r="C1636" s="213">
        <v>17089000965</v>
      </c>
      <c r="D1636" s="213">
        <v>17089000960</v>
      </c>
      <c r="E1636" s="213" t="s">
        <v>533</v>
      </c>
      <c r="F1636" s="213" t="s">
        <v>534</v>
      </c>
      <c r="G1636" s="213" t="s">
        <v>369</v>
      </c>
      <c r="H1636" s="614" t="s">
        <v>381</v>
      </c>
      <c r="I1636" s="213"/>
      <c r="J1636" s="213" t="s">
        <v>542</v>
      </c>
      <c r="K1636" s="213" t="s">
        <v>578</v>
      </c>
      <c r="L1636" s="213" t="s">
        <v>547</v>
      </c>
      <c r="M1636" s="213" t="s">
        <v>382</v>
      </c>
      <c r="N1636" s="213"/>
      <c r="O1636" s="213"/>
      <c r="P1636" s="213"/>
      <c r="Q1636" s="213"/>
      <c r="R1636" s="213"/>
      <c r="S1636" s="213" t="s">
        <v>579</v>
      </c>
      <c r="T1636" s="213" t="s">
        <v>694</v>
      </c>
      <c r="U1636" s="213" t="s">
        <v>538</v>
      </c>
      <c r="V1636" s="213">
        <v>3</v>
      </c>
      <c r="W1636" s="213" t="s">
        <v>545</v>
      </c>
      <c r="X1636" s="213" t="s">
        <v>540</v>
      </c>
      <c r="Y1636" s="213" t="s">
        <v>575</v>
      </c>
      <c r="Z1636" s="212">
        <v>2798738</v>
      </c>
      <c r="AA1636" s="212">
        <v>85650772</v>
      </c>
      <c r="AB1636" s="217">
        <v>6.0865000000000002E-2</v>
      </c>
      <c r="AC1636" s="217">
        <v>9.7952999999999998E-2</v>
      </c>
      <c r="AD1636" s="212">
        <f t="shared" si="25"/>
        <v>5213134.2377800001</v>
      </c>
    </row>
    <row r="1637" spans="2:30" x14ac:dyDescent="0.15">
      <c r="B1637" s="213">
        <v>17097001933</v>
      </c>
      <c r="C1637" s="213">
        <v>17097007522</v>
      </c>
      <c r="D1637" s="213">
        <v>17097004541</v>
      </c>
      <c r="E1637" s="213" t="s">
        <v>533</v>
      </c>
      <c r="F1637" s="213" t="s">
        <v>534</v>
      </c>
      <c r="G1637" s="613" t="s">
        <v>373</v>
      </c>
      <c r="H1637" s="213" t="s">
        <v>552</v>
      </c>
      <c r="I1637" s="213"/>
      <c r="J1637" s="213" t="s">
        <v>542</v>
      </c>
      <c r="K1637" s="213"/>
      <c r="L1637" s="213"/>
      <c r="M1637" s="213"/>
      <c r="N1637" s="213"/>
      <c r="O1637" s="213"/>
      <c r="P1637" s="213"/>
      <c r="Q1637" s="213"/>
      <c r="R1637" s="213"/>
      <c r="S1637" s="213" t="s">
        <v>564</v>
      </c>
      <c r="T1637" s="213"/>
      <c r="U1637" s="213" t="s">
        <v>538</v>
      </c>
      <c r="V1637" s="213">
        <v>2</v>
      </c>
      <c r="W1637" s="213" t="s">
        <v>545</v>
      </c>
      <c r="X1637" s="213" t="s">
        <v>549</v>
      </c>
      <c r="Y1637" s="213" t="s">
        <v>549</v>
      </c>
      <c r="Z1637" s="212">
        <v>472628</v>
      </c>
      <c r="AA1637" s="212">
        <v>31631277</v>
      </c>
      <c r="AB1637" s="217">
        <v>2.6924459999999999</v>
      </c>
      <c r="AC1637" s="217">
        <v>4.3330799999999998</v>
      </c>
      <c r="AD1637" s="212">
        <f t="shared" si="25"/>
        <v>85165505.233541995</v>
      </c>
    </row>
    <row r="1638" spans="2:30" x14ac:dyDescent="0.15">
      <c r="B1638" s="213">
        <v>17097001936</v>
      </c>
      <c r="C1638" s="213">
        <v>17097007502</v>
      </c>
      <c r="D1638" s="213">
        <v>17097000022</v>
      </c>
      <c r="E1638" s="213" t="s">
        <v>533</v>
      </c>
      <c r="F1638" s="213" t="s">
        <v>534</v>
      </c>
      <c r="G1638" s="613" t="s">
        <v>373</v>
      </c>
      <c r="H1638" s="213" t="s">
        <v>535</v>
      </c>
      <c r="I1638" s="213"/>
      <c r="J1638" s="213" t="s">
        <v>547</v>
      </c>
      <c r="K1638" s="213"/>
      <c r="L1638" s="213"/>
      <c r="M1638" s="213"/>
      <c r="N1638" s="213"/>
      <c r="O1638" s="213"/>
      <c r="P1638" s="213"/>
      <c r="Q1638" s="213"/>
      <c r="R1638" s="213"/>
      <c r="S1638" s="213" t="s">
        <v>548</v>
      </c>
      <c r="T1638" s="213"/>
      <c r="U1638" s="213" t="s">
        <v>538</v>
      </c>
      <c r="V1638" s="213">
        <v>2</v>
      </c>
      <c r="W1638" s="213" t="s">
        <v>545</v>
      </c>
      <c r="X1638" s="213" t="s">
        <v>549</v>
      </c>
      <c r="Y1638" s="213" t="s">
        <v>546</v>
      </c>
      <c r="Z1638" s="212">
        <v>645147</v>
      </c>
      <c r="AA1638" s="212">
        <v>28718662</v>
      </c>
      <c r="AB1638" s="217">
        <v>2.9007740000000002</v>
      </c>
      <c r="AC1638" s="217">
        <v>4.6683519999999996</v>
      </c>
      <c r="AD1638" s="212">
        <f t="shared" si="25"/>
        <v>83306348.044388011</v>
      </c>
    </row>
    <row r="1639" spans="2:30" x14ac:dyDescent="0.15">
      <c r="B1639" s="213">
        <v>17097002115</v>
      </c>
      <c r="C1639" s="213">
        <v>17097000056</v>
      </c>
      <c r="D1639" s="213">
        <v>17097004531</v>
      </c>
      <c r="E1639" s="213" t="s">
        <v>533</v>
      </c>
      <c r="F1639" s="213" t="s">
        <v>534</v>
      </c>
      <c r="G1639" s="213" t="s">
        <v>373</v>
      </c>
      <c r="H1639" s="213" t="s">
        <v>552</v>
      </c>
      <c r="I1639" s="213"/>
      <c r="J1639" s="213" t="s">
        <v>547</v>
      </c>
      <c r="K1639" s="213" t="s">
        <v>563</v>
      </c>
      <c r="L1639" s="213"/>
      <c r="M1639" s="213"/>
      <c r="N1639" s="213"/>
      <c r="O1639" s="213"/>
      <c r="P1639" s="213"/>
      <c r="Q1639" s="213"/>
      <c r="R1639" s="213"/>
      <c r="S1639" s="213" t="s">
        <v>629</v>
      </c>
      <c r="T1639" s="213"/>
      <c r="U1639" s="213" t="s">
        <v>538</v>
      </c>
      <c r="V1639" s="213">
        <v>1</v>
      </c>
      <c r="W1639" s="213" t="s">
        <v>582</v>
      </c>
      <c r="X1639" s="213" t="s">
        <v>540</v>
      </c>
      <c r="Y1639" s="213" t="s">
        <v>554</v>
      </c>
      <c r="Z1639" s="212">
        <v>27697</v>
      </c>
      <c r="AA1639" s="212">
        <v>2584007</v>
      </c>
      <c r="AB1639" s="217">
        <v>0.75714700000000001</v>
      </c>
      <c r="AC1639" s="217">
        <v>1.218513</v>
      </c>
      <c r="AD1639" s="212">
        <f t="shared" si="25"/>
        <v>1956473.148029</v>
      </c>
    </row>
    <row r="1640" spans="2:30" x14ac:dyDescent="0.15">
      <c r="B1640" s="213">
        <v>17097002118</v>
      </c>
      <c r="C1640" s="213">
        <v>17097004555</v>
      </c>
      <c r="D1640" s="213">
        <v>17097000047</v>
      </c>
      <c r="E1640" s="213" t="s">
        <v>533</v>
      </c>
      <c r="F1640" s="213" t="s">
        <v>534</v>
      </c>
      <c r="G1640" s="213" t="s">
        <v>373</v>
      </c>
      <c r="H1640" s="213" t="s">
        <v>535</v>
      </c>
      <c r="I1640" s="213"/>
      <c r="J1640" s="213" t="s">
        <v>547</v>
      </c>
      <c r="K1640" s="213"/>
      <c r="L1640" s="213"/>
      <c r="M1640" s="213"/>
      <c r="N1640" s="213"/>
      <c r="O1640" s="213"/>
      <c r="P1640" s="213"/>
      <c r="Q1640" s="213"/>
      <c r="R1640" s="213"/>
      <c r="S1640" s="213" t="s">
        <v>548</v>
      </c>
      <c r="T1640" s="213"/>
      <c r="U1640" s="213" t="s">
        <v>538</v>
      </c>
      <c r="V1640" s="213">
        <v>2</v>
      </c>
      <c r="W1640" s="213" t="s">
        <v>545</v>
      </c>
      <c r="X1640" s="213" t="s">
        <v>549</v>
      </c>
      <c r="Y1640" s="213" t="s">
        <v>546</v>
      </c>
      <c r="Z1640" s="212">
        <v>645147</v>
      </c>
      <c r="AA1640" s="212">
        <v>28718662</v>
      </c>
      <c r="AB1640" s="217">
        <v>2.2824689999999999</v>
      </c>
      <c r="AC1640" s="217">
        <v>3.6732849999999999</v>
      </c>
      <c r="AD1640" s="212">
        <f t="shared" si="25"/>
        <v>65549455.736477993</v>
      </c>
    </row>
    <row r="1641" spans="2:30" x14ac:dyDescent="0.15">
      <c r="B1641" s="213">
        <v>17097002119</v>
      </c>
      <c r="C1641" s="213">
        <v>17097004556</v>
      </c>
      <c r="D1641" s="213">
        <v>17097004555</v>
      </c>
      <c r="E1641" s="213" t="s">
        <v>533</v>
      </c>
      <c r="F1641" s="213" t="s">
        <v>534</v>
      </c>
      <c r="G1641" s="213" t="s">
        <v>373</v>
      </c>
      <c r="H1641" s="213" t="s">
        <v>535</v>
      </c>
      <c r="I1641" s="213"/>
      <c r="J1641" s="213" t="s">
        <v>547</v>
      </c>
      <c r="K1641" s="213"/>
      <c r="L1641" s="213"/>
      <c r="M1641" s="213"/>
      <c r="N1641" s="213"/>
      <c r="O1641" s="213"/>
      <c r="P1641" s="213"/>
      <c r="Q1641" s="213"/>
      <c r="R1641" s="213"/>
      <c r="S1641" s="213" t="s">
        <v>548</v>
      </c>
      <c r="T1641" s="213"/>
      <c r="U1641" s="213" t="s">
        <v>538</v>
      </c>
      <c r="V1641" s="213">
        <v>1</v>
      </c>
      <c r="W1641" s="213" t="s">
        <v>545</v>
      </c>
      <c r="X1641" s="213" t="s">
        <v>549</v>
      </c>
      <c r="Y1641" s="213" t="s">
        <v>546</v>
      </c>
      <c r="Z1641" s="212">
        <v>645147</v>
      </c>
      <c r="AA1641" s="212">
        <v>28718662</v>
      </c>
      <c r="AB1641" s="217">
        <v>2.3902570000000001</v>
      </c>
      <c r="AC1641" s="217">
        <v>3.8467530000000001</v>
      </c>
      <c r="AD1641" s="212">
        <f t="shared" si="25"/>
        <v>68644982.876134008</v>
      </c>
    </row>
    <row r="1642" spans="2:30" x14ac:dyDescent="0.15">
      <c r="B1642" s="213">
        <v>17097002142</v>
      </c>
      <c r="C1642" s="213">
        <v>17097000038</v>
      </c>
      <c r="D1642" s="213">
        <v>17097000030</v>
      </c>
      <c r="E1642" s="213" t="s">
        <v>533</v>
      </c>
      <c r="F1642" s="213" t="s">
        <v>534</v>
      </c>
      <c r="G1642" s="213" t="s">
        <v>373</v>
      </c>
      <c r="H1642" s="213" t="s">
        <v>382</v>
      </c>
      <c r="I1642" s="213"/>
      <c r="J1642" s="213" t="s">
        <v>535</v>
      </c>
      <c r="K1642" s="213" t="s">
        <v>547</v>
      </c>
      <c r="L1642" s="213"/>
      <c r="M1642" s="213"/>
      <c r="N1642" s="213"/>
      <c r="O1642" s="213"/>
      <c r="P1642" s="213"/>
      <c r="Q1642" s="213"/>
      <c r="R1642" s="213"/>
      <c r="S1642" s="213" t="s">
        <v>565</v>
      </c>
      <c r="T1642" s="213"/>
      <c r="U1642" s="213" t="s">
        <v>538</v>
      </c>
      <c r="V1642" s="213">
        <v>2</v>
      </c>
      <c r="W1642" s="213" t="s">
        <v>566</v>
      </c>
      <c r="X1642" s="213" t="s">
        <v>549</v>
      </c>
      <c r="Y1642" s="213" t="s">
        <v>540</v>
      </c>
      <c r="Z1642" s="212">
        <v>5972</v>
      </c>
      <c r="AA1642" s="212">
        <v>563612</v>
      </c>
      <c r="AB1642" s="217">
        <v>1.488059</v>
      </c>
      <c r="AC1642" s="217">
        <v>2.3948040000000002</v>
      </c>
      <c r="AD1642" s="212">
        <f t="shared" si="25"/>
        <v>838687.90910799999</v>
      </c>
    </row>
    <row r="1643" spans="2:30" x14ac:dyDescent="0.15">
      <c r="B1643" s="213">
        <v>17097002148</v>
      </c>
      <c r="C1643" s="213">
        <v>17097004544</v>
      </c>
      <c r="D1643" s="213">
        <v>17097004543</v>
      </c>
      <c r="E1643" s="213" t="s">
        <v>533</v>
      </c>
      <c r="F1643" s="213" t="s">
        <v>534</v>
      </c>
      <c r="G1643" s="213" t="s">
        <v>373</v>
      </c>
      <c r="H1643" s="213" t="s">
        <v>382</v>
      </c>
      <c r="I1643" s="213"/>
      <c r="J1643" s="213" t="s">
        <v>535</v>
      </c>
      <c r="K1643" s="213"/>
      <c r="L1643" s="213"/>
      <c r="M1643" s="213"/>
      <c r="N1643" s="213"/>
      <c r="O1643" s="213"/>
      <c r="P1643" s="213"/>
      <c r="Q1643" s="213"/>
      <c r="R1643" s="213"/>
      <c r="S1643" s="213" t="s">
        <v>586</v>
      </c>
      <c r="T1643" s="213"/>
      <c r="U1643" s="213" t="s">
        <v>538</v>
      </c>
      <c r="V1643" s="213">
        <v>2</v>
      </c>
      <c r="W1643" s="213" t="s">
        <v>582</v>
      </c>
      <c r="X1643" s="213" t="s">
        <v>549</v>
      </c>
      <c r="Y1643" s="213" t="s">
        <v>549</v>
      </c>
      <c r="Z1643" s="212">
        <v>149468</v>
      </c>
      <c r="AA1643" s="212">
        <v>17128638</v>
      </c>
      <c r="AB1643" s="217">
        <v>5.2488549999999998</v>
      </c>
      <c r="AC1643" s="217">
        <v>8.4472310000000004</v>
      </c>
      <c r="AD1643" s="212">
        <f t="shared" si="25"/>
        <v>89905737.209490001</v>
      </c>
    </row>
    <row r="1644" spans="2:30" x14ac:dyDescent="0.15">
      <c r="B1644" s="213">
        <v>17097006329</v>
      </c>
      <c r="C1644" s="213">
        <v>17097004566</v>
      </c>
      <c r="D1644" s="213">
        <v>17097000057</v>
      </c>
      <c r="E1644" s="213" t="s">
        <v>533</v>
      </c>
      <c r="F1644" s="213" t="s">
        <v>534</v>
      </c>
      <c r="G1644" s="213" t="s">
        <v>373</v>
      </c>
      <c r="H1644" s="614" t="s">
        <v>382</v>
      </c>
      <c r="I1644" s="213"/>
      <c r="J1644" s="213" t="s">
        <v>535</v>
      </c>
      <c r="K1644" s="213" t="s">
        <v>547</v>
      </c>
      <c r="L1644" s="213"/>
      <c r="M1644" s="213"/>
      <c r="N1644" s="213"/>
      <c r="O1644" s="213"/>
      <c r="P1644" s="213"/>
      <c r="Q1644" s="213"/>
      <c r="R1644" s="213"/>
      <c r="S1644" s="213" t="s">
        <v>565</v>
      </c>
      <c r="T1644" s="213"/>
      <c r="U1644" s="213" t="s">
        <v>538</v>
      </c>
      <c r="V1644" s="213">
        <v>2</v>
      </c>
      <c r="W1644" s="213" t="s">
        <v>566</v>
      </c>
      <c r="X1644" s="213" t="s">
        <v>549</v>
      </c>
      <c r="Y1644" s="213" t="s">
        <v>549</v>
      </c>
      <c r="Z1644" s="212">
        <v>18218</v>
      </c>
      <c r="AA1644" s="212">
        <v>2035810</v>
      </c>
      <c r="AB1644" s="217">
        <v>0.15413299999999999</v>
      </c>
      <c r="AC1644" s="217">
        <v>0.248054</v>
      </c>
      <c r="AD1644" s="212">
        <f t="shared" si="25"/>
        <v>313785.50273000001</v>
      </c>
    </row>
    <row r="1645" spans="2:30" x14ac:dyDescent="0.15">
      <c r="B1645" s="213">
        <v>17097009354</v>
      </c>
      <c r="C1645" s="213">
        <v>17097000067</v>
      </c>
      <c r="D1645" s="213">
        <v>17097007473</v>
      </c>
      <c r="E1645" s="213" t="s">
        <v>533</v>
      </c>
      <c r="F1645" s="213" t="s">
        <v>534</v>
      </c>
      <c r="G1645" s="613" t="s">
        <v>373</v>
      </c>
      <c r="H1645" s="213" t="s">
        <v>535</v>
      </c>
      <c r="I1645" s="213"/>
      <c r="J1645" s="213" t="s">
        <v>382</v>
      </c>
      <c r="K1645" s="213"/>
      <c r="L1645" s="213"/>
      <c r="M1645" s="213"/>
      <c r="N1645" s="213"/>
      <c r="O1645" s="213"/>
      <c r="P1645" s="213"/>
      <c r="Q1645" s="213"/>
      <c r="R1645" s="213"/>
      <c r="S1645" s="213" t="s">
        <v>550</v>
      </c>
      <c r="T1645" s="213"/>
      <c r="U1645" s="213" t="s">
        <v>538</v>
      </c>
      <c r="V1645" s="213">
        <v>1</v>
      </c>
      <c r="W1645" s="213" t="s">
        <v>560</v>
      </c>
      <c r="X1645" s="213" t="s">
        <v>541</v>
      </c>
      <c r="Y1645" s="213" t="s">
        <v>541</v>
      </c>
      <c r="Z1645" s="212">
        <v>0</v>
      </c>
      <c r="AA1645" s="212">
        <v>0</v>
      </c>
      <c r="AB1645" s="217">
        <v>0.279254</v>
      </c>
      <c r="AC1645" s="217">
        <v>0.44941700000000001</v>
      </c>
      <c r="AD1645" s="212">
        <f t="shared" si="25"/>
        <v>0</v>
      </c>
    </row>
    <row r="1646" spans="2:30" x14ac:dyDescent="0.15">
      <c r="B1646" s="213">
        <v>17097009406</v>
      </c>
      <c r="C1646" s="213">
        <v>17097004562</v>
      </c>
      <c r="D1646" s="213">
        <v>17097007517</v>
      </c>
      <c r="E1646" s="213" t="s">
        <v>533</v>
      </c>
      <c r="F1646" s="213" t="s">
        <v>534</v>
      </c>
      <c r="G1646" s="613" t="s">
        <v>373</v>
      </c>
      <c r="H1646" s="213" t="s">
        <v>535</v>
      </c>
      <c r="I1646" s="213"/>
      <c r="J1646" s="213" t="s">
        <v>547</v>
      </c>
      <c r="K1646" s="213"/>
      <c r="L1646" s="213"/>
      <c r="M1646" s="213"/>
      <c r="N1646" s="213"/>
      <c r="O1646" s="213"/>
      <c r="P1646" s="213"/>
      <c r="Q1646" s="213"/>
      <c r="R1646" s="213"/>
      <c r="S1646" s="213" t="s">
        <v>548</v>
      </c>
      <c r="T1646" s="213"/>
      <c r="U1646" s="213" t="s">
        <v>538</v>
      </c>
      <c r="V1646" s="213">
        <v>1</v>
      </c>
      <c r="W1646" s="213" t="s">
        <v>545</v>
      </c>
      <c r="X1646" s="213" t="s">
        <v>549</v>
      </c>
      <c r="Y1646" s="213" t="s">
        <v>546</v>
      </c>
      <c r="Z1646" s="212">
        <v>662157</v>
      </c>
      <c r="AA1646" s="212">
        <v>30342002</v>
      </c>
      <c r="AB1646" s="217">
        <v>0.243561</v>
      </c>
      <c r="AC1646" s="217">
        <v>0.39197500000000002</v>
      </c>
      <c r="AD1646" s="212">
        <f t="shared" si="25"/>
        <v>7390128.3491219999</v>
      </c>
    </row>
    <row r="1647" spans="2:30" x14ac:dyDescent="0.15">
      <c r="B1647" s="213">
        <v>17111001983</v>
      </c>
      <c r="C1647" s="213">
        <v>17111000148</v>
      </c>
      <c r="D1647" s="213">
        <v>17111004842</v>
      </c>
      <c r="E1647" s="213" t="s">
        <v>533</v>
      </c>
      <c r="F1647" s="213" t="s">
        <v>534</v>
      </c>
      <c r="G1647" s="613" t="s">
        <v>375</v>
      </c>
      <c r="H1647" s="213" t="s">
        <v>382</v>
      </c>
      <c r="I1647" s="614"/>
      <c r="J1647" s="213"/>
      <c r="K1647" s="213"/>
      <c r="L1647" s="213"/>
      <c r="M1647" s="213"/>
      <c r="N1647" s="213"/>
      <c r="O1647" s="213"/>
      <c r="P1647" s="213"/>
      <c r="Q1647" s="213"/>
      <c r="R1647" s="213"/>
      <c r="S1647" s="213" t="s">
        <v>561</v>
      </c>
      <c r="T1647" s="213"/>
      <c r="U1647" s="213" t="s">
        <v>538</v>
      </c>
      <c r="V1647" s="213">
        <v>1</v>
      </c>
      <c r="W1647" s="213" t="s">
        <v>562</v>
      </c>
      <c r="X1647" s="213" t="s">
        <v>540</v>
      </c>
      <c r="Y1647" s="213" t="s">
        <v>541</v>
      </c>
      <c r="Z1647" s="212">
        <v>26464</v>
      </c>
      <c r="AA1647" s="212">
        <v>624580</v>
      </c>
      <c r="AB1647" s="217">
        <v>3.662531</v>
      </c>
      <c r="AC1647" s="217">
        <v>5.8942839999999999</v>
      </c>
      <c r="AD1647" s="212">
        <f t="shared" si="25"/>
        <v>2287543.61198</v>
      </c>
    </row>
    <row r="1648" spans="2:30" x14ac:dyDescent="0.15">
      <c r="B1648" s="213">
        <v>17111002556</v>
      </c>
      <c r="C1648" s="213">
        <v>17111000152</v>
      </c>
      <c r="D1648" s="213">
        <v>17111000148</v>
      </c>
      <c r="E1648" s="213" t="s">
        <v>533</v>
      </c>
      <c r="F1648" s="213" t="s">
        <v>534</v>
      </c>
      <c r="G1648" s="613" t="s">
        <v>375</v>
      </c>
      <c r="H1648" s="613" t="s">
        <v>382</v>
      </c>
      <c r="I1648" s="621"/>
      <c r="J1648" s="612"/>
      <c r="K1648" s="213"/>
      <c r="L1648" s="213"/>
      <c r="M1648" s="213"/>
      <c r="N1648" s="213"/>
      <c r="O1648" s="213"/>
      <c r="P1648" s="213"/>
      <c r="Q1648" s="213"/>
      <c r="R1648" s="213"/>
      <c r="S1648" s="213" t="s">
        <v>561</v>
      </c>
      <c r="T1648" s="213"/>
      <c r="U1648" s="213" t="s">
        <v>538</v>
      </c>
      <c r="V1648" s="213">
        <v>1</v>
      </c>
      <c r="W1648" s="213" t="s">
        <v>562</v>
      </c>
      <c r="X1648" s="213" t="s">
        <v>540</v>
      </c>
      <c r="Y1648" s="213" t="s">
        <v>541</v>
      </c>
      <c r="Z1648" s="212">
        <v>26464</v>
      </c>
      <c r="AA1648" s="212">
        <v>624580</v>
      </c>
      <c r="AB1648" s="217">
        <v>0.12873200000000001</v>
      </c>
      <c r="AC1648" s="217">
        <v>0.207174</v>
      </c>
      <c r="AD1648" s="212">
        <f t="shared" si="25"/>
        <v>80403.432560000001</v>
      </c>
    </row>
    <row r="1649" spans="2:30" x14ac:dyDescent="0.15">
      <c r="B1649" s="213">
        <v>17111002557</v>
      </c>
      <c r="C1649" s="213">
        <v>17111000158</v>
      </c>
      <c r="D1649" s="213">
        <v>17111000154</v>
      </c>
      <c r="E1649" s="213" t="s">
        <v>533</v>
      </c>
      <c r="F1649" s="213" t="s">
        <v>534</v>
      </c>
      <c r="G1649" s="613" t="s">
        <v>375</v>
      </c>
      <c r="H1649" s="613" t="s">
        <v>678</v>
      </c>
      <c r="I1649" s="618"/>
      <c r="J1649" s="612"/>
      <c r="K1649" s="213"/>
      <c r="L1649" s="213"/>
      <c r="M1649" s="213"/>
      <c r="N1649" s="213"/>
      <c r="O1649" s="213"/>
      <c r="P1649" s="213"/>
      <c r="Q1649" s="213"/>
      <c r="R1649" s="213"/>
      <c r="S1649" s="213"/>
      <c r="T1649" s="213"/>
      <c r="U1649" s="213" t="s">
        <v>538</v>
      </c>
      <c r="V1649" s="213">
        <v>1</v>
      </c>
      <c r="W1649" s="213" t="s">
        <v>560</v>
      </c>
      <c r="X1649" s="213" t="s">
        <v>541</v>
      </c>
      <c r="Y1649" s="213" t="s">
        <v>541</v>
      </c>
      <c r="Z1649" s="212">
        <v>0</v>
      </c>
      <c r="AA1649" s="212">
        <v>0</v>
      </c>
      <c r="AB1649" s="217">
        <v>0.473055</v>
      </c>
      <c r="AC1649" s="217">
        <v>0.76130900000000001</v>
      </c>
      <c r="AD1649" s="212">
        <f t="shared" si="25"/>
        <v>0</v>
      </c>
    </row>
    <row r="1650" spans="2:30" x14ac:dyDescent="0.15">
      <c r="B1650" s="213">
        <v>17111005926</v>
      </c>
      <c r="C1650" s="213">
        <v>17111000039</v>
      </c>
      <c r="D1650" s="213">
        <v>17111000040</v>
      </c>
      <c r="E1650" s="213" t="s">
        <v>533</v>
      </c>
      <c r="F1650" s="213" t="s">
        <v>534</v>
      </c>
      <c r="G1650" s="213" t="s">
        <v>375</v>
      </c>
      <c r="H1650" s="613" t="s">
        <v>636</v>
      </c>
      <c r="I1650" s="619"/>
      <c r="J1650" s="612"/>
      <c r="K1650" s="213"/>
      <c r="L1650" s="213"/>
      <c r="M1650" s="213"/>
      <c r="N1650" s="213"/>
      <c r="O1650" s="213"/>
      <c r="P1650" s="213"/>
      <c r="Q1650" s="213"/>
      <c r="R1650" s="213"/>
      <c r="S1650" s="213"/>
      <c r="T1650" s="213"/>
      <c r="U1650" s="213" t="s">
        <v>538</v>
      </c>
      <c r="V1650" s="213">
        <v>1</v>
      </c>
      <c r="W1650" s="213" t="s">
        <v>560</v>
      </c>
      <c r="X1650" s="213" t="s">
        <v>637</v>
      </c>
      <c r="Y1650" s="213" t="s">
        <v>541</v>
      </c>
      <c r="Z1650" s="212">
        <v>0</v>
      </c>
      <c r="AA1650" s="212">
        <v>0</v>
      </c>
      <c r="AB1650" s="217">
        <v>0.16050800000000001</v>
      </c>
      <c r="AC1650" s="217">
        <v>0.25831300000000001</v>
      </c>
      <c r="AD1650" s="212">
        <f t="shared" si="25"/>
        <v>0</v>
      </c>
    </row>
    <row r="1651" spans="2:30" x14ac:dyDescent="0.15">
      <c r="B1651" s="213">
        <v>17197002057</v>
      </c>
      <c r="C1651" s="213">
        <v>17197001773</v>
      </c>
      <c r="D1651" s="213">
        <v>17197001753</v>
      </c>
      <c r="E1651" s="213" t="s">
        <v>533</v>
      </c>
      <c r="F1651" s="213" t="s">
        <v>534</v>
      </c>
      <c r="G1651" s="213" t="s">
        <v>377</v>
      </c>
      <c r="H1651" s="620" t="s">
        <v>382</v>
      </c>
      <c r="I1651" s="623"/>
      <c r="J1651" s="612" t="s">
        <v>542</v>
      </c>
      <c r="K1651" s="213"/>
      <c r="L1651" s="213"/>
      <c r="M1651" s="213"/>
      <c r="N1651" s="213"/>
      <c r="O1651" s="213"/>
      <c r="P1651" s="213"/>
      <c r="Q1651" s="213"/>
      <c r="R1651" s="213"/>
      <c r="S1651" s="213" t="s">
        <v>606</v>
      </c>
      <c r="T1651" s="213"/>
      <c r="U1651" s="213" t="s">
        <v>538</v>
      </c>
      <c r="V1651" s="213">
        <v>1</v>
      </c>
      <c r="W1651" s="213" t="s">
        <v>545</v>
      </c>
      <c r="X1651" s="213" t="s">
        <v>549</v>
      </c>
      <c r="Y1651" s="213" t="s">
        <v>541</v>
      </c>
      <c r="Z1651" s="212">
        <v>0</v>
      </c>
      <c r="AA1651" s="212">
        <v>0</v>
      </c>
      <c r="AB1651" s="217">
        <v>1.969776</v>
      </c>
      <c r="AC1651" s="217">
        <v>3.1700529999999998</v>
      </c>
      <c r="AD1651" s="212">
        <f t="shared" si="25"/>
        <v>0</v>
      </c>
    </row>
    <row r="1652" spans="2:30" x14ac:dyDescent="0.15">
      <c r="B1652" s="213">
        <v>17197002276</v>
      </c>
      <c r="C1652" s="213">
        <v>17197001588</v>
      </c>
      <c r="D1652" s="213">
        <v>17197004805</v>
      </c>
      <c r="E1652" s="213" t="s">
        <v>533</v>
      </c>
      <c r="F1652" s="213" t="s">
        <v>534</v>
      </c>
      <c r="G1652" s="613" t="s">
        <v>377</v>
      </c>
      <c r="H1652" s="613" t="s">
        <v>535</v>
      </c>
      <c r="I1652" s="617"/>
      <c r="J1652" s="612" t="s">
        <v>382</v>
      </c>
      <c r="K1652" s="213"/>
      <c r="L1652" s="213"/>
      <c r="M1652" s="213"/>
      <c r="N1652" s="213"/>
      <c r="O1652" s="213"/>
      <c r="P1652" s="213"/>
      <c r="Q1652" s="213"/>
      <c r="R1652" s="213"/>
      <c r="S1652" s="213" t="s">
        <v>601</v>
      </c>
      <c r="T1652" s="213"/>
      <c r="U1652" s="213" t="s">
        <v>538</v>
      </c>
      <c r="V1652" s="213">
        <v>1</v>
      </c>
      <c r="W1652" s="213" t="s">
        <v>582</v>
      </c>
      <c r="X1652" s="213" t="s">
        <v>540</v>
      </c>
      <c r="Y1652" s="213" t="s">
        <v>540</v>
      </c>
      <c r="Z1652" s="212">
        <v>3400</v>
      </c>
      <c r="AA1652" s="212">
        <v>309800</v>
      </c>
      <c r="AB1652" s="217">
        <v>0.83191999999999999</v>
      </c>
      <c r="AC1652" s="217">
        <v>1.3388469999999999</v>
      </c>
      <c r="AD1652" s="212">
        <f t="shared" si="25"/>
        <v>257728.81599999999</v>
      </c>
    </row>
    <row r="1653" spans="2:30" x14ac:dyDescent="0.15">
      <c r="B1653" s="213">
        <v>17197002627</v>
      </c>
      <c r="C1653" s="213">
        <v>17197001569</v>
      </c>
      <c r="D1653" s="213">
        <v>17197001555</v>
      </c>
      <c r="E1653" s="213" t="s">
        <v>533</v>
      </c>
      <c r="F1653" s="213" t="s">
        <v>534</v>
      </c>
      <c r="G1653" s="613" t="s">
        <v>377</v>
      </c>
      <c r="H1653" s="613" t="s">
        <v>551</v>
      </c>
      <c r="I1653" s="618"/>
      <c r="J1653" s="612" t="s">
        <v>535</v>
      </c>
      <c r="K1653" s="213" t="s">
        <v>615</v>
      </c>
      <c r="L1653" s="213"/>
      <c r="M1653" s="213"/>
      <c r="N1653" s="213"/>
      <c r="O1653" s="213"/>
      <c r="P1653" s="213"/>
      <c r="Q1653" s="213"/>
      <c r="R1653" s="213"/>
      <c r="S1653" s="213" t="s">
        <v>663</v>
      </c>
      <c r="T1653" s="213"/>
      <c r="U1653" s="213" t="s">
        <v>538</v>
      </c>
      <c r="V1653" s="213">
        <v>1</v>
      </c>
      <c r="W1653" s="213" t="s">
        <v>539</v>
      </c>
      <c r="X1653" s="213" t="s">
        <v>554</v>
      </c>
      <c r="Y1653" s="213" t="s">
        <v>540</v>
      </c>
      <c r="Z1653" s="212">
        <v>102461</v>
      </c>
      <c r="AA1653" s="212">
        <v>9930274</v>
      </c>
      <c r="AB1653" s="217">
        <v>0.80666700000000002</v>
      </c>
      <c r="AC1653" s="217">
        <v>1.2982070000000001</v>
      </c>
      <c r="AD1653" s="212">
        <f t="shared" si="25"/>
        <v>8010424.3367579998</v>
      </c>
    </row>
    <row r="1654" spans="2:30" x14ac:dyDescent="0.15">
      <c r="B1654" s="213">
        <v>17197003105</v>
      </c>
      <c r="C1654" s="213">
        <v>17197004794</v>
      </c>
      <c r="D1654" s="213">
        <v>17197007436</v>
      </c>
      <c r="E1654" s="213" t="s">
        <v>533</v>
      </c>
      <c r="F1654" s="213" t="s">
        <v>534</v>
      </c>
      <c r="G1654" s="613" t="s">
        <v>377</v>
      </c>
      <c r="H1654" s="613" t="s">
        <v>535</v>
      </c>
      <c r="I1654" s="618"/>
      <c r="J1654" s="612" t="s">
        <v>382</v>
      </c>
      <c r="K1654" s="213" t="s">
        <v>536</v>
      </c>
      <c r="L1654" s="213"/>
      <c r="M1654" s="213"/>
      <c r="N1654" s="213"/>
      <c r="O1654" s="213"/>
      <c r="P1654" s="213"/>
      <c r="Q1654" s="213"/>
      <c r="R1654" s="213"/>
      <c r="S1654" s="213" t="s">
        <v>537</v>
      </c>
      <c r="T1654" s="213"/>
      <c r="U1654" s="213" t="s">
        <v>538</v>
      </c>
      <c r="V1654" s="213">
        <v>2</v>
      </c>
      <c r="W1654" s="213" t="s">
        <v>545</v>
      </c>
      <c r="X1654" s="213" t="s">
        <v>549</v>
      </c>
      <c r="Y1654" s="213" t="s">
        <v>540</v>
      </c>
      <c r="Z1654" s="212">
        <v>26829</v>
      </c>
      <c r="AA1654" s="212">
        <v>2434428</v>
      </c>
      <c r="AB1654" s="217">
        <v>2.6848030000000001</v>
      </c>
      <c r="AC1654" s="217">
        <v>4.3207810000000002</v>
      </c>
      <c r="AD1654" s="212">
        <f t="shared" si="25"/>
        <v>6535959.5976839997</v>
      </c>
    </row>
    <row r="1655" spans="2:30" x14ac:dyDescent="0.15">
      <c r="B1655" s="213">
        <v>17197003169</v>
      </c>
      <c r="C1655" s="213">
        <v>17197006628</v>
      </c>
      <c r="D1655" s="213">
        <v>17197001466</v>
      </c>
      <c r="E1655" s="213" t="s">
        <v>533</v>
      </c>
      <c r="F1655" s="213" t="s">
        <v>534</v>
      </c>
      <c r="G1655" s="613" t="s">
        <v>377</v>
      </c>
      <c r="H1655" s="613" t="s">
        <v>535</v>
      </c>
      <c r="I1655" s="624"/>
      <c r="J1655" s="615"/>
      <c r="K1655" s="213"/>
      <c r="L1655" s="213"/>
      <c r="M1655" s="213"/>
      <c r="N1655" s="213"/>
      <c r="O1655" s="213"/>
      <c r="P1655" s="213"/>
      <c r="Q1655" s="213"/>
      <c r="R1655" s="213"/>
      <c r="S1655" s="213"/>
      <c r="T1655" s="213" t="s">
        <v>596</v>
      </c>
      <c r="U1655" s="213" t="s">
        <v>559</v>
      </c>
      <c r="V1655" s="213">
        <v>1</v>
      </c>
      <c r="W1655" s="213" t="s">
        <v>560</v>
      </c>
      <c r="X1655" s="213" t="s">
        <v>541</v>
      </c>
      <c r="Y1655" s="213" t="s">
        <v>541</v>
      </c>
      <c r="Z1655" s="212">
        <v>32280</v>
      </c>
      <c r="AA1655" s="212">
        <v>528640</v>
      </c>
      <c r="AB1655" s="217">
        <v>0.275036</v>
      </c>
      <c r="AC1655" s="217">
        <v>0.44262800000000002</v>
      </c>
      <c r="AD1655" s="212">
        <f t="shared" si="25"/>
        <v>145395.03104</v>
      </c>
    </row>
    <row r="1656" spans="2:30" x14ac:dyDescent="0.15">
      <c r="B1656" s="213">
        <v>17197003327</v>
      </c>
      <c r="C1656" s="213">
        <v>17999024193</v>
      </c>
      <c r="D1656" s="213">
        <v>17197004792</v>
      </c>
      <c r="E1656" s="213" t="s">
        <v>533</v>
      </c>
      <c r="F1656" s="213" t="s">
        <v>534</v>
      </c>
      <c r="G1656" s="213" t="s">
        <v>377</v>
      </c>
      <c r="H1656" s="613" t="s">
        <v>535</v>
      </c>
      <c r="I1656" s="617"/>
      <c r="J1656" s="625" t="s">
        <v>382</v>
      </c>
      <c r="K1656" s="612" t="s">
        <v>536</v>
      </c>
      <c r="L1656" s="213"/>
      <c r="M1656" s="213"/>
      <c r="N1656" s="213"/>
      <c r="O1656" s="213"/>
      <c r="P1656" s="213"/>
      <c r="Q1656" s="213"/>
      <c r="R1656" s="213"/>
      <c r="S1656" s="213" t="s">
        <v>537</v>
      </c>
      <c r="T1656" s="213"/>
      <c r="U1656" s="213" t="s">
        <v>538</v>
      </c>
      <c r="V1656" s="213">
        <v>1</v>
      </c>
      <c r="W1656" s="213" t="s">
        <v>545</v>
      </c>
      <c r="X1656" s="213" t="s">
        <v>549</v>
      </c>
      <c r="Y1656" s="213" t="s">
        <v>540</v>
      </c>
      <c r="Z1656" s="212">
        <v>26869</v>
      </c>
      <c r="AA1656" s="212">
        <v>2438308</v>
      </c>
      <c r="AB1656" s="217">
        <v>2.4914700000000001</v>
      </c>
      <c r="AC1656" s="217">
        <v>4.0096410000000002</v>
      </c>
      <c r="AD1656" s="212">
        <f t="shared" si="25"/>
        <v>6074971.23276</v>
      </c>
    </row>
    <row r="1657" spans="2:30" x14ac:dyDescent="0.15">
      <c r="B1657" s="213">
        <v>17197003396</v>
      </c>
      <c r="C1657" s="213">
        <v>17197001640</v>
      </c>
      <c r="D1657" s="213">
        <v>17197001637</v>
      </c>
      <c r="E1657" s="213" t="s">
        <v>533</v>
      </c>
      <c r="F1657" s="213" t="s">
        <v>534</v>
      </c>
      <c r="G1657" s="213" t="s">
        <v>377</v>
      </c>
      <c r="H1657" s="613" t="s">
        <v>382</v>
      </c>
      <c r="I1657" s="619"/>
      <c r="J1657" s="622" t="s">
        <v>542</v>
      </c>
      <c r="K1657" s="612"/>
      <c r="L1657" s="213"/>
      <c r="M1657" s="213"/>
      <c r="N1657" s="213"/>
      <c r="O1657" s="213"/>
      <c r="P1657" s="213"/>
      <c r="Q1657" s="213"/>
      <c r="R1657" s="213"/>
      <c r="S1657" s="213" t="s">
        <v>606</v>
      </c>
      <c r="T1657" s="213"/>
      <c r="U1657" s="213" t="s">
        <v>538</v>
      </c>
      <c r="V1657" s="213">
        <v>1</v>
      </c>
      <c r="W1657" s="213" t="s">
        <v>545</v>
      </c>
      <c r="X1657" s="213" t="s">
        <v>549</v>
      </c>
      <c r="Y1657" s="213" t="s">
        <v>541</v>
      </c>
      <c r="Z1657" s="212">
        <v>80</v>
      </c>
      <c r="AA1657" s="212">
        <v>7600</v>
      </c>
      <c r="AB1657" s="217">
        <v>0.21731</v>
      </c>
      <c r="AC1657" s="217">
        <v>0.34972799999999998</v>
      </c>
      <c r="AD1657" s="212">
        <f t="shared" si="25"/>
        <v>1651.556</v>
      </c>
    </row>
    <row r="1658" spans="2:30" x14ac:dyDescent="0.15">
      <c r="B1658" s="213">
        <v>17197004192</v>
      </c>
      <c r="C1658" s="213">
        <v>17197001481</v>
      </c>
      <c r="D1658" s="213">
        <v>17197001479</v>
      </c>
      <c r="E1658" s="213" t="s">
        <v>533</v>
      </c>
      <c r="F1658" s="213" t="s">
        <v>534</v>
      </c>
      <c r="G1658" s="213" t="s">
        <v>377</v>
      </c>
      <c r="H1658" s="613" t="s">
        <v>535</v>
      </c>
      <c r="I1658" s="626"/>
      <c r="J1658" s="627" t="s">
        <v>382</v>
      </c>
      <c r="K1658" s="612" t="s">
        <v>536</v>
      </c>
      <c r="L1658" s="213"/>
      <c r="M1658" s="213"/>
      <c r="N1658" s="213"/>
      <c r="O1658" s="213"/>
      <c r="P1658" s="213"/>
      <c r="Q1658" s="213"/>
      <c r="R1658" s="213"/>
      <c r="S1658" s="213" t="s">
        <v>537</v>
      </c>
      <c r="T1658" s="213"/>
      <c r="U1658" s="213" t="s">
        <v>538</v>
      </c>
      <c r="V1658" s="213">
        <v>2</v>
      </c>
      <c r="W1658" s="213" t="s">
        <v>539</v>
      </c>
      <c r="X1658" s="213" t="s">
        <v>541</v>
      </c>
      <c r="Y1658" s="213" t="s">
        <v>540</v>
      </c>
      <c r="Z1658" s="212">
        <v>26109</v>
      </c>
      <c r="AA1658" s="212">
        <v>2389028</v>
      </c>
      <c r="AB1658" s="217">
        <v>0.104475</v>
      </c>
      <c r="AC1658" s="217">
        <v>0.16813600000000001</v>
      </c>
      <c r="AD1658" s="212">
        <f t="shared" si="25"/>
        <v>249593.7003</v>
      </c>
    </row>
    <row r="1659" spans="2:30" x14ac:dyDescent="0.15">
      <c r="B1659" s="213">
        <v>17197004221</v>
      </c>
      <c r="C1659" s="213">
        <v>17197004805</v>
      </c>
      <c r="D1659" s="213">
        <v>17197001537</v>
      </c>
      <c r="E1659" s="213" t="s">
        <v>533</v>
      </c>
      <c r="F1659" s="213" t="s">
        <v>534</v>
      </c>
      <c r="G1659" s="213" t="s">
        <v>377</v>
      </c>
      <c r="H1659" s="213" t="s">
        <v>535</v>
      </c>
      <c r="I1659" s="616"/>
      <c r="J1659" s="616" t="s">
        <v>382</v>
      </c>
      <c r="K1659" s="213"/>
      <c r="L1659" s="213"/>
      <c r="M1659" s="213"/>
      <c r="N1659" s="213"/>
      <c r="O1659" s="213"/>
      <c r="P1659" s="213"/>
      <c r="Q1659" s="213"/>
      <c r="R1659" s="213"/>
      <c r="S1659" s="213" t="s">
        <v>601</v>
      </c>
      <c r="T1659" s="213"/>
      <c r="U1659" s="213" t="s">
        <v>538</v>
      </c>
      <c r="V1659" s="213">
        <v>1</v>
      </c>
      <c r="W1659" s="213" t="s">
        <v>582</v>
      </c>
      <c r="X1659" s="213" t="s">
        <v>540</v>
      </c>
      <c r="Y1659" s="213" t="s">
        <v>540</v>
      </c>
      <c r="Z1659" s="212">
        <v>3400</v>
      </c>
      <c r="AA1659" s="212">
        <v>309800</v>
      </c>
      <c r="AB1659" s="217">
        <v>1.8870100000000001</v>
      </c>
      <c r="AC1659" s="217">
        <v>3.0368539999999999</v>
      </c>
      <c r="AD1659" s="212">
        <f t="shared" si="25"/>
        <v>584595.69799999997</v>
      </c>
    </row>
    <row r="1660" spans="2:30" x14ac:dyDescent="0.15">
      <c r="B1660" s="213">
        <v>17197005325</v>
      </c>
      <c r="C1660" s="213">
        <v>17197007391</v>
      </c>
      <c r="D1660" s="213">
        <v>17197001618</v>
      </c>
      <c r="E1660" s="213" t="s">
        <v>533</v>
      </c>
      <c r="F1660" s="213" t="s">
        <v>534</v>
      </c>
      <c r="G1660" s="213" t="s">
        <v>377</v>
      </c>
      <c r="H1660" s="213" t="s">
        <v>535</v>
      </c>
      <c r="I1660" s="213"/>
      <c r="J1660" s="213" t="s">
        <v>382</v>
      </c>
      <c r="K1660" s="213"/>
      <c r="L1660" s="213"/>
      <c r="M1660" s="213"/>
      <c r="N1660" s="213"/>
      <c r="O1660" s="213"/>
      <c r="P1660" s="213"/>
      <c r="Q1660" s="213"/>
      <c r="R1660" s="213"/>
      <c r="S1660" s="213"/>
      <c r="T1660" s="213"/>
      <c r="U1660" s="213" t="s">
        <v>559</v>
      </c>
      <c r="V1660" s="213">
        <v>1</v>
      </c>
      <c r="W1660" s="213" t="s">
        <v>560</v>
      </c>
      <c r="X1660" s="213" t="s">
        <v>541</v>
      </c>
      <c r="Y1660" s="213" t="s">
        <v>541</v>
      </c>
      <c r="Z1660" s="212">
        <v>0</v>
      </c>
      <c r="AA1660" s="212">
        <v>0</v>
      </c>
      <c r="AB1660" s="217">
        <v>0.84811499999999995</v>
      </c>
      <c r="AC1660" s="217">
        <v>1.364911</v>
      </c>
      <c r="AD1660" s="212">
        <f t="shared" si="25"/>
        <v>0</v>
      </c>
    </row>
    <row r="1661" spans="2:30" x14ac:dyDescent="0.15">
      <c r="B1661" s="213">
        <v>17197005362</v>
      </c>
      <c r="C1661" s="213">
        <v>17197001702</v>
      </c>
      <c r="D1661" s="213">
        <v>17197001698</v>
      </c>
      <c r="E1661" s="213" t="s">
        <v>533</v>
      </c>
      <c r="F1661" s="213" t="s">
        <v>534</v>
      </c>
      <c r="G1661" s="213" t="s">
        <v>377</v>
      </c>
      <c r="H1661" s="213" t="s">
        <v>381</v>
      </c>
      <c r="I1661" s="213"/>
      <c r="J1661" s="213" t="s">
        <v>382</v>
      </c>
      <c r="K1661" s="213"/>
      <c r="L1661" s="213"/>
      <c r="M1661" s="213"/>
      <c r="N1661" s="213"/>
      <c r="O1661" s="213"/>
      <c r="P1661" s="213"/>
      <c r="Q1661" s="213"/>
      <c r="R1661" s="213"/>
      <c r="S1661" s="213" t="s">
        <v>647</v>
      </c>
      <c r="T1661" s="213"/>
      <c r="U1661" s="213" t="s">
        <v>538</v>
      </c>
      <c r="V1661" s="213">
        <v>1</v>
      </c>
      <c r="W1661" s="213" t="s">
        <v>582</v>
      </c>
      <c r="X1661" s="213" t="s">
        <v>549</v>
      </c>
      <c r="Y1661" s="213" t="s">
        <v>580</v>
      </c>
      <c r="Z1661" s="212">
        <v>982386</v>
      </c>
      <c r="AA1661" s="212">
        <v>28962620</v>
      </c>
      <c r="AB1661" s="217">
        <v>0.94623500000000005</v>
      </c>
      <c r="AC1661" s="217">
        <v>1.522821</v>
      </c>
      <c r="AD1661" s="212">
        <f t="shared" si="25"/>
        <v>27405444.7357</v>
      </c>
    </row>
    <row r="1662" spans="2:30" x14ac:dyDescent="0.15">
      <c r="B1662" s="213">
        <v>17197005427</v>
      </c>
      <c r="C1662" s="213">
        <v>17999025728</v>
      </c>
      <c r="D1662" s="213">
        <v>17197001658</v>
      </c>
      <c r="E1662" s="213" t="s">
        <v>533</v>
      </c>
      <c r="F1662" s="213" t="s">
        <v>534</v>
      </c>
      <c r="G1662" s="213" t="s">
        <v>377</v>
      </c>
      <c r="H1662" s="213" t="s">
        <v>381</v>
      </c>
      <c r="I1662" s="213"/>
      <c r="J1662" s="213" t="s">
        <v>382</v>
      </c>
      <c r="K1662" s="213"/>
      <c r="L1662" s="213"/>
      <c r="M1662" s="213"/>
      <c r="N1662" s="213"/>
      <c r="O1662" s="213"/>
      <c r="P1662" s="213"/>
      <c r="Q1662" s="213"/>
      <c r="R1662" s="213"/>
      <c r="S1662" s="213" t="s">
        <v>647</v>
      </c>
      <c r="T1662" s="213"/>
      <c r="U1662" s="213" t="s">
        <v>538</v>
      </c>
      <c r="V1662" s="213">
        <v>1</v>
      </c>
      <c r="W1662" s="213" t="s">
        <v>582</v>
      </c>
      <c r="X1662" s="213" t="s">
        <v>549</v>
      </c>
      <c r="Y1662" s="213" t="s">
        <v>580</v>
      </c>
      <c r="Z1662" s="212">
        <v>3270</v>
      </c>
      <c r="AA1662" s="212">
        <v>267265</v>
      </c>
      <c r="AB1662" s="217">
        <v>5.1740190000000004</v>
      </c>
      <c r="AC1662" s="217">
        <v>8.3267930000000003</v>
      </c>
      <c r="AD1662" s="212">
        <f t="shared" si="25"/>
        <v>1382834.1880350001</v>
      </c>
    </row>
    <row r="1663" spans="2:30" x14ac:dyDescent="0.15">
      <c r="B1663" s="213">
        <v>17197006550</v>
      </c>
      <c r="C1663" s="213">
        <v>17197004511</v>
      </c>
      <c r="D1663" s="213">
        <v>17197004512</v>
      </c>
      <c r="E1663" s="213" t="s">
        <v>533</v>
      </c>
      <c r="F1663" s="213" t="s">
        <v>534</v>
      </c>
      <c r="G1663" s="213" t="s">
        <v>377</v>
      </c>
      <c r="H1663" s="213" t="s">
        <v>381</v>
      </c>
      <c r="I1663" s="213"/>
      <c r="J1663" s="213" t="s">
        <v>382</v>
      </c>
      <c r="K1663" s="213"/>
      <c r="L1663" s="213"/>
      <c r="M1663" s="213"/>
      <c r="N1663" s="213"/>
      <c r="O1663" s="213"/>
      <c r="P1663" s="213"/>
      <c r="Q1663" s="213"/>
      <c r="R1663" s="213"/>
      <c r="S1663" s="213" t="s">
        <v>651</v>
      </c>
      <c r="T1663" s="213"/>
      <c r="U1663" s="213" t="s">
        <v>559</v>
      </c>
      <c r="V1663" s="213">
        <v>1</v>
      </c>
      <c r="W1663" s="213" t="s">
        <v>539</v>
      </c>
      <c r="X1663" s="213" t="s">
        <v>541</v>
      </c>
      <c r="Y1663" s="213" t="s">
        <v>541</v>
      </c>
      <c r="Z1663" s="212">
        <v>223880</v>
      </c>
      <c r="AA1663" s="212">
        <v>2779720</v>
      </c>
      <c r="AB1663" s="217">
        <v>0.58162700000000001</v>
      </c>
      <c r="AC1663" s="217">
        <v>0.93603999999999998</v>
      </c>
      <c r="AD1663" s="212">
        <f t="shared" si="25"/>
        <v>1616760.20444</v>
      </c>
    </row>
    <row r="1664" spans="2:30" x14ac:dyDescent="0.15">
      <c r="B1664" s="213">
        <v>17197007046</v>
      </c>
      <c r="C1664" s="213">
        <v>17197005595</v>
      </c>
      <c r="D1664" s="213">
        <v>17197005592</v>
      </c>
      <c r="E1664" s="213" t="s">
        <v>533</v>
      </c>
      <c r="F1664" s="213" t="s">
        <v>534</v>
      </c>
      <c r="G1664" s="213" t="s">
        <v>377</v>
      </c>
      <c r="H1664" s="213" t="s">
        <v>382</v>
      </c>
      <c r="I1664" s="213"/>
      <c r="J1664" s="213"/>
      <c r="K1664" s="213"/>
      <c r="L1664" s="213"/>
      <c r="M1664" s="213"/>
      <c r="N1664" s="213"/>
      <c r="O1664" s="213"/>
      <c r="P1664" s="213"/>
      <c r="Q1664" s="213"/>
      <c r="R1664" s="213"/>
      <c r="S1664" s="213" t="s">
        <v>592</v>
      </c>
      <c r="T1664" s="213"/>
      <c r="U1664" s="213" t="s">
        <v>559</v>
      </c>
      <c r="V1664" s="213">
        <v>1</v>
      </c>
      <c r="W1664" s="213" t="s">
        <v>539</v>
      </c>
      <c r="X1664" s="213" t="s">
        <v>541</v>
      </c>
      <c r="Y1664" s="213" t="s">
        <v>541</v>
      </c>
      <c r="Z1664" s="212">
        <v>0</v>
      </c>
      <c r="AA1664" s="212">
        <v>0</v>
      </c>
      <c r="AB1664" s="217">
        <v>0.27682000000000001</v>
      </c>
      <c r="AC1664" s="217">
        <v>0.44550000000000001</v>
      </c>
      <c r="AD1664" s="212">
        <f t="shared" si="25"/>
        <v>0</v>
      </c>
    </row>
    <row r="1665" spans="2:30" x14ac:dyDescent="0.15">
      <c r="B1665" s="213">
        <v>17197008228</v>
      </c>
      <c r="C1665" s="213">
        <v>17197006586</v>
      </c>
      <c r="D1665" s="213">
        <v>17197004513</v>
      </c>
      <c r="E1665" s="213" t="s">
        <v>533</v>
      </c>
      <c r="F1665" s="213" t="s">
        <v>534</v>
      </c>
      <c r="G1665" s="213" t="s">
        <v>377</v>
      </c>
      <c r="H1665" s="213" t="s">
        <v>381</v>
      </c>
      <c r="I1665" s="213"/>
      <c r="J1665" s="213" t="s">
        <v>382</v>
      </c>
      <c r="K1665" s="213"/>
      <c r="L1665" s="213"/>
      <c r="M1665" s="213"/>
      <c r="N1665" s="213"/>
      <c r="O1665" s="213"/>
      <c r="P1665" s="213"/>
      <c r="Q1665" s="213"/>
      <c r="R1665" s="213"/>
      <c r="S1665" s="213" t="s">
        <v>651</v>
      </c>
      <c r="T1665" s="213" t="s">
        <v>651</v>
      </c>
      <c r="U1665" s="213" t="s">
        <v>559</v>
      </c>
      <c r="V1665" s="213">
        <v>1</v>
      </c>
      <c r="W1665" s="213" t="s">
        <v>539</v>
      </c>
      <c r="X1665" s="213" t="s">
        <v>554</v>
      </c>
      <c r="Y1665" s="213" t="s">
        <v>540</v>
      </c>
      <c r="Z1665" s="212">
        <v>910440</v>
      </c>
      <c r="AA1665" s="212">
        <v>14335680</v>
      </c>
      <c r="AB1665" s="217">
        <v>0.74365199999999998</v>
      </c>
      <c r="AC1665" s="217">
        <v>1.1967950000000001</v>
      </c>
      <c r="AD1665" s="212">
        <f t="shared" si="25"/>
        <v>10660757.103359999</v>
      </c>
    </row>
    <row r="1666" spans="2:30" x14ac:dyDescent="0.15">
      <c r="B1666" s="213">
        <v>17197008948</v>
      </c>
      <c r="C1666" s="213">
        <v>17197007169</v>
      </c>
      <c r="D1666" s="213">
        <v>17999022435</v>
      </c>
      <c r="E1666" s="213" t="s">
        <v>533</v>
      </c>
      <c r="F1666" s="213" t="s">
        <v>534</v>
      </c>
      <c r="G1666" s="213" t="s">
        <v>377</v>
      </c>
      <c r="H1666" s="213" t="s">
        <v>381</v>
      </c>
      <c r="I1666" s="213"/>
      <c r="J1666" s="213" t="s">
        <v>382</v>
      </c>
      <c r="K1666" s="213"/>
      <c r="L1666" s="213"/>
      <c r="M1666" s="213"/>
      <c r="N1666" s="213"/>
      <c r="O1666" s="213"/>
      <c r="P1666" s="213"/>
      <c r="Q1666" s="213"/>
      <c r="R1666" s="213"/>
      <c r="S1666" s="213" t="s">
        <v>647</v>
      </c>
      <c r="T1666" s="213"/>
      <c r="U1666" s="213" t="s">
        <v>538</v>
      </c>
      <c r="V1666" s="213">
        <v>2</v>
      </c>
      <c r="W1666" s="213" t="s">
        <v>545</v>
      </c>
      <c r="X1666" s="213" t="s">
        <v>549</v>
      </c>
      <c r="Y1666" s="213" t="s">
        <v>580</v>
      </c>
      <c r="Z1666" s="212">
        <v>522946</v>
      </c>
      <c r="AA1666" s="212">
        <v>20497490</v>
      </c>
      <c r="AB1666" s="217">
        <v>0.915802</v>
      </c>
      <c r="AC1666" s="217">
        <v>1.473843</v>
      </c>
      <c r="AD1666" s="212">
        <f t="shared" si="25"/>
        <v>18771642.33698</v>
      </c>
    </row>
    <row r="1667" spans="2:30" x14ac:dyDescent="0.15">
      <c r="B1667" s="213">
        <v>17197009282</v>
      </c>
      <c r="C1667" s="213">
        <v>17197001591</v>
      </c>
      <c r="D1667" s="213">
        <v>17197007408</v>
      </c>
      <c r="E1667" s="213" t="s">
        <v>533</v>
      </c>
      <c r="F1667" s="213" t="s">
        <v>534</v>
      </c>
      <c r="G1667" s="213" t="s">
        <v>377</v>
      </c>
      <c r="H1667" s="213" t="s">
        <v>551</v>
      </c>
      <c r="I1667" s="213"/>
      <c r="J1667" s="213" t="s">
        <v>535</v>
      </c>
      <c r="K1667" s="213"/>
      <c r="L1667" s="213"/>
      <c r="M1667" s="213"/>
      <c r="N1667" s="213"/>
      <c r="O1667" s="213"/>
      <c r="P1667" s="213"/>
      <c r="Q1667" s="213"/>
      <c r="R1667" s="213"/>
      <c r="S1667" s="213" t="s">
        <v>594</v>
      </c>
      <c r="T1667" s="213"/>
      <c r="U1667" s="213" t="s">
        <v>559</v>
      </c>
      <c r="V1667" s="213">
        <v>1</v>
      </c>
      <c r="W1667" s="213" t="s">
        <v>560</v>
      </c>
      <c r="X1667" s="213" t="s">
        <v>541</v>
      </c>
      <c r="Y1667" s="213" t="s">
        <v>541</v>
      </c>
      <c r="Z1667" s="212">
        <v>0</v>
      </c>
      <c r="AA1667" s="212">
        <v>0</v>
      </c>
      <c r="AB1667" s="217">
        <v>1.2711479999999999</v>
      </c>
      <c r="AC1667" s="217">
        <v>2.0457179999999999</v>
      </c>
      <c r="AD1667" s="212">
        <f t="shared" si="25"/>
        <v>0</v>
      </c>
    </row>
    <row r="1668" spans="2:30" x14ac:dyDescent="0.15">
      <c r="B1668" s="213">
        <v>17043003098</v>
      </c>
      <c r="C1668" s="213">
        <v>17043000569</v>
      </c>
      <c r="D1668" s="213">
        <v>17043004763</v>
      </c>
      <c r="E1668" s="213" t="s">
        <v>533</v>
      </c>
      <c r="F1668" s="213" t="s">
        <v>534</v>
      </c>
      <c r="G1668" s="213" t="s">
        <v>367</v>
      </c>
      <c r="H1668" s="213" t="s">
        <v>535</v>
      </c>
      <c r="I1668" s="213"/>
      <c r="J1668" s="213" t="s">
        <v>536</v>
      </c>
      <c r="K1668" s="213" t="s">
        <v>382</v>
      </c>
      <c r="L1668" s="213"/>
      <c r="M1668" s="213"/>
      <c r="N1668" s="213"/>
      <c r="O1668" s="213"/>
      <c r="P1668" s="213"/>
      <c r="Q1668" s="213"/>
      <c r="R1668" s="213"/>
      <c r="S1668" s="213" t="s">
        <v>550</v>
      </c>
      <c r="T1668" s="213"/>
      <c r="U1668" s="213" t="s">
        <v>538</v>
      </c>
      <c r="V1668" s="213">
        <v>1</v>
      </c>
      <c r="W1668" s="213" t="s">
        <v>545</v>
      </c>
      <c r="X1668" s="213" t="s">
        <v>541</v>
      </c>
      <c r="Y1668" s="213" t="s">
        <v>540</v>
      </c>
      <c r="Z1668" s="212">
        <v>0</v>
      </c>
      <c r="AA1668" s="212">
        <v>0</v>
      </c>
      <c r="AB1668" s="217">
        <v>0.22248999999999999</v>
      </c>
      <c r="AC1668" s="217">
        <v>0.35806300000000002</v>
      </c>
      <c r="AD1668" s="212">
        <f t="shared" si="25"/>
        <v>0</v>
      </c>
    </row>
    <row r="1669" spans="2:30" x14ac:dyDescent="0.15">
      <c r="B1669" s="213">
        <v>17043006529</v>
      </c>
      <c r="C1669" s="213">
        <v>17043000579</v>
      </c>
      <c r="D1669" s="213">
        <v>17043000569</v>
      </c>
      <c r="E1669" s="213" t="s">
        <v>533</v>
      </c>
      <c r="F1669" s="213" t="s">
        <v>534</v>
      </c>
      <c r="G1669" s="213" t="s">
        <v>367</v>
      </c>
      <c r="H1669" s="213" t="s">
        <v>382</v>
      </c>
      <c r="I1669" s="213"/>
      <c r="J1669" s="213"/>
      <c r="K1669" s="213"/>
      <c r="L1669" s="213"/>
      <c r="M1669" s="213"/>
      <c r="N1669" s="213"/>
      <c r="O1669" s="213"/>
      <c r="P1669" s="213"/>
      <c r="Q1669" s="213"/>
      <c r="R1669" s="213"/>
      <c r="S1669" s="213"/>
      <c r="T1669" s="213"/>
      <c r="U1669" s="213" t="s">
        <v>559</v>
      </c>
      <c r="V1669" s="213">
        <v>1</v>
      </c>
      <c r="W1669" s="213" t="s">
        <v>560</v>
      </c>
      <c r="X1669" s="213" t="s">
        <v>541</v>
      </c>
      <c r="Y1669" s="213" t="s">
        <v>541</v>
      </c>
      <c r="Z1669" s="212">
        <v>0</v>
      </c>
      <c r="AA1669" s="212">
        <v>0</v>
      </c>
      <c r="AB1669" s="217">
        <v>0.329127</v>
      </c>
      <c r="AC1669" s="217">
        <v>0.52968000000000004</v>
      </c>
      <c r="AD1669" s="212">
        <f t="shared" si="25"/>
        <v>0</v>
      </c>
    </row>
    <row r="1670" spans="2:30" x14ac:dyDescent="0.15">
      <c r="B1670" s="213">
        <v>17043009073</v>
      </c>
      <c r="C1670" s="213">
        <v>17043007285</v>
      </c>
      <c r="D1670" s="213">
        <v>17043000569</v>
      </c>
      <c r="E1670" s="213" t="s">
        <v>533</v>
      </c>
      <c r="F1670" s="213" t="s">
        <v>534</v>
      </c>
      <c r="G1670" s="213" t="s">
        <v>367</v>
      </c>
      <c r="H1670" s="213" t="s">
        <v>535</v>
      </c>
      <c r="I1670" s="213"/>
      <c r="J1670" s="213" t="s">
        <v>536</v>
      </c>
      <c r="K1670" s="213" t="s">
        <v>382</v>
      </c>
      <c r="L1670" s="213"/>
      <c r="M1670" s="213"/>
      <c r="N1670" s="213"/>
      <c r="O1670" s="213"/>
      <c r="P1670" s="213"/>
      <c r="Q1670" s="213"/>
      <c r="R1670" s="213"/>
      <c r="S1670" s="213" t="s">
        <v>550</v>
      </c>
      <c r="T1670" s="213"/>
      <c r="U1670" s="213" t="s">
        <v>538</v>
      </c>
      <c r="V1670" s="213">
        <v>1</v>
      </c>
      <c r="W1670" s="213" t="s">
        <v>545</v>
      </c>
      <c r="X1670" s="213" t="s">
        <v>549</v>
      </c>
      <c r="Y1670" s="213" t="s">
        <v>540</v>
      </c>
      <c r="Z1670" s="212">
        <v>0</v>
      </c>
      <c r="AA1670" s="212">
        <v>0</v>
      </c>
      <c r="AB1670" s="217">
        <v>0.40092</v>
      </c>
      <c r="AC1670" s="217">
        <v>0.64521899999999999</v>
      </c>
      <c r="AD1670" s="212">
        <f t="shared" si="25"/>
        <v>0</v>
      </c>
    </row>
    <row r="1674" spans="2:30" x14ac:dyDescent="0.15">
      <c r="AD1674" s="611">
        <f>SUM(AD6:AD1671)</f>
        <v>19197832084.662773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0593-04C8-4FB9-B2EF-7BADFB0CA291}">
  <sheetPr codeName="Sheet17">
    <tabColor theme="8" tint="0.59999389629810485"/>
  </sheetPr>
  <dimension ref="A1:CM1672"/>
  <sheetViews>
    <sheetView zoomScale="90" zoomScaleNormal="90" workbookViewId="0">
      <selection activeCell="B5" sqref="B5"/>
    </sheetView>
  </sheetViews>
  <sheetFormatPr baseColWidth="10" defaultColWidth="8.83203125" defaultRowHeight="14" x14ac:dyDescent="0.15"/>
  <cols>
    <col min="1" max="1" width="3.33203125" customWidth="1"/>
    <col min="2" max="2" width="20.5" customWidth="1"/>
    <col min="3" max="3" width="19.1640625" customWidth="1"/>
    <col min="4" max="4" width="16.6640625" customWidth="1"/>
    <col min="5" max="5" width="5.1640625" bestFit="1" customWidth="1"/>
    <col min="6" max="7" width="5.6640625" bestFit="1" customWidth="1"/>
    <col min="8" max="9" width="8.83203125" bestFit="1" customWidth="1"/>
    <col min="10" max="15" width="6.83203125" bestFit="1" customWidth="1"/>
    <col min="16" max="16" width="5.6640625" bestFit="1" customWidth="1"/>
    <col min="17" max="18" width="6.83203125" bestFit="1" customWidth="1"/>
    <col min="19" max="20" width="18.33203125" customWidth="1"/>
    <col min="21" max="23" width="6.1640625" bestFit="1" customWidth="1"/>
    <col min="24" max="24" width="7.6640625" bestFit="1" customWidth="1"/>
    <col min="25" max="25" width="11.83203125" bestFit="1" customWidth="1"/>
    <col min="26" max="26" width="16.1640625" bestFit="1" customWidth="1"/>
    <col min="27" max="27" width="10.6640625" bestFit="1" customWidth="1"/>
    <col min="28" max="28" width="7.33203125" customWidth="1"/>
    <col min="29" max="29" width="7.33203125" bestFit="1" customWidth="1"/>
    <col min="30" max="30" width="14.1640625" bestFit="1" customWidth="1"/>
    <col min="31" max="91" width="8.6640625"/>
  </cols>
  <sheetData>
    <row r="1" spans="1:91" s="79" customFormat="1" ht="18" x14ac:dyDescent="0.2">
      <c r="A1" s="76" t="s">
        <v>713</v>
      </c>
      <c r="B1" s="77"/>
      <c r="C1" s="78"/>
      <c r="D1" s="77"/>
      <c r="E1" s="77"/>
      <c r="F1" s="77"/>
      <c r="G1" s="77"/>
      <c r="H1" s="77"/>
      <c r="I1" s="77"/>
      <c r="J1" s="77"/>
      <c r="K1" s="77"/>
      <c r="L1" s="77"/>
      <c r="M1" s="77"/>
      <c r="N1" s="77"/>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row>
    <row r="2" spans="1:91" ht="18" x14ac:dyDescent="0.2">
      <c r="A2" s="218"/>
      <c r="B2" s="32"/>
      <c r="C2" s="219"/>
      <c r="D2" s="32"/>
      <c r="E2" s="32"/>
      <c r="F2" s="32"/>
      <c r="G2" s="32"/>
      <c r="H2" s="32"/>
      <c r="I2" s="32"/>
      <c r="J2" s="32"/>
      <c r="K2" s="32"/>
      <c r="L2" s="32"/>
      <c r="M2" s="32"/>
      <c r="N2" s="32"/>
    </row>
    <row r="3" spans="1:91" ht="18" x14ac:dyDescent="0.2">
      <c r="A3" s="218"/>
      <c r="B3" s="220" t="s">
        <v>708</v>
      </c>
      <c r="C3" s="219"/>
      <c r="D3" s="32"/>
      <c r="E3" s="32"/>
      <c r="F3" s="32"/>
      <c r="G3" s="32"/>
      <c r="H3" s="32"/>
      <c r="I3" s="32"/>
      <c r="J3" s="32"/>
      <c r="K3" s="32"/>
      <c r="L3" s="32"/>
      <c r="M3" s="32"/>
      <c r="N3" s="32"/>
    </row>
    <row r="5" spans="1:91" s="66" customFormat="1" x14ac:dyDescent="0.15">
      <c r="B5" s="215" t="s">
        <v>504</v>
      </c>
      <c r="C5" s="215" t="s">
        <v>505</v>
      </c>
      <c r="D5" s="215" t="s">
        <v>506</v>
      </c>
      <c r="E5" s="215" t="s">
        <v>507</v>
      </c>
      <c r="F5" s="215" t="s">
        <v>508</v>
      </c>
      <c r="G5" s="215" t="s">
        <v>509</v>
      </c>
      <c r="H5" s="215" t="s">
        <v>510</v>
      </c>
      <c r="I5" s="215" t="s">
        <v>511</v>
      </c>
      <c r="J5" s="215" t="s">
        <v>512</v>
      </c>
      <c r="K5" s="215" t="s">
        <v>513</v>
      </c>
      <c r="L5" s="215" t="s">
        <v>514</v>
      </c>
      <c r="M5" s="215" t="s">
        <v>515</v>
      </c>
      <c r="N5" s="215" t="s">
        <v>516</v>
      </c>
      <c r="O5" s="215" t="s">
        <v>517</v>
      </c>
      <c r="P5" s="215" t="s">
        <v>518</v>
      </c>
      <c r="Q5" s="215" t="s">
        <v>519</v>
      </c>
      <c r="R5" s="215" t="s">
        <v>520</v>
      </c>
      <c r="S5" s="215" t="s">
        <v>521</v>
      </c>
      <c r="T5" s="215" t="s">
        <v>522</v>
      </c>
      <c r="U5" s="215" t="s">
        <v>523</v>
      </c>
      <c r="V5" s="215" t="s">
        <v>524</v>
      </c>
      <c r="W5" s="215" t="s">
        <v>525</v>
      </c>
      <c r="X5" s="215" t="s">
        <v>527</v>
      </c>
      <c r="Y5" s="215" t="s">
        <v>709</v>
      </c>
      <c r="Z5" s="215" t="s">
        <v>714</v>
      </c>
      <c r="AA5" s="215" t="s">
        <v>715</v>
      </c>
      <c r="AB5" s="216" t="s">
        <v>528</v>
      </c>
      <c r="AC5" s="216" t="s">
        <v>529</v>
      </c>
      <c r="AD5" s="216" t="s">
        <v>716</v>
      </c>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row>
    <row r="6" spans="1:91" s="66" customFormat="1" x14ac:dyDescent="0.15">
      <c r="B6" s="213">
        <v>17031000053</v>
      </c>
      <c r="C6" s="213">
        <v>17031001428</v>
      </c>
      <c r="D6" s="213">
        <v>17031001429</v>
      </c>
      <c r="E6" s="213" t="s">
        <v>533</v>
      </c>
      <c r="F6" s="213" t="s">
        <v>534</v>
      </c>
      <c r="G6" s="213" t="s">
        <v>365</v>
      </c>
      <c r="H6" s="213" t="s">
        <v>382</v>
      </c>
      <c r="I6" s="213"/>
      <c r="J6" s="213" t="s">
        <v>551</v>
      </c>
      <c r="K6" s="213" t="s">
        <v>555</v>
      </c>
      <c r="L6" s="213"/>
      <c r="M6" s="213"/>
      <c r="N6" s="213"/>
      <c r="O6" s="213"/>
      <c r="P6" s="213"/>
      <c r="Q6" s="213"/>
      <c r="R6" s="213"/>
      <c r="S6" s="213" t="s">
        <v>556</v>
      </c>
      <c r="T6" s="213"/>
      <c r="U6" s="213" t="s">
        <v>538</v>
      </c>
      <c r="V6" s="213">
        <v>1</v>
      </c>
      <c r="W6" s="213" t="s">
        <v>545</v>
      </c>
      <c r="X6" s="213" t="s">
        <v>540</v>
      </c>
      <c r="Y6" s="213" t="s">
        <v>546</v>
      </c>
      <c r="Z6" s="212">
        <v>1310</v>
      </c>
      <c r="AA6" s="212">
        <v>82928</v>
      </c>
      <c r="AB6" s="217">
        <v>0.31333</v>
      </c>
      <c r="AC6" s="217">
        <v>0.50425699999999996</v>
      </c>
      <c r="AD6" s="212">
        <f t="shared" ref="AD6:AD69" si="0">AA6*AB6</f>
        <v>25983.830239999999</v>
      </c>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row>
    <row r="7" spans="1:91" s="66" customFormat="1" x14ac:dyDescent="0.15">
      <c r="B7" s="213">
        <v>17031001120</v>
      </c>
      <c r="C7" s="213">
        <v>17031000492</v>
      </c>
      <c r="D7" s="213">
        <v>17031000485</v>
      </c>
      <c r="E7" s="213" t="s">
        <v>533</v>
      </c>
      <c r="F7" s="213" t="s">
        <v>534</v>
      </c>
      <c r="G7" s="213" t="s">
        <v>365</v>
      </c>
      <c r="H7" s="213" t="s">
        <v>552</v>
      </c>
      <c r="I7" s="213"/>
      <c r="J7" s="213" t="s">
        <v>563</v>
      </c>
      <c r="K7" s="213"/>
      <c r="L7" s="213"/>
      <c r="M7" s="213"/>
      <c r="N7" s="213"/>
      <c r="O7" s="213"/>
      <c r="P7" s="213"/>
      <c r="Q7" s="213"/>
      <c r="R7" s="213"/>
      <c r="S7" s="213" t="s">
        <v>589</v>
      </c>
      <c r="T7" s="213"/>
      <c r="U7" s="213" t="s">
        <v>538</v>
      </c>
      <c r="V7" s="213">
        <v>1</v>
      </c>
      <c r="W7" s="213" t="s">
        <v>545</v>
      </c>
      <c r="X7" s="213" t="s">
        <v>554</v>
      </c>
      <c r="Y7" s="213" t="s">
        <v>549</v>
      </c>
      <c r="Z7" s="212">
        <v>19416</v>
      </c>
      <c r="AA7" s="212">
        <v>1736052</v>
      </c>
      <c r="AB7" s="217">
        <v>0.16896</v>
      </c>
      <c r="AC7" s="217">
        <v>0.27191500000000002</v>
      </c>
      <c r="AD7" s="212">
        <f t="shared" si="0"/>
        <v>293323.34591999999</v>
      </c>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row>
    <row r="8" spans="1:91" s="66" customFormat="1" x14ac:dyDescent="0.15">
      <c r="B8" s="213">
        <v>17031001122</v>
      </c>
      <c r="C8" s="213">
        <v>17031000866</v>
      </c>
      <c r="D8" s="213">
        <v>17031000915</v>
      </c>
      <c r="E8" s="213" t="s">
        <v>533</v>
      </c>
      <c r="F8" s="213" t="s">
        <v>534</v>
      </c>
      <c r="G8" s="213" t="s">
        <v>365</v>
      </c>
      <c r="H8" s="213" t="s">
        <v>571</v>
      </c>
      <c r="I8" s="213"/>
      <c r="J8" s="213" t="s">
        <v>381</v>
      </c>
      <c r="K8" s="213" t="s">
        <v>535</v>
      </c>
      <c r="L8" s="213" t="s">
        <v>552</v>
      </c>
      <c r="M8" s="213" t="s">
        <v>551</v>
      </c>
      <c r="N8" s="213" t="s">
        <v>382</v>
      </c>
      <c r="O8" s="213" t="s">
        <v>563</v>
      </c>
      <c r="P8" s="213" t="s">
        <v>543</v>
      </c>
      <c r="Q8" s="213"/>
      <c r="R8" s="213"/>
      <c r="S8" s="213" t="s">
        <v>573</v>
      </c>
      <c r="T8" s="213"/>
      <c r="U8" s="213" t="s">
        <v>538</v>
      </c>
      <c r="V8" s="213">
        <v>2</v>
      </c>
      <c r="W8" s="213" t="s">
        <v>545</v>
      </c>
      <c r="X8" s="213" t="s">
        <v>554</v>
      </c>
      <c r="Y8" s="213" t="s">
        <v>546</v>
      </c>
      <c r="Z8" s="212">
        <v>121544</v>
      </c>
      <c r="AA8" s="212">
        <v>3356096</v>
      </c>
      <c r="AB8" s="217">
        <v>1.2216050000000001</v>
      </c>
      <c r="AC8" s="217">
        <v>1.9659869999999999</v>
      </c>
      <c r="AD8" s="212">
        <f t="shared" si="0"/>
        <v>4099823.6540800002</v>
      </c>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row>
    <row r="9" spans="1:91" s="66" customFormat="1" x14ac:dyDescent="0.15">
      <c r="B9" s="213">
        <v>17031001764</v>
      </c>
      <c r="C9" s="213">
        <v>17031001387</v>
      </c>
      <c r="D9" s="213">
        <v>17031001390</v>
      </c>
      <c r="E9" s="213" t="s">
        <v>533</v>
      </c>
      <c r="F9" s="213" t="s">
        <v>534</v>
      </c>
      <c r="G9" s="213" t="s">
        <v>365</v>
      </c>
      <c r="H9" s="213" t="s">
        <v>557</v>
      </c>
      <c r="I9" s="213"/>
      <c r="J9" s="213"/>
      <c r="K9" s="213"/>
      <c r="L9" s="213"/>
      <c r="M9" s="213"/>
      <c r="N9" s="213"/>
      <c r="O9" s="213"/>
      <c r="P9" s="213"/>
      <c r="Q9" s="213"/>
      <c r="R9" s="213"/>
      <c r="S9" s="213" t="s">
        <v>567</v>
      </c>
      <c r="T9" s="213"/>
      <c r="U9" s="213" t="s">
        <v>559</v>
      </c>
      <c r="V9" s="213">
        <v>1</v>
      </c>
      <c r="W9" s="213" t="s">
        <v>560</v>
      </c>
      <c r="X9" s="213" t="s">
        <v>541</v>
      </c>
      <c r="Y9" s="213" t="s">
        <v>541</v>
      </c>
      <c r="Z9" s="212">
        <v>40</v>
      </c>
      <c r="AA9" s="212">
        <v>3520</v>
      </c>
      <c r="AB9" s="217">
        <v>7.5634000000000007E-2</v>
      </c>
      <c r="AC9" s="217">
        <v>0.121722</v>
      </c>
      <c r="AD9" s="212">
        <f t="shared" si="0"/>
        <v>266.23168000000004</v>
      </c>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row>
    <row r="10" spans="1:91" s="66" customFormat="1" x14ac:dyDescent="0.15">
      <c r="B10" s="213">
        <v>17031001939</v>
      </c>
      <c r="C10" s="213">
        <v>17031004666</v>
      </c>
      <c r="D10" s="213">
        <v>17031000809</v>
      </c>
      <c r="E10" s="213" t="s">
        <v>533</v>
      </c>
      <c r="F10" s="213" t="s">
        <v>534</v>
      </c>
      <c r="G10" s="213" t="s">
        <v>365</v>
      </c>
      <c r="H10" s="213" t="s">
        <v>381</v>
      </c>
      <c r="I10" s="213"/>
      <c r="J10" s="213" t="s">
        <v>382</v>
      </c>
      <c r="K10" s="213"/>
      <c r="L10" s="213"/>
      <c r="M10" s="213"/>
      <c r="N10" s="213"/>
      <c r="O10" s="213"/>
      <c r="P10" s="213"/>
      <c r="Q10" s="213"/>
      <c r="R10" s="213"/>
      <c r="S10" s="213" t="s">
        <v>647</v>
      </c>
      <c r="T10" s="213"/>
      <c r="U10" s="213" t="s">
        <v>538</v>
      </c>
      <c r="V10" s="213">
        <v>2</v>
      </c>
      <c r="W10" s="213" t="s">
        <v>545</v>
      </c>
      <c r="X10" s="213" t="s">
        <v>540</v>
      </c>
      <c r="Y10" s="213" t="s">
        <v>580</v>
      </c>
      <c r="Z10" s="212">
        <v>1224810</v>
      </c>
      <c r="AA10" s="212">
        <v>23248317</v>
      </c>
      <c r="AB10" s="217">
        <v>3.0724800000000001</v>
      </c>
      <c r="AC10" s="217">
        <v>4.9446859999999999</v>
      </c>
      <c r="AD10" s="212">
        <f t="shared" si="0"/>
        <v>71429989.016159996</v>
      </c>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row>
    <row r="11" spans="1:91" s="66" customFormat="1" x14ac:dyDescent="0.15">
      <c r="B11" s="213">
        <v>17031001941</v>
      </c>
      <c r="C11" s="213">
        <v>17031007771</v>
      </c>
      <c r="D11" s="213">
        <v>17031000819</v>
      </c>
      <c r="E11" s="213" t="s">
        <v>533</v>
      </c>
      <c r="F11" s="213" t="s">
        <v>534</v>
      </c>
      <c r="G11" s="213" t="s">
        <v>365</v>
      </c>
      <c r="H11" s="213" t="s">
        <v>557</v>
      </c>
      <c r="I11" s="213"/>
      <c r="J11" s="213" t="s">
        <v>381</v>
      </c>
      <c r="K11" s="213" t="s">
        <v>535</v>
      </c>
      <c r="L11" s="213" t="s">
        <v>552</v>
      </c>
      <c r="M11" s="213" t="s">
        <v>543</v>
      </c>
      <c r="N11" s="213" t="s">
        <v>382</v>
      </c>
      <c r="O11" s="213"/>
      <c r="P11" s="213"/>
      <c r="Q11" s="213"/>
      <c r="R11" s="213"/>
      <c r="S11" s="213" t="s">
        <v>570</v>
      </c>
      <c r="T11" s="213"/>
      <c r="U11" s="213" t="s">
        <v>538</v>
      </c>
      <c r="V11" s="213">
        <v>2</v>
      </c>
      <c r="W11" s="213" t="s">
        <v>545</v>
      </c>
      <c r="X11" s="213" t="s">
        <v>540</v>
      </c>
      <c r="Y11" s="213" t="s">
        <v>580</v>
      </c>
      <c r="Z11" s="212">
        <v>1168398</v>
      </c>
      <c r="AA11" s="212">
        <v>59194608</v>
      </c>
      <c r="AB11" s="217">
        <v>1.2225809999999999</v>
      </c>
      <c r="AC11" s="217">
        <v>1.967557</v>
      </c>
      <c r="AD11" s="212">
        <f t="shared" si="0"/>
        <v>72370203.043247998</v>
      </c>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row>
    <row r="12" spans="1:91" s="66" customFormat="1" x14ac:dyDescent="0.15">
      <c r="B12" s="213">
        <v>17031001942</v>
      </c>
      <c r="C12" s="213">
        <v>17031000864</v>
      </c>
      <c r="D12" s="213">
        <v>17031004666</v>
      </c>
      <c r="E12" s="213" t="s">
        <v>533</v>
      </c>
      <c r="F12" s="213" t="s">
        <v>534</v>
      </c>
      <c r="G12" s="213" t="s">
        <v>365</v>
      </c>
      <c r="H12" s="213" t="s">
        <v>381</v>
      </c>
      <c r="I12" s="213"/>
      <c r="J12" s="213" t="s">
        <v>382</v>
      </c>
      <c r="K12" s="213"/>
      <c r="L12" s="213"/>
      <c r="M12" s="213"/>
      <c r="N12" s="213"/>
      <c r="O12" s="213"/>
      <c r="P12" s="213"/>
      <c r="Q12" s="213"/>
      <c r="R12" s="213"/>
      <c r="S12" s="213" t="s">
        <v>647</v>
      </c>
      <c r="T12" s="213"/>
      <c r="U12" s="213" t="s">
        <v>538</v>
      </c>
      <c r="V12" s="213">
        <v>2</v>
      </c>
      <c r="W12" s="213" t="s">
        <v>545</v>
      </c>
      <c r="X12" s="213" t="s">
        <v>549</v>
      </c>
      <c r="Y12" s="213" t="s">
        <v>580</v>
      </c>
      <c r="Z12" s="212">
        <v>1224810</v>
      </c>
      <c r="AA12" s="212">
        <v>23248317</v>
      </c>
      <c r="AB12" s="217">
        <v>1.842058</v>
      </c>
      <c r="AC12" s="217">
        <v>2.9645109999999999</v>
      </c>
      <c r="AD12" s="212">
        <f t="shared" si="0"/>
        <v>42824748.316385999</v>
      </c>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row>
    <row r="13" spans="1:91" s="66" customFormat="1" x14ac:dyDescent="0.15">
      <c r="B13" s="213">
        <v>17031001945</v>
      </c>
      <c r="C13" s="213">
        <v>17031000917</v>
      </c>
      <c r="D13" s="213">
        <v>17031000914</v>
      </c>
      <c r="E13" s="213" t="s">
        <v>533</v>
      </c>
      <c r="F13" s="213" t="s">
        <v>534</v>
      </c>
      <c r="G13" s="213" t="s">
        <v>365</v>
      </c>
      <c r="H13" s="213" t="s">
        <v>557</v>
      </c>
      <c r="I13" s="213"/>
      <c r="J13" s="213" t="s">
        <v>381</v>
      </c>
      <c r="K13" s="213" t="s">
        <v>535</v>
      </c>
      <c r="L13" s="213" t="s">
        <v>552</v>
      </c>
      <c r="M13" s="213" t="s">
        <v>551</v>
      </c>
      <c r="N13" s="213" t="s">
        <v>543</v>
      </c>
      <c r="O13" s="213" t="s">
        <v>382</v>
      </c>
      <c r="P13" s="213"/>
      <c r="Q13" s="213"/>
      <c r="R13" s="213"/>
      <c r="S13" s="213" t="s">
        <v>570</v>
      </c>
      <c r="T13" s="213"/>
      <c r="U13" s="213" t="s">
        <v>538</v>
      </c>
      <c r="V13" s="213">
        <v>2</v>
      </c>
      <c r="W13" s="213" t="s">
        <v>545</v>
      </c>
      <c r="X13" s="213" t="s">
        <v>554</v>
      </c>
      <c r="Y13" s="213" t="s">
        <v>575</v>
      </c>
      <c r="Z13" s="212">
        <v>1072321</v>
      </c>
      <c r="AA13" s="212">
        <v>70228186</v>
      </c>
      <c r="AB13" s="217">
        <v>0.24359800000000001</v>
      </c>
      <c r="AC13" s="217">
        <v>0.39203399999999999</v>
      </c>
      <c r="AD13" s="212">
        <f t="shared" si="0"/>
        <v>17107445.653228</v>
      </c>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row>
    <row r="14" spans="1:91" s="66" customFormat="1" x14ac:dyDescent="0.15">
      <c r="B14" s="213">
        <v>17031001956</v>
      </c>
      <c r="C14" s="213">
        <v>17031004727</v>
      </c>
      <c r="D14" s="213">
        <v>17031007745</v>
      </c>
      <c r="E14" s="213" t="s">
        <v>533</v>
      </c>
      <c r="F14" s="213" t="s">
        <v>534</v>
      </c>
      <c r="G14" s="213" t="s">
        <v>365</v>
      </c>
      <c r="H14" s="213" t="s">
        <v>557</v>
      </c>
      <c r="I14" s="213"/>
      <c r="J14" s="213" t="s">
        <v>381</v>
      </c>
      <c r="K14" s="213" t="s">
        <v>535</v>
      </c>
      <c r="L14" s="213" t="s">
        <v>552</v>
      </c>
      <c r="M14" s="213" t="s">
        <v>551</v>
      </c>
      <c r="N14" s="213" t="s">
        <v>543</v>
      </c>
      <c r="O14" s="213" t="s">
        <v>382</v>
      </c>
      <c r="P14" s="213"/>
      <c r="Q14" s="213"/>
      <c r="R14" s="213"/>
      <c r="S14" s="213" t="s">
        <v>570</v>
      </c>
      <c r="T14" s="213"/>
      <c r="U14" s="213" t="s">
        <v>538</v>
      </c>
      <c r="V14" s="213">
        <v>2</v>
      </c>
      <c r="W14" s="213" t="s">
        <v>545</v>
      </c>
      <c r="X14" s="213" t="s">
        <v>540</v>
      </c>
      <c r="Y14" s="213" t="s">
        <v>575</v>
      </c>
      <c r="Z14" s="212">
        <v>883724</v>
      </c>
      <c r="AA14" s="212">
        <v>56558327</v>
      </c>
      <c r="AB14" s="217">
        <v>2.831982</v>
      </c>
      <c r="AC14" s="217">
        <v>4.5576420000000004</v>
      </c>
      <c r="AD14" s="212">
        <f t="shared" si="0"/>
        <v>160172164.01411399</v>
      </c>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row>
    <row r="15" spans="1:91" s="66" customFormat="1" x14ac:dyDescent="0.15">
      <c r="B15" s="213">
        <v>17031001962</v>
      </c>
      <c r="C15" s="213">
        <v>17031004722</v>
      </c>
      <c r="D15" s="213">
        <v>17031001266</v>
      </c>
      <c r="E15" s="213" t="s">
        <v>533</v>
      </c>
      <c r="F15" s="213" t="s">
        <v>534</v>
      </c>
      <c r="G15" s="213" t="s">
        <v>365</v>
      </c>
      <c r="H15" s="213" t="s">
        <v>547</v>
      </c>
      <c r="I15" s="213"/>
      <c r="J15" s="213"/>
      <c r="K15" s="213"/>
      <c r="L15" s="213"/>
      <c r="M15" s="213"/>
      <c r="N15" s="213"/>
      <c r="O15" s="213"/>
      <c r="P15" s="213"/>
      <c r="Q15" s="213"/>
      <c r="R15" s="213"/>
      <c r="S15" s="213"/>
      <c r="T15" s="213"/>
      <c r="U15" s="213" t="s">
        <v>538</v>
      </c>
      <c r="V15" s="213">
        <v>1</v>
      </c>
      <c r="W15" s="213" t="s">
        <v>582</v>
      </c>
      <c r="X15" s="213" t="s">
        <v>541</v>
      </c>
      <c r="Y15" s="213" t="s">
        <v>541</v>
      </c>
      <c r="Z15" s="212">
        <v>0</v>
      </c>
      <c r="AA15" s="212">
        <v>0</v>
      </c>
      <c r="AB15" s="217">
        <v>0.24418799999999999</v>
      </c>
      <c r="AC15" s="217">
        <v>0.39298300000000003</v>
      </c>
      <c r="AD15" s="212">
        <f t="shared" si="0"/>
        <v>0</v>
      </c>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row>
    <row r="16" spans="1:91" s="66" customFormat="1" x14ac:dyDescent="0.15">
      <c r="B16" s="213">
        <v>17031001964</v>
      </c>
      <c r="C16" s="213">
        <v>17031001459</v>
      </c>
      <c r="D16" s="213">
        <v>17031001453</v>
      </c>
      <c r="E16" s="213" t="s">
        <v>533</v>
      </c>
      <c r="F16" s="213" t="s">
        <v>534</v>
      </c>
      <c r="G16" s="213" t="s">
        <v>365</v>
      </c>
      <c r="H16" s="213" t="s">
        <v>551</v>
      </c>
      <c r="I16" s="213"/>
      <c r="J16" s="213"/>
      <c r="K16" s="213"/>
      <c r="L16" s="213"/>
      <c r="M16" s="213"/>
      <c r="N16" s="213"/>
      <c r="O16" s="213"/>
      <c r="P16" s="213"/>
      <c r="Q16" s="213"/>
      <c r="R16" s="213"/>
      <c r="S16" s="213" t="s">
        <v>628</v>
      </c>
      <c r="T16" s="213"/>
      <c r="U16" s="213" t="s">
        <v>538</v>
      </c>
      <c r="V16" s="213">
        <v>1</v>
      </c>
      <c r="W16" s="213" t="s">
        <v>560</v>
      </c>
      <c r="X16" s="213" t="s">
        <v>541</v>
      </c>
      <c r="Y16" s="213" t="s">
        <v>541</v>
      </c>
      <c r="Z16" s="212">
        <v>0</v>
      </c>
      <c r="AA16" s="212">
        <v>0</v>
      </c>
      <c r="AB16" s="217">
        <v>0.23275499999999999</v>
      </c>
      <c r="AC16" s="217">
        <v>0.374583</v>
      </c>
      <c r="AD16" s="212">
        <f t="shared" si="0"/>
        <v>0</v>
      </c>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row>
    <row r="17" spans="2:91" s="66" customFormat="1" x14ac:dyDescent="0.15">
      <c r="B17" s="213">
        <v>17031001971</v>
      </c>
      <c r="C17" s="213">
        <v>17031001404</v>
      </c>
      <c r="D17" s="213">
        <v>17031001391</v>
      </c>
      <c r="E17" s="213" t="s">
        <v>533</v>
      </c>
      <c r="F17" s="213" t="s">
        <v>534</v>
      </c>
      <c r="G17" s="213" t="s">
        <v>365</v>
      </c>
      <c r="H17" s="213" t="s">
        <v>557</v>
      </c>
      <c r="I17" s="213"/>
      <c r="J17" s="213" t="s">
        <v>569</v>
      </c>
      <c r="K17" s="213" t="s">
        <v>551</v>
      </c>
      <c r="L17" s="213" t="s">
        <v>543</v>
      </c>
      <c r="M17" s="213"/>
      <c r="N17" s="213"/>
      <c r="O17" s="213"/>
      <c r="P17" s="213"/>
      <c r="Q17" s="213"/>
      <c r="R17" s="213"/>
      <c r="S17" s="213" t="s">
        <v>570</v>
      </c>
      <c r="T17" s="213"/>
      <c r="U17" s="213" t="s">
        <v>538</v>
      </c>
      <c r="V17" s="213">
        <v>2</v>
      </c>
      <c r="W17" s="213" t="s">
        <v>545</v>
      </c>
      <c r="X17" s="213" t="s">
        <v>540</v>
      </c>
      <c r="Y17" s="213" t="s">
        <v>540</v>
      </c>
      <c r="Z17" s="212">
        <v>37402</v>
      </c>
      <c r="AA17" s="212">
        <v>3209142</v>
      </c>
      <c r="AB17" s="217">
        <v>0.93629499999999999</v>
      </c>
      <c r="AC17" s="217">
        <v>1.5068239999999999</v>
      </c>
      <c r="AD17" s="212">
        <f t="shared" si="0"/>
        <v>3004703.6088899998</v>
      </c>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row>
    <row r="18" spans="2:91" s="66" customFormat="1" x14ac:dyDescent="0.15">
      <c r="B18" s="213">
        <v>17031001973</v>
      </c>
      <c r="C18" s="213">
        <v>17031000992</v>
      </c>
      <c r="D18" s="213">
        <v>17031000991</v>
      </c>
      <c r="E18" s="213" t="s">
        <v>533</v>
      </c>
      <c r="F18" s="213" t="s">
        <v>534</v>
      </c>
      <c r="G18" s="213" t="s">
        <v>365</v>
      </c>
      <c r="H18" s="213" t="s">
        <v>547</v>
      </c>
      <c r="I18" s="213"/>
      <c r="J18" s="213"/>
      <c r="K18" s="213"/>
      <c r="L18" s="213"/>
      <c r="M18" s="213"/>
      <c r="N18" s="213"/>
      <c r="O18" s="213"/>
      <c r="P18" s="213"/>
      <c r="Q18" s="213"/>
      <c r="R18" s="213"/>
      <c r="S18" s="213"/>
      <c r="T18" s="213"/>
      <c r="U18" s="213" t="s">
        <v>538</v>
      </c>
      <c r="V18" s="213">
        <v>2</v>
      </c>
      <c r="W18" s="213" t="s">
        <v>584</v>
      </c>
      <c r="X18" s="213" t="s">
        <v>540</v>
      </c>
      <c r="Y18" s="213" t="s">
        <v>541</v>
      </c>
      <c r="Z18" s="212">
        <v>0</v>
      </c>
      <c r="AA18" s="212">
        <v>0</v>
      </c>
      <c r="AB18" s="217">
        <v>0.67547599999999997</v>
      </c>
      <c r="AC18" s="217">
        <v>1.087075</v>
      </c>
      <c r="AD18" s="212">
        <f t="shared" si="0"/>
        <v>0</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row>
    <row r="19" spans="2:91" s="66" customFormat="1" x14ac:dyDescent="0.15">
      <c r="B19" s="213">
        <v>17031002005</v>
      </c>
      <c r="C19" s="213">
        <v>17031000435</v>
      </c>
      <c r="D19" s="213">
        <v>17031000436</v>
      </c>
      <c r="E19" s="213" t="s">
        <v>533</v>
      </c>
      <c r="F19" s="213" t="s">
        <v>534</v>
      </c>
      <c r="G19" s="213" t="s">
        <v>365</v>
      </c>
      <c r="H19" s="213" t="s">
        <v>552</v>
      </c>
      <c r="I19" s="213"/>
      <c r="J19" s="213" t="s">
        <v>547</v>
      </c>
      <c r="K19" s="213" t="s">
        <v>551</v>
      </c>
      <c r="L19" s="213"/>
      <c r="M19" s="213"/>
      <c r="N19" s="213"/>
      <c r="O19" s="213"/>
      <c r="P19" s="213"/>
      <c r="Q19" s="213"/>
      <c r="R19" s="213"/>
      <c r="S19" s="213"/>
      <c r="T19" s="213"/>
      <c r="U19" s="213" t="s">
        <v>538</v>
      </c>
      <c r="V19" s="213">
        <v>2</v>
      </c>
      <c r="W19" s="213" t="s">
        <v>545</v>
      </c>
      <c r="X19" s="213" t="s">
        <v>554</v>
      </c>
      <c r="Y19" s="213" t="s">
        <v>541</v>
      </c>
      <c r="Z19" s="212">
        <v>82280</v>
      </c>
      <c r="AA19" s="212">
        <v>1112520</v>
      </c>
      <c r="AB19" s="217">
        <v>0.21945600000000001</v>
      </c>
      <c r="AC19" s="217">
        <v>0.353182</v>
      </c>
      <c r="AD19" s="212">
        <f t="shared" si="0"/>
        <v>244149.18912000002</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row>
    <row r="20" spans="2:91" s="66" customFormat="1" x14ac:dyDescent="0.15">
      <c r="B20" s="213">
        <v>17031002085</v>
      </c>
      <c r="C20" s="213">
        <v>17031004591</v>
      </c>
      <c r="D20" s="213">
        <v>17031004590</v>
      </c>
      <c r="E20" s="213" t="s">
        <v>533</v>
      </c>
      <c r="F20" s="213" t="s">
        <v>534</v>
      </c>
      <c r="G20" s="213" t="s">
        <v>365</v>
      </c>
      <c r="H20" s="213" t="s">
        <v>535</v>
      </c>
      <c r="I20" s="213"/>
      <c r="J20" s="213" t="s">
        <v>547</v>
      </c>
      <c r="K20" s="213" t="s">
        <v>551</v>
      </c>
      <c r="L20" s="213"/>
      <c r="M20" s="213"/>
      <c r="N20" s="213"/>
      <c r="O20" s="213"/>
      <c r="P20" s="213"/>
      <c r="Q20" s="213"/>
      <c r="R20" s="213"/>
      <c r="S20" s="213" t="s">
        <v>548</v>
      </c>
      <c r="T20" s="213"/>
      <c r="U20" s="213" t="s">
        <v>538</v>
      </c>
      <c r="V20" s="213">
        <v>2</v>
      </c>
      <c r="W20" s="213" t="s">
        <v>545</v>
      </c>
      <c r="X20" s="213" t="s">
        <v>549</v>
      </c>
      <c r="Y20" s="213" t="s">
        <v>546</v>
      </c>
      <c r="Z20" s="212">
        <v>374329</v>
      </c>
      <c r="AA20" s="212">
        <v>22852279</v>
      </c>
      <c r="AB20" s="217">
        <v>3.0520719999999999</v>
      </c>
      <c r="AC20" s="217">
        <v>4.9118430000000002</v>
      </c>
      <c r="AD20" s="212">
        <f t="shared" si="0"/>
        <v>69746800.872088</v>
      </c>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row>
    <row r="21" spans="2:91" s="66" customFormat="1" x14ac:dyDescent="0.15">
      <c r="B21" s="213">
        <v>17031002088</v>
      </c>
      <c r="C21" s="213">
        <v>17031004590</v>
      </c>
      <c r="D21" s="213">
        <v>17031004604</v>
      </c>
      <c r="E21" s="213" t="s">
        <v>533</v>
      </c>
      <c r="F21" s="213" t="s">
        <v>534</v>
      </c>
      <c r="G21" s="213" t="s">
        <v>365</v>
      </c>
      <c r="H21" s="213" t="s">
        <v>535</v>
      </c>
      <c r="I21" s="213"/>
      <c r="J21" s="213" t="s">
        <v>547</v>
      </c>
      <c r="K21" s="213"/>
      <c r="L21" s="213"/>
      <c r="M21" s="213"/>
      <c r="N21" s="213"/>
      <c r="O21" s="213"/>
      <c r="P21" s="213"/>
      <c r="Q21" s="213"/>
      <c r="R21" s="213"/>
      <c r="S21" s="213" t="s">
        <v>548</v>
      </c>
      <c r="T21" s="213"/>
      <c r="U21" s="213" t="s">
        <v>538</v>
      </c>
      <c r="V21" s="213">
        <v>1</v>
      </c>
      <c r="W21" s="213" t="s">
        <v>545</v>
      </c>
      <c r="X21" s="213" t="s">
        <v>549</v>
      </c>
      <c r="Y21" s="213" t="s">
        <v>546</v>
      </c>
      <c r="Z21" s="212">
        <v>374329</v>
      </c>
      <c r="AA21" s="212">
        <v>22852279</v>
      </c>
      <c r="AB21" s="217">
        <v>0.62129599999999996</v>
      </c>
      <c r="AC21" s="217">
        <v>0.99987999999999999</v>
      </c>
      <c r="AD21" s="212">
        <f t="shared" si="0"/>
        <v>14198029.533583999</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row>
    <row r="22" spans="2:91" s="66" customFormat="1" x14ac:dyDescent="0.15">
      <c r="B22" s="213">
        <v>17031002092</v>
      </c>
      <c r="C22" s="213">
        <v>17031004624</v>
      </c>
      <c r="D22" s="213">
        <v>17999019040</v>
      </c>
      <c r="E22" s="213" t="s">
        <v>533</v>
      </c>
      <c r="F22" s="213" t="s">
        <v>534</v>
      </c>
      <c r="G22" s="213" t="s">
        <v>365</v>
      </c>
      <c r="H22" s="213" t="s">
        <v>535</v>
      </c>
      <c r="I22" s="213"/>
      <c r="J22" s="213" t="s">
        <v>547</v>
      </c>
      <c r="K22" s="213"/>
      <c r="L22" s="213"/>
      <c r="M22" s="213"/>
      <c r="N22" s="213"/>
      <c r="O22" s="213"/>
      <c r="P22" s="213"/>
      <c r="Q22" s="213"/>
      <c r="R22" s="213"/>
      <c r="S22" s="213" t="s">
        <v>548</v>
      </c>
      <c r="T22" s="213"/>
      <c r="U22" s="213" t="s">
        <v>538</v>
      </c>
      <c r="V22" s="213">
        <v>3</v>
      </c>
      <c r="W22" s="213" t="s">
        <v>545</v>
      </c>
      <c r="X22" s="213" t="s">
        <v>549</v>
      </c>
      <c r="Y22" s="213" t="s">
        <v>546</v>
      </c>
      <c r="Z22" s="212">
        <v>374009</v>
      </c>
      <c r="AA22" s="212">
        <v>22824039</v>
      </c>
      <c r="AB22" s="217">
        <v>0.82783300000000004</v>
      </c>
      <c r="AC22" s="217">
        <v>1.332271</v>
      </c>
      <c r="AD22" s="212">
        <f t="shared" si="0"/>
        <v>18894492.677487001</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row>
    <row r="23" spans="2:91" s="66" customFormat="1" x14ac:dyDescent="0.15">
      <c r="B23" s="213">
        <v>17031002100</v>
      </c>
      <c r="C23" s="213">
        <v>17031004628</v>
      </c>
      <c r="D23" s="213">
        <v>17031004627</v>
      </c>
      <c r="E23" s="213" t="s">
        <v>533</v>
      </c>
      <c r="F23" s="213" t="s">
        <v>534</v>
      </c>
      <c r="G23" s="213" t="s">
        <v>365</v>
      </c>
      <c r="H23" s="213" t="s">
        <v>535</v>
      </c>
      <c r="I23" s="213"/>
      <c r="J23" s="213" t="s">
        <v>547</v>
      </c>
      <c r="K23" s="213" t="s">
        <v>551</v>
      </c>
      <c r="L23" s="213"/>
      <c r="M23" s="213"/>
      <c r="N23" s="213"/>
      <c r="O23" s="213"/>
      <c r="P23" s="213"/>
      <c r="Q23" s="213"/>
      <c r="R23" s="213"/>
      <c r="S23" s="213" t="s">
        <v>548</v>
      </c>
      <c r="T23" s="213" t="s">
        <v>671</v>
      </c>
      <c r="U23" s="213" t="s">
        <v>538</v>
      </c>
      <c r="V23" s="213">
        <v>2</v>
      </c>
      <c r="W23" s="213" t="s">
        <v>545</v>
      </c>
      <c r="X23" s="213" t="s">
        <v>554</v>
      </c>
      <c r="Y23" s="213" t="s">
        <v>546</v>
      </c>
      <c r="Z23" s="212">
        <v>374329</v>
      </c>
      <c r="AA23" s="212">
        <v>22852279</v>
      </c>
      <c r="AB23" s="217">
        <v>0.93876899999999996</v>
      </c>
      <c r="AC23" s="217">
        <v>1.510805</v>
      </c>
      <c r="AD23" s="212">
        <f t="shared" si="0"/>
        <v>21453011.104550999</v>
      </c>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row>
    <row r="24" spans="2:91" s="66" customFormat="1" x14ac:dyDescent="0.15">
      <c r="B24" s="213">
        <v>17031002120</v>
      </c>
      <c r="C24" s="213">
        <v>17031004614</v>
      </c>
      <c r="D24" s="213">
        <v>17031004613</v>
      </c>
      <c r="E24" s="213" t="s">
        <v>533</v>
      </c>
      <c r="F24" s="213" t="s">
        <v>534</v>
      </c>
      <c r="G24" s="213" t="s">
        <v>365</v>
      </c>
      <c r="H24" s="213" t="s">
        <v>552</v>
      </c>
      <c r="I24" s="213"/>
      <c r="J24" s="213" t="s">
        <v>542</v>
      </c>
      <c r="K24" s="213" t="s">
        <v>547</v>
      </c>
      <c r="L24" s="213" t="s">
        <v>563</v>
      </c>
      <c r="M24" s="213"/>
      <c r="N24" s="213"/>
      <c r="O24" s="213"/>
      <c r="P24" s="213"/>
      <c r="Q24" s="213"/>
      <c r="R24" s="213"/>
      <c r="S24" s="213" t="s">
        <v>564</v>
      </c>
      <c r="T24" s="213"/>
      <c r="U24" s="213" t="s">
        <v>538</v>
      </c>
      <c r="V24" s="213">
        <v>2</v>
      </c>
      <c r="W24" s="213" t="s">
        <v>545</v>
      </c>
      <c r="X24" s="213" t="s">
        <v>549</v>
      </c>
      <c r="Y24" s="213" t="s">
        <v>549</v>
      </c>
      <c r="Z24" s="212">
        <v>444697</v>
      </c>
      <c r="AA24" s="212">
        <v>28179770</v>
      </c>
      <c r="AB24" s="217">
        <v>1.858006</v>
      </c>
      <c r="AC24" s="217">
        <v>2.9901759999999999</v>
      </c>
      <c r="AD24" s="212">
        <f t="shared" si="0"/>
        <v>52358181.738619998</v>
      </c>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row>
    <row r="25" spans="2:91" s="66" customFormat="1" x14ac:dyDescent="0.15">
      <c r="B25" s="213">
        <v>17031002121</v>
      </c>
      <c r="C25" s="213">
        <v>17031004594</v>
      </c>
      <c r="D25" s="213">
        <v>17031000281</v>
      </c>
      <c r="E25" s="213" t="s">
        <v>533</v>
      </c>
      <c r="F25" s="213" t="s">
        <v>534</v>
      </c>
      <c r="G25" s="213" t="s">
        <v>365</v>
      </c>
      <c r="H25" s="213" t="s">
        <v>535</v>
      </c>
      <c r="I25" s="213"/>
      <c r="J25" s="213" t="s">
        <v>536</v>
      </c>
      <c r="K25" s="213" t="s">
        <v>382</v>
      </c>
      <c r="L25" s="213"/>
      <c r="M25" s="213"/>
      <c r="N25" s="213"/>
      <c r="O25" s="213"/>
      <c r="P25" s="213"/>
      <c r="Q25" s="213"/>
      <c r="R25" s="213"/>
      <c r="S25" s="213" t="s">
        <v>550</v>
      </c>
      <c r="T25" s="213"/>
      <c r="U25" s="213" t="s">
        <v>538</v>
      </c>
      <c r="V25" s="213">
        <v>1</v>
      </c>
      <c r="W25" s="213" t="s">
        <v>545</v>
      </c>
      <c r="X25" s="213" t="s">
        <v>549</v>
      </c>
      <c r="Y25" s="213" t="s">
        <v>540</v>
      </c>
      <c r="Z25" s="212">
        <v>65023</v>
      </c>
      <c r="AA25" s="212">
        <v>6695836</v>
      </c>
      <c r="AB25" s="217">
        <v>6.3130230000000003</v>
      </c>
      <c r="AC25" s="217">
        <v>10.159846</v>
      </c>
      <c r="AD25" s="212">
        <f t="shared" si="0"/>
        <v>42270966.672228001</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row>
    <row r="26" spans="2:91" s="66" customFormat="1" x14ac:dyDescent="0.15">
      <c r="B26" s="213">
        <v>17031002122</v>
      </c>
      <c r="C26" s="213">
        <v>17031004608</v>
      </c>
      <c r="D26" s="213">
        <v>17031004607</v>
      </c>
      <c r="E26" s="213" t="s">
        <v>533</v>
      </c>
      <c r="F26" s="213" t="s">
        <v>534</v>
      </c>
      <c r="G26" s="213" t="s">
        <v>365</v>
      </c>
      <c r="H26" s="213" t="s">
        <v>382</v>
      </c>
      <c r="I26" s="213"/>
      <c r="J26" s="213" t="s">
        <v>547</v>
      </c>
      <c r="K26" s="213"/>
      <c r="L26" s="213"/>
      <c r="M26" s="213"/>
      <c r="N26" s="213"/>
      <c r="O26" s="213"/>
      <c r="P26" s="213"/>
      <c r="Q26" s="213"/>
      <c r="R26" s="213"/>
      <c r="S26" s="213" t="s">
        <v>608</v>
      </c>
      <c r="T26" s="213"/>
      <c r="U26" s="213" t="s">
        <v>538</v>
      </c>
      <c r="V26" s="213">
        <v>3</v>
      </c>
      <c r="W26" s="213" t="s">
        <v>566</v>
      </c>
      <c r="X26" s="213" t="s">
        <v>549</v>
      </c>
      <c r="Y26" s="213" t="s">
        <v>554</v>
      </c>
      <c r="Z26" s="212">
        <v>0</v>
      </c>
      <c r="AA26" s="212">
        <v>0</v>
      </c>
      <c r="AB26" s="217">
        <v>1.2220299999999999</v>
      </c>
      <c r="AC26" s="217">
        <v>1.9666710000000001</v>
      </c>
      <c r="AD26" s="212">
        <f t="shared" si="0"/>
        <v>0</v>
      </c>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row>
    <row r="27" spans="2:91" s="66" customFormat="1" x14ac:dyDescent="0.15">
      <c r="B27" s="213">
        <v>17031002135</v>
      </c>
      <c r="C27" s="213">
        <v>17999020579</v>
      </c>
      <c r="D27" s="213">
        <v>17031000514</v>
      </c>
      <c r="E27" s="213" t="s">
        <v>533</v>
      </c>
      <c r="F27" s="213" t="s">
        <v>534</v>
      </c>
      <c r="G27" s="213" t="s">
        <v>365</v>
      </c>
      <c r="H27" s="213" t="s">
        <v>382</v>
      </c>
      <c r="I27" s="213"/>
      <c r="J27" s="213"/>
      <c r="K27" s="213"/>
      <c r="L27" s="213"/>
      <c r="M27" s="213"/>
      <c r="N27" s="213"/>
      <c r="O27" s="213"/>
      <c r="P27" s="213"/>
      <c r="Q27" s="213"/>
      <c r="R27" s="213"/>
      <c r="S27" s="213" t="s">
        <v>586</v>
      </c>
      <c r="T27" s="213"/>
      <c r="U27" s="213" t="s">
        <v>538</v>
      </c>
      <c r="V27" s="213">
        <v>2</v>
      </c>
      <c r="W27" s="213" t="s">
        <v>582</v>
      </c>
      <c r="X27" s="213" t="s">
        <v>554</v>
      </c>
      <c r="Y27" s="213" t="s">
        <v>540</v>
      </c>
      <c r="Z27" s="212">
        <v>93614</v>
      </c>
      <c r="AA27" s="212">
        <v>10001490</v>
      </c>
      <c r="AB27" s="217">
        <v>0.15142700000000001</v>
      </c>
      <c r="AC27" s="217">
        <v>0.243698</v>
      </c>
      <c r="AD27" s="212">
        <f t="shared" si="0"/>
        <v>1514495.6262300001</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row>
    <row r="28" spans="2:91" s="66" customFormat="1" x14ac:dyDescent="0.15">
      <c r="B28" s="213">
        <v>17031002158</v>
      </c>
      <c r="C28" s="213">
        <v>17031004574</v>
      </c>
      <c r="D28" s="213">
        <v>17999019044</v>
      </c>
      <c r="E28" s="213" t="s">
        <v>533</v>
      </c>
      <c r="F28" s="213" t="s">
        <v>534</v>
      </c>
      <c r="G28" s="213" t="s">
        <v>365</v>
      </c>
      <c r="H28" s="213" t="s">
        <v>382</v>
      </c>
      <c r="I28" s="213"/>
      <c r="J28" s="213" t="s">
        <v>547</v>
      </c>
      <c r="K28" s="213"/>
      <c r="L28" s="213"/>
      <c r="M28" s="213"/>
      <c r="N28" s="213"/>
      <c r="O28" s="213"/>
      <c r="P28" s="213"/>
      <c r="Q28" s="213"/>
      <c r="R28" s="213"/>
      <c r="S28" s="213" t="s">
        <v>565</v>
      </c>
      <c r="T28" s="213"/>
      <c r="U28" s="213" t="s">
        <v>538</v>
      </c>
      <c r="V28" s="213">
        <v>2</v>
      </c>
      <c r="W28" s="213" t="s">
        <v>566</v>
      </c>
      <c r="X28" s="213" t="s">
        <v>549</v>
      </c>
      <c r="Y28" s="213" t="s">
        <v>541</v>
      </c>
      <c r="Z28" s="212">
        <v>0</v>
      </c>
      <c r="AA28" s="212">
        <v>0</v>
      </c>
      <c r="AB28" s="217">
        <v>1.363623</v>
      </c>
      <c r="AC28" s="217">
        <v>2.1945429999999999</v>
      </c>
      <c r="AD28" s="212">
        <f t="shared" si="0"/>
        <v>0</v>
      </c>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row>
    <row r="29" spans="2:91" s="66" customFormat="1" x14ac:dyDescent="0.15">
      <c r="B29" s="213">
        <v>17031002162</v>
      </c>
      <c r="C29" s="213">
        <v>17031000525</v>
      </c>
      <c r="D29" s="213">
        <v>17031000533</v>
      </c>
      <c r="E29" s="213" t="s">
        <v>533</v>
      </c>
      <c r="F29" s="213" t="s">
        <v>534</v>
      </c>
      <c r="G29" s="213" t="s">
        <v>365</v>
      </c>
      <c r="H29" s="213" t="s">
        <v>382</v>
      </c>
      <c r="I29" s="213"/>
      <c r="J29" s="213"/>
      <c r="K29" s="213"/>
      <c r="L29" s="213"/>
      <c r="M29" s="213"/>
      <c r="N29" s="213"/>
      <c r="O29" s="213"/>
      <c r="P29" s="213"/>
      <c r="Q29" s="213"/>
      <c r="R29" s="213"/>
      <c r="S29" s="213"/>
      <c r="T29" s="213" t="s">
        <v>626</v>
      </c>
      <c r="U29" s="213" t="s">
        <v>559</v>
      </c>
      <c r="V29" s="213">
        <v>1</v>
      </c>
      <c r="W29" s="213" t="s">
        <v>539</v>
      </c>
      <c r="X29" s="213" t="s">
        <v>541</v>
      </c>
      <c r="Y29" s="213" t="s">
        <v>541</v>
      </c>
      <c r="Z29" s="212">
        <v>254600</v>
      </c>
      <c r="AA29" s="212">
        <v>3696640</v>
      </c>
      <c r="AB29" s="217">
        <v>0.258521</v>
      </c>
      <c r="AC29" s="217">
        <v>0.41604999999999998</v>
      </c>
      <c r="AD29" s="212">
        <f t="shared" si="0"/>
        <v>955659.06943999999</v>
      </c>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row>
    <row r="30" spans="2:91" s="66" customFormat="1" x14ac:dyDescent="0.15">
      <c r="B30" s="213">
        <v>17031002167</v>
      </c>
      <c r="C30" s="213">
        <v>17031001294</v>
      </c>
      <c r="D30" s="213">
        <v>17031001272</v>
      </c>
      <c r="E30" s="213" t="s">
        <v>533</v>
      </c>
      <c r="F30" s="213" t="s">
        <v>534</v>
      </c>
      <c r="G30" s="213" t="s">
        <v>365</v>
      </c>
      <c r="H30" s="213" t="s">
        <v>557</v>
      </c>
      <c r="I30" s="213"/>
      <c r="J30" s="213" t="s">
        <v>381</v>
      </c>
      <c r="K30" s="213" t="s">
        <v>535</v>
      </c>
      <c r="L30" s="213" t="s">
        <v>552</v>
      </c>
      <c r="M30" s="213" t="s">
        <v>551</v>
      </c>
      <c r="N30" s="213" t="s">
        <v>543</v>
      </c>
      <c r="O30" s="213" t="s">
        <v>382</v>
      </c>
      <c r="P30" s="213"/>
      <c r="Q30" s="213"/>
      <c r="R30" s="213"/>
      <c r="S30" s="213" t="s">
        <v>570</v>
      </c>
      <c r="T30" s="213"/>
      <c r="U30" s="213" t="s">
        <v>538</v>
      </c>
      <c r="V30" s="213">
        <v>2</v>
      </c>
      <c r="W30" s="213" t="s">
        <v>545</v>
      </c>
      <c r="X30" s="213" t="s">
        <v>540</v>
      </c>
      <c r="Y30" s="213" t="s">
        <v>575</v>
      </c>
      <c r="Z30" s="212">
        <v>884524</v>
      </c>
      <c r="AA30" s="212">
        <v>56637647</v>
      </c>
      <c r="AB30" s="217">
        <v>0.88351500000000005</v>
      </c>
      <c r="AC30" s="217">
        <v>1.421883</v>
      </c>
      <c r="AD30" s="212">
        <f t="shared" si="0"/>
        <v>50040210.689205006</v>
      </c>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row>
    <row r="31" spans="2:91" s="66" customFormat="1" x14ac:dyDescent="0.15">
      <c r="B31" s="213">
        <v>17031002173</v>
      </c>
      <c r="C31" s="213">
        <v>17031001411</v>
      </c>
      <c r="D31" s="213">
        <v>17031007662</v>
      </c>
      <c r="E31" s="213" t="s">
        <v>533</v>
      </c>
      <c r="F31" s="213" t="s">
        <v>534</v>
      </c>
      <c r="G31" s="213" t="s">
        <v>365</v>
      </c>
      <c r="H31" s="213" t="s">
        <v>551</v>
      </c>
      <c r="I31" s="213" t="s">
        <v>535</v>
      </c>
      <c r="J31" s="213"/>
      <c r="K31" s="213"/>
      <c r="L31" s="213"/>
      <c r="M31" s="213"/>
      <c r="N31" s="213"/>
      <c r="O31" s="213"/>
      <c r="P31" s="213"/>
      <c r="Q31" s="213"/>
      <c r="R31" s="213"/>
      <c r="S31" s="213" t="s">
        <v>553</v>
      </c>
      <c r="T31" s="213"/>
      <c r="U31" s="213" t="s">
        <v>538</v>
      </c>
      <c r="V31" s="213">
        <v>2</v>
      </c>
      <c r="W31" s="213" t="s">
        <v>545</v>
      </c>
      <c r="X31" s="213" t="s">
        <v>549</v>
      </c>
      <c r="Y31" s="213" t="s">
        <v>540</v>
      </c>
      <c r="Z31" s="212">
        <v>353092</v>
      </c>
      <c r="AA31" s="212">
        <v>16479500</v>
      </c>
      <c r="AB31" s="217">
        <v>1.9135720000000001</v>
      </c>
      <c r="AC31" s="217">
        <v>3.079602</v>
      </c>
      <c r="AD31" s="212">
        <f t="shared" si="0"/>
        <v>31534709.774</v>
      </c>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row>
    <row r="32" spans="2:91" s="66" customFormat="1" x14ac:dyDescent="0.15">
      <c r="B32" s="213">
        <v>17031002174</v>
      </c>
      <c r="C32" s="213">
        <v>17031001413</v>
      </c>
      <c r="D32" s="213">
        <v>17031001370</v>
      </c>
      <c r="E32" s="213" t="s">
        <v>533</v>
      </c>
      <c r="F32" s="213" t="s">
        <v>534</v>
      </c>
      <c r="G32" s="213" t="s">
        <v>365</v>
      </c>
      <c r="H32" s="213" t="s">
        <v>535</v>
      </c>
      <c r="I32" s="213"/>
      <c r="J32" s="213" t="s">
        <v>542</v>
      </c>
      <c r="K32" s="213" t="s">
        <v>543</v>
      </c>
      <c r="L32" s="213" t="s">
        <v>382</v>
      </c>
      <c r="M32" s="213" t="s">
        <v>555</v>
      </c>
      <c r="N32" s="213"/>
      <c r="O32" s="213"/>
      <c r="P32" s="213"/>
      <c r="Q32" s="213"/>
      <c r="R32" s="213"/>
      <c r="S32" s="213" t="s">
        <v>544</v>
      </c>
      <c r="T32" s="213"/>
      <c r="U32" s="213" t="s">
        <v>538</v>
      </c>
      <c r="V32" s="213">
        <v>2</v>
      </c>
      <c r="W32" s="213" t="s">
        <v>545</v>
      </c>
      <c r="X32" s="213" t="s">
        <v>549</v>
      </c>
      <c r="Y32" s="213" t="s">
        <v>546</v>
      </c>
      <c r="Z32" s="212">
        <v>119470</v>
      </c>
      <c r="AA32" s="212">
        <v>10760381</v>
      </c>
      <c r="AB32" s="217">
        <v>1.6730700000000001</v>
      </c>
      <c r="AC32" s="217">
        <v>2.6925500000000002</v>
      </c>
      <c r="AD32" s="212">
        <f t="shared" si="0"/>
        <v>18002870.639669999</v>
      </c>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row>
    <row r="33" spans="2:91" s="66" customFormat="1" x14ac:dyDescent="0.15">
      <c r="B33" s="213">
        <v>17031002175</v>
      </c>
      <c r="C33" s="213">
        <v>17031001366</v>
      </c>
      <c r="D33" s="213">
        <v>17031001355</v>
      </c>
      <c r="E33" s="213" t="s">
        <v>533</v>
      </c>
      <c r="F33" s="213" t="s">
        <v>534</v>
      </c>
      <c r="G33" s="213" t="s">
        <v>365</v>
      </c>
      <c r="H33" s="213" t="s">
        <v>557</v>
      </c>
      <c r="I33" s="213"/>
      <c r="J33" s="213" t="s">
        <v>535</v>
      </c>
      <c r="K33" s="213" t="s">
        <v>569</v>
      </c>
      <c r="L33" s="213" t="s">
        <v>552</v>
      </c>
      <c r="M33" s="213" t="s">
        <v>551</v>
      </c>
      <c r="N33" s="213" t="s">
        <v>543</v>
      </c>
      <c r="O33" s="213" t="s">
        <v>382</v>
      </c>
      <c r="P33" s="213" t="s">
        <v>381</v>
      </c>
      <c r="Q33" s="213" t="s">
        <v>615</v>
      </c>
      <c r="R33" s="213"/>
      <c r="S33" s="213" t="s">
        <v>570</v>
      </c>
      <c r="T33" s="213" t="s">
        <v>600</v>
      </c>
      <c r="U33" s="213" t="s">
        <v>538</v>
      </c>
      <c r="V33" s="213">
        <v>2</v>
      </c>
      <c r="W33" s="213" t="s">
        <v>545</v>
      </c>
      <c r="X33" s="213" t="s">
        <v>554</v>
      </c>
      <c r="Y33" s="213" t="s">
        <v>546</v>
      </c>
      <c r="Z33" s="212">
        <v>399829</v>
      </c>
      <c r="AA33" s="212">
        <v>28328153</v>
      </c>
      <c r="AB33" s="217">
        <v>0.52929599999999999</v>
      </c>
      <c r="AC33" s="217">
        <v>0.85182000000000002</v>
      </c>
      <c r="AD33" s="212">
        <f t="shared" si="0"/>
        <v>14993978.070287999</v>
      </c>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row>
    <row r="34" spans="2:91" s="66" customFormat="1" x14ac:dyDescent="0.15">
      <c r="B34" s="213">
        <v>17031002185</v>
      </c>
      <c r="C34" s="213">
        <v>17031004754</v>
      </c>
      <c r="D34" s="213">
        <v>17031000733</v>
      </c>
      <c r="E34" s="213" t="s">
        <v>533</v>
      </c>
      <c r="F34" s="213" t="s">
        <v>534</v>
      </c>
      <c r="G34" s="213" t="s">
        <v>365</v>
      </c>
      <c r="H34" s="213" t="s">
        <v>535</v>
      </c>
      <c r="I34" s="213"/>
      <c r="J34" s="213" t="s">
        <v>542</v>
      </c>
      <c r="K34" s="213" t="s">
        <v>572</v>
      </c>
      <c r="L34" s="213"/>
      <c r="M34" s="213"/>
      <c r="N34" s="213"/>
      <c r="O34" s="213"/>
      <c r="P34" s="213"/>
      <c r="Q34" s="213"/>
      <c r="R34" s="213"/>
      <c r="S34" s="213" t="s">
        <v>544</v>
      </c>
      <c r="T34" s="213"/>
      <c r="U34" s="213" t="s">
        <v>538</v>
      </c>
      <c r="V34" s="213">
        <v>2</v>
      </c>
      <c r="W34" s="213" t="s">
        <v>545</v>
      </c>
      <c r="X34" s="213" t="s">
        <v>549</v>
      </c>
      <c r="Y34" s="213" t="s">
        <v>549</v>
      </c>
      <c r="Z34" s="212">
        <v>13802</v>
      </c>
      <c r="AA34" s="212">
        <v>1450100</v>
      </c>
      <c r="AB34" s="217">
        <v>4.814584</v>
      </c>
      <c r="AC34" s="217">
        <v>7.7483370000000003</v>
      </c>
      <c r="AD34" s="212">
        <f t="shared" si="0"/>
        <v>6981628.2583999997</v>
      </c>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row>
    <row r="35" spans="2:91" s="66" customFormat="1" x14ac:dyDescent="0.15">
      <c r="B35" s="213">
        <v>17031002188</v>
      </c>
      <c r="C35" s="213">
        <v>17031001153</v>
      </c>
      <c r="D35" s="213">
        <v>17031001154</v>
      </c>
      <c r="E35" s="213" t="s">
        <v>533</v>
      </c>
      <c r="F35" s="213" t="s">
        <v>534</v>
      </c>
      <c r="G35" s="213" t="s">
        <v>365</v>
      </c>
      <c r="H35" s="213" t="s">
        <v>557</v>
      </c>
      <c r="I35" s="213"/>
      <c r="J35" s="213" t="s">
        <v>543</v>
      </c>
      <c r="K35" s="213"/>
      <c r="L35" s="213"/>
      <c r="M35" s="213"/>
      <c r="N35" s="213"/>
      <c r="O35" s="213"/>
      <c r="P35" s="213"/>
      <c r="Q35" s="213"/>
      <c r="R35" s="213"/>
      <c r="S35" s="213"/>
      <c r="T35" s="213"/>
      <c r="U35" s="213" t="s">
        <v>538</v>
      </c>
      <c r="V35" s="213">
        <v>1</v>
      </c>
      <c r="W35" s="213" t="s">
        <v>560</v>
      </c>
      <c r="X35" s="213" t="s">
        <v>541</v>
      </c>
      <c r="Y35" s="213" t="s">
        <v>541</v>
      </c>
      <c r="Z35" s="212">
        <v>520</v>
      </c>
      <c r="AA35" s="212">
        <v>37800</v>
      </c>
      <c r="AB35" s="217">
        <v>0.17455399999999999</v>
      </c>
      <c r="AC35" s="217">
        <v>0.280918</v>
      </c>
      <c r="AD35" s="212">
        <f t="shared" si="0"/>
        <v>6598.1411999999991</v>
      </c>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row>
    <row r="36" spans="2:91" s="66" customFormat="1" x14ac:dyDescent="0.15">
      <c r="B36" s="213">
        <v>17031002195</v>
      </c>
      <c r="C36" s="213">
        <v>17031004598</v>
      </c>
      <c r="D36" s="213">
        <v>17031004597</v>
      </c>
      <c r="E36" s="213" t="s">
        <v>533</v>
      </c>
      <c r="F36" s="213" t="s">
        <v>534</v>
      </c>
      <c r="G36" s="213" t="s">
        <v>365</v>
      </c>
      <c r="H36" s="213" t="s">
        <v>382</v>
      </c>
      <c r="I36" s="213"/>
      <c r="J36" s="213" t="s">
        <v>535</v>
      </c>
      <c r="K36" s="213" t="s">
        <v>547</v>
      </c>
      <c r="L36" s="213"/>
      <c r="M36" s="213"/>
      <c r="N36" s="213"/>
      <c r="O36" s="213"/>
      <c r="P36" s="213"/>
      <c r="Q36" s="213"/>
      <c r="R36" s="213"/>
      <c r="S36" s="213" t="s">
        <v>608</v>
      </c>
      <c r="T36" s="213"/>
      <c r="U36" s="213" t="s">
        <v>538</v>
      </c>
      <c r="V36" s="213">
        <v>3</v>
      </c>
      <c r="W36" s="213" t="s">
        <v>566</v>
      </c>
      <c r="X36" s="213" t="s">
        <v>549</v>
      </c>
      <c r="Y36" s="213" t="s">
        <v>549</v>
      </c>
      <c r="Z36" s="212">
        <v>10751</v>
      </c>
      <c r="AA36" s="212">
        <v>946568</v>
      </c>
      <c r="AB36" s="217">
        <v>4.5846590000000003</v>
      </c>
      <c r="AC36" s="217">
        <v>7.3783079999999996</v>
      </c>
      <c r="AD36" s="212">
        <f t="shared" si="0"/>
        <v>4339691.5003120005</v>
      </c>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row>
    <row r="37" spans="2:91" s="66" customFormat="1" x14ac:dyDescent="0.15">
      <c r="B37" s="213">
        <v>17031002196</v>
      </c>
      <c r="C37" s="213">
        <v>17031000331</v>
      </c>
      <c r="D37" s="213">
        <v>17031000323</v>
      </c>
      <c r="E37" s="213" t="s">
        <v>533</v>
      </c>
      <c r="F37" s="213" t="s">
        <v>534</v>
      </c>
      <c r="G37" s="213" t="s">
        <v>365</v>
      </c>
      <c r="H37" s="213" t="s">
        <v>552</v>
      </c>
      <c r="I37" s="213"/>
      <c r="J37" s="213" t="s">
        <v>547</v>
      </c>
      <c r="K37" s="213"/>
      <c r="L37" s="213"/>
      <c r="M37" s="213"/>
      <c r="N37" s="213"/>
      <c r="O37" s="213"/>
      <c r="P37" s="213"/>
      <c r="Q37" s="213"/>
      <c r="R37" s="213"/>
      <c r="S37" s="213" t="s">
        <v>589</v>
      </c>
      <c r="T37" s="213"/>
      <c r="U37" s="213" t="s">
        <v>538</v>
      </c>
      <c r="V37" s="213">
        <v>2</v>
      </c>
      <c r="W37" s="213" t="s">
        <v>545</v>
      </c>
      <c r="X37" s="213" t="s">
        <v>549</v>
      </c>
      <c r="Y37" s="213" t="s">
        <v>540</v>
      </c>
      <c r="Z37" s="212">
        <v>37938</v>
      </c>
      <c r="AA37" s="212">
        <v>3582104</v>
      </c>
      <c r="AB37" s="217">
        <v>0.33243800000000001</v>
      </c>
      <c r="AC37" s="217">
        <v>0.53500899999999996</v>
      </c>
      <c r="AD37" s="212">
        <f t="shared" si="0"/>
        <v>1190827.4895520001</v>
      </c>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row>
    <row r="38" spans="2:91" s="66" customFormat="1" x14ac:dyDescent="0.15">
      <c r="B38" s="213">
        <v>17031002197</v>
      </c>
      <c r="C38" s="213">
        <v>17031004595</v>
      </c>
      <c r="D38" s="213">
        <v>17031000331</v>
      </c>
      <c r="E38" s="213" t="s">
        <v>533</v>
      </c>
      <c r="F38" s="213" t="s">
        <v>534</v>
      </c>
      <c r="G38" s="213" t="s">
        <v>365</v>
      </c>
      <c r="H38" s="213" t="s">
        <v>552</v>
      </c>
      <c r="I38" s="213"/>
      <c r="J38" s="213" t="s">
        <v>547</v>
      </c>
      <c r="K38" s="213"/>
      <c r="L38" s="213"/>
      <c r="M38" s="213"/>
      <c r="N38" s="213"/>
      <c r="O38" s="213"/>
      <c r="P38" s="213"/>
      <c r="Q38" s="213"/>
      <c r="R38" s="213"/>
      <c r="S38" s="213" t="s">
        <v>589</v>
      </c>
      <c r="T38" s="213"/>
      <c r="U38" s="213" t="s">
        <v>538</v>
      </c>
      <c r="V38" s="213">
        <v>2</v>
      </c>
      <c r="W38" s="213" t="s">
        <v>545</v>
      </c>
      <c r="X38" s="213" t="s">
        <v>549</v>
      </c>
      <c r="Y38" s="213" t="s">
        <v>540</v>
      </c>
      <c r="Z38" s="212">
        <v>38058</v>
      </c>
      <c r="AA38" s="212">
        <v>3590544</v>
      </c>
      <c r="AB38" s="217">
        <v>2.565264</v>
      </c>
      <c r="AC38" s="217">
        <v>4.1284010000000002</v>
      </c>
      <c r="AD38" s="212">
        <f t="shared" si="0"/>
        <v>9210693.2636159994</v>
      </c>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row>
    <row r="39" spans="2:91" s="66" customFormat="1" x14ac:dyDescent="0.15">
      <c r="B39" s="213">
        <v>17031002199</v>
      </c>
      <c r="C39" s="213">
        <v>17031000303</v>
      </c>
      <c r="D39" s="213">
        <v>17031000293</v>
      </c>
      <c r="E39" s="213" t="s">
        <v>533</v>
      </c>
      <c r="F39" s="213" t="s">
        <v>534</v>
      </c>
      <c r="G39" s="213" t="s">
        <v>365</v>
      </c>
      <c r="H39" s="213" t="s">
        <v>382</v>
      </c>
      <c r="I39" s="213"/>
      <c r="J39" s="213"/>
      <c r="K39" s="213"/>
      <c r="L39" s="213"/>
      <c r="M39" s="213"/>
      <c r="N39" s="213"/>
      <c r="O39" s="213"/>
      <c r="P39" s="213"/>
      <c r="Q39" s="213"/>
      <c r="R39" s="213"/>
      <c r="S39" s="213" t="s">
        <v>608</v>
      </c>
      <c r="T39" s="213"/>
      <c r="U39" s="213" t="s">
        <v>538</v>
      </c>
      <c r="V39" s="213">
        <v>1</v>
      </c>
      <c r="W39" s="213" t="s">
        <v>582</v>
      </c>
      <c r="X39" s="213" t="s">
        <v>554</v>
      </c>
      <c r="Y39" s="213" t="s">
        <v>540</v>
      </c>
      <c r="Z39" s="212">
        <v>10791</v>
      </c>
      <c r="AA39" s="212">
        <v>950928</v>
      </c>
      <c r="AB39" s="217">
        <v>1.278608</v>
      </c>
      <c r="AC39" s="217">
        <v>2.0577239999999999</v>
      </c>
      <c r="AD39" s="212">
        <f t="shared" si="0"/>
        <v>1215864.1482239999</v>
      </c>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row>
    <row r="40" spans="2:91" s="66" customFormat="1" x14ac:dyDescent="0.15">
      <c r="B40" s="213">
        <v>17031002200</v>
      </c>
      <c r="C40" s="213">
        <v>17031007551</v>
      </c>
      <c r="D40" s="213">
        <v>17031000303</v>
      </c>
      <c r="E40" s="213" t="s">
        <v>533</v>
      </c>
      <c r="F40" s="213" t="s">
        <v>534</v>
      </c>
      <c r="G40" s="213" t="s">
        <v>365</v>
      </c>
      <c r="H40" s="213" t="s">
        <v>382</v>
      </c>
      <c r="I40" s="213"/>
      <c r="J40" s="213" t="s">
        <v>552</v>
      </c>
      <c r="K40" s="213"/>
      <c r="L40" s="213"/>
      <c r="M40" s="213"/>
      <c r="N40" s="213"/>
      <c r="O40" s="213"/>
      <c r="P40" s="213"/>
      <c r="Q40" s="213"/>
      <c r="R40" s="213"/>
      <c r="S40" s="213" t="s">
        <v>586</v>
      </c>
      <c r="T40" s="213"/>
      <c r="U40" s="213" t="s">
        <v>538</v>
      </c>
      <c r="V40" s="213">
        <v>2</v>
      </c>
      <c r="W40" s="213" t="s">
        <v>582</v>
      </c>
      <c r="X40" s="213" t="s">
        <v>549</v>
      </c>
      <c r="Y40" s="213" t="s">
        <v>580</v>
      </c>
      <c r="Z40" s="212">
        <v>533452</v>
      </c>
      <c r="AA40" s="212">
        <v>38090725</v>
      </c>
      <c r="AB40" s="217">
        <v>0.48006799999999999</v>
      </c>
      <c r="AC40" s="217">
        <v>0.77259500000000003</v>
      </c>
      <c r="AD40" s="212">
        <f t="shared" si="0"/>
        <v>18286138.169300001</v>
      </c>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row>
    <row r="41" spans="2:91" s="66" customFormat="1" x14ac:dyDescent="0.15">
      <c r="B41" s="213">
        <v>17031002203</v>
      </c>
      <c r="C41" s="213">
        <v>17999019947</v>
      </c>
      <c r="D41" s="213">
        <v>17031000339</v>
      </c>
      <c r="E41" s="213" t="s">
        <v>533</v>
      </c>
      <c r="F41" s="213" t="s">
        <v>534</v>
      </c>
      <c r="G41" s="213" t="s">
        <v>365</v>
      </c>
      <c r="H41" s="213" t="s">
        <v>382</v>
      </c>
      <c r="I41" s="213"/>
      <c r="J41" s="213" t="s">
        <v>552</v>
      </c>
      <c r="K41" s="213"/>
      <c r="L41" s="213"/>
      <c r="M41" s="213"/>
      <c r="N41" s="213"/>
      <c r="O41" s="213"/>
      <c r="P41" s="213"/>
      <c r="Q41" s="213"/>
      <c r="R41" s="213"/>
      <c r="S41" s="213" t="s">
        <v>586</v>
      </c>
      <c r="T41" s="213"/>
      <c r="U41" s="213" t="s">
        <v>538</v>
      </c>
      <c r="V41" s="213">
        <v>2</v>
      </c>
      <c r="W41" s="213" t="s">
        <v>582</v>
      </c>
      <c r="X41" s="213" t="s">
        <v>549</v>
      </c>
      <c r="Y41" s="213" t="s">
        <v>580</v>
      </c>
      <c r="Z41" s="212">
        <v>534692</v>
      </c>
      <c r="AA41" s="212">
        <v>38186685</v>
      </c>
      <c r="AB41" s="217">
        <v>0.69888700000000004</v>
      </c>
      <c r="AC41" s="217">
        <v>1.1247510000000001</v>
      </c>
      <c r="AD41" s="212">
        <f t="shared" si="0"/>
        <v>26688177.719595</v>
      </c>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row>
    <row r="42" spans="2:91" s="66" customFormat="1" x14ac:dyDescent="0.15">
      <c r="B42" s="213">
        <v>17031002204</v>
      </c>
      <c r="C42" s="213">
        <v>17031000339</v>
      </c>
      <c r="D42" s="213">
        <v>17031000306</v>
      </c>
      <c r="E42" s="213" t="s">
        <v>533</v>
      </c>
      <c r="F42" s="213" t="s">
        <v>534</v>
      </c>
      <c r="G42" s="213" t="s">
        <v>365</v>
      </c>
      <c r="H42" s="213" t="s">
        <v>382</v>
      </c>
      <c r="I42" s="213"/>
      <c r="J42" s="213" t="s">
        <v>552</v>
      </c>
      <c r="K42" s="213"/>
      <c r="L42" s="213"/>
      <c r="M42" s="213"/>
      <c r="N42" s="213"/>
      <c r="O42" s="213"/>
      <c r="P42" s="213"/>
      <c r="Q42" s="213"/>
      <c r="R42" s="213"/>
      <c r="S42" s="213" t="s">
        <v>586</v>
      </c>
      <c r="T42" s="213"/>
      <c r="U42" s="213" t="s">
        <v>538</v>
      </c>
      <c r="V42" s="213">
        <v>2</v>
      </c>
      <c r="W42" s="213" t="s">
        <v>582</v>
      </c>
      <c r="X42" s="213" t="s">
        <v>549</v>
      </c>
      <c r="Y42" s="213" t="s">
        <v>580</v>
      </c>
      <c r="Z42" s="212">
        <v>533452</v>
      </c>
      <c r="AA42" s="212">
        <v>38090725</v>
      </c>
      <c r="AB42" s="217">
        <v>1.7597700000000001</v>
      </c>
      <c r="AC42" s="217">
        <v>2.8320810000000001</v>
      </c>
      <c r="AD42" s="212">
        <f t="shared" si="0"/>
        <v>67030915.133250006</v>
      </c>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row>
    <row r="43" spans="2:91" s="66" customFormat="1" x14ac:dyDescent="0.15">
      <c r="B43" s="213">
        <v>17031002208</v>
      </c>
      <c r="C43" s="213">
        <v>17031004601</v>
      </c>
      <c r="D43" s="213">
        <v>17031004600</v>
      </c>
      <c r="E43" s="213" t="s">
        <v>533</v>
      </c>
      <c r="F43" s="213" t="s">
        <v>534</v>
      </c>
      <c r="G43" s="213" t="s">
        <v>365</v>
      </c>
      <c r="H43" s="213" t="s">
        <v>382</v>
      </c>
      <c r="I43" s="213"/>
      <c r="J43" s="213" t="s">
        <v>535</v>
      </c>
      <c r="K43" s="213" t="s">
        <v>547</v>
      </c>
      <c r="L43" s="213"/>
      <c r="M43" s="213"/>
      <c r="N43" s="213"/>
      <c r="O43" s="213"/>
      <c r="P43" s="213"/>
      <c r="Q43" s="213"/>
      <c r="R43" s="213"/>
      <c r="S43" s="213" t="s">
        <v>608</v>
      </c>
      <c r="T43" s="213"/>
      <c r="U43" s="213" t="s">
        <v>538</v>
      </c>
      <c r="V43" s="213">
        <v>3</v>
      </c>
      <c r="W43" s="213" t="s">
        <v>566</v>
      </c>
      <c r="X43" s="213" t="s">
        <v>549</v>
      </c>
      <c r="Y43" s="213" t="s">
        <v>549</v>
      </c>
      <c r="Z43" s="212">
        <v>10791</v>
      </c>
      <c r="AA43" s="212">
        <v>950208</v>
      </c>
      <c r="AB43" s="217">
        <v>1.4864710000000001</v>
      </c>
      <c r="AC43" s="217">
        <v>2.3922490000000001</v>
      </c>
      <c r="AD43" s="212">
        <f t="shared" si="0"/>
        <v>1412456.6359680002</v>
      </c>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row>
    <row r="44" spans="2:91" s="66" customFormat="1" x14ac:dyDescent="0.15">
      <c r="B44" s="213">
        <v>17031002210</v>
      </c>
      <c r="C44" s="213">
        <v>17031000299</v>
      </c>
      <c r="D44" s="213">
        <v>17031000296</v>
      </c>
      <c r="E44" s="213" t="s">
        <v>533</v>
      </c>
      <c r="F44" s="213" t="s">
        <v>534</v>
      </c>
      <c r="G44" s="213" t="s">
        <v>365</v>
      </c>
      <c r="H44" s="213" t="s">
        <v>382</v>
      </c>
      <c r="I44" s="213"/>
      <c r="J44" s="213" t="s">
        <v>535</v>
      </c>
      <c r="K44" s="213" t="s">
        <v>552</v>
      </c>
      <c r="L44" s="213"/>
      <c r="M44" s="213"/>
      <c r="N44" s="213"/>
      <c r="O44" s="213"/>
      <c r="P44" s="213"/>
      <c r="Q44" s="213"/>
      <c r="R44" s="213"/>
      <c r="S44" s="213" t="s">
        <v>586</v>
      </c>
      <c r="T44" s="213"/>
      <c r="U44" s="213" t="s">
        <v>538</v>
      </c>
      <c r="V44" s="213">
        <v>2</v>
      </c>
      <c r="W44" s="213" t="s">
        <v>582</v>
      </c>
      <c r="X44" s="213" t="s">
        <v>549</v>
      </c>
      <c r="Y44" s="213" t="s">
        <v>580</v>
      </c>
      <c r="Z44" s="212">
        <v>521381</v>
      </c>
      <c r="AA44" s="212">
        <v>37021077</v>
      </c>
      <c r="AB44" s="217">
        <v>1.1490419999999999</v>
      </c>
      <c r="AC44" s="217">
        <v>1.849207</v>
      </c>
      <c r="AD44" s="212">
        <f t="shared" si="0"/>
        <v>42538772.358233996</v>
      </c>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row>
    <row r="45" spans="2:91" s="66" customFormat="1" x14ac:dyDescent="0.15">
      <c r="B45" s="213">
        <v>17031002214</v>
      </c>
      <c r="C45" s="213">
        <v>17031000545</v>
      </c>
      <c r="D45" s="213">
        <v>17031000536</v>
      </c>
      <c r="E45" s="213" t="s">
        <v>533</v>
      </c>
      <c r="F45" s="213" t="s">
        <v>534</v>
      </c>
      <c r="G45" s="213" t="s">
        <v>365</v>
      </c>
      <c r="H45" s="213" t="s">
        <v>382</v>
      </c>
      <c r="I45" s="213"/>
      <c r="J45" s="213" t="s">
        <v>572</v>
      </c>
      <c r="K45" s="213"/>
      <c r="L45" s="213"/>
      <c r="M45" s="213"/>
      <c r="N45" s="213"/>
      <c r="O45" s="213"/>
      <c r="P45" s="213"/>
      <c r="Q45" s="213"/>
      <c r="R45" s="213"/>
      <c r="S45" s="213" t="s">
        <v>650</v>
      </c>
      <c r="T45" s="213" t="s">
        <v>626</v>
      </c>
      <c r="U45" s="213" t="s">
        <v>559</v>
      </c>
      <c r="V45" s="213">
        <v>1</v>
      </c>
      <c r="W45" s="213" t="s">
        <v>539</v>
      </c>
      <c r="X45" s="213" t="s">
        <v>541</v>
      </c>
      <c r="Y45" s="213" t="s">
        <v>541</v>
      </c>
      <c r="Z45" s="212">
        <v>0</v>
      </c>
      <c r="AA45" s="212">
        <v>0</v>
      </c>
      <c r="AB45" s="217">
        <v>0.532447</v>
      </c>
      <c r="AC45" s="217">
        <v>0.85689300000000002</v>
      </c>
      <c r="AD45" s="212">
        <f t="shared" si="0"/>
        <v>0</v>
      </c>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row>
    <row r="46" spans="2:91" s="66" customFormat="1" x14ac:dyDescent="0.15">
      <c r="B46" s="213">
        <v>17031002215</v>
      </c>
      <c r="C46" s="213">
        <v>17031000558</v>
      </c>
      <c r="D46" s="213">
        <v>17031000546</v>
      </c>
      <c r="E46" s="213" t="s">
        <v>533</v>
      </c>
      <c r="F46" s="213" t="s">
        <v>534</v>
      </c>
      <c r="G46" s="213" t="s">
        <v>365</v>
      </c>
      <c r="H46" s="213" t="s">
        <v>382</v>
      </c>
      <c r="I46" s="213"/>
      <c r="J46" s="213"/>
      <c r="K46" s="213"/>
      <c r="L46" s="213"/>
      <c r="M46" s="213"/>
      <c r="N46" s="213"/>
      <c r="O46" s="213"/>
      <c r="P46" s="213"/>
      <c r="Q46" s="213"/>
      <c r="R46" s="213"/>
      <c r="S46" s="213"/>
      <c r="T46" s="213"/>
      <c r="U46" s="213" t="s">
        <v>538</v>
      </c>
      <c r="V46" s="213">
        <v>1</v>
      </c>
      <c r="W46" s="213" t="s">
        <v>545</v>
      </c>
      <c r="X46" s="213" t="s">
        <v>541</v>
      </c>
      <c r="Y46" s="213" t="s">
        <v>554</v>
      </c>
      <c r="Z46" s="212">
        <v>367965</v>
      </c>
      <c r="AA46" s="212">
        <v>17203744</v>
      </c>
      <c r="AB46" s="217">
        <v>0.27313999999999999</v>
      </c>
      <c r="AC46" s="217">
        <v>0.43957800000000002</v>
      </c>
      <c r="AD46" s="212">
        <f t="shared" si="0"/>
        <v>4699030.6361600002</v>
      </c>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row>
    <row r="47" spans="2:91" s="66" customFormat="1" x14ac:dyDescent="0.15">
      <c r="B47" s="213">
        <v>17031002218</v>
      </c>
      <c r="C47" s="213">
        <v>17031004589</v>
      </c>
      <c r="D47" s="213">
        <v>17031000259</v>
      </c>
      <c r="E47" s="213" t="s">
        <v>533</v>
      </c>
      <c r="F47" s="213" t="s">
        <v>534</v>
      </c>
      <c r="G47" s="213" t="s">
        <v>365</v>
      </c>
      <c r="H47" s="213" t="s">
        <v>382</v>
      </c>
      <c r="I47" s="213"/>
      <c r="J47" s="213" t="s">
        <v>535</v>
      </c>
      <c r="K47" s="213" t="s">
        <v>552</v>
      </c>
      <c r="L47" s="213"/>
      <c r="M47" s="213"/>
      <c r="N47" s="213"/>
      <c r="O47" s="213"/>
      <c r="P47" s="213"/>
      <c r="Q47" s="213"/>
      <c r="R47" s="213"/>
      <c r="S47" s="213" t="s">
        <v>586</v>
      </c>
      <c r="T47" s="213"/>
      <c r="U47" s="213" t="s">
        <v>538</v>
      </c>
      <c r="V47" s="213">
        <v>2</v>
      </c>
      <c r="W47" s="213" t="s">
        <v>582</v>
      </c>
      <c r="X47" s="213" t="s">
        <v>549</v>
      </c>
      <c r="Y47" s="213" t="s">
        <v>580</v>
      </c>
      <c r="Z47" s="212">
        <v>521381</v>
      </c>
      <c r="AA47" s="212">
        <v>37021077</v>
      </c>
      <c r="AB47" s="217">
        <v>1.0306690000000001</v>
      </c>
      <c r="AC47" s="217">
        <v>1.6587050000000001</v>
      </c>
      <c r="AD47" s="212">
        <f t="shared" si="0"/>
        <v>38156476.410512999</v>
      </c>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row>
    <row r="48" spans="2:91" s="66" customFormat="1" x14ac:dyDescent="0.15">
      <c r="B48" s="213">
        <v>17031002220</v>
      </c>
      <c r="C48" s="213">
        <v>17031004579</v>
      </c>
      <c r="D48" s="213">
        <v>17031004578</v>
      </c>
      <c r="E48" s="213" t="s">
        <v>533</v>
      </c>
      <c r="F48" s="213" t="s">
        <v>534</v>
      </c>
      <c r="G48" s="213" t="s">
        <v>365</v>
      </c>
      <c r="H48" s="213" t="s">
        <v>382</v>
      </c>
      <c r="I48" s="213"/>
      <c r="J48" s="213" t="s">
        <v>547</v>
      </c>
      <c r="K48" s="213"/>
      <c r="L48" s="213"/>
      <c r="M48" s="213"/>
      <c r="N48" s="213"/>
      <c r="O48" s="213"/>
      <c r="P48" s="213"/>
      <c r="Q48" s="213"/>
      <c r="R48" s="213"/>
      <c r="S48" s="213" t="s">
        <v>565</v>
      </c>
      <c r="T48" s="213"/>
      <c r="U48" s="213" t="s">
        <v>538</v>
      </c>
      <c r="V48" s="213">
        <v>2</v>
      </c>
      <c r="W48" s="213" t="s">
        <v>566</v>
      </c>
      <c r="X48" s="213" t="s">
        <v>549</v>
      </c>
      <c r="Y48" s="213" t="s">
        <v>541</v>
      </c>
      <c r="Z48" s="212">
        <v>0</v>
      </c>
      <c r="AA48" s="212">
        <v>0</v>
      </c>
      <c r="AB48" s="217">
        <v>0.719634</v>
      </c>
      <c r="AC48" s="217">
        <v>1.1581399999999999</v>
      </c>
      <c r="AD48" s="212">
        <f t="shared" si="0"/>
        <v>0</v>
      </c>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row>
    <row r="49" spans="2:91" s="66" customFormat="1" x14ac:dyDescent="0.15">
      <c r="B49" s="213">
        <v>17031002224</v>
      </c>
      <c r="C49" s="213">
        <v>17031000539</v>
      </c>
      <c r="D49" s="213">
        <v>17031000533</v>
      </c>
      <c r="E49" s="213" t="s">
        <v>533</v>
      </c>
      <c r="F49" s="213" t="s">
        <v>534</v>
      </c>
      <c r="G49" s="213" t="s">
        <v>365</v>
      </c>
      <c r="H49" s="213" t="s">
        <v>382</v>
      </c>
      <c r="I49" s="213"/>
      <c r="J49" s="213"/>
      <c r="K49" s="213"/>
      <c r="L49" s="213"/>
      <c r="M49" s="213"/>
      <c r="N49" s="213"/>
      <c r="O49" s="213"/>
      <c r="P49" s="213"/>
      <c r="Q49" s="213"/>
      <c r="R49" s="213"/>
      <c r="S49" s="213"/>
      <c r="T49" s="213" t="s">
        <v>626</v>
      </c>
      <c r="U49" s="213" t="s">
        <v>559</v>
      </c>
      <c r="V49" s="213">
        <v>1</v>
      </c>
      <c r="W49" s="213" t="s">
        <v>539</v>
      </c>
      <c r="X49" s="213" t="s">
        <v>541</v>
      </c>
      <c r="Y49" s="213" t="s">
        <v>541</v>
      </c>
      <c r="Z49" s="212">
        <v>0</v>
      </c>
      <c r="AA49" s="212">
        <v>0</v>
      </c>
      <c r="AB49" s="217">
        <v>1.381202</v>
      </c>
      <c r="AC49" s="217">
        <v>2.2228340000000002</v>
      </c>
      <c r="AD49" s="212">
        <f t="shared" si="0"/>
        <v>0</v>
      </c>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row>
    <row r="50" spans="2:91" s="66" customFormat="1" x14ac:dyDescent="0.15">
      <c r="B50" s="213">
        <v>17031002234</v>
      </c>
      <c r="C50" s="213">
        <v>17031007545</v>
      </c>
      <c r="D50" s="213">
        <v>17999019825</v>
      </c>
      <c r="E50" s="213" t="s">
        <v>533</v>
      </c>
      <c r="F50" s="213" t="s">
        <v>534</v>
      </c>
      <c r="G50" s="213" t="s">
        <v>365</v>
      </c>
      <c r="H50" s="213" t="s">
        <v>552</v>
      </c>
      <c r="I50" s="213"/>
      <c r="J50" s="213" t="s">
        <v>547</v>
      </c>
      <c r="K50" s="213"/>
      <c r="L50" s="213"/>
      <c r="M50" s="213"/>
      <c r="N50" s="213"/>
      <c r="O50" s="213"/>
      <c r="P50" s="213"/>
      <c r="Q50" s="213"/>
      <c r="R50" s="213"/>
      <c r="S50" s="213" t="s">
        <v>589</v>
      </c>
      <c r="T50" s="213"/>
      <c r="U50" s="213" t="s">
        <v>538</v>
      </c>
      <c r="V50" s="213">
        <v>2</v>
      </c>
      <c r="W50" s="213" t="s">
        <v>545</v>
      </c>
      <c r="X50" s="213" t="s">
        <v>549</v>
      </c>
      <c r="Y50" s="213" t="s">
        <v>540</v>
      </c>
      <c r="Z50" s="212">
        <v>36089</v>
      </c>
      <c r="AA50" s="212">
        <v>3395595</v>
      </c>
      <c r="AB50" s="217">
        <v>1.114495</v>
      </c>
      <c r="AC50" s="217">
        <v>1.793609</v>
      </c>
      <c r="AD50" s="212">
        <f t="shared" si="0"/>
        <v>3784373.6495250002</v>
      </c>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row>
    <row r="51" spans="2:91" s="66" customFormat="1" x14ac:dyDescent="0.15">
      <c r="B51" s="213">
        <v>17031002239</v>
      </c>
      <c r="C51" s="213">
        <v>17031000460</v>
      </c>
      <c r="D51" s="213">
        <v>17031004637</v>
      </c>
      <c r="E51" s="213" t="s">
        <v>533</v>
      </c>
      <c r="F51" s="213" t="s">
        <v>534</v>
      </c>
      <c r="G51" s="213" t="s">
        <v>365</v>
      </c>
      <c r="H51" s="213" t="s">
        <v>552</v>
      </c>
      <c r="I51" s="213"/>
      <c r="J51" s="213" t="s">
        <v>551</v>
      </c>
      <c r="K51" s="213" t="s">
        <v>547</v>
      </c>
      <c r="L51" s="213" t="s">
        <v>382</v>
      </c>
      <c r="M51" s="213" t="s">
        <v>563</v>
      </c>
      <c r="N51" s="213"/>
      <c r="O51" s="213"/>
      <c r="P51" s="213"/>
      <c r="Q51" s="213"/>
      <c r="R51" s="213"/>
      <c r="S51" s="213" t="s">
        <v>589</v>
      </c>
      <c r="T51" s="213"/>
      <c r="U51" s="213" t="s">
        <v>538</v>
      </c>
      <c r="V51" s="213">
        <v>3</v>
      </c>
      <c r="W51" s="213" t="s">
        <v>545</v>
      </c>
      <c r="X51" s="213" t="s">
        <v>549</v>
      </c>
      <c r="Y51" s="213" t="s">
        <v>549</v>
      </c>
      <c r="Z51" s="212">
        <v>320753</v>
      </c>
      <c r="AA51" s="212">
        <v>20266582</v>
      </c>
      <c r="AB51" s="217">
        <v>1.187565</v>
      </c>
      <c r="AC51" s="217">
        <v>1.9112039999999999</v>
      </c>
      <c r="AD51" s="212">
        <f t="shared" si="0"/>
        <v>24067883.452829998</v>
      </c>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row>
    <row r="52" spans="2:91" s="66" customFormat="1" x14ac:dyDescent="0.15">
      <c r="B52" s="213">
        <v>17031002240</v>
      </c>
      <c r="C52" s="213">
        <v>17031004638</v>
      </c>
      <c r="D52" s="213">
        <v>17031000460</v>
      </c>
      <c r="E52" s="213" t="s">
        <v>533</v>
      </c>
      <c r="F52" s="213" t="s">
        <v>534</v>
      </c>
      <c r="G52" s="213" t="s">
        <v>365</v>
      </c>
      <c r="H52" s="213" t="s">
        <v>552</v>
      </c>
      <c r="I52" s="213"/>
      <c r="J52" s="213" t="s">
        <v>551</v>
      </c>
      <c r="K52" s="213" t="s">
        <v>547</v>
      </c>
      <c r="L52" s="213" t="s">
        <v>382</v>
      </c>
      <c r="M52" s="213" t="s">
        <v>563</v>
      </c>
      <c r="N52" s="213"/>
      <c r="O52" s="213"/>
      <c r="P52" s="213"/>
      <c r="Q52" s="213"/>
      <c r="R52" s="213"/>
      <c r="S52" s="213" t="s">
        <v>589</v>
      </c>
      <c r="T52" s="213"/>
      <c r="U52" s="213" t="s">
        <v>538</v>
      </c>
      <c r="V52" s="213">
        <v>3</v>
      </c>
      <c r="W52" s="213" t="s">
        <v>545</v>
      </c>
      <c r="X52" s="213" t="s">
        <v>549</v>
      </c>
      <c r="Y52" s="213" t="s">
        <v>549</v>
      </c>
      <c r="Z52" s="212">
        <v>320753</v>
      </c>
      <c r="AA52" s="212">
        <v>20266582</v>
      </c>
      <c r="AB52" s="217">
        <v>0.71111199999999997</v>
      </c>
      <c r="AC52" s="217">
        <v>1.1444259999999999</v>
      </c>
      <c r="AD52" s="212">
        <f t="shared" si="0"/>
        <v>14411809.659184</v>
      </c>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row>
    <row r="53" spans="2:91" s="66" customFormat="1" x14ac:dyDescent="0.15">
      <c r="B53" s="213">
        <v>17031002250</v>
      </c>
      <c r="C53" s="213">
        <v>17031000571</v>
      </c>
      <c r="D53" s="213">
        <v>17031000570</v>
      </c>
      <c r="E53" s="213" t="s">
        <v>533</v>
      </c>
      <c r="F53" s="213" t="s">
        <v>534</v>
      </c>
      <c r="G53" s="213" t="s">
        <v>365</v>
      </c>
      <c r="H53" s="213" t="s">
        <v>382</v>
      </c>
      <c r="I53" s="213"/>
      <c r="J53" s="213" t="s">
        <v>572</v>
      </c>
      <c r="K53" s="213" t="s">
        <v>547</v>
      </c>
      <c r="L53" s="213"/>
      <c r="M53" s="213"/>
      <c r="N53" s="213"/>
      <c r="O53" s="213"/>
      <c r="P53" s="213"/>
      <c r="Q53" s="213"/>
      <c r="R53" s="213"/>
      <c r="S53" s="213" t="s">
        <v>583</v>
      </c>
      <c r="T53" s="213" t="s">
        <v>674</v>
      </c>
      <c r="U53" s="213" t="s">
        <v>538</v>
      </c>
      <c r="V53" s="213">
        <v>4</v>
      </c>
      <c r="W53" s="213" t="s">
        <v>545</v>
      </c>
      <c r="X53" s="213" t="s">
        <v>540</v>
      </c>
      <c r="Y53" s="213" t="s">
        <v>580</v>
      </c>
      <c r="Z53" s="212">
        <v>999857</v>
      </c>
      <c r="AA53" s="212">
        <v>33304864</v>
      </c>
      <c r="AB53" s="217">
        <v>0.21460799999999999</v>
      </c>
      <c r="AC53" s="217">
        <v>0.34537800000000002</v>
      </c>
      <c r="AD53" s="212">
        <f t="shared" si="0"/>
        <v>7147490.2533120001</v>
      </c>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row>
    <row r="54" spans="2:91" s="66" customFormat="1" x14ac:dyDescent="0.15">
      <c r="B54" s="213">
        <v>17031002251</v>
      </c>
      <c r="C54" s="213">
        <v>17031000577</v>
      </c>
      <c r="D54" s="213">
        <v>17031004652</v>
      </c>
      <c r="E54" s="213" t="s">
        <v>533</v>
      </c>
      <c r="F54" s="213" t="s">
        <v>534</v>
      </c>
      <c r="G54" s="213" t="s">
        <v>365</v>
      </c>
      <c r="H54" s="213" t="s">
        <v>382</v>
      </c>
      <c r="I54" s="213"/>
      <c r="J54" s="213" t="s">
        <v>572</v>
      </c>
      <c r="K54" s="213" t="s">
        <v>547</v>
      </c>
      <c r="L54" s="213"/>
      <c r="M54" s="213"/>
      <c r="N54" s="213"/>
      <c r="O54" s="213"/>
      <c r="P54" s="213"/>
      <c r="Q54" s="213"/>
      <c r="R54" s="213"/>
      <c r="S54" s="213" t="s">
        <v>583</v>
      </c>
      <c r="T54" s="213"/>
      <c r="U54" s="213" t="s">
        <v>538</v>
      </c>
      <c r="V54" s="213">
        <v>3</v>
      </c>
      <c r="W54" s="213" t="s">
        <v>545</v>
      </c>
      <c r="X54" s="213" t="s">
        <v>549</v>
      </c>
      <c r="Y54" s="213" t="s">
        <v>580</v>
      </c>
      <c r="Z54" s="212">
        <v>999857</v>
      </c>
      <c r="AA54" s="212">
        <v>33304864</v>
      </c>
      <c r="AB54" s="217">
        <v>0.40878399999999998</v>
      </c>
      <c r="AC54" s="217">
        <v>0.65787600000000002</v>
      </c>
      <c r="AD54" s="212">
        <f t="shared" si="0"/>
        <v>13614495.525376</v>
      </c>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row>
    <row r="55" spans="2:91" s="66" customFormat="1" x14ac:dyDescent="0.15">
      <c r="B55" s="213">
        <v>17031002253</v>
      </c>
      <c r="C55" s="213">
        <v>17031000811</v>
      </c>
      <c r="D55" s="213">
        <v>17031007764</v>
      </c>
      <c r="E55" s="213" t="s">
        <v>533</v>
      </c>
      <c r="F55" s="213" t="s">
        <v>534</v>
      </c>
      <c r="G55" s="213" t="s">
        <v>365</v>
      </c>
      <c r="H55" s="213" t="s">
        <v>557</v>
      </c>
      <c r="I55" s="213"/>
      <c r="J55" s="213" t="s">
        <v>535</v>
      </c>
      <c r="K55" s="213" t="s">
        <v>552</v>
      </c>
      <c r="L55" s="213" t="s">
        <v>543</v>
      </c>
      <c r="M55" s="213" t="s">
        <v>382</v>
      </c>
      <c r="N55" s="213"/>
      <c r="O55" s="213"/>
      <c r="P55" s="213"/>
      <c r="Q55" s="213"/>
      <c r="R55" s="213"/>
      <c r="S55" s="213" t="s">
        <v>570</v>
      </c>
      <c r="T55" s="213"/>
      <c r="U55" s="213" t="s">
        <v>538</v>
      </c>
      <c r="V55" s="213">
        <v>2</v>
      </c>
      <c r="W55" s="213" t="s">
        <v>545</v>
      </c>
      <c r="X55" s="213" t="s">
        <v>540</v>
      </c>
      <c r="Y55" s="213" t="s">
        <v>580</v>
      </c>
      <c r="Z55" s="212">
        <v>897874</v>
      </c>
      <c r="AA55" s="212">
        <v>51198646</v>
      </c>
      <c r="AB55" s="217">
        <v>2.0407709999999999</v>
      </c>
      <c r="AC55" s="217">
        <v>3.2843100000000001</v>
      </c>
      <c r="AD55" s="212">
        <f t="shared" si="0"/>
        <v>104484711.99606599</v>
      </c>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row>
    <row r="56" spans="2:91" s="66" customFormat="1" x14ac:dyDescent="0.15">
      <c r="B56" s="213">
        <v>17031002254</v>
      </c>
      <c r="C56" s="213">
        <v>17031004662</v>
      </c>
      <c r="D56" s="213">
        <v>17031004663</v>
      </c>
      <c r="E56" s="213" t="s">
        <v>533</v>
      </c>
      <c r="F56" s="213" t="s">
        <v>534</v>
      </c>
      <c r="G56" s="213" t="s">
        <v>365</v>
      </c>
      <c r="H56" s="213" t="s">
        <v>381</v>
      </c>
      <c r="I56" s="213"/>
      <c r="J56" s="213" t="s">
        <v>542</v>
      </c>
      <c r="K56" s="213" t="s">
        <v>547</v>
      </c>
      <c r="L56" s="213" t="s">
        <v>382</v>
      </c>
      <c r="M56" s="213"/>
      <c r="N56" s="213"/>
      <c r="O56" s="213"/>
      <c r="P56" s="213"/>
      <c r="Q56" s="213"/>
      <c r="R56" s="213"/>
      <c r="S56" s="213" t="s">
        <v>579</v>
      </c>
      <c r="T56" s="213"/>
      <c r="U56" s="213" t="s">
        <v>538</v>
      </c>
      <c r="V56" s="213">
        <v>3</v>
      </c>
      <c r="W56" s="213" t="s">
        <v>545</v>
      </c>
      <c r="X56" s="213" t="s">
        <v>549</v>
      </c>
      <c r="Y56" s="213" t="s">
        <v>580</v>
      </c>
      <c r="Z56" s="212">
        <v>935267</v>
      </c>
      <c r="AA56" s="212">
        <v>44554189</v>
      </c>
      <c r="AB56" s="217">
        <v>0.49629800000000002</v>
      </c>
      <c r="AC56" s="217">
        <v>0.79871599999999998</v>
      </c>
      <c r="AD56" s="212">
        <f t="shared" si="0"/>
        <v>22112154.892322</v>
      </c>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row>
    <row r="57" spans="2:91" s="66" customFormat="1" x14ac:dyDescent="0.15">
      <c r="B57" s="213">
        <v>17031002255</v>
      </c>
      <c r="C57" s="213">
        <v>17031004661</v>
      </c>
      <c r="D57" s="213">
        <v>17031004662</v>
      </c>
      <c r="E57" s="213" t="s">
        <v>533</v>
      </c>
      <c r="F57" s="213" t="s">
        <v>534</v>
      </c>
      <c r="G57" s="213" t="s">
        <v>365</v>
      </c>
      <c r="H57" s="213" t="s">
        <v>381</v>
      </c>
      <c r="I57" s="213"/>
      <c r="J57" s="213" t="s">
        <v>542</v>
      </c>
      <c r="K57" s="213" t="s">
        <v>547</v>
      </c>
      <c r="L57" s="213" t="s">
        <v>382</v>
      </c>
      <c r="M57" s="213"/>
      <c r="N57" s="213"/>
      <c r="O57" s="213"/>
      <c r="P57" s="213"/>
      <c r="Q57" s="213"/>
      <c r="R57" s="213"/>
      <c r="S57" s="213" t="s">
        <v>579</v>
      </c>
      <c r="T57" s="213"/>
      <c r="U57" s="213" t="s">
        <v>538</v>
      </c>
      <c r="V57" s="213">
        <v>3</v>
      </c>
      <c r="W57" s="213" t="s">
        <v>545</v>
      </c>
      <c r="X57" s="213" t="s">
        <v>549</v>
      </c>
      <c r="Y57" s="213" t="s">
        <v>580</v>
      </c>
      <c r="Z57" s="212">
        <v>935347</v>
      </c>
      <c r="AA57" s="212">
        <v>44561269</v>
      </c>
      <c r="AB57" s="217">
        <v>0.45074799999999998</v>
      </c>
      <c r="AC57" s="217">
        <v>0.72541100000000003</v>
      </c>
      <c r="AD57" s="212">
        <f t="shared" si="0"/>
        <v>20085902.879211999</v>
      </c>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row>
    <row r="58" spans="2:91" s="66" customFormat="1" x14ac:dyDescent="0.15">
      <c r="B58" s="213">
        <v>17031002257</v>
      </c>
      <c r="C58" s="213">
        <v>17031004659</v>
      </c>
      <c r="D58" s="213">
        <v>17031004660</v>
      </c>
      <c r="E58" s="213" t="s">
        <v>533</v>
      </c>
      <c r="F58" s="213" t="s">
        <v>534</v>
      </c>
      <c r="G58" s="213" t="s">
        <v>365</v>
      </c>
      <c r="H58" s="213" t="s">
        <v>381</v>
      </c>
      <c r="I58" s="213"/>
      <c r="J58" s="213" t="s">
        <v>542</v>
      </c>
      <c r="K58" s="213" t="s">
        <v>547</v>
      </c>
      <c r="L58" s="213" t="s">
        <v>382</v>
      </c>
      <c r="M58" s="213"/>
      <c r="N58" s="213"/>
      <c r="O58" s="213"/>
      <c r="P58" s="213"/>
      <c r="Q58" s="213"/>
      <c r="R58" s="213"/>
      <c r="S58" s="213" t="s">
        <v>579</v>
      </c>
      <c r="T58" s="213"/>
      <c r="U58" s="213" t="s">
        <v>538</v>
      </c>
      <c r="V58" s="213">
        <v>3</v>
      </c>
      <c r="W58" s="213" t="s">
        <v>545</v>
      </c>
      <c r="X58" s="213" t="s">
        <v>549</v>
      </c>
      <c r="Y58" s="213" t="s">
        <v>580</v>
      </c>
      <c r="Z58" s="212">
        <v>935347</v>
      </c>
      <c r="AA58" s="212">
        <v>44561269</v>
      </c>
      <c r="AB58" s="217">
        <v>0.69520000000000004</v>
      </c>
      <c r="AC58" s="217">
        <v>1.118819</v>
      </c>
      <c r="AD58" s="212">
        <f t="shared" si="0"/>
        <v>30978994.208800003</v>
      </c>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row>
    <row r="59" spans="2:91" s="66" customFormat="1" x14ac:dyDescent="0.15">
      <c r="B59" s="213">
        <v>17031002258</v>
      </c>
      <c r="C59" s="213">
        <v>17031000815</v>
      </c>
      <c r="D59" s="213">
        <v>17031000788</v>
      </c>
      <c r="E59" s="213" t="s">
        <v>533</v>
      </c>
      <c r="F59" s="213" t="s">
        <v>534</v>
      </c>
      <c r="G59" s="213" t="s">
        <v>365</v>
      </c>
      <c r="H59" s="213" t="s">
        <v>381</v>
      </c>
      <c r="I59" s="213"/>
      <c r="J59" s="213" t="s">
        <v>542</v>
      </c>
      <c r="K59" s="213" t="s">
        <v>547</v>
      </c>
      <c r="L59" s="213" t="s">
        <v>382</v>
      </c>
      <c r="M59" s="213"/>
      <c r="N59" s="213"/>
      <c r="O59" s="213"/>
      <c r="P59" s="213"/>
      <c r="Q59" s="213"/>
      <c r="R59" s="213"/>
      <c r="S59" s="213" t="s">
        <v>579</v>
      </c>
      <c r="T59" s="213"/>
      <c r="U59" s="213" t="s">
        <v>538</v>
      </c>
      <c r="V59" s="213">
        <v>3</v>
      </c>
      <c r="W59" s="213" t="s">
        <v>545</v>
      </c>
      <c r="X59" s="213" t="s">
        <v>549</v>
      </c>
      <c r="Y59" s="213" t="s">
        <v>580</v>
      </c>
      <c r="Z59" s="212">
        <v>936107</v>
      </c>
      <c r="AA59" s="212">
        <v>44636949</v>
      </c>
      <c r="AB59" s="217">
        <v>0.49512800000000001</v>
      </c>
      <c r="AC59" s="217">
        <v>0.79683300000000001</v>
      </c>
      <c r="AD59" s="212">
        <f t="shared" si="0"/>
        <v>22101003.284472</v>
      </c>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row>
    <row r="60" spans="2:91" s="66" customFormat="1" x14ac:dyDescent="0.15">
      <c r="B60" s="213">
        <v>17031002263</v>
      </c>
      <c r="C60" s="213">
        <v>17031000417</v>
      </c>
      <c r="D60" s="213">
        <v>17999020140</v>
      </c>
      <c r="E60" s="213" t="s">
        <v>533</v>
      </c>
      <c r="F60" s="213" t="s">
        <v>534</v>
      </c>
      <c r="G60" s="213" t="s">
        <v>365</v>
      </c>
      <c r="H60" s="213" t="s">
        <v>552</v>
      </c>
      <c r="I60" s="213"/>
      <c r="J60" s="213" t="s">
        <v>551</v>
      </c>
      <c r="K60" s="213" t="s">
        <v>547</v>
      </c>
      <c r="L60" s="213" t="s">
        <v>382</v>
      </c>
      <c r="M60" s="213" t="s">
        <v>563</v>
      </c>
      <c r="N60" s="213"/>
      <c r="O60" s="213"/>
      <c r="P60" s="213"/>
      <c r="Q60" s="213"/>
      <c r="R60" s="213"/>
      <c r="S60" s="213" t="s">
        <v>589</v>
      </c>
      <c r="T60" s="213" t="s">
        <v>632</v>
      </c>
      <c r="U60" s="213" t="s">
        <v>538</v>
      </c>
      <c r="V60" s="213">
        <v>2</v>
      </c>
      <c r="W60" s="213" t="s">
        <v>545</v>
      </c>
      <c r="X60" s="213" t="s">
        <v>540</v>
      </c>
      <c r="Y60" s="213" t="s">
        <v>549</v>
      </c>
      <c r="Z60" s="212">
        <v>481121</v>
      </c>
      <c r="AA60" s="212">
        <v>31735951</v>
      </c>
      <c r="AB60" s="217">
        <v>1.8998710000000001</v>
      </c>
      <c r="AC60" s="217">
        <v>3.0575510000000001</v>
      </c>
      <c r="AD60" s="212">
        <f t="shared" si="0"/>
        <v>60294212.962321006</v>
      </c>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row>
    <row r="61" spans="2:91" s="66" customFormat="1" x14ac:dyDescent="0.15">
      <c r="B61" s="213">
        <v>17031002271</v>
      </c>
      <c r="C61" s="213">
        <v>17031000780</v>
      </c>
      <c r="D61" s="213">
        <v>17031000778</v>
      </c>
      <c r="E61" s="213" t="s">
        <v>533</v>
      </c>
      <c r="F61" s="213" t="s">
        <v>534</v>
      </c>
      <c r="G61" s="213" t="s">
        <v>365</v>
      </c>
      <c r="H61" s="213" t="s">
        <v>535</v>
      </c>
      <c r="I61" s="213"/>
      <c r="J61" s="213" t="s">
        <v>542</v>
      </c>
      <c r="K61" s="213" t="s">
        <v>572</v>
      </c>
      <c r="L61" s="213" t="s">
        <v>547</v>
      </c>
      <c r="M61" s="213" t="s">
        <v>382</v>
      </c>
      <c r="N61" s="213"/>
      <c r="O61" s="213"/>
      <c r="P61" s="213"/>
      <c r="Q61" s="213"/>
      <c r="R61" s="213"/>
      <c r="S61" s="213" t="s">
        <v>601</v>
      </c>
      <c r="T61" s="213"/>
      <c r="U61" s="213" t="s">
        <v>538</v>
      </c>
      <c r="V61" s="213">
        <v>2</v>
      </c>
      <c r="W61" s="213" t="s">
        <v>545</v>
      </c>
      <c r="X61" s="213" t="s">
        <v>549</v>
      </c>
      <c r="Y61" s="213" t="s">
        <v>540</v>
      </c>
      <c r="Z61" s="212">
        <v>75456</v>
      </c>
      <c r="AA61" s="212">
        <v>2797960</v>
      </c>
      <c r="AB61" s="217">
        <v>0.48915900000000001</v>
      </c>
      <c r="AC61" s="217">
        <v>0.78722599999999998</v>
      </c>
      <c r="AD61" s="212">
        <f t="shared" si="0"/>
        <v>1368647.3156399999</v>
      </c>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row>
    <row r="62" spans="2:91" s="66" customFormat="1" x14ac:dyDescent="0.15">
      <c r="B62" s="213">
        <v>17031002291</v>
      </c>
      <c r="C62" s="213">
        <v>17031004726</v>
      </c>
      <c r="D62" s="213">
        <v>17031001167</v>
      </c>
      <c r="E62" s="213" t="s">
        <v>533</v>
      </c>
      <c r="F62" s="213" t="s">
        <v>534</v>
      </c>
      <c r="G62" s="213" t="s">
        <v>365</v>
      </c>
      <c r="H62" s="213" t="s">
        <v>547</v>
      </c>
      <c r="I62" s="213"/>
      <c r="J62" s="213"/>
      <c r="K62" s="213"/>
      <c r="L62" s="213"/>
      <c r="M62" s="213"/>
      <c r="N62" s="213"/>
      <c r="O62" s="213"/>
      <c r="P62" s="213"/>
      <c r="Q62" s="213"/>
      <c r="R62" s="213"/>
      <c r="S62" s="213"/>
      <c r="T62" s="213"/>
      <c r="U62" s="213" t="s">
        <v>538</v>
      </c>
      <c r="V62" s="213">
        <v>1</v>
      </c>
      <c r="W62" s="213" t="s">
        <v>582</v>
      </c>
      <c r="X62" s="213" t="s">
        <v>541</v>
      </c>
      <c r="Y62" s="213" t="s">
        <v>541</v>
      </c>
      <c r="Z62" s="212">
        <v>0</v>
      </c>
      <c r="AA62" s="212">
        <v>0</v>
      </c>
      <c r="AB62" s="217">
        <v>0.43305700000000003</v>
      </c>
      <c r="AC62" s="217">
        <v>0.69693899999999998</v>
      </c>
      <c r="AD62" s="212">
        <f t="shared" si="0"/>
        <v>0</v>
      </c>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row>
    <row r="63" spans="2:91" s="66" customFormat="1" x14ac:dyDescent="0.15">
      <c r="B63" s="213">
        <v>17031002294</v>
      </c>
      <c r="C63" s="213">
        <v>17031001370</v>
      </c>
      <c r="D63" s="213">
        <v>17031001295</v>
      </c>
      <c r="E63" s="213" t="s">
        <v>533</v>
      </c>
      <c r="F63" s="213" t="s">
        <v>534</v>
      </c>
      <c r="G63" s="213" t="s">
        <v>365</v>
      </c>
      <c r="H63" s="213" t="s">
        <v>535</v>
      </c>
      <c r="I63" s="213"/>
      <c r="J63" s="213" t="s">
        <v>542</v>
      </c>
      <c r="K63" s="213" t="s">
        <v>543</v>
      </c>
      <c r="L63" s="213"/>
      <c r="M63" s="213"/>
      <c r="N63" s="213"/>
      <c r="O63" s="213"/>
      <c r="P63" s="213"/>
      <c r="Q63" s="213"/>
      <c r="R63" s="213"/>
      <c r="S63" s="213" t="s">
        <v>544</v>
      </c>
      <c r="T63" s="213"/>
      <c r="U63" s="213" t="s">
        <v>538</v>
      </c>
      <c r="V63" s="213">
        <v>2</v>
      </c>
      <c r="W63" s="213" t="s">
        <v>545</v>
      </c>
      <c r="X63" s="213" t="s">
        <v>549</v>
      </c>
      <c r="Y63" s="213" t="s">
        <v>546</v>
      </c>
      <c r="Z63" s="212">
        <v>45644</v>
      </c>
      <c r="AA63" s="212">
        <v>3239933</v>
      </c>
      <c r="AB63" s="217">
        <v>1.3840159999999999</v>
      </c>
      <c r="AC63" s="217">
        <v>2.2273619999999998</v>
      </c>
      <c r="AD63" s="212">
        <f t="shared" si="0"/>
        <v>4484119.110928</v>
      </c>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row>
    <row r="64" spans="2:91" s="66" customFormat="1" x14ac:dyDescent="0.15">
      <c r="B64" s="213">
        <v>17031002300</v>
      </c>
      <c r="C64" s="213">
        <v>17031001382</v>
      </c>
      <c r="D64" s="213">
        <v>17031001376</v>
      </c>
      <c r="E64" s="213" t="s">
        <v>533</v>
      </c>
      <c r="F64" s="213" t="s">
        <v>534</v>
      </c>
      <c r="G64" s="213" t="s">
        <v>365</v>
      </c>
      <c r="H64" s="213" t="s">
        <v>382</v>
      </c>
      <c r="I64" s="213"/>
      <c r="J64" s="213" t="s">
        <v>542</v>
      </c>
      <c r="K64" s="213" t="s">
        <v>551</v>
      </c>
      <c r="L64" s="213" t="s">
        <v>555</v>
      </c>
      <c r="M64" s="213" t="s">
        <v>552</v>
      </c>
      <c r="N64" s="213"/>
      <c r="O64" s="213"/>
      <c r="P64" s="213"/>
      <c r="Q64" s="213"/>
      <c r="R64" s="213"/>
      <c r="S64" s="213" t="s">
        <v>556</v>
      </c>
      <c r="T64" s="213"/>
      <c r="U64" s="213" t="s">
        <v>538</v>
      </c>
      <c r="V64" s="213">
        <v>2</v>
      </c>
      <c r="W64" s="213" t="s">
        <v>545</v>
      </c>
      <c r="X64" s="213" t="s">
        <v>540</v>
      </c>
      <c r="Y64" s="213" t="s">
        <v>546</v>
      </c>
      <c r="Z64" s="212">
        <v>517708</v>
      </c>
      <c r="AA64" s="212">
        <v>28046920</v>
      </c>
      <c r="AB64" s="217">
        <v>0.219865</v>
      </c>
      <c r="AC64" s="217">
        <v>0.35383900000000001</v>
      </c>
      <c r="AD64" s="212">
        <f t="shared" si="0"/>
        <v>6166536.0658</v>
      </c>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row>
    <row r="65" spans="2:91" s="66" customFormat="1" x14ac:dyDescent="0.15">
      <c r="B65" s="213">
        <v>17031002303</v>
      </c>
      <c r="C65" s="213">
        <v>17031001394</v>
      </c>
      <c r="D65" s="213">
        <v>17031001397</v>
      </c>
      <c r="E65" s="213" t="s">
        <v>533</v>
      </c>
      <c r="F65" s="213" t="s">
        <v>534</v>
      </c>
      <c r="G65" s="213" t="s">
        <v>365</v>
      </c>
      <c r="H65" s="213" t="s">
        <v>551</v>
      </c>
      <c r="I65" s="213"/>
      <c r="J65" s="213"/>
      <c r="K65" s="213"/>
      <c r="L65" s="213"/>
      <c r="M65" s="213"/>
      <c r="N65" s="213"/>
      <c r="O65" s="213"/>
      <c r="P65" s="213"/>
      <c r="Q65" s="213"/>
      <c r="R65" s="213"/>
      <c r="S65" s="213" t="s">
        <v>603</v>
      </c>
      <c r="T65" s="213"/>
      <c r="U65" s="213" t="s">
        <v>538</v>
      </c>
      <c r="V65" s="213">
        <v>2</v>
      </c>
      <c r="W65" s="213" t="s">
        <v>545</v>
      </c>
      <c r="X65" s="213" t="s">
        <v>554</v>
      </c>
      <c r="Y65" s="213" t="s">
        <v>575</v>
      </c>
      <c r="Z65" s="212">
        <v>1457383</v>
      </c>
      <c r="AA65" s="212">
        <v>57277219</v>
      </c>
      <c r="AB65" s="217">
        <v>1.093845</v>
      </c>
      <c r="AC65" s="217">
        <v>1.7603770000000001</v>
      </c>
      <c r="AD65" s="212">
        <f t="shared" si="0"/>
        <v>62652399.617054999</v>
      </c>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row>
    <row r="66" spans="2:91" s="66" customFormat="1" x14ac:dyDescent="0.15">
      <c r="B66" s="213">
        <v>17031002329</v>
      </c>
      <c r="C66" s="213">
        <v>17031001443</v>
      </c>
      <c r="D66" s="213">
        <v>17031001429</v>
      </c>
      <c r="E66" s="213" t="s">
        <v>533</v>
      </c>
      <c r="F66" s="213" t="s">
        <v>534</v>
      </c>
      <c r="G66" s="213" t="s">
        <v>365</v>
      </c>
      <c r="H66" s="213" t="s">
        <v>382</v>
      </c>
      <c r="I66" s="213"/>
      <c r="J66" s="213" t="s">
        <v>551</v>
      </c>
      <c r="K66" s="213" t="s">
        <v>555</v>
      </c>
      <c r="L66" s="213" t="s">
        <v>552</v>
      </c>
      <c r="M66" s="213"/>
      <c r="N66" s="213"/>
      <c r="O66" s="213"/>
      <c r="P66" s="213"/>
      <c r="Q66" s="213"/>
      <c r="R66" s="213"/>
      <c r="S66" s="213" t="s">
        <v>556</v>
      </c>
      <c r="T66" s="213"/>
      <c r="U66" s="213" t="s">
        <v>538</v>
      </c>
      <c r="V66" s="213">
        <v>2</v>
      </c>
      <c r="W66" s="213" t="s">
        <v>545</v>
      </c>
      <c r="X66" s="213" t="s">
        <v>540</v>
      </c>
      <c r="Y66" s="213" t="s">
        <v>580</v>
      </c>
      <c r="Z66" s="212">
        <v>693994</v>
      </c>
      <c r="AA66" s="212">
        <v>29546664</v>
      </c>
      <c r="AB66" s="217">
        <v>1.4964999999999999</v>
      </c>
      <c r="AC66" s="217">
        <v>2.408388</v>
      </c>
      <c r="AD66" s="212">
        <f t="shared" si="0"/>
        <v>44216582.675999999</v>
      </c>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row>
    <row r="67" spans="2:91" s="66" customFormat="1" x14ac:dyDescent="0.15">
      <c r="B67" s="213">
        <v>17031002344</v>
      </c>
      <c r="C67" s="213">
        <v>17031000528</v>
      </c>
      <c r="D67" s="213">
        <v>17031004648</v>
      </c>
      <c r="E67" s="213" t="s">
        <v>533</v>
      </c>
      <c r="F67" s="213" t="s">
        <v>534</v>
      </c>
      <c r="G67" s="213" t="s">
        <v>365</v>
      </c>
      <c r="H67" s="213" t="s">
        <v>382</v>
      </c>
      <c r="I67" s="213"/>
      <c r="J67" s="213"/>
      <c r="K67" s="213"/>
      <c r="L67" s="213"/>
      <c r="M67" s="213"/>
      <c r="N67" s="213"/>
      <c r="O67" s="213"/>
      <c r="P67" s="213"/>
      <c r="Q67" s="213"/>
      <c r="R67" s="213"/>
      <c r="S67" s="213" t="s">
        <v>650</v>
      </c>
      <c r="T67" s="213" t="s">
        <v>626</v>
      </c>
      <c r="U67" s="213" t="s">
        <v>559</v>
      </c>
      <c r="V67" s="213">
        <v>1</v>
      </c>
      <c r="W67" s="213" t="s">
        <v>539</v>
      </c>
      <c r="X67" s="213" t="s">
        <v>541</v>
      </c>
      <c r="Y67" s="213" t="s">
        <v>541</v>
      </c>
      <c r="Z67" s="212">
        <v>1180</v>
      </c>
      <c r="AA67" s="212">
        <v>93600</v>
      </c>
      <c r="AB67" s="217">
        <v>0.63317299999999999</v>
      </c>
      <c r="AC67" s="217">
        <v>1.018994</v>
      </c>
      <c r="AD67" s="212">
        <f t="shared" si="0"/>
        <v>59264.9928</v>
      </c>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row>
    <row r="68" spans="2:91" s="66" customFormat="1" x14ac:dyDescent="0.15">
      <c r="B68" s="213">
        <v>17031002351</v>
      </c>
      <c r="C68" s="213">
        <v>17031000567</v>
      </c>
      <c r="D68" s="213">
        <v>17031000562</v>
      </c>
      <c r="E68" s="213" t="s">
        <v>533</v>
      </c>
      <c r="F68" s="213" t="s">
        <v>534</v>
      </c>
      <c r="G68" s="213" t="s">
        <v>365</v>
      </c>
      <c r="H68" s="213" t="s">
        <v>552</v>
      </c>
      <c r="I68" s="213"/>
      <c r="J68" s="213" t="s">
        <v>542</v>
      </c>
      <c r="K68" s="213" t="s">
        <v>547</v>
      </c>
      <c r="L68" s="213"/>
      <c r="M68" s="213"/>
      <c r="N68" s="213"/>
      <c r="O68" s="213"/>
      <c r="P68" s="213"/>
      <c r="Q68" s="213"/>
      <c r="R68" s="213"/>
      <c r="S68" s="213" t="s">
        <v>564</v>
      </c>
      <c r="T68" s="213"/>
      <c r="U68" s="213" t="s">
        <v>538</v>
      </c>
      <c r="V68" s="213">
        <v>3</v>
      </c>
      <c r="W68" s="213" t="s">
        <v>545</v>
      </c>
      <c r="X68" s="213" t="s">
        <v>541</v>
      </c>
      <c r="Y68" s="213" t="s">
        <v>541</v>
      </c>
      <c r="Z68" s="212">
        <v>31044</v>
      </c>
      <c r="AA68" s="212">
        <v>1434376</v>
      </c>
      <c r="AB68" s="217">
        <v>7.4693999999999997E-2</v>
      </c>
      <c r="AC68" s="217">
        <v>0.120209</v>
      </c>
      <c r="AD68" s="212">
        <f t="shared" si="0"/>
        <v>107139.280944</v>
      </c>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row>
    <row r="69" spans="2:91" s="66" customFormat="1" x14ac:dyDescent="0.15">
      <c r="B69" s="213">
        <v>17031002353</v>
      </c>
      <c r="C69" s="213">
        <v>17031000413</v>
      </c>
      <c r="D69" s="213">
        <v>17999020085</v>
      </c>
      <c r="E69" s="213" t="s">
        <v>533</v>
      </c>
      <c r="F69" s="213" t="s">
        <v>534</v>
      </c>
      <c r="G69" s="213" t="s">
        <v>365</v>
      </c>
      <c r="H69" s="213" t="s">
        <v>382</v>
      </c>
      <c r="I69" s="213"/>
      <c r="J69" s="213"/>
      <c r="K69" s="213"/>
      <c r="L69" s="213"/>
      <c r="M69" s="213"/>
      <c r="N69" s="213"/>
      <c r="O69" s="213"/>
      <c r="P69" s="213"/>
      <c r="Q69" s="213"/>
      <c r="R69" s="213"/>
      <c r="S69" s="213" t="s">
        <v>586</v>
      </c>
      <c r="T69" s="213"/>
      <c r="U69" s="213" t="s">
        <v>538</v>
      </c>
      <c r="V69" s="213">
        <v>2</v>
      </c>
      <c r="W69" s="213" t="s">
        <v>582</v>
      </c>
      <c r="X69" s="213" t="s">
        <v>549</v>
      </c>
      <c r="Y69" s="213" t="s">
        <v>549</v>
      </c>
      <c r="Z69" s="212">
        <v>86234</v>
      </c>
      <c r="AA69" s="212">
        <v>9510170</v>
      </c>
      <c r="AB69" s="217">
        <v>1.0697989999999999</v>
      </c>
      <c r="AC69" s="217">
        <v>1.721678</v>
      </c>
      <c r="AD69" s="212">
        <f t="shared" si="0"/>
        <v>10173970.355829999</v>
      </c>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row>
    <row r="70" spans="2:91" s="66" customFormat="1" x14ac:dyDescent="0.15">
      <c r="B70" s="213">
        <v>17031002354</v>
      </c>
      <c r="C70" s="213">
        <v>17031004646</v>
      </c>
      <c r="D70" s="213">
        <v>17031004647</v>
      </c>
      <c r="E70" s="213" t="s">
        <v>533</v>
      </c>
      <c r="F70" s="213" t="s">
        <v>534</v>
      </c>
      <c r="G70" s="213" t="s">
        <v>365</v>
      </c>
      <c r="H70" s="213" t="s">
        <v>382</v>
      </c>
      <c r="I70" s="213"/>
      <c r="J70" s="213" t="s">
        <v>547</v>
      </c>
      <c r="K70" s="213"/>
      <c r="L70" s="213"/>
      <c r="M70" s="213"/>
      <c r="N70" s="213"/>
      <c r="O70" s="213"/>
      <c r="P70" s="213"/>
      <c r="Q70" s="213"/>
      <c r="R70" s="213"/>
      <c r="S70" s="213" t="s">
        <v>583</v>
      </c>
      <c r="T70" s="213" t="s">
        <v>626</v>
      </c>
      <c r="U70" s="213" t="s">
        <v>538</v>
      </c>
      <c r="V70" s="213">
        <v>3</v>
      </c>
      <c r="W70" s="213" t="s">
        <v>545</v>
      </c>
      <c r="X70" s="213" t="s">
        <v>549</v>
      </c>
      <c r="Y70" s="213" t="s">
        <v>580</v>
      </c>
      <c r="Z70" s="212">
        <v>1359350</v>
      </c>
      <c r="AA70" s="212">
        <v>50218144</v>
      </c>
      <c r="AB70" s="217">
        <v>1.758249</v>
      </c>
      <c r="AC70" s="217">
        <v>2.8296320000000001</v>
      </c>
      <c r="AD70" s="212">
        <f t="shared" ref="AD70:AD133" si="1">AA70*AB70</f>
        <v>88296001.469855994</v>
      </c>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row>
    <row r="71" spans="2:91" s="66" customFormat="1" x14ac:dyDescent="0.15">
      <c r="B71" s="213">
        <v>17031002365</v>
      </c>
      <c r="C71" s="213">
        <v>17031007899</v>
      </c>
      <c r="D71" s="213">
        <v>17031004714</v>
      </c>
      <c r="E71" s="213" t="s">
        <v>533</v>
      </c>
      <c r="F71" s="213" t="s">
        <v>534</v>
      </c>
      <c r="G71" s="213" t="s">
        <v>365</v>
      </c>
      <c r="H71" s="213" t="s">
        <v>535</v>
      </c>
      <c r="I71" s="213"/>
      <c r="J71" s="213" t="s">
        <v>542</v>
      </c>
      <c r="K71" s="213" t="s">
        <v>543</v>
      </c>
      <c r="L71" s="213" t="s">
        <v>382</v>
      </c>
      <c r="M71" s="213"/>
      <c r="N71" s="213"/>
      <c r="O71" s="213"/>
      <c r="P71" s="213"/>
      <c r="Q71" s="213"/>
      <c r="R71" s="213"/>
      <c r="S71" s="213" t="s">
        <v>544</v>
      </c>
      <c r="T71" s="213"/>
      <c r="U71" s="213" t="s">
        <v>538</v>
      </c>
      <c r="V71" s="213">
        <v>2</v>
      </c>
      <c r="W71" s="213" t="s">
        <v>545</v>
      </c>
      <c r="X71" s="213" t="s">
        <v>540</v>
      </c>
      <c r="Y71" s="213" t="s">
        <v>546</v>
      </c>
      <c r="Z71" s="212">
        <v>345125</v>
      </c>
      <c r="AA71" s="212">
        <v>20730576</v>
      </c>
      <c r="AB71" s="217">
        <v>2.1614490000000002</v>
      </c>
      <c r="AC71" s="217">
        <v>3.4785219999999999</v>
      </c>
      <c r="AD71" s="212">
        <f t="shared" si="1"/>
        <v>44808082.764624007</v>
      </c>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row>
    <row r="72" spans="2:91" s="66" customFormat="1" x14ac:dyDescent="0.15">
      <c r="B72" s="213">
        <v>17031002366</v>
      </c>
      <c r="C72" s="213">
        <v>17031001575</v>
      </c>
      <c r="D72" s="213">
        <v>17031001566</v>
      </c>
      <c r="E72" s="213" t="s">
        <v>533</v>
      </c>
      <c r="F72" s="213" t="s">
        <v>534</v>
      </c>
      <c r="G72" s="213" t="s">
        <v>365</v>
      </c>
      <c r="H72" s="213" t="s">
        <v>382</v>
      </c>
      <c r="I72" s="213"/>
      <c r="J72" s="213" t="s">
        <v>551</v>
      </c>
      <c r="K72" s="213" t="s">
        <v>555</v>
      </c>
      <c r="L72" s="213"/>
      <c r="M72" s="213"/>
      <c r="N72" s="213"/>
      <c r="O72" s="213"/>
      <c r="P72" s="213"/>
      <c r="Q72" s="213"/>
      <c r="R72" s="213"/>
      <c r="S72" s="213" t="s">
        <v>556</v>
      </c>
      <c r="T72" s="213"/>
      <c r="U72" s="213" t="s">
        <v>538</v>
      </c>
      <c r="V72" s="213">
        <v>2</v>
      </c>
      <c r="W72" s="213" t="s">
        <v>545</v>
      </c>
      <c r="X72" s="213" t="s">
        <v>540</v>
      </c>
      <c r="Y72" s="213" t="s">
        <v>580</v>
      </c>
      <c r="Z72" s="212">
        <v>687986</v>
      </c>
      <c r="AA72" s="212">
        <v>29200156</v>
      </c>
      <c r="AB72" s="217">
        <v>0.16676099999999999</v>
      </c>
      <c r="AC72" s="217">
        <v>0.268376</v>
      </c>
      <c r="AD72" s="212">
        <f t="shared" si="1"/>
        <v>4869447.2147159996</v>
      </c>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row>
    <row r="73" spans="2:91" s="66" customFormat="1" x14ac:dyDescent="0.15">
      <c r="B73" s="213">
        <v>17031002367</v>
      </c>
      <c r="C73" s="213">
        <v>17031004708</v>
      </c>
      <c r="D73" s="213">
        <v>17031001564</v>
      </c>
      <c r="E73" s="213" t="s">
        <v>533</v>
      </c>
      <c r="F73" s="213" t="s">
        <v>534</v>
      </c>
      <c r="G73" s="213" t="s">
        <v>365</v>
      </c>
      <c r="H73" s="213" t="s">
        <v>535</v>
      </c>
      <c r="I73" s="213"/>
      <c r="J73" s="213" t="s">
        <v>382</v>
      </c>
      <c r="K73" s="213" t="s">
        <v>536</v>
      </c>
      <c r="L73" s="213"/>
      <c r="M73" s="213"/>
      <c r="N73" s="213"/>
      <c r="O73" s="213"/>
      <c r="P73" s="213"/>
      <c r="Q73" s="213"/>
      <c r="R73" s="213"/>
      <c r="S73" s="213" t="s">
        <v>537</v>
      </c>
      <c r="T73" s="213"/>
      <c r="U73" s="213" t="s">
        <v>538</v>
      </c>
      <c r="V73" s="213">
        <v>2</v>
      </c>
      <c r="W73" s="213" t="s">
        <v>582</v>
      </c>
      <c r="X73" s="213" t="s">
        <v>549</v>
      </c>
      <c r="Y73" s="213" t="s">
        <v>540</v>
      </c>
      <c r="Z73" s="212">
        <v>39128</v>
      </c>
      <c r="AA73" s="212">
        <v>3874614</v>
      </c>
      <c r="AB73" s="217">
        <v>1.3152429999999999</v>
      </c>
      <c r="AC73" s="217">
        <v>2.1166830000000001</v>
      </c>
      <c r="AD73" s="212">
        <f t="shared" si="1"/>
        <v>5096058.9412019998</v>
      </c>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row>
    <row r="74" spans="2:91" s="66" customFormat="1" x14ac:dyDescent="0.15">
      <c r="B74" s="213">
        <v>17031002368</v>
      </c>
      <c r="C74" s="213">
        <v>17031007611</v>
      </c>
      <c r="D74" s="213">
        <v>17999024193</v>
      </c>
      <c r="E74" s="213" t="s">
        <v>533</v>
      </c>
      <c r="F74" s="213" t="s">
        <v>534</v>
      </c>
      <c r="G74" s="213" t="s">
        <v>365</v>
      </c>
      <c r="H74" s="213" t="s">
        <v>535</v>
      </c>
      <c r="I74" s="213"/>
      <c r="J74" s="213" t="s">
        <v>382</v>
      </c>
      <c r="K74" s="213" t="s">
        <v>536</v>
      </c>
      <c r="L74" s="213"/>
      <c r="M74" s="213"/>
      <c r="N74" s="213"/>
      <c r="O74" s="213"/>
      <c r="P74" s="213"/>
      <c r="Q74" s="213"/>
      <c r="R74" s="213"/>
      <c r="S74" s="213" t="s">
        <v>537</v>
      </c>
      <c r="T74" s="213"/>
      <c r="U74" s="213" t="s">
        <v>538</v>
      </c>
      <c r="V74" s="213">
        <v>1</v>
      </c>
      <c r="W74" s="213" t="s">
        <v>545</v>
      </c>
      <c r="X74" s="213" t="s">
        <v>549</v>
      </c>
      <c r="Y74" s="213" t="s">
        <v>540</v>
      </c>
      <c r="Z74" s="212">
        <v>39128</v>
      </c>
      <c r="AA74" s="212">
        <v>3874614</v>
      </c>
      <c r="AB74" s="217">
        <v>2.0109689999999998</v>
      </c>
      <c r="AC74" s="217">
        <v>3.2363469999999999</v>
      </c>
      <c r="AD74" s="212">
        <f t="shared" si="1"/>
        <v>7791728.6409659991</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row>
    <row r="75" spans="2:91" s="66" customFormat="1" x14ac:dyDescent="0.15">
      <c r="B75" s="213">
        <v>17031002370</v>
      </c>
      <c r="C75" s="213">
        <v>17031004709</v>
      </c>
      <c r="D75" s="213">
        <v>17031001578</v>
      </c>
      <c r="E75" s="213" t="s">
        <v>533</v>
      </c>
      <c r="F75" s="213" t="s">
        <v>534</v>
      </c>
      <c r="G75" s="213" t="s">
        <v>365</v>
      </c>
      <c r="H75" s="213" t="s">
        <v>382</v>
      </c>
      <c r="I75" s="213"/>
      <c r="J75" s="213" t="s">
        <v>551</v>
      </c>
      <c r="K75" s="213" t="s">
        <v>555</v>
      </c>
      <c r="L75" s="213"/>
      <c r="M75" s="213"/>
      <c r="N75" s="213"/>
      <c r="O75" s="213"/>
      <c r="P75" s="213"/>
      <c r="Q75" s="213"/>
      <c r="R75" s="213"/>
      <c r="S75" s="213" t="s">
        <v>556</v>
      </c>
      <c r="T75" s="213"/>
      <c r="U75" s="213" t="s">
        <v>538</v>
      </c>
      <c r="V75" s="213">
        <v>2</v>
      </c>
      <c r="W75" s="213" t="s">
        <v>545</v>
      </c>
      <c r="X75" s="213" t="s">
        <v>540</v>
      </c>
      <c r="Y75" s="213" t="s">
        <v>580</v>
      </c>
      <c r="Z75" s="212">
        <v>687866</v>
      </c>
      <c r="AA75" s="212">
        <v>29191196</v>
      </c>
      <c r="AB75" s="217">
        <v>0.74214199999999997</v>
      </c>
      <c r="AC75" s="217">
        <v>1.194364</v>
      </c>
      <c r="AD75" s="212">
        <f t="shared" si="1"/>
        <v>21664012.581831999</v>
      </c>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row>
    <row r="76" spans="2:91" s="66" customFormat="1" x14ac:dyDescent="0.15">
      <c r="B76" s="213">
        <v>17031002371</v>
      </c>
      <c r="C76" s="213">
        <v>17999024399</v>
      </c>
      <c r="D76" s="213">
        <v>17031001589</v>
      </c>
      <c r="E76" s="213" t="s">
        <v>533</v>
      </c>
      <c r="F76" s="213" t="s">
        <v>534</v>
      </c>
      <c r="G76" s="213" t="s">
        <v>365</v>
      </c>
      <c r="H76" s="213" t="s">
        <v>535</v>
      </c>
      <c r="I76" s="213"/>
      <c r="J76" s="213" t="s">
        <v>542</v>
      </c>
      <c r="K76" s="213" t="s">
        <v>543</v>
      </c>
      <c r="L76" s="213" t="s">
        <v>382</v>
      </c>
      <c r="M76" s="213"/>
      <c r="N76" s="213"/>
      <c r="O76" s="213"/>
      <c r="P76" s="213"/>
      <c r="Q76" s="213"/>
      <c r="R76" s="213"/>
      <c r="S76" s="213" t="s">
        <v>544</v>
      </c>
      <c r="T76" s="213"/>
      <c r="U76" s="213" t="s">
        <v>538</v>
      </c>
      <c r="V76" s="213">
        <v>2</v>
      </c>
      <c r="W76" s="213" t="s">
        <v>545</v>
      </c>
      <c r="X76" s="213" t="s">
        <v>540</v>
      </c>
      <c r="Y76" s="213" t="s">
        <v>546</v>
      </c>
      <c r="Z76" s="212">
        <v>341037</v>
      </c>
      <c r="AA76" s="212">
        <v>20076782</v>
      </c>
      <c r="AB76" s="217">
        <v>1.095486</v>
      </c>
      <c r="AC76" s="217">
        <v>1.763018</v>
      </c>
      <c r="AD76" s="212">
        <f t="shared" si="1"/>
        <v>21993833.606052</v>
      </c>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row>
    <row r="77" spans="2:91" s="66" customFormat="1" x14ac:dyDescent="0.15">
      <c r="B77" s="213">
        <v>17031002372</v>
      </c>
      <c r="C77" s="213">
        <v>17031004656</v>
      </c>
      <c r="D77" s="213">
        <v>17031004657</v>
      </c>
      <c r="E77" s="213" t="s">
        <v>533</v>
      </c>
      <c r="F77" s="213" t="s">
        <v>534</v>
      </c>
      <c r="G77" s="213" t="s">
        <v>365</v>
      </c>
      <c r="H77" s="213" t="s">
        <v>381</v>
      </c>
      <c r="I77" s="213"/>
      <c r="J77" s="213" t="s">
        <v>542</v>
      </c>
      <c r="K77" s="213" t="s">
        <v>547</v>
      </c>
      <c r="L77" s="213" t="s">
        <v>382</v>
      </c>
      <c r="M77" s="213"/>
      <c r="N77" s="213"/>
      <c r="O77" s="213"/>
      <c r="P77" s="213"/>
      <c r="Q77" s="213"/>
      <c r="R77" s="213"/>
      <c r="S77" s="213" t="s">
        <v>579</v>
      </c>
      <c r="T77" s="213"/>
      <c r="U77" s="213" t="s">
        <v>538</v>
      </c>
      <c r="V77" s="213">
        <v>3</v>
      </c>
      <c r="W77" s="213" t="s">
        <v>545</v>
      </c>
      <c r="X77" s="213" t="s">
        <v>549</v>
      </c>
      <c r="Y77" s="213" t="s">
        <v>580</v>
      </c>
      <c r="Z77" s="212">
        <v>1206807</v>
      </c>
      <c r="AA77" s="212">
        <v>52650967</v>
      </c>
      <c r="AB77" s="217">
        <v>1.2248509999999999</v>
      </c>
      <c r="AC77" s="217">
        <v>1.9712099999999999</v>
      </c>
      <c r="AD77" s="212">
        <f t="shared" si="1"/>
        <v>64489589.580916993</v>
      </c>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row>
    <row r="78" spans="2:91" s="66" customFormat="1" x14ac:dyDescent="0.15">
      <c r="B78" s="213">
        <v>17031002422</v>
      </c>
      <c r="C78" s="213">
        <v>17031004714</v>
      </c>
      <c r="D78" s="213">
        <v>17031001446</v>
      </c>
      <c r="E78" s="213" t="s">
        <v>533</v>
      </c>
      <c r="F78" s="213" t="s">
        <v>534</v>
      </c>
      <c r="G78" s="213" t="s">
        <v>365</v>
      </c>
      <c r="H78" s="213" t="s">
        <v>535</v>
      </c>
      <c r="I78" s="213"/>
      <c r="J78" s="213" t="s">
        <v>542</v>
      </c>
      <c r="K78" s="213" t="s">
        <v>543</v>
      </c>
      <c r="L78" s="213" t="s">
        <v>382</v>
      </c>
      <c r="M78" s="213"/>
      <c r="N78" s="213"/>
      <c r="O78" s="213"/>
      <c r="P78" s="213"/>
      <c r="Q78" s="213"/>
      <c r="R78" s="213"/>
      <c r="S78" s="213" t="s">
        <v>544</v>
      </c>
      <c r="T78" s="213"/>
      <c r="U78" s="213" t="s">
        <v>538</v>
      </c>
      <c r="V78" s="213">
        <v>3</v>
      </c>
      <c r="W78" s="213" t="s">
        <v>545</v>
      </c>
      <c r="X78" s="213" t="s">
        <v>549</v>
      </c>
      <c r="Y78" s="213" t="s">
        <v>546</v>
      </c>
      <c r="Z78" s="212">
        <v>345125</v>
      </c>
      <c r="AA78" s="212">
        <v>20730576</v>
      </c>
      <c r="AB78" s="217">
        <v>2.677235</v>
      </c>
      <c r="AC78" s="217">
        <v>4.3086000000000002</v>
      </c>
      <c r="AD78" s="212">
        <f t="shared" si="1"/>
        <v>55500623.637359999</v>
      </c>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row>
    <row r="79" spans="2:91" s="66" customFormat="1" x14ac:dyDescent="0.15">
      <c r="B79" s="213">
        <v>17031002427</v>
      </c>
      <c r="C79" s="213">
        <v>17031000675</v>
      </c>
      <c r="D79" s="213">
        <v>17031000723</v>
      </c>
      <c r="E79" s="213" t="s">
        <v>533</v>
      </c>
      <c r="F79" s="213" t="s">
        <v>534</v>
      </c>
      <c r="G79" s="213" t="s">
        <v>365</v>
      </c>
      <c r="H79" s="213" t="s">
        <v>535</v>
      </c>
      <c r="I79" s="213"/>
      <c r="J79" s="213"/>
      <c r="K79" s="213"/>
      <c r="L79" s="213"/>
      <c r="M79" s="213"/>
      <c r="N79" s="213"/>
      <c r="O79" s="213"/>
      <c r="P79" s="213"/>
      <c r="Q79" s="213"/>
      <c r="R79" s="213"/>
      <c r="S79" s="213" t="s">
        <v>624</v>
      </c>
      <c r="T79" s="213"/>
      <c r="U79" s="213" t="s">
        <v>538</v>
      </c>
      <c r="V79" s="213">
        <v>2</v>
      </c>
      <c r="W79" s="213" t="s">
        <v>582</v>
      </c>
      <c r="X79" s="213" t="s">
        <v>554</v>
      </c>
      <c r="Y79" s="213" t="s">
        <v>554</v>
      </c>
      <c r="Z79" s="212">
        <v>0</v>
      </c>
      <c r="AA79" s="212">
        <v>0</v>
      </c>
      <c r="AB79" s="217">
        <v>3.0634350000000001</v>
      </c>
      <c r="AC79" s="217">
        <v>4.9301300000000001</v>
      </c>
      <c r="AD79" s="212">
        <f t="shared" si="1"/>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row>
    <row r="80" spans="2:91" s="66" customFormat="1" x14ac:dyDescent="0.15">
      <c r="B80" s="213">
        <v>17031002432</v>
      </c>
      <c r="C80" s="213">
        <v>17031001427</v>
      </c>
      <c r="D80" s="213">
        <v>17031001423</v>
      </c>
      <c r="E80" s="213" t="s">
        <v>533</v>
      </c>
      <c r="F80" s="213" t="s">
        <v>534</v>
      </c>
      <c r="G80" s="213" t="s">
        <v>365</v>
      </c>
      <c r="H80" s="213" t="s">
        <v>382</v>
      </c>
      <c r="I80" s="213"/>
      <c r="J80" s="213" t="s">
        <v>542</v>
      </c>
      <c r="K80" s="213" t="s">
        <v>551</v>
      </c>
      <c r="L80" s="213" t="s">
        <v>555</v>
      </c>
      <c r="M80" s="213" t="s">
        <v>552</v>
      </c>
      <c r="N80" s="213" t="s">
        <v>535</v>
      </c>
      <c r="O80" s="213"/>
      <c r="P80" s="213"/>
      <c r="Q80" s="213"/>
      <c r="R80" s="213"/>
      <c r="S80" s="213" t="s">
        <v>556</v>
      </c>
      <c r="T80" s="213"/>
      <c r="U80" s="213" t="s">
        <v>538</v>
      </c>
      <c r="V80" s="213">
        <v>2</v>
      </c>
      <c r="W80" s="213" t="s">
        <v>545</v>
      </c>
      <c r="X80" s="213" t="s">
        <v>554</v>
      </c>
      <c r="Y80" s="213" t="s">
        <v>580</v>
      </c>
      <c r="Z80" s="212">
        <v>706508</v>
      </c>
      <c r="AA80" s="212">
        <v>30593120</v>
      </c>
      <c r="AB80" s="217">
        <v>0.40879300000000002</v>
      </c>
      <c r="AC80" s="217">
        <v>0.65788999999999997</v>
      </c>
      <c r="AD80" s="212">
        <f t="shared" si="1"/>
        <v>12506253.304160001</v>
      </c>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row>
    <row r="81" spans="2:91" s="66" customFormat="1" x14ac:dyDescent="0.15">
      <c r="B81" s="213">
        <v>17031002575</v>
      </c>
      <c r="C81" s="213">
        <v>17031006962</v>
      </c>
      <c r="D81" s="213">
        <v>17031006970</v>
      </c>
      <c r="E81" s="213" t="s">
        <v>533</v>
      </c>
      <c r="F81" s="213" t="s">
        <v>534</v>
      </c>
      <c r="G81" s="213" t="s">
        <v>365</v>
      </c>
      <c r="H81" s="213" t="s">
        <v>381</v>
      </c>
      <c r="I81" s="213"/>
      <c r="J81" s="213" t="s">
        <v>382</v>
      </c>
      <c r="K81" s="213" t="s">
        <v>535</v>
      </c>
      <c r="L81" s="213" t="s">
        <v>543</v>
      </c>
      <c r="M81" s="213"/>
      <c r="N81" s="213"/>
      <c r="O81" s="213"/>
      <c r="P81" s="213"/>
      <c r="Q81" s="213"/>
      <c r="R81" s="213"/>
      <c r="S81" s="213" t="s">
        <v>647</v>
      </c>
      <c r="T81" s="213" t="s">
        <v>668</v>
      </c>
      <c r="U81" s="213" t="s">
        <v>538</v>
      </c>
      <c r="V81" s="213">
        <v>2</v>
      </c>
      <c r="W81" s="213" t="s">
        <v>539</v>
      </c>
      <c r="X81" s="213" t="s">
        <v>541</v>
      </c>
      <c r="Y81" s="213" t="s">
        <v>580</v>
      </c>
      <c r="Z81" s="212">
        <v>70404</v>
      </c>
      <c r="AA81" s="212">
        <v>4181500</v>
      </c>
      <c r="AB81" s="217">
        <v>0.97503700000000004</v>
      </c>
      <c r="AC81" s="217">
        <v>1.5691729999999999</v>
      </c>
      <c r="AD81" s="212">
        <f t="shared" si="1"/>
        <v>4077117.2155000004</v>
      </c>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row>
    <row r="82" spans="2:91" s="66" customFormat="1" x14ac:dyDescent="0.15">
      <c r="B82" s="213">
        <v>17031002579</v>
      </c>
      <c r="C82" s="213">
        <v>17031004619</v>
      </c>
      <c r="D82" s="213">
        <v>17031004618</v>
      </c>
      <c r="E82" s="213" t="s">
        <v>533</v>
      </c>
      <c r="F82" s="213" t="s">
        <v>534</v>
      </c>
      <c r="G82" s="213" t="s">
        <v>365</v>
      </c>
      <c r="H82" s="213" t="s">
        <v>552</v>
      </c>
      <c r="I82" s="213"/>
      <c r="J82" s="213" t="s">
        <v>542</v>
      </c>
      <c r="K82" s="213" t="s">
        <v>547</v>
      </c>
      <c r="L82" s="213" t="s">
        <v>563</v>
      </c>
      <c r="M82" s="213"/>
      <c r="N82" s="213"/>
      <c r="O82" s="213"/>
      <c r="P82" s="213"/>
      <c r="Q82" s="213"/>
      <c r="R82" s="213"/>
      <c r="S82" s="213" t="s">
        <v>564</v>
      </c>
      <c r="T82" s="213"/>
      <c r="U82" s="213" t="s">
        <v>538</v>
      </c>
      <c r="V82" s="213">
        <v>2</v>
      </c>
      <c r="W82" s="213" t="s">
        <v>545</v>
      </c>
      <c r="X82" s="213" t="s">
        <v>549</v>
      </c>
      <c r="Y82" s="213" t="s">
        <v>541</v>
      </c>
      <c r="Z82" s="212">
        <v>21788</v>
      </c>
      <c r="AA82" s="212">
        <v>1948660</v>
      </c>
      <c r="AB82" s="217">
        <v>1.4529110000000001</v>
      </c>
      <c r="AC82" s="217">
        <v>2.3382390000000002</v>
      </c>
      <c r="AD82" s="212">
        <f t="shared" si="1"/>
        <v>2831229.5492600002</v>
      </c>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row>
    <row r="83" spans="2:91" s="66" customFormat="1" x14ac:dyDescent="0.15">
      <c r="B83" s="213">
        <v>17031002597</v>
      </c>
      <c r="C83" s="213">
        <v>17031004693</v>
      </c>
      <c r="D83" s="213">
        <v>17031004694</v>
      </c>
      <c r="E83" s="213" t="s">
        <v>533</v>
      </c>
      <c r="F83" s="213" t="s">
        <v>534</v>
      </c>
      <c r="G83" s="213" t="s">
        <v>365</v>
      </c>
      <c r="H83" s="213" t="s">
        <v>547</v>
      </c>
      <c r="I83" s="213"/>
      <c r="J83" s="213" t="s">
        <v>577</v>
      </c>
      <c r="K83" s="213" t="s">
        <v>551</v>
      </c>
      <c r="L83" s="213" t="s">
        <v>615</v>
      </c>
      <c r="M83" s="213"/>
      <c r="N83" s="213"/>
      <c r="O83" s="213"/>
      <c r="P83" s="213"/>
      <c r="Q83" s="213"/>
      <c r="R83" s="213"/>
      <c r="S83" s="213" t="s">
        <v>581</v>
      </c>
      <c r="T83" s="213"/>
      <c r="U83" s="213" t="s">
        <v>538</v>
      </c>
      <c r="V83" s="213">
        <v>2</v>
      </c>
      <c r="W83" s="213" t="s">
        <v>582</v>
      </c>
      <c r="X83" s="213" t="s">
        <v>540</v>
      </c>
      <c r="Y83" s="213" t="s">
        <v>540</v>
      </c>
      <c r="Z83" s="212">
        <v>34796</v>
      </c>
      <c r="AA83" s="212">
        <v>3311897</v>
      </c>
      <c r="AB83" s="217">
        <v>3.0581710000000002</v>
      </c>
      <c r="AC83" s="217">
        <v>4.9216579999999999</v>
      </c>
      <c r="AD83" s="212">
        <f t="shared" si="1"/>
        <v>10128347.360387001</v>
      </c>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row>
    <row r="84" spans="2:91" s="66" customFormat="1" x14ac:dyDescent="0.15">
      <c r="B84" s="213">
        <v>17031002600</v>
      </c>
      <c r="C84" s="213">
        <v>17031001432</v>
      </c>
      <c r="D84" s="213">
        <v>17031004715</v>
      </c>
      <c r="E84" s="213" t="s">
        <v>533</v>
      </c>
      <c r="F84" s="213" t="s">
        <v>534</v>
      </c>
      <c r="G84" s="213" t="s">
        <v>365</v>
      </c>
      <c r="H84" s="213" t="s">
        <v>551</v>
      </c>
      <c r="I84" s="213" t="s">
        <v>535</v>
      </c>
      <c r="J84" s="213" t="s">
        <v>542</v>
      </c>
      <c r="K84" s="213"/>
      <c r="L84" s="213"/>
      <c r="M84" s="213"/>
      <c r="N84" s="213"/>
      <c r="O84" s="213"/>
      <c r="P84" s="213"/>
      <c r="Q84" s="213"/>
      <c r="R84" s="213"/>
      <c r="S84" s="213" t="s">
        <v>553</v>
      </c>
      <c r="T84" s="213"/>
      <c r="U84" s="213" t="s">
        <v>538</v>
      </c>
      <c r="V84" s="213">
        <v>2</v>
      </c>
      <c r="W84" s="213" t="s">
        <v>545</v>
      </c>
      <c r="X84" s="213" t="s">
        <v>549</v>
      </c>
      <c r="Y84" s="213" t="s">
        <v>546</v>
      </c>
      <c r="Z84" s="212">
        <v>413655</v>
      </c>
      <c r="AA84" s="212">
        <v>23799393</v>
      </c>
      <c r="AB84" s="217">
        <v>3.4033310000000001</v>
      </c>
      <c r="AC84" s="217">
        <v>5.4771409999999996</v>
      </c>
      <c r="AD84" s="212">
        <f t="shared" si="1"/>
        <v>80997211.978083</v>
      </c>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row>
    <row r="85" spans="2:91" s="66" customFormat="1" x14ac:dyDescent="0.15">
      <c r="B85" s="213">
        <v>17031002612</v>
      </c>
      <c r="C85" s="213">
        <v>17031001170</v>
      </c>
      <c r="D85" s="213">
        <v>17031001175</v>
      </c>
      <c r="E85" s="213" t="s">
        <v>533</v>
      </c>
      <c r="F85" s="213" t="s">
        <v>534</v>
      </c>
      <c r="G85" s="213" t="s">
        <v>365</v>
      </c>
      <c r="H85" s="213" t="s">
        <v>543</v>
      </c>
      <c r="I85" s="213"/>
      <c r="J85" s="213"/>
      <c r="K85" s="213"/>
      <c r="L85" s="213"/>
      <c r="M85" s="213"/>
      <c r="N85" s="213"/>
      <c r="O85" s="213"/>
      <c r="P85" s="213"/>
      <c r="Q85" s="213"/>
      <c r="R85" s="213"/>
      <c r="S85" s="213" t="s">
        <v>617</v>
      </c>
      <c r="T85" s="213"/>
      <c r="U85" s="213" t="s">
        <v>559</v>
      </c>
      <c r="V85" s="213">
        <v>1</v>
      </c>
      <c r="W85" s="213" t="s">
        <v>560</v>
      </c>
      <c r="X85" s="213" t="s">
        <v>541</v>
      </c>
      <c r="Y85" s="213" t="s">
        <v>541</v>
      </c>
      <c r="Z85" s="212">
        <v>0</v>
      </c>
      <c r="AA85" s="212">
        <v>0</v>
      </c>
      <c r="AB85" s="217">
        <v>0.114383</v>
      </c>
      <c r="AC85" s="217">
        <v>0.184082</v>
      </c>
      <c r="AD85" s="212">
        <f t="shared" si="1"/>
        <v>0</v>
      </c>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row>
    <row r="86" spans="2:91" s="66" customFormat="1" x14ac:dyDescent="0.15">
      <c r="B86" s="213">
        <v>17031002629</v>
      </c>
      <c r="C86" s="213">
        <v>17031004508</v>
      </c>
      <c r="D86" s="213">
        <v>17031001414</v>
      </c>
      <c r="E86" s="213" t="s">
        <v>533</v>
      </c>
      <c r="F86" s="213" t="s">
        <v>534</v>
      </c>
      <c r="G86" s="213" t="s">
        <v>365</v>
      </c>
      <c r="H86" s="213" t="s">
        <v>551</v>
      </c>
      <c r="I86" s="213" t="s">
        <v>535</v>
      </c>
      <c r="J86" s="213" t="s">
        <v>552</v>
      </c>
      <c r="K86" s="213"/>
      <c r="L86" s="213"/>
      <c r="M86" s="213"/>
      <c r="N86" s="213"/>
      <c r="O86" s="213"/>
      <c r="P86" s="213"/>
      <c r="Q86" s="213"/>
      <c r="R86" s="213"/>
      <c r="S86" s="213" t="s">
        <v>553</v>
      </c>
      <c r="T86" s="213"/>
      <c r="U86" s="213" t="s">
        <v>538</v>
      </c>
      <c r="V86" s="213">
        <v>1</v>
      </c>
      <c r="W86" s="213" t="s">
        <v>545</v>
      </c>
      <c r="X86" s="213" t="s">
        <v>541</v>
      </c>
      <c r="Y86" s="213" t="s">
        <v>554</v>
      </c>
      <c r="Z86" s="212">
        <v>80</v>
      </c>
      <c r="AA86" s="212">
        <v>1440</v>
      </c>
      <c r="AB86" s="217">
        <v>0.396453</v>
      </c>
      <c r="AC86" s="217">
        <v>0.63803100000000001</v>
      </c>
      <c r="AD86" s="212">
        <f t="shared" si="1"/>
        <v>570.89232000000004</v>
      </c>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row>
    <row r="87" spans="2:91" s="66" customFormat="1" x14ac:dyDescent="0.15">
      <c r="B87" s="213">
        <v>17031002639</v>
      </c>
      <c r="C87" s="213">
        <v>17031001357</v>
      </c>
      <c r="D87" s="213">
        <v>17031001378</v>
      </c>
      <c r="E87" s="213" t="s">
        <v>533</v>
      </c>
      <c r="F87" s="213" t="s">
        <v>534</v>
      </c>
      <c r="G87" s="213" t="s">
        <v>365</v>
      </c>
      <c r="H87" s="213" t="s">
        <v>551</v>
      </c>
      <c r="I87" s="213" t="s">
        <v>535</v>
      </c>
      <c r="J87" s="213" t="s">
        <v>381</v>
      </c>
      <c r="K87" s="213" t="s">
        <v>552</v>
      </c>
      <c r="L87" s="213"/>
      <c r="M87" s="213"/>
      <c r="N87" s="213"/>
      <c r="O87" s="213"/>
      <c r="P87" s="213"/>
      <c r="Q87" s="213"/>
      <c r="R87" s="213"/>
      <c r="S87" s="213" t="s">
        <v>628</v>
      </c>
      <c r="T87" s="213"/>
      <c r="U87" s="213" t="s">
        <v>538</v>
      </c>
      <c r="V87" s="213">
        <v>1</v>
      </c>
      <c r="W87" s="213" t="s">
        <v>545</v>
      </c>
      <c r="X87" s="213" t="s">
        <v>541</v>
      </c>
      <c r="Y87" s="213" t="s">
        <v>541</v>
      </c>
      <c r="Z87" s="212">
        <v>120</v>
      </c>
      <c r="AA87" s="212">
        <v>4800</v>
      </c>
      <c r="AB87" s="217">
        <v>0.22509499999999999</v>
      </c>
      <c r="AC87" s="217">
        <v>0.36225600000000002</v>
      </c>
      <c r="AD87" s="212">
        <f t="shared" si="1"/>
        <v>1080.4559999999999</v>
      </c>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row>
    <row r="88" spans="2:91" s="66" customFormat="1" x14ac:dyDescent="0.15">
      <c r="B88" s="213">
        <v>17031002778</v>
      </c>
      <c r="C88" s="213">
        <v>17031001221</v>
      </c>
      <c r="D88" s="213">
        <v>17031001218</v>
      </c>
      <c r="E88" s="213" t="s">
        <v>533</v>
      </c>
      <c r="F88" s="213" t="s">
        <v>534</v>
      </c>
      <c r="G88" s="213" t="s">
        <v>365</v>
      </c>
      <c r="H88" s="213" t="s">
        <v>543</v>
      </c>
      <c r="I88" s="213"/>
      <c r="J88" s="213" t="s">
        <v>577</v>
      </c>
      <c r="K88" s="213"/>
      <c r="L88" s="213"/>
      <c r="M88" s="213"/>
      <c r="N88" s="213"/>
      <c r="O88" s="213"/>
      <c r="P88" s="213"/>
      <c r="Q88" s="213"/>
      <c r="R88" s="213"/>
      <c r="S88" s="213" t="s">
        <v>656</v>
      </c>
      <c r="T88" s="213"/>
      <c r="U88" s="213" t="s">
        <v>559</v>
      </c>
      <c r="V88" s="213">
        <v>1</v>
      </c>
      <c r="W88" s="213" t="s">
        <v>560</v>
      </c>
      <c r="X88" s="213" t="s">
        <v>541</v>
      </c>
      <c r="Y88" s="213" t="s">
        <v>541</v>
      </c>
      <c r="Z88" s="212">
        <v>0</v>
      </c>
      <c r="AA88" s="212">
        <v>0</v>
      </c>
      <c r="AB88" s="217">
        <v>6.6364999999999993E-2</v>
      </c>
      <c r="AC88" s="217">
        <v>0.106804</v>
      </c>
      <c r="AD88" s="212">
        <f t="shared" si="1"/>
        <v>0</v>
      </c>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row>
    <row r="89" spans="2:91" s="66" customFormat="1" x14ac:dyDescent="0.15">
      <c r="B89" s="213">
        <v>17031002980</v>
      </c>
      <c r="C89" s="213">
        <v>17031000655</v>
      </c>
      <c r="D89" s="213">
        <v>17031000656</v>
      </c>
      <c r="E89" s="213" t="s">
        <v>533</v>
      </c>
      <c r="F89" s="213" t="s">
        <v>534</v>
      </c>
      <c r="G89" s="213" t="s">
        <v>365</v>
      </c>
      <c r="H89" s="213" t="s">
        <v>382</v>
      </c>
      <c r="I89" s="213"/>
      <c r="J89" s="213" t="s">
        <v>572</v>
      </c>
      <c r="K89" s="213"/>
      <c r="L89" s="213"/>
      <c r="M89" s="213"/>
      <c r="N89" s="213"/>
      <c r="O89" s="213"/>
      <c r="P89" s="213"/>
      <c r="Q89" s="213"/>
      <c r="R89" s="213"/>
      <c r="S89" s="213" t="s">
        <v>609</v>
      </c>
      <c r="T89" s="213" t="s">
        <v>610</v>
      </c>
      <c r="U89" s="213" t="s">
        <v>538</v>
      </c>
      <c r="V89" s="213">
        <v>1</v>
      </c>
      <c r="W89" s="213" t="s">
        <v>539</v>
      </c>
      <c r="X89" s="213" t="s">
        <v>541</v>
      </c>
      <c r="Y89" s="213" t="s">
        <v>540</v>
      </c>
      <c r="Z89" s="212">
        <v>606706</v>
      </c>
      <c r="AA89" s="212">
        <v>23117499</v>
      </c>
      <c r="AB89" s="217">
        <v>0.85373100000000002</v>
      </c>
      <c r="AC89" s="217">
        <v>1.3739490000000001</v>
      </c>
      <c r="AD89" s="212">
        <f t="shared" si="1"/>
        <v>19736125.538768999</v>
      </c>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row>
    <row r="90" spans="2:91" s="66" customFormat="1" x14ac:dyDescent="0.15">
      <c r="B90" s="213">
        <v>17031002998</v>
      </c>
      <c r="C90" s="213">
        <v>17031000670</v>
      </c>
      <c r="D90" s="213">
        <v>17031000664</v>
      </c>
      <c r="E90" s="213" t="s">
        <v>533</v>
      </c>
      <c r="F90" s="213" t="s">
        <v>534</v>
      </c>
      <c r="G90" s="213" t="s">
        <v>365</v>
      </c>
      <c r="H90" s="213" t="s">
        <v>381</v>
      </c>
      <c r="I90" s="213"/>
      <c r="J90" s="213" t="s">
        <v>542</v>
      </c>
      <c r="K90" s="213" t="s">
        <v>577</v>
      </c>
      <c r="L90" s="213" t="s">
        <v>572</v>
      </c>
      <c r="M90" s="213" t="s">
        <v>547</v>
      </c>
      <c r="N90" s="213" t="s">
        <v>382</v>
      </c>
      <c r="O90" s="213"/>
      <c r="P90" s="213"/>
      <c r="Q90" s="213"/>
      <c r="R90" s="213"/>
      <c r="S90" s="213" t="s">
        <v>579</v>
      </c>
      <c r="T90" s="213"/>
      <c r="U90" s="213" t="s">
        <v>538</v>
      </c>
      <c r="V90" s="213">
        <v>4</v>
      </c>
      <c r="W90" s="213" t="s">
        <v>545</v>
      </c>
      <c r="X90" s="213" t="s">
        <v>540</v>
      </c>
      <c r="Y90" s="213" t="s">
        <v>549</v>
      </c>
      <c r="Z90" s="212">
        <v>120272</v>
      </c>
      <c r="AA90" s="212">
        <v>8757787</v>
      </c>
      <c r="AB90" s="217">
        <v>0.87194000000000005</v>
      </c>
      <c r="AC90" s="217">
        <v>1.403254</v>
      </c>
      <c r="AD90" s="212">
        <f t="shared" si="1"/>
        <v>7636264.7967800004</v>
      </c>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row>
    <row r="91" spans="2:91" s="66" customFormat="1" x14ac:dyDescent="0.15">
      <c r="B91" s="213">
        <v>17031003001</v>
      </c>
      <c r="C91" s="213">
        <v>17999021291</v>
      </c>
      <c r="D91" s="213">
        <v>17031004656</v>
      </c>
      <c r="E91" s="213" t="s">
        <v>533</v>
      </c>
      <c r="F91" s="213" t="s">
        <v>534</v>
      </c>
      <c r="G91" s="213" t="s">
        <v>365</v>
      </c>
      <c r="H91" s="213" t="s">
        <v>381</v>
      </c>
      <c r="I91" s="213"/>
      <c r="J91" s="213" t="s">
        <v>542</v>
      </c>
      <c r="K91" s="213" t="s">
        <v>547</v>
      </c>
      <c r="L91" s="213" t="s">
        <v>382</v>
      </c>
      <c r="M91" s="213"/>
      <c r="N91" s="213"/>
      <c r="O91" s="213"/>
      <c r="P91" s="213"/>
      <c r="Q91" s="213"/>
      <c r="R91" s="213"/>
      <c r="S91" s="213" t="s">
        <v>579</v>
      </c>
      <c r="T91" s="213"/>
      <c r="U91" s="213" t="s">
        <v>538</v>
      </c>
      <c r="V91" s="213">
        <v>3</v>
      </c>
      <c r="W91" s="213" t="s">
        <v>545</v>
      </c>
      <c r="X91" s="213" t="s">
        <v>549</v>
      </c>
      <c r="Y91" s="213" t="s">
        <v>580</v>
      </c>
      <c r="Z91" s="212">
        <v>1206807</v>
      </c>
      <c r="AA91" s="212">
        <v>52650967</v>
      </c>
      <c r="AB91" s="217">
        <v>0.87989300000000004</v>
      </c>
      <c r="AC91" s="217">
        <v>1.4160539999999999</v>
      </c>
      <c r="AD91" s="212">
        <f t="shared" si="1"/>
        <v>46327217.306531005</v>
      </c>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row>
    <row r="92" spans="2:91" s="66" customFormat="1" x14ac:dyDescent="0.15">
      <c r="B92" s="213">
        <v>17031003003</v>
      </c>
      <c r="C92" s="213">
        <v>17031001363</v>
      </c>
      <c r="D92" s="213">
        <v>17031001366</v>
      </c>
      <c r="E92" s="213" t="s">
        <v>533</v>
      </c>
      <c r="F92" s="213" t="s">
        <v>534</v>
      </c>
      <c r="G92" s="213" t="s">
        <v>365</v>
      </c>
      <c r="H92" s="213" t="s">
        <v>557</v>
      </c>
      <c r="I92" s="213"/>
      <c r="J92" s="213" t="s">
        <v>569</v>
      </c>
      <c r="K92" s="213" t="s">
        <v>535</v>
      </c>
      <c r="L92" s="213" t="s">
        <v>551</v>
      </c>
      <c r="M92" s="213" t="s">
        <v>543</v>
      </c>
      <c r="N92" s="213" t="s">
        <v>382</v>
      </c>
      <c r="O92" s="213" t="s">
        <v>552</v>
      </c>
      <c r="P92" s="213" t="s">
        <v>555</v>
      </c>
      <c r="Q92" s="213"/>
      <c r="R92" s="213"/>
      <c r="S92" s="213" t="s">
        <v>570</v>
      </c>
      <c r="T92" s="213" t="s">
        <v>600</v>
      </c>
      <c r="U92" s="213" t="s">
        <v>538</v>
      </c>
      <c r="V92" s="213">
        <v>2</v>
      </c>
      <c r="W92" s="213" t="s">
        <v>545</v>
      </c>
      <c r="X92" s="213" t="s">
        <v>554</v>
      </c>
      <c r="Y92" s="213" t="s">
        <v>546</v>
      </c>
      <c r="Z92" s="212">
        <v>310005</v>
      </c>
      <c r="AA92" s="212">
        <v>23925803</v>
      </c>
      <c r="AB92" s="217">
        <v>7.7494999999999994E-2</v>
      </c>
      <c r="AC92" s="217">
        <v>0.12471599999999999</v>
      </c>
      <c r="AD92" s="212">
        <f t="shared" si="1"/>
        <v>1854130.1034849999</v>
      </c>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row>
    <row r="93" spans="2:91" s="66" customFormat="1" x14ac:dyDescent="0.15">
      <c r="B93" s="213">
        <v>17031003013</v>
      </c>
      <c r="C93" s="213">
        <v>17031001023</v>
      </c>
      <c r="D93" s="213">
        <v>17031000946</v>
      </c>
      <c r="E93" s="213" t="s">
        <v>533</v>
      </c>
      <c r="F93" s="213" t="s">
        <v>534</v>
      </c>
      <c r="G93" s="213" t="s">
        <v>365</v>
      </c>
      <c r="H93" s="213" t="s">
        <v>543</v>
      </c>
      <c r="I93" s="213"/>
      <c r="J93" s="213" t="s">
        <v>542</v>
      </c>
      <c r="K93" s="213"/>
      <c r="L93" s="213"/>
      <c r="M93" s="213"/>
      <c r="N93" s="213"/>
      <c r="O93" s="213"/>
      <c r="P93" s="213"/>
      <c r="Q93" s="213"/>
      <c r="R93" s="213"/>
      <c r="S93" s="213" t="s">
        <v>630</v>
      </c>
      <c r="T93" s="213"/>
      <c r="U93" s="213" t="s">
        <v>538</v>
      </c>
      <c r="V93" s="213">
        <v>4</v>
      </c>
      <c r="W93" s="213" t="s">
        <v>545</v>
      </c>
      <c r="X93" s="213" t="s">
        <v>549</v>
      </c>
      <c r="Y93" s="213" t="s">
        <v>580</v>
      </c>
      <c r="Z93" s="212">
        <v>1962622</v>
      </c>
      <c r="AA93" s="212">
        <v>56698813</v>
      </c>
      <c r="AB93" s="217">
        <v>0.96582900000000005</v>
      </c>
      <c r="AC93" s="217">
        <v>1.5543530000000001</v>
      </c>
      <c r="AD93" s="212">
        <f t="shared" si="1"/>
        <v>54761357.860977001</v>
      </c>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row>
    <row r="94" spans="2:91" s="66" customFormat="1" x14ac:dyDescent="0.15">
      <c r="B94" s="213">
        <v>17031003019</v>
      </c>
      <c r="C94" s="213">
        <v>17031000880</v>
      </c>
      <c r="D94" s="213">
        <v>17031000881</v>
      </c>
      <c r="E94" s="213" t="s">
        <v>533</v>
      </c>
      <c r="F94" s="213" t="s">
        <v>534</v>
      </c>
      <c r="G94" s="213" t="s">
        <v>365</v>
      </c>
      <c r="H94" s="213" t="s">
        <v>557</v>
      </c>
      <c r="I94" s="213"/>
      <c r="J94" s="213" t="s">
        <v>381</v>
      </c>
      <c r="K94" s="213" t="s">
        <v>382</v>
      </c>
      <c r="L94" s="213"/>
      <c r="M94" s="213"/>
      <c r="N94" s="213"/>
      <c r="O94" s="213"/>
      <c r="P94" s="213"/>
      <c r="Q94" s="213"/>
      <c r="R94" s="213"/>
      <c r="S94" s="213"/>
      <c r="T94" s="213"/>
      <c r="U94" s="213" t="s">
        <v>538</v>
      </c>
      <c r="V94" s="213">
        <v>1</v>
      </c>
      <c r="W94" s="213" t="s">
        <v>560</v>
      </c>
      <c r="X94" s="213" t="s">
        <v>541</v>
      </c>
      <c r="Y94" s="213" t="s">
        <v>541</v>
      </c>
      <c r="Z94" s="212">
        <v>0</v>
      </c>
      <c r="AA94" s="212">
        <v>0</v>
      </c>
      <c r="AB94" s="217">
        <v>0.20122399999999999</v>
      </c>
      <c r="AC94" s="217">
        <v>0.32383899999999999</v>
      </c>
      <c r="AD94" s="212">
        <f t="shared" si="1"/>
        <v>0</v>
      </c>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row>
    <row r="95" spans="2:91" s="66" customFormat="1" x14ac:dyDescent="0.15">
      <c r="B95" s="213">
        <v>17031003087</v>
      </c>
      <c r="C95" s="213">
        <v>17031000859</v>
      </c>
      <c r="D95" s="213">
        <v>17031000852</v>
      </c>
      <c r="E95" s="213" t="s">
        <v>533</v>
      </c>
      <c r="F95" s="213" t="s">
        <v>534</v>
      </c>
      <c r="G95" s="213" t="s">
        <v>365</v>
      </c>
      <c r="H95" s="213" t="s">
        <v>551</v>
      </c>
      <c r="I95" s="213" t="s">
        <v>535</v>
      </c>
      <c r="J95" s="213"/>
      <c r="K95" s="213"/>
      <c r="L95" s="213"/>
      <c r="M95" s="213"/>
      <c r="N95" s="213"/>
      <c r="O95" s="213"/>
      <c r="P95" s="213"/>
      <c r="Q95" s="213"/>
      <c r="R95" s="213"/>
      <c r="S95" s="213" t="s">
        <v>553</v>
      </c>
      <c r="T95" s="213" t="s">
        <v>553</v>
      </c>
      <c r="U95" s="213" t="s">
        <v>538</v>
      </c>
      <c r="V95" s="213">
        <v>1</v>
      </c>
      <c r="W95" s="213" t="s">
        <v>539</v>
      </c>
      <c r="X95" s="213" t="s">
        <v>554</v>
      </c>
      <c r="Y95" s="213" t="s">
        <v>541</v>
      </c>
      <c r="Z95" s="212">
        <v>0</v>
      </c>
      <c r="AA95" s="212">
        <v>0</v>
      </c>
      <c r="AB95" s="217">
        <v>0.32050600000000001</v>
      </c>
      <c r="AC95" s="217">
        <v>0.51580499999999996</v>
      </c>
      <c r="AD95" s="212">
        <f t="shared" si="1"/>
        <v>0</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row>
    <row r="96" spans="2:91" s="66" customFormat="1" x14ac:dyDescent="0.15">
      <c r="B96" s="213">
        <v>17031003110</v>
      </c>
      <c r="C96" s="213">
        <v>17031000845</v>
      </c>
      <c r="D96" s="213">
        <v>17031000830</v>
      </c>
      <c r="E96" s="213" t="s">
        <v>533</v>
      </c>
      <c r="F96" s="213" t="s">
        <v>534</v>
      </c>
      <c r="G96" s="213" t="s">
        <v>365</v>
      </c>
      <c r="H96" s="213" t="s">
        <v>535</v>
      </c>
      <c r="I96" s="213"/>
      <c r="J96" s="213" t="s">
        <v>543</v>
      </c>
      <c r="K96" s="213"/>
      <c r="L96" s="213"/>
      <c r="M96" s="213"/>
      <c r="N96" s="213"/>
      <c r="O96" s="213"/>
      <c r="P96" s="213"/>
      <c r="Q96" s="213"/>
      <c r="R96" s="213"/>
      <c r="S96" s="213" t="s">
        <v>553</v>
      </c>
      <c r="T96" s="213"/>
      <c r="U96" s="213" t="s">
        <v>538</v>
      </c>
      <c r="V96" s="213">
        <v>1</v>
      </c>
      <c r="W96" s="213" t="s">
        <v>539</v>
      </c>
      <c r="X96" s="213" t="s">
        <v>554</v>
      </c>
      <c r="Y96" s="213" t="s">
        <v>541</v>
      </c>
      <c r="Z96" s="212">
        <v>67764</v>
      </c>
      <c r="AA96" s="212">
        <v>3962380</v>
      </c>
      <c r="AB96" s="217">
        <v>0.38086399999999998</v>
      </c>
      <c r="AC96" s="217">
        <v>0.61294199999999999</v>
      </c>
      <c r="AD96" s="212">
        <f t="shared" si="1"/>
        <v>1509127.8963199998</v>
      </c>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row>
    <row r="97" spans="2:91" s="66" customFormat="1" x14ac:dyDescent="0.15">
      <c r="B97" s="213">
        <v>17031003112</v>
      </c>
      <c r="C97" s="213">
        <v>17031000281</v>
      </c>
      <c r="D97" s="213">
        <v>17999019034</v>
      </c>
      <c r="E97" s="213" t="s">
        <v>533</v>
      </c>
      <c r="F97" s="213" t="s">
        <v>534</v>
      </c>
      <c r="G97" s="213" t="s">
        <v>365</v>
      </c>
      <c r="H97" s="213" t="s">
        <v>535</v>
      </c>
      <c r="I97" s="213"/>
      <c r="J97" s="213" t="s">
        <v>382</v>
      </c>
      <c r="K97" s="213" t="s">
        <v>536</v>
      </c>
      <c r="L97" s="213"/>
      <c r="M97" s="213"/>
      <c r="N97" s="213"/>
      <c r="O97" s="213"/>
      <c r="P97" s="213"/>
      <c r="Q97" s="213"/>
      <c r="R97" s="213"/>
      <c r="S97" s="213" t="s">
        <v>550</v>
      </c>
      <c r="T97" s="213"/>
      <c r="U97" s="213" t="s">
        <v>538</v>
      </c>
      <c r="V97" s="213">
        <v>1</v>
      </c>
      <c r="W97" s="213" t="s">
        <v>545</v>
      </c>
      <c r="X97" s="213" t="s">
        <v>549</v>
      </c>
      <c r="Y97" s="213" t="s">
        <v>540</v>
      </c>
      <c r="Z97" s="212">
        <v>65023</v>
      </c>
      <c r="AA97" s="212">
        <v>6695836</v>
      </c>
      <c r="AB97" s="217">
        <v>5.4187200000000004</v>
      </c>
      <c r="AC97" s="217">
        <v>8.7206030000000005</v>
      </c>
      <c r="AD97" s="212">
        <f t="shared" si="1"/>
        <v>36282860.449920006</v>
      </c>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row>
    <row r="98" spans="2:91" s="66" customFormat="1" x14ac:dyDescent="0.15">
      <c r="B98" s="213">
        <v>17031003186</v>
      </c>
      <c r="C98" s="213">
        <v>17031000670</v>
      </c>
      <c r="D98" s="213">
        <v>17031000659</v>
      </c>
      <c r="E98" s="213" t="s">
        <v>533</v>
      </c>
      <c r="F98" s="213" t="s">
        <v>534</v>
      </c>
      <c r="G98" s="213" t="s">
        <v>365</v>
      </c>
      <c r="H98" s="213" t="s">
        <v>382</v>
      </c>
      <c r="I98" s="213"/>
      <c r="J98" s="213"/>
      <c r="K98" s="213"/>
      <c r="L98" s="213"/>
      <c r="M98" s="213"/>
      <c r="N98" s="213"/>
      <c r="O98" s="213"/>
      <c r="P98" s="213"/>
      <c r="Q98" s="213"/>
      <c r="R98" s="213"/>
      <c r="S98" s="213"/>
      <c r="T98" s="213"/>
      <c r="U98" s="213" t="s">
        <v>538</v>
      </c>
      <c r="V98" s="213">
        <v>1</v>
      </c>
      <c r="W98" s="213" t="s">
        <v>539</v>
      </c>
      <c r="X98" s="213" t="s">
        <v>541</v>
      </c>
      <c r="Y98" s="213" t="s">
        <v>554</v>
      </c>
      <c r="Z98" s="212">
        <v>236040</v>
      </c>
      <c r="AA98" s="212">
        <v>3442080</v>
      </c>
      <c r="AB98" s="217">
        <v>0.36954599999999999</v>
      </c>
      <c r="AC98" s="217">
        <v>0.59472700000000001</v>
      </c>
      <c r="AD98" s="212">
        <f t="shared" si="1"/>
        <v>1272006.8956799998</v>
      </c>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row>
    <row r="99" spans="2:91" s="66" customFormat="1" x14ac:dyDescent="0.15">
      <c r="B99" s="213">
        <v>17031003226</v>
      </c>
      <c r="C99" s="213">
        <v>17031000787</v>
      </c>
      <c r="D99" s="213">
        <v>17031000799</v>
      </c>
      <c r="E99" s="213" t="s">
        <v>533</v>
      </c>
      <c r="F99" s="213" t="s">
        <v>534</v>
      </c>
      <c r="G99" s="213" t="s">
        <v>365</v>
      </c>
      <c r="H99" s="213" t="s">
        <v>543</v>
      </c>
      <c r="I99" s="213"/>
      <c r="J99" s="213" t="s">
        <v>382</v>
      </c>
      <c r="K99" s="213"/>
      <c r="L99" s="213"/>
      <c r="M99" s="213"/>
      <c r="N99" s="213"/>
      <c r="O99" s="213"/>
      <c r="P99" s="213"/>
      <c r="Q99" s="213"/>
      <c r="R99" s="213"/>
      <c r="S99" s="213"/>
      <c r="T99" s="213"/>
      <c r="U99" s="213" t="s">
        <v>559</v>
      </c>
      <c r="V99" s="213">
        <v>1</v>
      </c>
      <c r="W99" s="213" t="s">
        <v>560</v>
      </c>
      <c r="X99" s="213" t="s">
        <v>541</v>
      </c>
      <c r="Y99" s="213" t="s">
        <v>541</v>
      </c>
      <c r="Z99" s="212">
        <v>640</v>
      </c>
      <c r="AA99" s="212">
        <v>34200</v>
      </c>
      <c r="AB99" s="217">
        <v>0.28874899999999998</v>
      </c>
      <c r="AC99" s="217">
        <v>0.46469700000000003</v>
      </c>
      <c r="AD99" s="212">
        <f t="shared" si="1"/>
        <v>9875.2157999999999</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row>
    <row r="100" spans="2:91" s="66" customFormat="1" x14ac:dyDescent="0.15">
      <c r="B100" s="213">
        <v>17031003228</v>
      </c>
      <c r="C100" s="213">
        <v>17031000372</v>
      </c>
      <c r="D100" s="213">
        <v>17031004583</v>
      </c>
      <c r="E100" s="213" t="s">
        <v>533</v>
      </c>
      <c r="F100" s="213" t="s">
        <v>534</v>
      </c>
      <c r="G100" s="213" t="s">
        <v>365</v>
      </c>
      <c r="H100" s="213" t="s">
        <v>382</v>
      </c>
      <c r="I100" s="213"/>
      <c r="J100" s="213" t="s">
        <v>547</v>
      </c>
      <c r="K100" s="213"/>
      <c r="L100" s="213"/>
      <c r="M100" s="213"/>
      <c r="N100" s="213"/>
      <c r="O100" s="213"/>
      <c r="P100" s="213"/>
      <c r="Q100" s="213"/>
      <c r="R100" s="213"/>
      <c r="S100" s="213" t="s">
        <v>565</v>
      </c>
      <c r="T100" s="213"/>
      <c r="U100" s="213" t="s">
        <v>538</v>
      </c>
      <c r="V100" s="213">
        <v>2</v>
      </c>
      <c r="W100" s="213" t="s">
        <v>566</v>
      </c>
      <c r="X100" s="213" t="s">
        <v>549</v>
      </c>
      <c r="Y100" s="213" t="s">
        <v>541</v>
      </c>
      <c r="Z100" s="212">
        <v>0</v>
      </c>
      <c r="AA100" s="212">
        <v>0</v>
      </c>
      <c r="AB100" s="217">
        <v>1.753312</v>
      </c>
      <c r="AC100" s="217">
        <v>2.8216869999999998</v>
      </c>
      <c r="AD100" s="212">
        <f t="shared" si="1"/>
        <v>0</v>
      </c>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row>
    <row r="101" spans="2:91" s="66" customFormat="1" x14ac:dyDescent="0.15">
      <c r="B101" s="213">
        <v>17031003233</v>
      </c>
      <c r="C101" s="213">
        <v>17031001434</v>
      </c>
      <c r="D101" s="213">
        <v>17031001422</v>
      </c>
      <c r="E101" s="213" t="s">
        <v>533</v>
      </c>
      <c r="F101" s="213" t="s">
        <v>534</v>
      </c>
      <c r="G101" s="213" t="s">
        <v>365</v>
      </c>
      <c r="H101" s="213" t="s">
        <v>535</v>
      </c>
      <c r="I101" s="213"/>
      <c r="J101" s="213" t="s">
        <v>542</v>
      </c>
      <c r="K101" s="213" t="s">
        <v>543</v>
      </c>
      <c r="L101" s="213" t="s">
        <v>382</v>
      </c>
      <c r="M101" s="213"/>
      <c r="N101" s="213"/>
      <c r="O101" s="213"/>
      <c r="P101" s="213"/>
      <c r="Q101" s="213"/>
      <c r="R101" s="213"/>
      <c r="S101" s="213" t="s">
        <v>544</v>
      </c>
      <c r="T101" s="213" t="s">
        <v>621</v>
      </c>
      <c r="U101" s="213" t="s">
        <v>538</v>
      </c>
      <c r="V101" s="213">
        <v>2</v>
      </c>
      <c r="W101" s="213" t="s">
        <v>545</v>
      </c>
      <c r="X101" s="213" t="s">
        <v>549</v>
      </c>
      <c r="Y101" s="213" t="s">
        <v>546</v>
      </c>
      <c r="Z101" s="212">
        <v>354125</v>
      </c>
      <c r="AA101" s="212">
        <v>20816976</v>
      </c>
      <c r="AB101" s="217">
        <v>1.575858</v>
      </c>
      <c r="AC101" s="217">
        <v>2.5361030000000002</v>
      </c>
      <c r="AD101" s="212">
        <f t="shared" si="1"/>
        <v>32804598.165408</v>
      </c>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row>
    <row r="102" spans="2:91" s="66" customFormat="1" x14ac:dyDescent="0.15">
      <c r="B102" s="213">
        <v>17031003241</v>
      </c>
      <c r="C102" s="213">
        <v>17031004692</v>
      </c>
      <c r="D102" s="213">
        <v>17031004693</v>
      </c>
      <c r="E102" s="213" t="s">
        <v>533</v>
      </c>
      <c r="F102" s="213" t="s">
        <v>534</v>
      </c>
      <c r="G102" s="213" t="s">
        <v>365</v>
      </c>
      <c r="H102" s="213" t="s">
        <v>547</v>
      </c>
      <c r="I102" s="213"/>
      <c r="J102" s="213" t="s">
        <v>577</v>
      </c>
      <c r="K102" s="213" t="s">
        <v>551</v>
      </c>
      <c r="L102" s="213" t="s">
        <v>615</v>
      </c>
      <c r="M102" s="213"/>
      <c r="N102" s="213"/>
      <c r="O102" s="213"/>
      <c r="P102" s="213"/>
      <c r="Q102" s="213"/>
      <c r="R102" s="213"/>
      <c r="S102" s="213" t="s">
        <v>581</v>
      </c>
      <c r="T102" s="213"/>
      <c r="U102" s="213" t="s">
        <v>538</v>
      </c>
      <c r="V102" s="213">
        <v>2</v>
      </c>
      <c r="W102" s="213" t="s">
        <v>582</v>
      </c>
      <c r="X102" s="213" t="s">
        <v>540</v>
      </c>
      <c r="Y102" s="213" t="s">
        <v>540</v>
      </c>
      <c r="Z102" s="212">
        <v>34796</v>
      </c>
      <c r="AA102" s="212">
        <v>3311897</v>
      </c>
      <c r="AB102" s="217">
        <v>1.577285</v>
      </c>
      <c r="AC102" s="217">
        <v>2.5383990000000001</v>
      </c>
      <c r="AD102" s="212">
        <f t="shared" si="1"/>
        <v>5223805.4596450003</v>
      </c>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row>
    <row r="103" spans="2:91" s="66" customFormat="1" x14ac:dyDescent="0.15">
      <c r="B103" s="213">
        <v>17031003243</v>
      </c>
      <c r="C103" s="213">
        <v>17031004687</v>
      </c>
      <c r="D103" s="213">
        <v>17031004688</v>
      </c>
      <c r="E103" s="213" t="s">
        <v>533</v>
      </c>
      <c r="F103" s="213" t="s">
        <v>534</v>
      </c>
      <c r="G103" s="213" t="s">
        <v>365</v>
      </c>
      <c r="H103" s="213" t="s">
        <v>547</v>
      </c>
      <c r="I103" s="213"/>
      <c r="J103" s="213" t="s">
        <v>543</v>
      </c>
      <c r="K103" s="213"/>
      <c r="L103" s="213"/>
      <c r="M103" s="213"/>
      <c r="N103" s="213"/>
      <c r="O103" s="213"/>
      <c r="P103" s="213"/>
      <c r="Q103" s="213"/>
      <c r="R103" s="213"/>
      <c r="S103" s="213" t="s">
        <v>602</v>
      </c>
      <c r="T103" s="213"/>
      <c r="U103" s="213" t="s">
        <v>538</v>
      </c>
      <c r="V103" s="213">
        <v>2</v>
      </c>
      <c r="W103" s="213" t="s">
        <v>582</v>
      </c>
      <c r="X103" s="213" t="s">
        <v>540</v>
      </c>
      <c r="Y103" s="213" t="s">
        <v>541</v>
      </c>
      <c r="Z103" s="212">
        <v>520</v>
      </c>
      <c r="AA103" s="212">
        <v>37800</v>
      </c>
      <c r="AB103" s="217">
        <v>1.1391819999999999</v>
      </c>
      <c r="AC103" s="217">
        <v>1.83334</v>
      </c>
      <c r="AD103" s="212">
        <f t="shared" si="1"/>
        <v>43061.079599999997</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row>
    <row r="104" spans="2:91" s="66" customFormat="1" x14ac:dyDescent="0.15">
      <c r="B104" s="213">
        <v>17031003249</v>
      </c>
      <c r="C104" s="213">
        <v>17031004596</v>
      </c>
      <c r="D104" s="213">
        <v>17999019035</v>
      </c>
      <c r="E104" s="213" t="s">
        <v>533</v>
      </c>
      <c r="F104" s="213" t="s">
        <v>534</v>
      </c>
      <c r="G104" s="213" t="s">
        <v>365</v>
      </c>
      <c r="H104" s="213" t="s">
        <v>382</v>
      </c>
      <c r="I104" s="213"/>
      <c r="J104" s="213" t="s">
        <v>535</v>
      </c>
      <c r="K104" s="213" t="s">
        <v>547</v>
      </c>
      <c r="L104" s="213"/>
      <c r="M104" s="213"/>
      <c r="N104" s="213"/>
      <c r="O104" s="213"/>
      <c r="P104" s="213"/>
      <c r="Q104" s="213"/>
      <c r="R104" s="213"/>
      <c r="S104" s="213" t="s">
        <v>608</v>
      </c>
      <c r="T104" s="213"/>
      <c r="U104" s="213" t="s">
        <v>538</v>
      </c>
      <c r="V104" s="213">
        <v>2</v>
      </c>
      <c r="W104" s="213" t="s">
        <v>566</v>
      </c>
      <c r="X104" s="213" t="s">
        <v>549</v>
      </c>
      <c r="Y104" s="213" t="s">
        <v>549</v>
      </c>
      <c r="Z104" s="212">
        <v>10751</v>
      </c>
      <c r="AA104" s="212">
        <v>946568</v>
      </c>
      <c r="AB104" s="217">
        <v>0.196962</v>
      </c>
      <c r="AC104" s="217">
        <v>0.31697999999999998</v>
      </c>
      <c r="AD104" s="212">
        <f t="shared" si="1"/>
        <v>186437.926416</v>
      </c>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row>
    <row r="105" spans="2:91" s="66" customFormat="1" x14ac:dyDescent="0.15">
      <c r="B105" s="213">
        <v>17031003252</v>
      </c>
      <c r="C105" s="213">
        <v>17031001223</v>
      </c>
      <c r="D105" s="213">
        <v>17031001187</v>
      </c>
      <c r="E105" s="213" t="s">
        <v>533</v>
      </c>
      <c r="F105" s="213" t="s">
        <v>534</v>
      </c>
      <c r="G105" s="213" t="s">
        <v>365</v>
      </c>
      <c r="H105" s="213" t="s">
        <v>543</v>
      </c>
      <c r="I105" s="213"/>
      <c r="J105" s="213"/>
      <c r="K105" s="213"/>
      <c r="L105" s="213"/>
      <c r="M105" s="213"/>
      <c r="N105" s="213"/>
      <c r="O105" s="213"/>
      <c r="P105" s="213"/>
      <c r="Q105" s="213"/>
      <c r="R105" s="213"/>
      <c r="S105" s="213"/>
      <c r="T105" s="213"/>
      <c r="U105" s="213" t="s">
        <v>559</v>
      </c>
      <c r="V105" s="213">
        <v>1</v>
      </c>
      <c r="W105" s="213" t="s">
        <v>560</v>
      </c>
      <c r="X105" s="213" t="s">
        <v>541</v>
      </c>
      <c r="Y105" s="213" t="s">
        <v>541</v>
      </c>
      <c r="Z105" s="212">
        <v>0</v>
      </c>
      <c r="AA105" s="212">
        <v>0</v>
      </c>
      <c r="AB105" s="217">
        <v>1.738883</v>
      </c>
      <c r="AC105" s="217">
        <v>2.7984659999999999</v>
      </c>
      <c r="AD105" s="212">
        <f t="shared" si="1"/>
        <v>0</v>
      </c>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row>
    <row r="106" spans="2:91" s="66" customFormat="1" x14ac:dyDescent="0.15">
      <c r="B106" s="213">
        <v>17031003265</v>
      </c>
      <c r="C106" s="213">
        <v>17031001095</v>
      </c>
      <c r="D106" s="213">
        <v>17031006705</v>
      </c>
      <c r="E106" s="213" t="s">
        <v>533</v>
      </c>
      <c r="F106" s="213" t="s">
        <v>534</v>
      </c>
      <c r="G106" s="213" t="s">
        <v>365</v>
      </c>
      <c r="H106" s="213" t="s">
        <v>535</v>
      </c>
      <c r="I106" s="213"/>
      <c r="J106" s="213"/>
      <c r="K106" s="213"/>
      <c r="L106" s="213"/>
      <c r="M106" s="213"/>
      <c r="N106" s="213"/>
      <c r="O106" s="213"/>
      <c r="P106" s="213"/>
      <c r="Q106" s="213"/>
      <c r="R106" s="213"/>
      <c r="S106" s="213" t="s">
        <v>597</v>
      </c>
      <c r="T106" s="213" t="s">
        <v>598</v>
      </c>
      <c r="U106" s="213" t="s">
        <v>538</v>
      </c>
      <c r="V106" s="213">
        <v>1</v>
      </c>
      <c r="W106" s="213" t="s">
        <v>539</v>
      </c>
      <c r="X106" s="213" t="s">
        <v>541</v>
      </c>
      <c r="Y106" s="213" t="s">
        <v>541</v>
      </c>
      <c r="Z106" s="212">
        <v>0</v>
      </c>
      <c r="AA106" s="212">
        <v>0</v>
      </c>
      <c r="AB106" s="217">
        <v>0.44065799999999999</v>
      </c>
      <c r="AC106" s="217">
        <v>0.709171</v>
      </c>
      <c r="AD106" s="212">
        <f t="shared" si="1"/>
        <v>0</v>
      </c>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row>
    <row r="107" spans="2:91" s="66" customFormat="1" x14ac:dyDescent="0.15">
      <c r="B107" s="213">
        <v>17031003279</v>
      </c>
      <c r="C107" s="213">
        <v>17031000882</v>
      </c>
      <c r="D107" s="213">
        <v>17031000862</v>
      </c>
      <c r="E107" s="213" t="s">
        <v>533</v>
      </c>
      <c r="F107" s="213" t="s">
        <v>534</v>
      </c>
      <c r="G107" s="213" t="s">
        <v>365</v>
      </c>
      <c r="H107" s="213" t="s">
        <v>535</v>
      </c>
      <c r="I107" s="213"/>
      <c r="J107" s="213" t="s">
        <v>542</v>
      </c>
      <c r="K107" s="213" t="s">
        <v>572</v>
      </c>
      <c r="L107" s="213" t="s">
        <v>547</v>
      </c>
      <c r="M107" s="213" t="s">
        <v>382</v>
      </c>
      <c r="N107" s="213" t="s">
        <v>552</v>
      </c>
      <c r="O107" s="213" t="s">
        <v>381</v>
      </c>
      <c r="P107" s="213"/>
      <c r="Q107" s="213"/>
      <c r="R107" s="213"/>
      <c r="S107" s="213" t="s">
        <v>601</v>
      </c>
      <c r="T107" s="213"/>
      <c r="U107" s="213" t="s">
        <v>538</v>
      </c>
      <c r="V107" s="213">
        <v>2</v>
      </c>
      <c r="W107" s="213" t="s">
        <v>545</v>
      </c>
      <c r="X107" s="213" t="s">
        <v>549</v>
      </c>
      <c r="Y107" s="213" t="s">
        <v>540</v>
      </c>
      <c r="Z107" s="212">
        <v>3016</v>
      </c>
      <c r="AA107" s="212">
        <v>276444</v>
      </c>
      <c r="AB107" s="217">
        <v>0.447712</v>
      </c>
      <c r="AC107" s="217">
        <v>0.72052400000000005</v>
      </c>
      <c r="AD107" s="212">
        <f t="shared" si="1"/>
        <v>123767.296128</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row>
    <row r="108" spans="2:91" s="66" customFormat="1" x14ac:dyDescent="0.15">
      <c r="B108" s="213">
        <v>17031003284</v>
      </c>
      <c r="C108" s="213">
        <v>17031000479</v>
      </c>
      <c r="D108" s="213">
        <v>17031004640</v>
      </c>
      <c r="E108" s="213" t="s">
        <v>533</v>
      </c>
      <c r="F108" s="213" t="s">
        <v>534</v>
      </c>
      <c r="G108" s="213" t="s">
        <v>365</v>
      </c>
      <c r="H108" s="213" t="s">
        <v>552</v>
      </c>
      <c r="I108" s="213"/>
      <c r="J108" s="213" t="s">
        <v>551</v>
      </c>
      <c r="K108" s="213" t="s">
        <v>547</v>
      </c>
      <c r="L108" s="213" t="s">
        <v>382</v>
      </c>
      <c r="M108" s="213" t="s">
        <v>563</v>
      </c>
      <c r="N108" s="213"/>
      <c r="O108" s="213"/>
      <c r="P108" s="213"/>
      <c r="Q108" s="213"/>
      <c r="R108" s="213"/>
      <c r="S108" s="213" t="s">
        <v>589</v>
      </c>
      <c r="T108" s="213"/>
      <c r="U108" s="213" t="s">
        <v>538</v>
      </c>
      <c r="V108" s="213">
        <v>3</v>
      </c>
      <c r="W108" s="213" t="s">
        <v>545</v>
      </c>
      <c r="X108" s="213" t="s">
        <v>549</v>
      </c>
      <c r="Y108" s="213" t="s">
        <v>549</v>
      </c>
      <c r="Z108" s="212">
        <v>321019</v>
      </c>
      <c r="AA108" s="212">
        <v>20272568</v>
      </c>
      <c r="AB108" s="217">
        <v>0.29098800000000002</v>
      </c>
      <c r="AC108" s="217">
        <v>0.46829999999999999</v>
      </c>
      <c r="AD108" s="212">
        <f t="shared" si="1"/>
        <v>5899074.0171840005</v>
      </c>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row>
    <row r="109" spans="2:91" s="66" customFormat="1" x14ac:dyDescent="0.15">
      <c r="B109" s="213">
        <v>17031003286</v>
      </c>
      <c r="C109" s="213">
        <v>17031004642</v>
      </c>
      <c r="D109" s="213">
        <v>17031000484</v>
      </c>
      <c r="E109" s="213" t="s">
        <v>533</v>
      </c>
      <c r="F109" s="213" t="s">
        <v>534</v>
      </c>
      <c r="G109" s="213" t="s">
        <v>365</v>
      </c>
      <c r="H109" s="213" t="s">
        <v>552</v>
      </c>
      <c r="I109" s="213"/>
      <c r="J109" s="213" t="s">
        <v>551</v>
      </c>
      <c r="K109" s="213" t="s">
        <v>547</v>
      </c>
      <c r="L109" s="213" t="s">
        <v>382</v>
      </c>
      <c r="M109" s="213" t="s">
        <v>563</v>
      </c>
      <c r="N109" s="213"/>
      <c r="O109" s="213"/>
      <c r="P109" s="213"/>
      <c r="Q109" s="213"/>
      <c r="R109" s="213"/>
      <c r="S109" s="213" t="s">
        <v>589</v>
      </c>
      <c r="T109" s="213"/>
      <c r="U109" s="213" t="s">
        <v>538</v>
      </c>
      <c r="V109" s="213">
        <v>3</v>
      </c>
      <c r="W109" s="213" t="s">
        <v>545</v>
      </c>
      <c r="X109" s="213" t="s">
        <v>549</v>
      </c>
      <c r="Y109" s="213" t="s">
        <v>549</v>
      </c>
      <c r="Z109" s="212">
        <v>321019</v>
      </c>
      <c r="AA109" s="212">
        <v>20272568</v>
      </c>
      <c r="AB109" s="217">
        <v>0.62507900000000005</v>
      </c>
      <c r="AC109" s="217">
        <v>1.0059689999999999</v>
      </c>
      <c r="AD109" s="212">
        <f t="shared" si="1"/>
        <v>12671956.532872001</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row>
    <row r="110" spans="2:91" s="66" customFormat="1" x14ac:dyDescent="0.15">
      <c r="B110" s="213">
        <v>17031003287</v>
      </c>
      <c r="C110" s="213">
        <v>17031000604</v>
      </c>
      <c r="D110" s="213">
        <v>17031000600</v>
      </c>
      <c r="E110" s="213" t="s">
        <v>533</v>
      </c>
      <c r="F110" s="213" t="s">
        <v>534</v>
      </c>
      <c r="G110" s="213" t="s">
        <v>365</v>
      </c>
      <c r="H110" s="213" t="s">
        <v>381</v>
      </c>
      <c r="I110" s="213"/>
      <c r="J110" s="213" t="s">
        <v>542</v>
      </c>
      <c r="K110" s="213" t="s">
        <v>547</v>
      </c>
      <c r="L110" s="213"/>
      <c r="M110" s="213"/>
      <c r="N110" s="213"/>
      <c r="O110" s="213"/>
      <c r="P110" s="213"/>
      <c r="Q110" s="213"/>
      <c r="R110" s="213"/>
      <c r="S110" s="213" t="s">
        <v>579</v>
      </c>
      <c r="T110" s="213"/>
      <c r="U110" s="213" t="s">
        <v>538</v>
      </c>
      <c r="V110" s="213">
        <v>4</v>
      </c>
      <c r="W110" s="213" t="s">
        <v>545</v>
      </c>
      <c r="X110" s="213" t="s">
        <v>541</v>
      </c>
      <c r="Y110" s="213" t="s">
        <v>541</v>
      </c>
      <c r="Z110" s="212">
        <v>117832</v>
      </c>
      <c r="AA110" s="212">
        <v>8555347</v>
      </c>
      <c r="AB110" s="217">
        <v>0.19759199999999999</v>
      </c>
      <c r="AC110" s="217">
        <v>0.31799300000000003</v>
      </c>
      <c r="AD110" s="212">
        <f t="shared" si="1"/>
        <v>1690468.1244239998</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row>
    <row r="111" spans="2:91" s="66" customFormat="1" x14ac:dyDescent="0.15">
      <c r="B111" s="213">
        <v>17031003291</v>
      </c>
      <c r="C111" s="213">
        <v>17031004643</v>
      </c>
      <c r="D111" s="213">
        <v>17031000492</v>
      </c>
      <c r="E111" s="213" t="s">
        <v>533</v>
      </c>
      <c r="F111" s="213" t="s">
        <v>534</v>
      </c>
      <c r="G111" s="213" t="s">
        <v>365</v>
      </c>
      <c r="H111" s="213" t="s">
        <v>552</v>
      </c>
      <c r="I111" s="213"/>
      <c r="J111" s="213" t="s">
        <v>547</v>
      </c>
      <c r="K111" s="213" t="s">
        <v>563</v>
      </c>
      <c r="L111" s="213"/>
      <c r="M111" s="213"/>
      <c r="N111" s="213"/>
      <c r="O111" s="213"/>
      <c r="P111" s="213"/>
      <c r="Q111" s="213"/>
      <c r="R111" s="213"/>
      <c r="S111" s="213" t="s">
        <v>589</v>
      </c>
      <c r="T111" s="213"/>
      <c r="U111" s="213" t="s">
        <v>538</v>
      </c>
      <c r="V111" s="213">
        <v>3</v>
      </c>
      <c r="W111" s="213" t="s">
        <v>545</v>
      </c>
      <c r="X111" s="213" t="s">
        <v>549</v>
      </c>
      <c r="Y111" s="213" t="s">
        <v>541</v>
      </c>
      <c r="Z111" s="212">
        <v>50460</v>
      </c>
      <c r="AA111" s="212">
        <v>3170428</v>
      </c>
      <c r="AB111" s="217">
        <v>0.39276800000000001</v>
      </c>
      <c r="AC111" s="217">
        <v>0.6321</v>
      </c>
      <c r="AD111" s="212">
        <f t="shared" si="1"/>
        <v>1245242.6647040001</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row>
    <row r="112" spans="2:91" s="66" customFormat="1" x14ac:dyDescent="0.15">
      <c r="B112" s="213">
        <v>17031003292</v>
      </c>
      <c r="C112" s="213">
        <v>17999019959</v>
      </c>
      <c r="D112" s="213">
        <v>17031000355</v>
      </c>
      <c r="E112" s="213" t="s">
        <v>533</v>
      </c>
      <c r="F112" s="213" t="s">
        <v>534</v>
      </c>
      <c r="G112" s="213" t="s">
        <v>365</v>
      </c>
      <c r="H112" s="213" t="s">
        <v>552</v>
      </c>
      <c r="I112" s="213"/>
      <c r="J112" s="213"/>
      <c r="K112" s="213"/>
      <c r="L112" s="213"/>
      <c r="M112" s="213"/>
      <c r="N112" s="213"/>
      <c r="O112" s="213"/>
      <c r="P112" s="213"/>
      <c r="Q112" s="213"/>
      <c r="R112" s="213"/>
      <c r="S112" s="213"/>
      <c r="T112" s="213"/>
      <c r="U112" s="213" t="s">
        <v>559</v>
      </c>
      <c r="V112" s="213">
        <v>1</v>
      </c>
      <c r="W112" s="213" t="s">
        <v>560</v>
      </c>
      <c r="X112" s="213" t="s">
        <v>541</v>
      </c>
      <c r="Y112" s="213" t="s">
        <v>541</v>
      </c>
      <c r="Z112" s="212">
        <v>0</v>
      </c>
      <c r="AA112" s="212">
        <v>0</v>
      </c>
      <c r="AB112" s="217">
        <v>0.30828</v>
      </c>
      <c r="AC112" s="217">
        <v>0.49612899999999999</v>
      </c>
      <c r="AD112" s="212">
        <f t="shared" si="1"/>
        <v>0</v>
      </c>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row>
    <row r="113" spans="2:91" s="66" customFormat="1" x14ac:dyDescent="0.15">
      <c r="B113" s="213">
        <v>17031003298</v>
      </c>
      <c r="C113" s="213">
        <v>17031001266</v>
      </c>
      <c r="D113" s="213">
        <v>17031004723</v>
      </c>
      <c r="E113" s="213" t="s">
        <v>533</v>
      </c>
      <c r="F113" s="213" t="s">
        <v>534</v>
      </c>
      <c r="G113" s="213" t="s">
        <v>365</v>
      </c>
      <c r="H113" s="213" t="s">
        <v>547</v>
      </c>
      <c r="I113" s="213"/>
      <c r="J113" s="213"/>
      <c r="K113" s="213"/>
      <c r="L113" s="213"/>
      <c r="M113" s="213"/>
      <c r="N113" s="213"/>
      <c r="O113" s="213"/>
      <c r="P113" s="213"/>
      <c r="Q113" s="213"/>
      <c r="R113" s="213"/>
      <c r="S113" s="213"/>
      <c r="T113" s="213"/>
      <c r="U113" s="213" t="s">
        <v>538</v>
      </c>
      <c r="V113" s="213">
        <v>1</v>
      </c>
      <c r="W113" s="213" t="s">
        <v>582</v>
      </c>
      <c r="X113" s="213" t="s">
        <v>541</v>
      </c>
      <c r="Y113" s="213" t="s">
        <v>541</v>
      </c>
      <c r="Z113" s="212">
        <v>0</v>
      </c>
      <c r="AA113" s="212">
        <v>0</v>
      </c>
      <c r="AB113" s="217">
        <v>0.379774</v>
      </c>
      <c r="AC113" s="217">
        <v>0.61118799999999995</v>
      </c>
      <c r="AD113" s="212">
        <f t="shared" si="1"/>
        <v>0</v>
      </c>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row>
    <row r="114" spans="2:91" s="66" customFormat="1" x14ac:dyDescent="0.15">
      <c r="B114" s="213">
        <v>17031003332</v>
      </c>
      <c r="C114" s="213">
        <v>17031001124</v>
      </c>
      <c r="D114" s="213">
        <v>17031001129</v>
      </c>
      <c r="E114" s="213" t="s">
        <v>533</v>
      </c>
      <c r="F114" s="213" t="s">
        <v>534</v>
      </c>
      <c r="G114" s="213" t="s">
        <v>365</v>
      </c>
      <c r="H114" s="213" t="s">
        <v>543</v>
      </c>
      <c r="I114" s="213"/>
      <c r="J114" s="213" t="s">
        <v>542</v>
      </c>
      <c r="K114" s="213" t="s">
        <v>552</v>
      </c>
      <c r="L114" s="213" t="s">
        <v>557</v>
      </c>
      <c r="M114" s="213" t="s">
        <v>661</v>
      </c>
      <c r="N114" s="213"/>
      <c r="O114" s="213"/>
      <c r="P114" s="213"/>
      <c r="Q114" s="213"/>
      <c r="R114" s="213"/>
      <c r="S114" s="213" t="s">
        <v>630</v>
      </c>
      <c r="T114" s="213"/>
      <c r="U114" s="213" t="s">
        <v>538</v>
      </c>
      <c r="V114" s="213">
        <v>2</v>
      </c>
      <c r="W114" s="213" t="s">
        <v>545</v>
      </c>
      <c r="X114" s="213" t="s">
        <v>540</v>
      </c>
      <c r="Y114" s="213" t="s">
        <v>575</v>
      </c>
      <c r="Z114" s="212">
        <v>2178052</v>
      </c>
      <c r="AA114" s="212">
        <v>63763679</v>
      </c>
      <c r="AB114" s="217">
        <v>0.18526200000000001</v>
      </c>
      <c r="AC114" s="217">
        <v>0.29815000000000003</v>
      </c>
      <c r="AD114" s="212">
        <f t="shared" si="1"/>
        <v>11812986.698898001</v>
      </c>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row>
    <row r="115" spans="2:91" s="66" customFormat="1" x14ac:dyDescent="0.15">
      <c r="B115" s="213">
        <v>17031003467</v>
      </c>
      <c r="C115" s="213">
        <v>17031000940</v>
      </c>
      <c r="D115" s="213">
        <v>17031007705</v>
      </c>
      <c r="E115" s="213" t="s">
        <v>533</v>
      </c>
      <c r="F115" s="213" t="s">
        <v>534</v>
      </c>
      <c r="G115" s="213" t="s">
        <v>365</v>
      </c>
      <c r="H115" s="213" t="s">
        <v>535</v>
      </c>
      <c r="I115" s="213"/>
      <c r="J115" s="213" t="s">
        <v>542</v>
      </c>
      <c r="K115" s="213" t="s">
        <v>572</v>
      </c>
      <c r="L115" s="213" t="s">
        <v>547</v>
      </c>
      <c r="M115" s="213" t="s">
        <v>382</v>
      </c>
      <c r="N115" s="213"/>
      <c r="O115" s="213"/>
      <c r="P115" s="213"/>
      <c r="Q115" s="213"/>
      <c r="R115" s="213"/>
      <c r="S115" s="213" t="s">
        <v>601</v>
      </c>
      <c r="T115" s="213"/>
      <c r="U115" s="213" t="s">
        <v>538</v>
      </c>
      <c r="V115" s="213">
        <v>2</v>
      </c>
      <c r="W115" s="213" t="s">
        <v>545</v>
      </c>
      <c r="X115" s="213" t="s">
        <v>549</v>
      </c>
      <c r="Y115" s="213" t="s">
        <v>540</v>
      </c>
      <c r="Z115" s="212">
        <v>168065</v>
      </c>
      <c r="AA115" s="212">
        <v>7807855</v>
      </c>
      <c r="AB115" s="217">
        <v>0.54025999999999996</v>
      </c>
      <c r="AC115" s="217">
        <v>0.86946500000000004</v>
      </c>
      <c r="AD115" s="212">
        <f t="shared" si="1"/>
        <v>4218271.7423</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row>
    <row r="116" spans="2:91" s="66" customFormat="1" x14ac:dyDescent="0.15">
      <c r="B116" s="213">
        <v>17031003490</v>
      </c>
      <c r="C116" s="213">
        <v>17031000967</v>
      </c>
      <c r="D116" s="213">
        <v>17031000901</v>
      </c>
      <c r="E116" s="213" t="s">
        <v>533</v>
      </c>
      <c r="F116" s="213" t="s">
        <v>534</v>
      </c>
      <c r="G116" s="213" t="s">
        <v>365</v>
      </c>
      <c r="H116" s="213" t="s">
        <v>381</v>
      </c>
      <c r="I116" s="213"/>
      <c r="J116" s="213" t="s">
        <v>551</v>
      </c>
      <c r="K116" s="213" t="s">
        <v>543</v>
      </c>
      <c r="L116" s="213" t="s">
        <v>382</v>
      </c>
      <c r="M116" s="213"/>
      <c r="N116" s="213"/>
      <c r="O116" s="213"/>
      <c r="P116" s="213"/>
      <c r="Q116" s="213"/>
      <c r="R116" s="213"/>
      <c r="S116" s="213" t="s">
        <v>647</v>
      </c>
      <c r="T116" s="213"/>
      <c r="U116" s="213" t="s">
        <v>538</v>
      </c>
      <c r="V116" s="213">
        <v>2</v>
      </c>
      <c r="W116" s="213" t="s">
        <v>545</v>
      </c>
      <c r="X116" s="213" t="s">
        <v>549</v>
      </c>
      <c r="Y116" s="213" t="s">
        <v>580</v>
      </c>
      <c r="Z116" s="212">
        <v>1558633</v>
      </c>
      <c r="AA116" s="212">
        <v>41812567</v>
      </c>
      <c r="AB116" s="217">
        <v>1.4032910000000001</v>
      </c>
      <c r="AC116" s="217">
        <v>2.2583829999999998</v>
      </c>
      <c r="AD116" s="212">
        <f t="shared" si="1"/>
        <v>58675198.957997002</v>
      </c>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row>
    <row r="117" spans="2:91" s="66" customFormat="1" x14ac:dyDescent="0.15">
      <c r="B117" s="213">
        <v>17031003535</v>
      </c>
      <c r="C117" s="213">
        <v>17031001429</v>
      </c>
      <c r="D117" s="213">
        <v>17031001427</v>
      </c>
      <c r="E117" s="213" t="s">
        <v>533</v>
      </c>
      <c r="F117" s="213" t="s">
        <v>534</v>
      </c>
      <c r="G117" s="213" t="s">
        <v>365</v>
      </c>
      <c r="H117" s="213" t="s">
        <v>382</v>
      </c>
      <c r="I117" s="213"/>
      <c r="J117" s="213" t="s">
        <v>551</v>
      </c>
      <c r="K117" s="213" t="s">
        <v>555</v>
      </c>
      <c r="L117" s="213" t="s">
        <v>552</v>
      </c>
      <c r="M117" s="213"/>
      <c r="N117" s="213"/>
      <c r="O117" s="213"/>
      <c r="P117" s="213"/>
      <c r="Q117" s="213"/>
      <c r="R117" s="213"/>
      <c r="S117" s="213" t="s">
        <v>556</v>
      </c>
      <c r="T117" s="213"/>
      <c r="U117" s="213" t="s">
        <v>538</v>
      </c>
      <c r="V117" s="213">
        <v>2</v>
      </c>
      <c r="W117" s="213" t="s">
        <v>545</v>
      </c>
      <c r="X117" s="213" t="s">
        <v>554</v>
      </c>
      <c r="Y117" s="213" t="s">
        <v>580</v>
      </c>
      <c r="Z117" s="212">
        <v>694104</v>
      </c>
      <c r="AA117" s="212">
        <v>29600952</v>
      </c>
      <c r="AB117" s="217">
        <v>0.39536700000000002</v>
      </c>
      <c r="AC117" s="217">
        <v>0.63628300000000004</v>
      </c>
      <c r="AD117" s="212">
        <f t="shared" si="1"/>
        <v>11703239.589384001</v>
      </c>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row>
    <row r="118" spans="2:91" s="66" customFormat="1" x14ac:dyDescent="0.15">
      <c r="B118" s="213">
        <v>17031003538</v>
      </c>
      <c r="C118" s="213">
        <v>17031006831</v>
      </c>
      <c r="D118" s="213">
        <v>17031000704</v>
      </c>
      <c r="E118" s="213" t="s">
        <v>533</v>
      </c>
      <c r="F118" s="213" t="s">
        <v>534</v>
      </c>
      <c r="G118" s="213" t="s">
        <v>365</v>
      </c>
      <c r="H118" s="213" t="s">
        <v>382</v>
      </c>
      <c r="I118" s="213"/>
      <c r="J118" s="213"/>
      <c r="K118" s="213"/>
      <c r="L118" s="213"/>
      <c r="M118" s="213"/>
      <c r="N118" s="213"/>
      <c r="O118" s="213"/>
      <c r="P118" s="213"/>
      <c r="Q118" s="213"/>
      <c r="R118" s="213"/>
      <c r="S118" s="213"/>
      <c r="T118" s="213" t="s">
        <v>664</v>
      </c>
      <c r="U118" s="213" t="s">
        <v>559</v>
      </c>
      <c r="V118" s="213">
        <v>1</v>
      </c>
      <c r="W118" s="213" t="s">
        <v>560</v>
      </c>
      <c r="X118" s="213" t="s">
        <v>541</v>
      </c>
      <c r="Y118" s="213" t="s">
        <v>541</v>
      </c>
      <c r="Z118" s="212">
        <v>640</v>
      </c>
      <c r="AA118" s="212">
        <v>34200</v>
      </c>
      <c r="AB118" s="217">
        <v>0.62362099999999998</v>
      </c>
      <c r="AC118" s="217">
        <v>1.003622</v>
      </c>
      <c r="AD118" s="212">
        <f t="shared" si="1"/>
        <v>21327.838199999998</v>
      </c>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row>
    <row r="119" spans="2:91" s="66" customFormat="1" x14ac:dyDescent="0.15">
      <c r="B119" s="213">
        <v>17031003556</v>
      </c>
      <c r="C119" s="213">
        <v>17031001293</v>
      </c>
      <c r="D119" s="213">
        <v>17031004698</v>
      </c>
      <c r="E119" s="213" t="s">
        <v>533</v>
      </c>
      <c r="F119" s="213" t="s">
        <v>534</v>
      </c>
      <c r="G119" s="213" t="s">
        <v>365</v>
      </c>
      <c r="H119" s="213" t="s">
        <v>547</v>
      </c>
      <c r="I119" s="213"/>
      <c r="J119" s="213"/>
      <c r="K119" s="213"/>
      <c r="L119" s="213"/>
      <c r="M119" s="213"/>
      <c r="N119" s="213"/>
      <c r="O119" s="213"/>
      <c r="P119" s="213"/>
      <c r="Q119" s="213"/>
      <c r="R119" s="213"/>
      <c r="S119" s="213" t="s">
        <v>611</v>
      </c>
      <c r="T119" s="213"/>
      <c r="U119" s="213" t="s">
        <v>538</v>
      </c>
      <c r="V119" s="213">
        <v>1</v>
      </c>
      <c r="W119" s="213" t="s">
        <v>582</v>
      </c>
      <c r="X119" s="213" t="s">
        <v>540</v>
      </c>
      <c r="Y119" s="213" t="s">
        <v>541</v>
      </c>
      <c r="Z119" s="212">
        <v>0</v>
      </c>
      <c r="AA119" s="212">
        <v>0</v>
      </c>
      <c r="AB119" s="217">
        <v>0.55063499999999999</v>
      </c>
      <c r="AC119" s="217">
        <v>0.88616300000000003</v>
      </c>
      <c r="AD119" s="212">
        <f t="shared" si="1"/>
        <v>0</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row>
    <row r="120" spans="2:91" s="66" customFormat="1" x14ac:dyDescent="0.15">
      <c r="B120" s="213">
        <v>17031003561</v>
      </c>
      <c r="C120" s="213">
        <v>17031001587</v>
      </c>
      <c r="D120" s="213">
        <v>17031001575</v>
      </c>
      <c r="E120" s="213" t="s">
        <v>533</v>
      </c>
      <c r="F120" s="213" t="s">
        <v>534</v>
      </c>
      <c r="G120" s="213" t="s">
        <v>365</v>
      </c>
      <c r="H120" s="213" t="s">
        <v>382</v>
      </c>
      <c r="I120" s="213"/>
      <c r="J120" s="213" t="s">
        <v>551</v>
      </c>
      <c r="K120" s="213" t="s">
        <v>555</v>
      </c>
      <c r="L120" s="213"/>
      <c r="M120" s="213"/>
      <c r="N120" s="213"/>
      <c r="O120" s="213"/>
      <c r="P120" s="213"/>
      <c r="Q120" s="213"/>
      <c r="R120" s="213"/>
      <c r="S120" s="213" t="s">
        <v>556</v>
      </c>
      <c r="T120" s="213" t="s">
        <v>599</v>
      </c>
      <c r="U120" s="213" t="s">
        <v>538</v>
      </c>
      <c r="V120" s="213">
        <v>2</v>
      </c>
      <c r="W120" s="213" t="s">
        <v>545</v>
      </c>
      <c r="X120" s="213" t="s">
        <v>540</v>
      </c>
      <c r="Y120" s="213" t="s">
        <v>580</v>
      </c>
      <c r="Z120" s="212">
        <v>687986</v>
      </c>
      <c r="AA120" s="212">
        <v>29200156</v>
      </c>
      <c r="AB120" s="217">
        <v>0.64715299999999998</v>
      </c>
      <c r="AC120" s="217">
        <v>1.0414939999999999</v>
      </c>
      <c r="AD120" s="212">
        <f t="shared" si="1"/>
        <v>18896968.555868</v>
      </c>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row>
    <row r="121" spans="2:91" s="66" customFormat="1" x14ac:dyDescent="0.15">
      <c r="B121" s="213">
        <v>17031003579</v>
      </c>
      <c r="C121" s="213">
        <v>17031001368</v>
      </c>
      <c r="D121" s="213">
        <v>17031001373</v>
      </c>
      <c r="E121" s="213" t="s">
        <v>533</v>
      </c>
      <c r="F121" s="213" t="s">
        <v>534</v>
      </c>
      <c r="G121" s="213" t="s">
        <v>365</v>
      </c>
      <c r="H121" s="213" t="s">
        <v>557</v>
      </c>
      <c r="I121" s="213"/>
      <c r="J121" s="213" t="s">
        <v>381</v>
      </c>
      <c r="K121" s="213" t="s">
        <v>535</v>
      </c>
      <c r="L121" s="213" t="s">
        <v>552</v>
      </c>
      <c r="M121" s="213" t="s">
        <v>551</v>
      </c>
      <c r="N121" s="213" t="s">
        <v>615</v>
      </c>
      <c r="O121" s="213" t="s">
        <v>543</v>
      </c>
      <c r="P121" s="213" t="s">
        <v>382</v>
      </c>
      <c r="Q121" s="213"/>
      <c r="R121" s="213"/>
      <c r="S121" s="213" t="s">
        <v>570</v>
      </c>
      <c r="T121" s="213" t="s">
        <v>600</v>
      </c>
      <c r="U121" s="213" t="s">
        <v>538</v>
      </c>
      <c r="V121" s="213">
        <v>2</v>
      </c>
      <c r="W121" s="213" t="s">
        <v>545</v>
      </c>
      <c r="X121" s="213" t="s">
        <v>554</v>
      </c>
      <c r="Y121" s="213" t="s">
        <v>546</v>
      </c>
      <c r="Z121" s="212">
        <v>403649</v>
      </c>
      <c r="AA121" s="212">
        <v>28690689</v>
      </c>
      <c r="AB121" s="217">
        <v>4.6850000000000003E-2</v>
      </c>
      <c r="AC121" s="217">
        <v>7.5398000000000007E-2</v>
      </c>
      <c r="AD121" s="212">
        <f t="shared" si="1"/>
        <v>1344158.7796500002</v>
      </c>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row>
    <row r="122" spans="2:91" s="66" customFormat="1" x14ac:dyDescent="0.15">
      <c r="B122" s="213">
        <v>17031003600</v>
      </c>
      <c r="C122" s="213">
        <v>17031000966</v>
      </c>
      <c r="D122" s="213">
        <v>17031007116</v>
      </c>
      <c r="E122" s="213" t="s">
        <v>533</v>
      </c>
      <c r="F122" s="213" t="s">
        <v>534</v>
      </c>
      <c r="G122" s="213" t="s">
        <v>365</v>
      </c>
      <c r="H122" s="213" t="s">
        <v>571</v>
      </c>
      <c r="I122" s="213"/>
      <c r="J122" s="213" t="s">
        <v>381</v>
      </c>
      <c r="K122" s="213" t="s">
        <v>535</v>
      </c>
      <c r="L122" s="213" t="s">
        <v>552</v>
      </c>
      <c r="M122" s="213" t="s">
        <v>572</v>
      </c>
      <c r="N122" s="213" t="s">
        <v>551</v>
      </c>
      <c r="O122" s="213" t="s">
        <v>555</v>
      </c>
      <c r="P122" s="213" t="s">
        <v>543</v>
      </c>
      <c r="Q122" s="213" t="s">
        <v>382</v>
      </c>
      <c r="R122" s="213" t="s">
        <v>563</v>
      </c>
      <c r="S122" s="213" t="s">
        <v>605</v>
      </c>
      <c r="T122" s="213" t="s">
        <v>574</v>
      </c>
      <c r="U122" s="213" t="s">
        <v>538</v>
      </c>
      <c r="V122" s="213">
        <v>2</v>
      </c>
      <c r="W122" s="213" t="s">
        <v>545</v>
      </c>
      <c r="X122" s="213" t="s">
        <v>554</v>
      </c>
      <c r="Y122" s="213" t="s">
        <v>575</v>
      </c>
      <c r="Z122" s="212">
        <v>266267</v>
      </c>
      <c r="AA122" s="212">
        <v>14660393</v>
      </c>
      <c r="AB122" s="217">
        <v>0.25418099999999999</v>
      </c>
      <c r="AC122" s="217">
        <v>0.40906599999999999</v>
      </c>
      <c r="AD122" s="212">
        <f t="shared" si="1"/>
        <v>3726393.353133</v>
      </c>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row>
    <row r="123" spans="2:91" s="66" customFormat="1" x14ac:dyDescent="0.15">
      <c r="B123" s="213">
        <v>17031003601</v>
      </c>
      <c r="C123" s="213">
        <v>17031000974</v>
      </c>
      <c r="D123" s="213">
        <v>17031000972</v>
      </c>
      <c r="E123" s="213" t="s">
        <v>533</v>
      </c>
      <c r="F123" s="213" t="s">
        <v>534</v>
      </c>
      <c r="G123" s="213" t="s">
        <v>365</v>
      </c>
      <c r="H123" s="213" t="s">
        <v>571</v>
      </c>
      <c r="I123" s="213"/>
      <c r="J123" s="213" t="s">
        <v>381</v>
      </c>
      <c r="K123" s="213" t="s">
        <v>535</v>
      </c>
      <c r="L123" s="213" t="s">
        <v>572</v>
      </c>
      <c r="M123" s="213" t="s">
        <v>552</v>
      </c>
      <c r="N123" s="213" t="s">
        <v>551</v>
      </c>
      <c r="O123" s="213" t="s">
        <v>555</v>
      </c>
      <c r="P123" s="213" t="s">
        <v>543</v>
      </c>
      <c r="Q123" s="213" t="s">
        <v>382</v>
      </c>
      <c r="R123" s="213" t="s">
        <v>563</v>
      </c>
      <c r="S123" s="213" t="s">
        <v>622</v>
      </c>
      <c r="T123" s="213" t="s">
        <v>574</v>
      </c>
      <c r="U123" s="213" t="s">
        <v>538</v>
      </c>
      <c r="V123" s="213">
        <v>1</v>
      </c>
      <c r="W123" s="213" t="s">
        <v>545</v>
      </c>
      <c r="X123" s="213" t="s">
        <v>554</v>
      </c>
      <c r="Y123" s="213" t="s">
        <v>575</v>
      </c>
      <c r="Z123" s="212">
        <v>266267</v>
      </c>
      <c r="AA123" s="212">
        <v>14660393</v>
      </c>
      <c r="AB123" s="217">
        <v>0.109761</v>
      </c>
      <c r="AC123" s="217">
        <v>0.17664299999999999</v>
      </c>
      <c r="AD123" s="212">
        <f t="shared" si="1"/>
        <v>1609139.396073</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row>
    <row r="124" spans="2:91" s="66" customFormat="1" x14ac:dyDescent="0.15">
      <c r="B124" s="213">
        <v>17031003602</v>
      </c>
      <c r="C124" s="213">
        <v>17031000972</v>
      </c>
      <c r="D124" s="213">
        <v>17031000977</v>
      </c>
      <c r="E124" s="213" t="s">
        <v>533</v>
      </c>
      <c r="F124" s="213" t="s">
        <v>534</v>
      </c>
      <c r="G124" s="213" t="s">
        <v>365</v>
      </c>
      <c r="H124" s="213" t="s">
        <v>571</v>
      </c>
      <c r="I124" s="213"/>
      <c r="J124" s="213" t="s">
        <v>381</v>
      </c>
      <c r="K124" s="213" t="s">
        <v>535</v>
      </c>
      <c r="L124" s="213" t="s">
        <v>552</v>
      </c>
      <c r="M124" s="213" t="s">
        <v>572</v>
      </c>
      <c r="N124" s="213" t="s">
        <v>551</v>
      </c>
      <c r="O124" s="213" t="s">
        <v>555</v>
      </c>
      <c r="P124" s="213" t="s">
        <v>543</v>
      </c>
      <c r="Q124" s="213" t="s">
        <v>382</v>
      </c>
      <c r="R124" s="213" t="s">
        <v>563</v>
      </c>
      <c r="S124" s="213" t="s">
        <v>622</v>
      </c>
      <c r="T124" s="213" t="s">
        <v>574</v>
      </c>
      <c r="U124" s="213" t="s">
        <v>538</v>
      </c>
      <c r="V124" s="213">
        <v>1</v>
      </c>
      <c r="W124" s="213" t="s">
        <v>545</v>
      </c>
      <c r="X124" s="213" t="s">
        <v>541</v>
      </c>
      <c r="Y124" s="213" t="s">
        <v>575</v>
      </c>
      <c r="Z124" s="212">
        <v>257467</v>
      </c>
      <c r="AA124" s="212">
        <v>13962381</v>
      </c>
      <c r="AB124" s="217">
        <v>0.23910999999999999</v>
      </c>
      <c r="AC124" s="217">
        <v>0.38481100000000001</v>
      </c>
      <c r="AD124" s="212">
        <f t="shared" si="1"/>
        <v>3338544.9209099999</v>
      </c>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row>
    <row r="125" spans="2:91" s="66" customFormat="1" x14ac:dyDescent="0.15">
      <c r="B125" s="213">
        <v>17031003605</v>
      </c>
      <c r="C125" s="213">
        <v>17031001008</v>
      </c>
      <c r="D125" s="213">
        <v>17031001013</v>
      </c>
      <c r="E125" s="213" t="s">
        <v>533</v>
      </c>
      <c r="F125" s="213" t="s">
        <v>534</v>
      </c>
      <c r="G125" s="213" t="s">
        <v>365</v>
      </c>
      <c r="H125" s="213" t="s">
        <v>571</v>
      </c>
      <c r="I125" s="213"/>
      <c r="J125" s="213" t="s">
        <v>535</v>
      </c>
      <c r="K125" s="213" t="s">
        <v>552</v>
      </c>
      <c r="L125" s="213" t="s">
        <v>572</v>
      </c>
      <c r="M125" s="213" t="s">
        <v>551</v>
      </c>
      <c r="N125" s="213" t="s">
        <v>555</v>
      </c>
      <c r="O125" s="213" t="s">
        <v>543</v>
      </c>
      <c r="P125" s="213" t="s">
        <v>382</v>
      </c>
      <c r="Q125" s="213" t="s">
        <v>381</v>
      </c>
      <c r="R125" s="213"/>
      <c r="S125" s="213" t="s">
        <v>573</v>
      </c>
      <c r="T125" s="213"/>
      <c r="U125" s="213" t="s">
        <v>538</v>
      </c>
      <c r="V125" s="213">
        <v>4</v>
      </c>
      <c r="W125" s="213" t="s">
        <v>545</v>
      </c>
      <c r="X125" s="213" t="s">
        <v>554</v>
      </c>
      <c r="Y125" s="213" t="s">
        <v>575</v>
      </c>
      <c r="Z125" s="212">
        <v>368851</v>
      </c>
      <c r="AA125" s="212">
        <v>16478945</v>
      </c>
      <c r="AB125" s="217">
        <v>0.157217</v>
      </c>
      <c r="AC125" s="217">
        <v>0.25301699999999999</v>
      </c>
      <c r="AD125" s="212">
        <f t="shared" si="1"/>
        <v>2590770.2960649999</v>
      </c>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row>
    <row r="126" spans="2:91" s="66" customFormat="1" x14ac:dyDescent="0.15">
      <c r="B126" s="213">
        <v>17031003606</v>
      </c>
      <c r="C126" s="213">
        <v>17031000884</v>
      </c>
      <c r="D126" s="213">
        <v>17031001007</v>
      </c>
      <c r="E126" s="213" t="s">
        <v>533</v>
      </c>
      <c r="F126" s="213" t="s">
        <v>534</v>
      </c>
      <c r="G126" s="213" t="s">
        <v>365</v>
      </c>
      <c r="H126" s="213" t="s">
        <v>551</v>
      </c>
      <c r="I126" s="213" t="s">
        <v>535</v>
      </c>
      <c r="J126" s="213"/>
      <c r="K126" s="213"/>
      <c r="L126" s="213"/>
      <c r="M126" s="213"/>
      <c r="N126" s="213"/>
      <c r="O126" s="213"/>
      <c r="P126" s="213"/>
      <c r="Q126" s="213"/>
      <c r="R126" s="213"/>
      <c r="S126" s="213" t="s">
        <v>553</v>
      </c>
      <c r="T126" s="213"/>
      <c r="U126" s="213" t="s">
        <v>538</v>
      </c>
      <c r="V126" s="213">
        <v>1</v>
      </c>
      <c r="W126" s="213" t="s">
        <v>582</v>
      </c>
      <c r="X126" s="213" t="s">
        <v>540</v>
      </c>
      <c r="Y126" s="213" t="s">
        <v>541</v>
      </c>
      <c r="Z126" s="212">
        <v>0</v>
      </c>
      <c r="AA126" s="212">
        <v>0</v>
      </c>
      <c r="AB126" s="217">
        <v>2.2838289999999999</v>
      </c>
      <c r="AC126" s="217">
        <v>3.6754739999999999</v>
      </c>
      <c r="AD126" s="212">
        <f t="shared" si="1"/>
        <v>0</v>
      </c>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row>
    <row r="127" spans="2:91" s="66" customFormat="1" x14ac:dyDescent="0.15">
      <c r="B127" s="213">
        <v>17031003608</v>
      </c>
      <c r="C127" s="213">
        <v>17031000851</v>
      </c>
      <c r="D127" s="213">
        <v>17031000849</v>
      </c>
      <c r="E127" s="213" t="s">
        <v>533</v>
      </c>
      <c r="F127" s="213" t="s">
        <v>534</v>
      </c>
      <c r="G127" s="213" t="s">
        <v>365</v>
      </c>
      <c r="H127" s="213" t="s">
        <v>571</v>
      </c>
      <c r="I127" s="213"/>
      <c r="J127" s="213"/>
      <c r="K127" s="213"/>
      <c r="L127" s="213"/>
      <c r="M127" s="213"/>
      <c r="N127" s="213"/>
      <c r="O127" s="213"/>
      <c r="P127" s="213"/>
      <c r="Q127" s="213"/>
      <c r="R127" s="213"/>
      <c r="S127" s="213"/>
      <c r="T127" s="213"/>
      <c r="U127" s="213" t="s">
        <v>559</v>
      </c>
      <c r="V127" s="213">
        <v>1</v>
      </c>
      <c r="W127" s="213" t="s">
        <v>560</v>
      </c>
      <c r="X127" s="213" t="s">
        <v>541</v>
      </c>
      <c r="Y127" s="213" t="s">
        <v>541</v>
      </c>
      <c r="Z127" s="212">
        <v>0</v>
      </c>
      <c r="AA127" s="212">
        <v>0</v>
      </c>
      <c r="AB127" s="217">
        <v>0.30147699999999999</v>
      </c>
      <c r="AC127" s="217">
        <v>0.48518099999999997</v>
      </c>
      <c r="AD127" s="212">
        <f t="shared" si="1"/>
        <v>0</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row>
    <row r="128" spans="2:91" s="66" customFormat="1" x14ac:dyDescent="0.15">
      <c r="B128" s="213">
        <v>17031003619</v>
      </c>
      <c r="C128" s="213">
        <v>17031001325</v>
      </c>
      <c r="D128" s="213">
        <v>17031001317</v>
      </c>
      <c r="E128" s="213" t="s">
        <v>533</v>
      </c>
      <c r="F128" s="213" t="s">
        <v>534</v>
      </c>
      <c r="G128" s="213" t="s">
        <v>365</v>
      </c>
      <c r="H128" s="213" t="s">
        <v>551</v>
      </c>
      <c r="I128" s="213"/>
      <c r="J128" s="213" t="s">
        <v>381</v>
      </c>
      <c r="K128" s="213" t="s">
        <v>535</v>
      </c>
      <c r="L128" s="213" t="s">
        <v>552</v>
      </c>
      <c r="M128" s="213"/>
      <c r="N128" s="213"/>
      <c r="O128" s="213"/>
      <c r="P128" s="213"/>
      <c r="Q128" s="213"/>
      <c r="R128" s="213"/>
      <c r="S128" s="213" t="s">
        <v>603</v>
      </c>
      <c r="T128" s="213"/>
      <c r="U128" s="213" t="s">
        <v>538</v>
      </c>
      <c r="V128" s="213">
        <v>2</v>
      </c>
      <c r="W128" s="213" t="s">
        <v>545</v>
      </c>
      <c r="X128" s="213" t="s">
        <v>540</v>
      </c>
      <c r="Y128" s="213" t="s">
        <v>575</v>
      </c>
      <c r="Z128" s="212">
        <v>367452</v>
      </c>
      <c r="AA128" s="212">
        <v>23839118</v>
      </c>
      <c r="AB128" s="217">
        <v>0.26160600000000001</v>
      </c>
      <c r="AC128" s="217">
        <v>0.42101499999999997</v>
      </c>
      <c r="AD128" s="212">
        <f t="shared" si="1"/>
        <v>6236456.3035080004</v>
      </c>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row>
    <row r="129" spans="2:91" s="66" customFormat="1" x14ac:dyDescent="0.15">
      <c r="B129" s="213">
        <v>17031003625</v>
      </c>
      <c r="C129" s="213">
        <v>17031000772</v>
      </c>
      <c r="D129" s="213">
        <v>17031004717</v>
      </c>
      <c r="E129" s="213" t="s">
        <v>533</v>
      </c>
      <c r="F129" s="213" t="s">
        <v>534</v>
      </c>
      <c r="G129" s="213" t="s">
        <v>365</v>
      </c>
      <c r="H129" s="213" t="s">
        <v>551</v>
      </c>
      <c r="I129" s="213"/>
      <c r="J129" s="213"/>
      <c r="K129" s="213"/>
      <c r="L129" s="213"/>
      <c r="M129" s="213"/>
      <c r="N129" s="213"/>
      <c r="O129" s="213"/>
      <c r="P129" s="213"/>
      <c r="Q129" s="213"/>
      <c r="R129" s="213"/>
      <c r="S129" s="213" t="s">
        <v>600</v>
      </c>
      <c r="T129" s="213"/>
      <c r="U129" s="213" t="s">
        <v>538</v>
      </c>
      <c r="V129" s="213">
        <v>2</v>
      </c>
      <c r="W129" s="213" t="s">
        <v>582</v>
      </c>
      <c r="X129" s="213" t="s">
        <v>540</v>
      </c>
      <c r="Y129" s="213" t="s">
        <v>549</v>
      </c>
      <c r="Z129" s="212">
        <v>174623</v>
      </c>
      <c r="AA129" s="212">
        <v>7596917</v>
      </c>
      <c r="AB129" s="217">
        <v>1.854956</v>
      </c>
      <c r="AC129" s="217">
        <v>2.9852690000000002</v>
      </c>
      <c r="AD129" s="212">
        <f t="shared" si="1"/>
        <v>14091946.770652</v>
      </c>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row>
    <row r="130" spans="2:91" s="66" customFormat="1" x14ac:dyDescent="0.15">
      <c r="B130" s="213">
        <v>17031003631</v>
      </c>
      <c r="C130" s="213">
        <v>17031001020</v>
      </c>
      <c r="D130" s="213">
        <v>17031001019</v>
      </c>
      <c r="E130" s="213" t="s">
        <v>533</v>
      </c>
      <c r="F130" s="213" t="s">
        <v>534</v>
      </c>
      <c r="G130" s="213" t="s">
        <v>365</v>
      </c>
      <c r="H130" s="213" t="s">
        <v>571</v>
      </c>
      <c r="I130" s="213"/>
      <c r="J130" s="213" t="s">
        <v>552</v>
      </c>
      <c r="K130" s="213" t="s">
        <v>572</v>
      </c>
      <c r="L130" s="213" t="s">
        <v>555</v>
      </c>
      <c r="M130" s="213" t="s">
        <v>543</v>
      </c>
      <c r="N130" s="213" t="s">
        <v>382</v>
      </c>
      <c r="O130" s="213"/>
      <c r="P130" s="213"/>
      <c r="Q130" s="213"/>
      <c r="R130" s="213"/>
      <c r="S130" s="213" t="s">
        <v>573</v>
      </c>
      <c r="T130" s="213"/>
      <c r="U130" s="213" t="s">
        <v>538</v>
      </c>
      <c r="V130" s="213">
        <v>2</v>
      </c>
      <c r="W130" s="213" t="s">
        <v>545</v>
      </c>
      <c r="X130" s="213" t="s">
        <v>554</v>
      </c>
      <c r="Y130" s="213" t="s">
        <v>580</v>
      </c>
      <c r="Z130" s="212">
        <v>338895</v>
      </c>
      <c r="AA130" s="212">
        <v>13107987</v>
      </c>
      <c r="AB130" s="217">
        <v>0.38766099999999998</v>
      </c>
      <c r="AC130" s="217">
        <v>0.62388100000000002</v>
      </c>
      <c r="AD130" s="212">
        <f t="shared" si="1"/>
        <v>5081455.3484069994</v>
      </c>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row>
    <row r="131" spans="2:91" s="66" customFormat="1" x14ac:dyDescent="0.15">
      <c r="B131" s="213">
        <v>17031003641</v>
      </c>
      <c r="C131" s="213">
        <v>17031000808</v>
      </c>
      <c r="D131" s="213">
        <v>17031000818</v>
      </c>
      <c r="E131" s="213" t="s">
        <v>533</v>
      </c>
      <c r="F131" s="213" t="s">
        <v>534</v>
      </c>
      <c r="G131" s="213" t="s">
        <v>365</v>
      </c>
      <c r="H131" s="213" t="s">
        <v>535</v>
      </c>
      <c r="I131" s="213"/>
      <c r="J131" s="213" t="s">
        <v>543</v>
      </c>
      <c r="K131" s="213"/>
      <c r="L131" s="213"/>
      <c r="M131" s="213"/>
      <c r="N131" s="213"/>
      <c r="O131" s="213"/>
      <c r="P131" s="213"/>
      <c r="Q131" s="213"/>
      <c r="R131" s="213"/>
      <c r="S131" s="213"/>
      <c r="T131" s="213"/>
      <c r="U131" s="213" t="s">
        <v>538</v>
      </c>
      <c r="V131" s="213">
        <v>1</v>
      </c>
      <c r="W131" s="213" t="s">
        <v>560</v>
      </c>
      <c r="X131" s="213" t="s">
        <v>541</v>
      </c>
      <c r="Y131" s="213" t="s">
        <v>541</v>
      </c>
      <c r="Z131" s="212">
        <v>0</v>
      </c>
      <c r="AA131" s="212">
        <v>0</v>
      </c>
      <c r="AB131" s="217">
        <v>0.87914000000000003</v>
      </c>
      <c r="AC131" s="217">
        <v>1.414841</v>
      </c>
      <c r="AD131" s="212">
        <f t="shared" si="1"/>
        <v>0</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row>
    <row r="132" spans="2:91" s="66" customFormat="1" x14ac:dyDescent="0.15">
      <c r="B132" s="213">
        <v>17031003654</v>
      </c>
      <c r="C132" s="213">
        <v>17031001034</v>
      </c>
      <c r="D132" s="213">
        <v>17031001048</v>
      </c>
      <c r="E132" s="213" t="s">
        <v>533</v>
      </c>
      <c r="F132" s="213" t="s">
        <v>534</v>
      </c>
      <c r="G132" s="213" t="s">
        <v>365</v>
      </c>
      <c r="H132" s="213" t="s">
        <v>571</v>
      </c>
      <c r="I132" s="213"/>
      <c r="J132" s="213" t="s">
        <v>542</v>
      </c>
      <c r="K132" s="213" t="s">
        <v>552</v>
      </c>
      <c r="L132" s="213" t="s">
        <v>572</v>
      </c>
      <c r="M132" s="213" t="s">
        <v>555</v>
      </c>
      <c r="N132" s="213" t="s">
        <v>543</v>
      </c>
      <c r="O132" s="213" t="s">
        <v>382</v>
      </c>
      <c r="P132" s="213"/>
      <c r="Q132" s="213"/>
      <c r="R132" s="213"/>
      <c r="S132" s="213" t="s">
        <v>573</v>
      </c>
      <c r="T132" s="213"/>
      <c r="U132" s="213" t="s">
        <v>538</v>
      </c>
      <c r="V132" s="213">
        <v>3</v>
      </c>
      <c r="W132" s="213" t="s">
        <v>545</v>
      </c>
      <c r="X132" s="213" t="s">
        <v>554</v>
      </c>
      <c r="Y132" s="213" t="s">
        <v>575</v>
      </c>
      <c r="Z132" s="212">
        <v>238361</v>
      </c>
      <c r="AA132" s="212">
        <v>7822959</v>
      </c>
      <c r="AB132" s="217">
        <v>0.408665</v>
      </c>
      <c r="AC132" s="217">
        <v>0.65768300000000002</v>
      </c>
      <c r="AD132" s="212">
        <f t="shared" si="1"/>
        <v>3196969.5397350001</v>
      </c>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row>
    <row r="133" spans="2:91" s="66" customFormat="1" x14ac:dyDescent="0.15">
      <c r="B133" s="213">
        <v>17031003658</v>
      </c>
      <c r="C133" s="213">
        <v>17031001068</v>
      </c>
      <c r="D133" s="213">
        <v>17031001077</v>
      </c>
      <c r="E133" s="213" t="s">
        <v>533</v>
      </c>
      <c r="F133" s="213" t="s">
        <v>534</v>
      </c>
      <c r="G133" s="213" t="s">
        <v>365</v>
      </c>
      <c r="H133" s="213" t="s">
        <v>577</v>
      </c>
      <c r="I133" s="213"/>
      <c r="J133" s="213"/>
      <c r="K133" s="213"/>
      <c r="L133" s="213"/>
      <c r="M133" s="213"/>
      <c r="N133" s="213"/>
      <c r="O133" s="213"/>
      <c r="P133" s="213"/>
      <c r="Q133" s="213"/>
      <c r="R133" s="213"/>
      <c r="S133" s="213"/>
      <c r="T133" s="213"/>
      <c r="U133" s="213" t="s">
        <v>538</v>
      </c>
      <c r="V133" s="213">
        <v>1</v>
      </c>
      <c r="W133" s="213" t="s">
        <v>560</v>
      </c>
      <c r="X133" s="213" t="s">
        <v>541</v>
      </c>
      <c r="Y133" s="213" t="s">
        <v>541</v>
      </c>
      <c r="Z133" s="212">
        <v>0</v>
      </c>
      <c r="AA133" s="212">
        <v>0</v>
      </c>
      <c r="AB133" s="217">
        <v>0.239617</v>
      </c>
      <c r="AC133" s="217">
        <v>0.385627</v>
      </c>
      <c r="AD133" s="212">
        <f t="shared" si="1"/>
        <v>0</v>
      </c>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row>
    <row r="134" spans="2:91" s="66" customFormat="1" x14ac:dyDescent="0.15">
      <c r="B134" s="213">
        <v>17031003666</v>
      </c>
      <c r="C134" s="213">
        <v>17031001284</v>
      </c>
      <c r="D134" s="213">
        <v>17031001243</v>
      </c>
      <c r="E134" s="213" t="s">
        <v>533</v>
      </c>
      <c r="F134" s="213" t="s">
        <v>534</v>
      </c>
      <c r="G134" s="213" t="s">
        <v>365</v>
      </c>
      <c r="H134" s="213" t="s">
        <v>547</v>
      </c>
      <c r="I134" s="213"/>
      <c r="J134" s="213" t="s">
        <v>577</v>
      </c>
      <c r="K134" s="213" t="s">
        <v>615</v>
      </c>
      <c r="L134" s="213"/>
      <c r="M134" s="213"/>
      <c r="N134" s="213"/>
      <c r="O134" s="213"/>
      <c r="P134" s="213"/>
      <c r="Q134" s="213"/>
      <c r="R134" s="213"/>
      <c r="S134" s="213" t="s">
        <v>581</v>
      </c>
      <c r="T134" s="213"/>
      <c r="U134" s="213" t="s">
        <v>538</v>
      </c>
      <c r="V134" s="213">
        <v>2</v>
      </c>
      <c r="W134" s="213" t="s">
        <v>582</v>
      </c>
      <c r="X134" s="213" t="s">
        <v>540</v>
      </c>
      <c r="Y134" s="213" t="s">
        <v>541</v>
      </c>
      <c r="Z134" s="212">
        <v>0</v>
      </c>
      <c r="AA134" s="212">
        <v>0</v>
      </c>
      <c r="AB134" s="217">
        <v>1.262448</v>
      </c>
      <c r="AC134" s="217">
        <v>2.0317180000000001</v>
      </c>
      <c r="AD134" s="212">
        <f t="shared" ref="AD134:AD197" si="2">AA134*AB134</f>
        <v>0</v>
      </c>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row>
    <row r="135" spans="2:91" s="66" customFormat="1" x14ac:dyDescent="0.15">
      <c r="B135" s="213">
        <v>17031003668</v>
      </c>
      <c r="C135" s="213">
        <v>17031001158</v>
      </c>
      <c r="D135" s="213">
        <v>17031004707</v>
      </c>
      <c r="E135" s="213" t="s">
        <v>533</v>
      </c>
      <c r="F135" s="213" t="s">
        <v>534</v>
      </c>
      <c r="G135" s="213" t="s">
        <v>365</v>
      </c>
      <c r="H135" s="213" t="s">
        <v>547</v>
      </c>
      <c r="I135" s="213"/>
      <c r="J135" s="213" t="s">
        <v>577</v>
      </c>
      <c r="K135" s="213"/>
      <c r="L135" s="213"/>
      <c r="M135" s="213"/>
      <c r="N135" s="213"/>
      <c r="O135" s="213"/>
      <c r="P135" s="213"/>
      <c r="Q135" s="213"/>
      <c r="R135" s="213"/>
      <c r="S135" s="213" t="s">
        <v>581</v>
      </c>
      <c r="T135" s="213"/>
      <c r="U135" s="213" t="s">
        <v>538</v>
      </c>
      <c r="V135" s="213">
        <v>2</v>
      </c>
      <c r="W135" s="213" t="s">
        <v>582</v>
      </c>
      <c r="X135" s="213" t="s">
        <v>540</v>
      </c>
      <c r="Y135" s="213" t="s">
        <v>541</v>
      </c>
      <c r="Z135" s="212">
        <v>0</v>
      </c>
      <c r="AA135" s="212">
        <v>0</v>
      </c>
      <c r="AB135" s="217">
        <v>1.0891470000000001</v>
      </c>
      <c r="AC135" s="217">
        <v>1.7528159999999999</v>
      </c>
      <c r="AD135" s="212">
        <f t="shared" si="2"/>
        <v>0</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row>
    <row r="136" spans="2:91" s="66" customFormat="1" x14ac:dyDescent="0.15">
      <c r="B136" s="213">
        <v>17031003670</v>
      </c>
      <c r="C136" s="213">
        <v>17031000843</v>
      </c>
      <c r="D136" s="213">
        <v>17031000877</v>
      </c>
      <c r="E136" s="213" t="s">
        <v>533</v>
      </c>
      <c r="F136" s="213" t="s">
        <v>534</v>
      </c>
      <c r="G136" s="213" t="s">
        <v>365</v>
      </c>
      <c r="H136" s="213" t="s">
        <v>547</v>
      </c>
      <c r="I136" s="213"/>
      <c r="J136" s="213" t="s">
        <v>542</v>
      </c>
      <c r="K136" s="213" t="s">
        <v>543</v>
      </c>
      <c r="L136" s="213" t="s">
        <v>382</v>
      </c>
      <c r="M136" s="213"/>
      <c r="N136" s="213"/>
      <c r="O136" s="213"/>
      <c r="P136" s="213"/>
      <c r="Q136" s="213"/>
      <c r="R136" s="213"/>
      <c r="S136" s="213" t="s">
        <v>602</v>
      </c>
      <c r="T136" s="213" t="s">
        <v>659</v>
      </c>
      <c r="U136" s="213" t="s">
        <v>538</v>
      </c>
      <c r="V136" s="213">
        <v>2</v>
      </c>
      <c r="W136" s="213" t="s">
        <v>545</v>
      </c>
      <c r="X136" s="213" t="s">
        <v>540</v>
      </c>
      <c r="Y136" s="213" t="s">
        <v>540</v>
      </c>
      <c r="Z136" s="212">
        <v>186774</v>
      </c>
      <c r="AA136" s="212">
        <v>8926948</v>
      </c>
      <c r="AB136" s="217">
        <v>0.76160700000000003</v>
      </c>
      <c r="AC136" s="217">
        <v>1.2256899999999999</v>
      </c>
      <c r="AD136" s="212">
        <f t="shared" si="2"/>
        <v>6798826.0854360005</v>
      </c>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row>
    <row r="137" spans="2:91" s="66" customFormat="1" x14ac:dyDescent="0.15">
      <c r="B137" s="213">
        <v>17031003674</v>
      </c>
      <c r="C137" s="213">
        <v>17031007051</v>
      </c>
      <c r="D137" s="213">
        <v>17031007052</v>
      </c>
      <c r="E137" s="213" t="s">
        <v>533</v>
      </c>
      <c r="F137" s="213" t="s">
        <v>534</v>
      </c>
      <c r="G137" s="213" t="s">
        <v>365</v>
      </c>
      <c r="H137" s="213" t="s">
        <v>547</v>
      </c>
      <c r="I137" s="213"/>
      <c r="J137" s="213"/>
      <c r="K137" s="213"/>
      <c r="L137" s="213"/>
      <c r="M137" s="213"/>
      <c r="N137" s="213"/>
      <c r="O137" s="213"/>
      <c r="P137" s="213"/>
      <c r="Q137" s="213"/>
      <c r="R137" s="213"/>
      <c r="S137" s="213" t="s">
        <v>611</v>
      </c>
      <c r="T137" s="213"/>
      <c r="U137" s="213" t="s">
        <v>538</v>
      </c>
      <c r="V137" s="213">
        <v>2</v>
      </c>
      <c r="W137" s="213" t="s">
        <v>582</v>
      </c>
      <c r="X137" s="213" t="s">
        <v>540</v>
      </c>
      <c r="Y137" s="213" t="s">
        <v>541</v>
      </c>
      <c r="Z137" s="212">
        <v>0</v>
      </c>
      <c r="AA137" s="212">
        <v>0</v>
      </c>
      <c r="AB137" s="217">
        <v>0.36161900000000002</v>
      </c>
      <c r="AC137" s="217">
        <v>0.58196999999999999</v>
      </c>
      <c r="AD137" s="212">
        <f t="shared" si="2"/>
        <v>0</v>
      </c>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row>
    <row r="138" spans="2:91" s="66" customFormat="1" x14ac:dyDescent="0.15">
      <c r="B138" s="213">
        <v>17031003682</v>
      </c>
      <c r="C138" s="213">
        <v>17031001302</v>
      </c>
      <c r="D138" s="213">
        <v>17031001310</v>
      </c>
      <c r="E138" s="213" t="s">
        <v>533</v>
      </c>
      <c r="F138" s="213" t="s">
        <v>534</v>
      </c>
      <c r="G138" s="213" t="s">
        <v>365</v>
      </c>
      <c r="H138" s="213" t="s">
        <v>551</v>
      </c>
      <c r="I138" s="213"/>
      <c r="J138" s="213"/>
      <c r="K138" s="213"/>
      <c r="L138" s="213"/>
      <c r="M138" s="213"/>
      <c r="N138" s="213"/>
      <c r="O138" s="213"/>
      <c r="P138" s="213"/>
      <c r="Q138" s="213"/>
      <c r="R138" s="213"/>
      <c r="S138" s="213" t="s">
        <v>603</v>
      </c>
      <c r="T138" s="213" t="s">
        <v>603</v>
      </c>
      <c r="U138" s="213" t="s">
        <v>538</v>
      </c>
      <c r="V138" s="213">
        <v>3</v>
      </c>
      <c r="W138" s="213" t="s">
        <v>545</v>
      </c>
      <c r="X138" s="213" t="s">
        <v>540</v>
      </c>
      <c r="Y138" s="213" t="s">
        <v>575</v>
      </c>
      <c r="Z138" s="212">
        <v>1653355</v>
      </c>
      <c r="AA138" s="212">
        <v>62443908</v>
      </c>
      <c r="AB138" s="217">
        <v>0.116281</v>
      </c>
      <c r="AC138" s="217">
        <v>0.187136</v>
      </c>
      <c r="AD138" s="212">
        <f t="shared" si="2"/>
        <v>7261040.0661479998</v>
      </c>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row>
    <row r="139" spans="2:91" s="66" customFormat="1" x14ac:dyDescent="0.15">
      <c r="B139" s="213">
        <v>17031003683</v>
      </c>
      <c r="C139" s="213">
        <v>17031001310</v>
      </c>
      <c r="D139" s="213">
        <v>17031001313</v>
      </c>
      <c r="E139" s="213" t="s">
        <v>533</v>
      </c>
      <c r="F139" s="213" t="s">
        <v>534</v>
      </c>
      <c r="G139" s="213" t="s">
        <v>365</v>
      </c>
      <c r="H139" s="213" t="s">
        <v>551</v>
      </c>
      <c r="I139" s="213"/>
      <c r="J139" s="213"/>
      <c r="K139" s="213"/>
      <c r="L139" s="213"/>
      <c r="M139" s="213"/>
      <c r="N139" s="213"/>
      <c r="O139" s="213"/>
      <c r="P139" s="213"/>
      <c r="Q139" s="213"/>
      <c r="R139" s="213"/>
      <c r="S139" s="213" t="s">
        <v>603</v>
      </c>
      <c r="T139" s="213"/>
      <c r="U139" s="213" t="s">
        <v>538</v>
      </c>
      <c r="V139" s="213">
        <v>3</v>
      </c>
      <c r="W139" s="213" t="s">
        <v>545</v>
      </c>
      <c r="X139" s="213" t="s">
        <v>540</v>
      </c>
      <c r="Y139" s="213" t="s">
        <v>575</v>
      </c>
      <c r="Z139" s="212">
        <v>1653751</v>
      </c>
      <c r="AA139" s="212">
        <v>62476728</v>
      </c>
      <c r="AB139" s="217">
        <v>0.11040899999999999</v>
      </c>
      <c r="AC139" s="217">
        <v>0.17768600000000001</v>
      </c>
      <c r="AD139" s="212">
        <f t="shared" si="2"/>
        <v>6897993.0617519999</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row>
    <row r="140" spans="2:91" s="66" customFormat="1" x14ac:dyDescent="0.15">
      <c r="B140" s="213">
        <v>17031003684</v>
      </c>
      <c r="C140" s="213">
        <v>17031001176</v>
      </c>
      <c r="D140" s="213">
        <v>17031004721</v>
      </c>
      <c r="E140" s="213" t="s">
        <v>533</v>
      </c>
      <c r="F140" s="213" t="s">
        <v>534</v>
      </c>
      <c r="G140" s="213" t="s">
        <v>365</v>
      </c>
      <c r="H140" s="213" t="s">
        <v>551</v>
      </c>
      <c r="I140" s="213"/>
      <c r="J140" s="213"/>
      <c r="K140" s="213"/>
      <c r="L140" s="213"/>
      <c r="M140" s="213"/>
      <c r="N140" s="213"/>
      <c r="O140" s="213"/>
      <c r="P140" s="213"/>
      <c r="Q140" s="213"/>
      <c r="R140" s="213"/>
      <c r="S140" s="213" t="s">
        <v>600</v>
      </c>
      <c r="T140" s="213"/>
      <c r="U140" s="213" t="s">
        <v>538</v>
      </c>
      <c r="V140" s="213">
        <v>2</v>
      </c>
      <c r="W140" s="213" t="s">
        <v>582</v>
      </c>
      <c r="X140" s="213" t="s">
        <v>540</v>
      </c>
      <c r="Y140" s="213" t="s">
        <v>575</v>
      </c>
      <c r="Z140" s="212">
        <v>179731</v>
      </c>
      <c r="AA140" s="212">
        <v>7982557</v>
      </c>
      <c r="AB140" s="217">
        <v>2.6328870000000002</v>
      </c>
      <c r="AC140" s="217">
        <v>4.2372290000000001</v>
      </c>
      <c r="AD140" s="212">
        <f t="shared" si="2"/>
        <v>21017170.552059002</v>
      </c>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row>
    <row r="141" spans="2:91" s="66" customFormat="1" x14ac:dyDescent="0.15">
      <c r="B141" s="213">
        <v>17031003685</v>
      </c>
      <c r="C141" s="213">
        <v>17031001019</v>
      </c>
      <c r="D141" s="213">
        <v>17031001016</v>
      </c>
      <c r="E141" s="213" t="s">
        <v>533</v>
      </c>
      <c r="F141" s="213" t="s">
        <v>534</v>
      </c>
      <c r="G141" s="213" t="s">
        <v>365</v>
      </c>
      <c r="H141" s="213" t="s">
        <v>571</v>
      </c>
      <c r="I141" s="213"/>
      <c r="J141" s="213" t="s">
        <v>552</v>
      </c>
      <c r="K141" s="213" t="s">
        <v>572</v>
      </c>
      <c r="L141" s="213" t="s">
        <v>555</v>
      </c>
      <c r="M141" s="213" t="s">
        <v>543</v>
      </c>
      <c r="N141" s="213" t="s">
        <v>382</v>
      </c>
      <c r="O141" s="213"/>
      <c r="P141" s="213"/>
      <c r="Q141" s="213"/>
      <c r="R141" s="213"/>
      <c r="S141" s="213" t="s">
        <v>573</v>
      </c>
      <c r="T141" s="213"/>
      <c r="U141" s="213" t="s">
        <v>538</v>
      </c>
      <c r="V141" s="213">
        <v>2</v>
      </c>
      <c r="W141" s="213" t="s">
        <v>545</v>
      </c>
      <c r="X141" s="213" t="s">
        <v>554</v>
      </c>
      <c r="Y141" s="213" t="s">
        <v>580</v>
      </c>
      <c r="Z141" s="212">
        <v>338895</v>
      </c>
      <c r="AA141" s="212">
        <v>13107987</v>
      </c>
      <c r="AB141" s="217">
        <v>0.689029</v>
      </c>
      <c r="AC141" s="217">
        <v>1.108887</v>
      </c>
      <c r="AD141" s="212">
        <f t="shared" si="2"/>
        <v>9031783.1746229995</v>
      </c>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row>
    <row r="142" spans="2:91" s="66" customFormat="1" x14ac:dyDescent="0.15">
      <c r="B142" s="213">
        <v>17031003687</v>
      </c>
      <c r="C142" s="213">
        <v>17031001017</v>
      </c>
      <c r="D142" s="213">
        <v>17031001006</v>
      </c>
      <c r="E142" s="213" t="s">
        <v>533</v>
      </c>
      <c r="F142" s="213" t="s">
        <v>534</v>
      </c>
      <c r="G142" s="213" t="s">
        <v>365</v>
      </c>
      <c r="H142" s="213" t="s">
        <v>547</v>
      </c>
      <c r="I142" s="213"/>
      <c r="J142" s="213" t="s">
        <v>543</v>
      </c>
      <c r="K142" s="213" t="s">
        <v>382</v>
      </c>
      <c r="L142" s="213"/>
      <c r="M142" s="213"/>
      <c r="N142" s="213"/>
      <c r="O142" s="213"/>
      <c r="P142" s="213"/>
      <c r="Q142" s="213"/>
      <c r="R142" s="213"/>
      <c r="S142" s="213" t="s">
        <v>602</v>
      </c>
      <c r="T142" s="213"/>
      <c r="U142" s="213" t="s">
        <v>538</v>
      </c>
      <c r="V142" s="213">
        <v>2</v>
      </c>
      <c r="W142" s="213" t="s">
        <v>582</v>
      </c>
      <c r="X142" s="213" t="s">
        <v>554</v>
      </c>
      <c r="Y142" s="213" t="s">
        <v>541</v>
      </c>
      <c r="Z142" s="212">
        <v>0</v>
      </c>
      <c r="AA142" s="212">
        <v>0</v>
      </c>
      <c r="AB142" s="217">
        <v>1.148112</v>
      </c>
      <c r="AC142" s="217">
        <v>1.8477110000000001</v>
      </c>
      <c r="AD142" s="212">
        <f t="shared" si="2"/>
        <v>0</v>
      </c>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row>
    <row r="143" spans="2:91" s="66" customFormat="1" x14ac:dyDescent="0.15">
      <c r="B143" s="213">
        <v>17031003691</v>
      </c>
      <c r="C143" s="213">
        <v>17031004585</v>
      </c>
      <c r="D143" s="213">
        <v>17031004584</v>
      </c>
      <c r="E143" s="213" t="s">
        <v>533</v>
      </c>
      <c r="F143" s="213" t="s">
        <v>534</v>
      </c>
      <c r="G143" s="213" t="s">
        <v>365</v>
      </c>
      <c r="H143" s="213" t="s">
        <v>382</v>
      </c>
      <c r="I143" s="213"/>
      <c r="J143" s="213" t="s">
        <v>547</v>
      </c>
      <c r="K143" s="213"/>
      <c r="L143" s="213"/>
      <c r="M143" s="213"/>
      <c r="N143" s="213"/>
      <c r="O143" s="213"/>
      <c r="P143" s="213"/>
      <c r="Q143" s="213"/>
      <c r="R143" s="213"/>
      <c r="S143" s="213" t="s">
        <v>565</v>
      </c>
      <c r="T143" s="213"/>
      <c r="U143" s="213" t="s">
        <v>538</v>
      </c>
      <c r="V143" s="213">
        <v>2</v>
      </c>
      <c r="W143" s="213" t="s">
        <v>566</v>
      </c>
      <c r="X143" s="213" t="s">
        <v>549</v>
      </c>
      <c r="Y143" s="213" t="s">
        <v>541</v>
      </c>
      <c r="Z143" s="212">
        <v>0</v>
      </c>
      <c r="AA143" s="212">
        <v>0</v>
      </c>
      <c r="AB143" s="217">
        <v>0.73214699999999999</v>
      </c>
      <c r="AC143" s="217">
        <v>1.1782790000000001</v>
      </c>
      <c r="AD143" s="212">
        <f t="shared" si="2"/>
        <v>0</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row>
    <row r="144" spans="2:91" s="66" customFormat="1" x14ac:dyDescent="0.15">
      <c r="B144" s="213">
        <v>17031003695</v>
      </c>
      <c r="C144" s="213">
        <v>17031004577</v>
      </c>
      <c r="D144" s="213">
        <v>17031004576</v>
      </c>
      <c r="E144" s="213" t="s">
        <v>533</v>
      </c>
      <c r="F144" s="213" t="s">
        <v>534</v>
      </c>
      <c r="G144" s="213" t="s">
        <v>365</v>
      </c>
      <c r="H144" s="213" t="s">
        <v>382</v>
      </c>
      <c r="I144" s="213"/>
      <c r="J144" s="213" t="s">
        <v>547</v>
      </c>
      <c r="K144" s="213"/>
      <c r="L144" s="213"/>
      <c r="M144" s="213"/>
      <c r="N144" s="213"/>
      <c r="O144" s="213"/>
      <c r="P144" s="213"/>
      <c r="Q144" s="213"/>
      <c r="R144" s="213"/>
      <c r="S144" s="213" t="s">
        <v>565</v>
      </c>
      <c r="T144" s="213"/>
      <c r="U144" s="213" t="s">
        <v>538</v>
      </c>
      <c r="V144" s="213">
        <v>2</v>
      </c>
      <c r="W144" s="213" t="s">
        <v>566</v>
      </c>
      <c r="X144" s="213" t="s">
        <v>549</v>
      </c>
      <c r="Y144" s="213" t="s">
        <v>541</v>
      </c>
      <c r="Z144" s="212">
        <v>0</v>
      </c>
      <c r="AA144" s="212">
        <v>0</v>
      </c>
      <c r="AB144" s="217">
        <v>0.86067099999999996</v>
      </c>
      <c r="AC144" s="217">
        <v>1.385119</v>
      </c>
      <c r="AD144" s="212">
        <f t="shared" si="2"/>
        <v>0</v>
      </c>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row>
    <row r="145" spans="2:91" s="66" customFormat="1" x14ac:dyDescent="0.15">
      <c r="B145" s="213">
        <v>17031003813</v>
      </c>
      <c r="C145" s="213">
        <v>17031001261</v>
      </c>
      <c r="D145" s="213">
        <v>17031001275</v>
      </c>
      <c r="E145" s="213" t="s">
        <v>533</v>
      </c>
      <c r="F145" s="213" t="s">
        <v>534</v>
      </c>
      <c r="G145" s="213" t="s">
        <v>365</v>
      </c>
      <c r="H145" s="213" t="s">
        <v>543</v>
      </c>
      <c r="I145" s="213"/>
      <c r="J145" s="213"/>
      <c r="K145" s="213"/>
      <c r="L145" s="213"/>
      <c r="M145" s="213"/>
      <c r="N145" s="213"/>
      <c r="O145" s="213"/>
      <c r="P145" s="213"/>
      <c r="Q145" s="213"/>
      <c r="R145" s="213"/>
      <c r="S145" s="213" t="s">
        <v>617</v>
      </c>
      <c r="T145" s="213"/>
      <c r="U145" s="213" t="s">
        <v>559</v>
      </c>
      <c r="V145" s="213">
        <v>1</v>
      </c>
      <c r="W145" s="213" t="s">
        <v>560</v>
      </c>
      <c r="X145" s="213" t="s">
        <v>541</v>
      </c>
      <c r="Y145" s="213" t="s">
        <v>541</v>
      </c>
      <c r="Z145" s="212">
        <v>0</v>
      </c>
      <c r="AA145" s="212">
        <v>0</v>
      </c>
      <c r="AB145" s="217">
        <v>0.64395599999999997</v>
      </c>
      <c r="AC145" s="217">
        <v>1.036348</v>
      </c>
      <c r="AD145" s="212">
        <f t="shared" si="2"/>
        <v>0</v>
      </c>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row>
    <row r="146" spans="2:91" s="66" customFormat="1" x14ac:dyDescent="0.15">
      <c r="B146" s="213">
        <v>17031003821</v>
      </c>
      <c r="C146" s="213">
        <v>17031000778</v>
      </c>
      <c r="D146" s="213">
        <v>17031000777</v>
      </c>
      <c r="E146" s="213" t="s">
        <v>533</v>
      </c>
      <c r="F146" s="213" t="s">
        <v>534</v>
      </c>
      <c r="G146" s="213" t="s">
        <v>365</v>
      </c>
      <c r="H146" s="213" t="s">
        <v>535</v>
      </c>
      <c r="I146" s="213"/>
      <c r="J146" s="213" t="s">
        <v>542</v>
      </c>
      <c r="K146" s="213" t="s">
        <v>572</v>
      </c>
      <c r="L146" s="213" t="s">
        <v>547</v>
      </c>
      <c r="M146" s="213" t="s">
        <v>382</v>
      </c>
      <c r="N146" s="213"/>
      <c r="O146" s="213"/>
      <c r="P146" s="213"/>
      <c r="Q146" s="213"/>
      <c r="R146" s="213"/>
      <c r="S146" s="213" t="s">
        <v>601</v>
      </c>
      <c r="T146" s="213"/>
      <c r="U146" s="213" t="s">
        <v>538</v>
      </c>
      <c r="V146" s="213">
        <v>2</v>
      </c>
      <c r="W146" s="213" t="s">
        <v>545</v>
      </c>
      <c r="X146" s="213" t="s">
        <v>549</v>
      </c>
      <c r="Y146" s="213" t="s">
        <v>540</v>
      </c>
      <c r="Z146" s="212">
        <v>75496</v>
      </c>
      <c r="AA146" s="212">
        <v>2801600</v>
      </c>
      <c r="AB146" s="217">
        <v>0.43827700000000003</v>
      </c>
      <c r="AC146" s="217">
        <v>0.70533900000000005</v>
      </c>
      <c r="AD146" s="212">
        <f t="shared" si="2"/>
        <v>1227876.8432</v>
      </c>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row>
    <row r="147" spans="2:91" s="66" customFormat="1" x14ac:dyDescent="0.15">
      <c r="B147" s="213">
        <v>17031003826</v>
      </c>
      <c r="C147" s="213">
        <v>17031000638</v>
      </c>
      <c r="D147" s="213">
        <v>17031000648</v>
      </c>
      <c r="E147" s="213" t="s">
        <v>533</v>
      </c>
      <c r="F147" s="213" t="s">
        <v>534</v>
      </c>
      <c r="G147" s="213" t="s">
        <v>365</v>
      </c>
      <c r="H147" s="213" t="s">
        <v>543</v>
      </c>
      <c r="I147" s="213"/>
      <c r="J147" s="213"/>
      <c r="K147" s="213"/>
      <c r="L147" s="213"/>
      <c r="M147" s="213"/>
      <c r="N147" s="213"/>
      <c r="O147" s="213"/>
      <c r="P147" s="213"/>
      <c r="Q147" s="213"/>
      <c r="R147" s="213"/>
      <c r="S147" s="213" t="s">
        <v>639</v>
      </c>
      <c r="T147" s="213"/>
      <c r="U147" s="213" t="s">
        <v>538</v>
      </c>
      <c r="V147" s="213">
        <v>1</v>
      </c>
      <c r="W147" s="213" t="s">
        <v>560</v>
      </c>
      <c r="X147" s="213" t="s">
        <v>541</v>
      </c>
      <c r="Y147" s="213" t="s">
        <v>541</v>
      </c>
      <c r="Z147" s="212">
        <v>0</v>
      </c>
      <c r="AA147" s="212">
        <v>0</v>
      </c>
      <c r="AB147" s="217">
        <v>0.17707100000000001</v>
      </c>
      <c r="AC147" s="217">
        <v>0.28496899999999997</v>
      </c>
      <c r="AD147" s="212">
        <f t="shared" si="2"/>
        <v>0</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row>
    <row r="148" spans="2:91" s="66" customFormat="1" x14ac:dyDescent="0.15">
      <c r="B148" s="213">
        <v>17031003836</v>
      </c>
      <c r="C148" s="213">
        <v>17031000873</v>
      </c>
      <c r="D148" s="213">
        <v>17031000851</v>
      </c>
      <c r="E148" s="213" t="s">
        <v>533</v>
      </c>
      <c r="F148" s="213" t="s">
        <v>534</v>
      </c>
      <c r="G148" s="213" t="s">
        <v>365</v>
      </c>
      <c r="H148" s="213" t="s">
        <v>571</v>
      </c>
      <c r="I148" s="213"/>
      <c r="J148" s="213" t="s">
        <v>381</v>
      </c>
      <c r="K148" s="213" t="s">
        <v>382</v>
      </c>
      <c r="L148" s="213"/>
      <c r="M148" s="213"/>
      <c r="N148" s="213"/>
      <c r="O148" s="213"/>
      <c r="P148" s="213"/>
      <c r="Q148" s="213"/>
      <c r="R148" s="213"/>
      <c r="S148" s="213" t="s">
        <v>654</v>
      </c>
      <c r="T148" s="213"/>
      <c r="U148" s="213" t="s">
        <v>559</v>
      </c>
      <c r="V148" s="213">
        <v>1</v>
      </c>
      <c r="W148" s="213" t="s">
        <v>560</v>
      </c>
      <c r="X148" s="213" t="s">
        <v>541</v>
      </c>
      <c r="Y148" s="213" t="s">
        <v>541</v>
      </c>
      <c r="Z148" s="212">
        <v>0</v>
      </c>
      <c r="AA148" s="212">
        <v>0</v>
      </c>
      <c r="AB148" s="217">
        <v>1.499091</v>
      </c>
      <c r="AC148" s="217">
        <v>2.4125570000000001</v>
      </c>
      <c r="AD148" s="212">
        <f t="shared" si="2"/>
        <v>0</v>
      </c>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row>
    <row r="149" spans="2:91" s="66" customFormat="1" x14ac:dyDescent="0.15">
      <c r="B149" s="213">
        <v>17031003839</v>
      </c>
      <c r="C149" s="213">
        <v>17031004620</v>
      </c>
      <c r="D149" s="213">
        <v>17031004619</v>
      </c>
      <c r="E149" s="213" t="s">
        <v>533</v>
      </c>
      <c r="F149" s="213" t="s">
        <v>534</v>
      </c>
      <c r="G149" s="213" t="s">
        <v>365</v>
      </c>
      <c r="H149" s="213" t="s">
        <v>552</v>
      </c>
      <c r="I149" s="213"/>
      <c r="J149" s="213" t="s">
        <v>542</v>
      </c>
      <c r="K149" s="213" t="s">
        <v>547</v>
      </c>
      <c r="L149" s="213" t="s">
        <v>563</v>
      </c>
      <c r="M149" s="213"/>
      <c r="N149" s="213"/>
      <c r="O149" s="213"/>
      <c r="P149" s="213"/>
      <c r="Q149" s="213"/>
      <c r="R149" s="213"/>
      <c r="S149" s="213" t="s">
        <v>564</v>
      </c>
      <c r="T149" s="213"/>
      <c r="U149" s="213" t="s">
        <v>538</v>
      </c>
      <c r="V149" s="213">
        <v>2</v>
      </c>
      <c r="W149" s="213" t="s">
        <v>545</v>
      </c>
      <c r="X149" s="213" t="s">
        <v>549</v>
      </c>
      <c r="Y149" s="213" t="s">
        <v>541</v>
      </c>
      <c r="Z149" s="212">
        <v>21788</v>
      </c>
      <c r="AA149" s="212">
        <v>1948660</v>
      </c>
      <c r="AB149" s="217">
        <v>1.334903</v>
      </c>
      <c r="AC149" s="217">
        <v>2.148323</v>
      </c>
      <c r="AD149" s="212">
        <f t="shared" si="2"/>
        <v>2601272.0799799999</v>
      </c>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row>
    <row r="150" spans="2:91" s="66" customFormat="1" x14ac:dyDescent="0.15">
      <c r="B150" s="213">
        <v>17031003843</v>
      </c>
      <c r="C150" s="213">
        <v>17031000783</v>
      </c>
      <c r="D150" s="213">
        <v>17031000771</v>
      </c>
      <c r="E150" s="213" t="s">
        <v>533</v>
      </c>
      <c r="F150" s="213" t="s">
        <v>534</v>
      </c>
      <c r="G150" s="213" t="s">
        <v>365</v>
      </c>
      <c r="H150" s="213" t="s">
        <v>381</v>
      </c>
      <c r="I150" s="213"/>
      <c r="J150" s="213"/>
      <c r="K150" s="213"/>
      <c r="L150" s="213"/>
      <c r="M150" s="213"/>
      <c r="N150" s="213"/>
      <c r="O150" s="213"/>
      <c r="P150" s="213"/>
      <c r="Q150" s="213"/>
      <c r="R150" s="213"/>
      <c r="S150" s="213"/>
      <c r="T150" s="213"/>
      <c r="U150" s="213" t="s">
        <v>559</v>
      </c>
      <c r="V150" s="213">
        <v>1</v>
      </c>
      <c r="W150" s="213" t="s">
        <v>560</v>
      </c>
      <c r="X150" s="213" t="s">
        <v>541</v>
      </c>
      <c r="Y150" s="213" t="s">
        <v>541</v>
      </c>
      <c r="Z150" s="212">
        <v>0</v>
      </c>
      <c r="AA150" s="212">
        <v>0</v>
      </c>
      <c r="AB150" s="217">
        <v>0.24884800000000001</v>
      </c>
      <c r="AC150" s="217">
        <v>0.40048299999999998</v>
      </c>
      <c r="AD150" s="212">
        <f t="shared" si="2"/>
        <v>0</v>
      </c>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row>
    <row r="151" spans="2:91" s="66" customFormat="1" x14ac:dyDescent="0.15">
      <c r="B151" s="213">
        <v>17031003844</v>
      </c>
      <c r="C151" s="213">
        <v>17031000812</v>
      </c>
      <c r="D151" s="213">
        <v>17031000780</v>
      </c>
      <c r="E151" s="213" t="s">
        <v>533</v>
      </c>
      <c r="F151" s="213" t="s">
        <v>534</v>
      </c>
      <c r="G151" s="213" t="s">
        <v>365</v>
      </c>
      <c r="H151" s="213" t="s">
        <v>535</v>
      </c>
      <c r="I151" s="213"/>
      <c r="J151" s="213" t="s">
        <v>542</v>
      </c>
      <c r="K151" s="213" t="s">
        <v>572</v>
      </c>
      <c r="L151" s="213" t="s">
        <v>547</v>
      </c>
      <c r="M151" s="213" t="s">
        <v>382</v>
      </c>
      <c r="N151" s="213"/>
      <c r="O151" s="213"/>
      <c r="P151" s="213"/>
      <c r="Q151" s="213"/>
      <c r="R151" s="213"/>
      <c r="S151" s="213" t="s">
        <v>601</v>
      </c>
      <c r="T151" s="213"/>
      <c r="U151" s="213" t="s">
        <v>538</v>
      </c>
      <c r="V151" s="213">
        <v>2</v>
      </c>
      <c r="W151" s="213" t="s">
        <v>545</v>
      </c>
      <c r="X151" s="213" t="s">
        <v>549</v>
      </c>
      <c r="Y151" s="213" t="s">
        <v>540</v>
      </c>
      <c r="Z151" s="212">
        <v>218148</v>
      </c>
      <c r="AA151" s="212">
        <v>14156047</v>
      </c>
      <c r="AB151" s="217">
        <v>1.3319000000000001</v>
      </c>
      <c r="AC151" s="217">
        <v>2.1434899999999999</v>
      </c>
      <c r="AD151" s="212">
        <f t="shared" si="2"/>
        <v>18854438.999299999</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row>
    <row r="152" spans="2:91" s="66" customFormat="1" x14ac:dyDescent="0.15">
      <c r="B152" s="213">
        <v>17031003854</v>
      </c>
      <c r="C152" s="213">
        <v>17031001320</v>
      </c>
      <c r="D152" s="213">
        <v>99999022337</v>
      </c>
      <c r="E152" s="213" t="s">
        <v>533</v>
      </c>
      <c r="F152" s="213" t="s">
        <v>534</v>
      </c>
      <c r="G152" s="213" t="s">
        <v>365</v>
      </c>
      <c r="H152" s="213" t="s">
        <v>557</v>
      </c>
      <c r="I152" s="213"/>
      <c r="J152" s="213"/>
      <c r="K152" s="213"/>
      <c r="L152" s="213"/>
      <c r="M152" s="213"/>
      <c r="N152" s="213"/>
      <c r="O152" s="213"/>
      <c r="P152" s="213"/>
      <c r="Q152" s="213"/>
      <c r="R152" s="213"/>
      <c r="S152" s="213" t="s">
        <v>665</v>
      </c>
      <c r="T152" s="213"/>
      <c r="U152" s="213" t="s">
        <v>559</v>
      </c>
      <c r="V152" s="213">
        <v>1</v>
      </c>
      <c r="W152" s="213" t="s">
        <v>560</v>
      </c>
      <c r="X152" s="213" t="s">
        <v>541</v>
      </c>
      <c r="Y152" s="213" t="s">
        <v>541</v>
      </c>
      <c r="Z152" s="212">
        <v>40</v>
      </c>
      <c r="AA152" s="212">
        <v>3520</v>
      </c>
      <c r="AB152" s="217">
        <v>2.1834060000000002</v>
      </c>
      <c r="AC152" s="217">
        <v>3.5138579999999999</v>
      </c>
      <c r="AD152" s="212">
        <f t="shared" si="2"/>
        <v>7685.5891200000005</v>
      </c>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row>
    <row r="153" spans="2:91" s="66" customFormat="1" x14ac:dyDescent="0.15">
      <c r="B153" s="213">
        <v>17031003855</v>
      </c>
      <c r="C153" s="213">
        <v>17031001193</v>
      </c>
      <c r="D153" s="213">
        <v>17031001204</v>
      </c>
      <c r="E153" s="213" t="s">
        <v>533</v>
      </c>
      <c r="F153" s="213" t="s">
        <v>534</v>
      </c>
      <c r="G153" s="213" t="s">
        <v>365</v>
      </c>
      <c r="H153" s="213" t="s">
        <v>577</v>
      </c>
      <c r="I153" s="213"/>
      <c r="J153" s="213"/>
      <c r="K153" s="213"/>
      <c r="L153" s="213"/>
      <c r="M153" s="213"/>
      <c r="N153" s="213"/>
      <c r="O153" s="213"/>
      <c r="P153" s="213"/>
      <c r="Q153" s="213"/>
      <c r="R153" s="213"/>
      <c r="S153" s="213"/>
      <c r="T153" s="213"/>
      <c r="U153" s="213" t="s">
        <v>538</v>
      </c>
      <c r="V153" s="213">
        <v>1</v>
      </c>
      <c r="W153" s="213" t="s">
        <v>560</v>
      </c>
      <c r="X153" s="213" t="s">
        <v>541</v>
      </c>
      <c r="Y153" s="213" t="s">
        <v>541</v>
      </c>
      <c r="Z153" s="212">
        <v>0</v>
      </c>
      <c r="AA153" s="212">
        <v>0</v>
      </c>
      <c r="AB153" s="217">
        <v>0.324075</v>
      </c>
      <c r="AC153" s="217">
        <v>0.52154900000000004</v>
      </c>
      <c r="AD153" s="212">
        <f t="shared" si="2"/>
        <v>0</v>
      </c>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row>
    <row r="154" spans="2:91" s="66" customFormat="1" x14ac:dyDescent="0.15">
      <c r="B154" s="213">
        <v>17031003872</v>
      </c>
      <c r="C154" s="213">
        <v>17031000753</v>
      </c>
      <c r="D154" s="213">
        <v>17031000747</v>
      </c>
      <c r="E154" s="213" t="s">
        <v>533</v>
      </c>
      <c r="F154" s="213" t="s">
        <v>534</v>
      </c>
      <c r="G154" s="213" t="s">
        <v>365</v>
      </c>
      <c r="H154" s="213" t="s">
        <v>535</v>
      </c>
      <c r="I154" s="213"/>
      <c r="J154" s="213"/>
      <c r="K154" s="213"/>
      <c r="L154" s="213"/>
      <c r="M154" s="213"/>
      <c r="N154" s="213"/>
      <c r="O154" s="213"/>
      <c r="P154" s="213"/>
      <c r="Q154" s="213"/>
      <c r="R154" s="213"/>
      <c r="S154" s="213" t="s">
        <v>624</v>
      </c>
      <c r="T154" s="213"/>
      <c r="U154" s="213" t="s">
        <v>538</v>
      </c>
      <c r="V154" s="213">
        <v>2</v>
      </c>
      <c r="W154" s="213" t="s">
        <v>582</v>
      </c>
      <c r="X154" s="213" t="s">
        <v>554</v>
      </c>
      <c r="Y154" s="213" t="s">
        <v>554</v>
      </c>
      <c r="Z154" s="212">
        <v>0</v>
      </c>
      <c r="AA154" s="212">
        <v>0</v>
      </c>
      <c r="AB154" s="217">
        <v>0.41718699999999997</v>
      </c>
      <c r="AC154" s="217">
        <v>0.67139899999999997</v>
      </c>
      <c r="AD154" s="212">
        <f t="shared" si="2"/>
        <v>0</v>
      </c>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row>
    <row r="155" spans="2:91" s="66" customFormat="1" x14ac:dyDescent="0.15">
      <c r="B155" s="213">
        <v>17031003878</v>
      </c>
      <c r="C155" s="213">
        <v>17031004653</v>
      </c>
      <c r="D155" s="213">
        <v>17031000576</v>
      </c>
      <c r="E155" s="213" t="s">
        <v>533</v>
      </c>
      <c r="F155" s="213" t="s">
        <v>534</v>
      </c>
      <c r="G155" s="213" t="s">
        <v>365</v>
      </c>
      <c r="H155" s="213" t="s">
        <v>382</v>
      </c>
      <c r="I155" s="213"/>
      <c r="J155" s="213" t="s">
        <v>572</v>
      </c>
      <c r="K155" s="213" t="s">
        <v>547</v>
      </c>
      <c r="L155" s="213"/>
      <c r="M155" s="213"/>
      <c r="N155" s="213"/>
      <c r="O155" s="213"/>
      <c r="P155" s="213"/>
      <c r="Q155" s="213"/>
      <c r="R155" s="213"/>
      <c r="S155" s="213" t="s">
        <v>583</v>
      </c>
      <c r="T155" s="213"/>
      <c r="U155" s="213" t="s">
        <v>538</v>
      </c>
      <c r="V155" s="213">
        <v>3</v>
      </c>
      <c r="W155" s="213" t="s">
        <v>545</v>
      </c>
      <c r="X155" s="213" t="s">
        <v>549</v>
      </c>
      <c r="Y155" s="213" t="s">
        <v>580</v>
      </c>
      <c r="Z155" s="212">
        <v>999857</v>
      </c>
      <c r="AA155" s="212">
        <v>33304864</v>
      </c>
      <c r="AB155" s="217">
        <v>1.7631019999999999</v>
      </c>
      <c r="AC155" s="217">
        <v>2.8374429999999999</v>
      </c>
      <c r="AD155" s="212">
        <f t="shared" si="2"/>
        <v>58719872.328127995</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row>
    <row r="156" spans="2:91" s="66" customFormat="1" x14ac:dyDescent="0.15">
      <c r="B156" s="213">
        <v>17031003895</v>
      </c>
      <c r="C156" s="213">
        <v>17031000505</v>
      </c>
      <c r="D156" s="213">
        <v>17031000501</v>
      </c>
      <c r="E156" s="213" t="s">
        <v>533</v>
      </c>
      <c r="F156" s="213" t="s">
        <v>534</v>
      </c>
      <c r="G156" s="213" t="s">
        <v>365</v>
      </c>
      <c r="H156" s="213" t="s">
        <v>382</v>
      </c>
      <c r="I156" s="213"/>
      <c r="J156" s="213"/>
      <c r="K156" s="213"/>
      <c r="L156" s="213"/>
      <c r="M156" s="213"/>
      <c r="N156" s="213"/>
      <c r="O156" s="213"/>
      <c r="P156" s="213"/>
      <c r="Q156" s="213"/>
      <c r="R156" s="213"/>
      <c r="S156" s="213" t="s">
        <v>586</v>
      </c>
      <c r="T156" s="213"/>
      <c r="U156" s="213" t="s">
        <v>538</v>
      </c>
      <c r="V156" s="213">
        <v>2</v>
      </c>
      <c r="W156" s="213" t="s">
        <v>582</v>
      </c>
      <c r="X156" s="213" t="s">
        <v>554</v>
      </c>
      <c r="Y156" s="213" t="s">
        <v>549</v>
      </c>
      <c r="Z156" s="212">
        <v>92434</v>
      </c>
      <c r="AA156" s="212">
        <v>9907890</v>
      </c>
      <c r="AB156" s="217">
        <v>8.5568000000000005E-2</v>
      </c>
      <c r="AC156" s="217">
        <v>0.137709</v>
      </c>
      <c r="AD156" s="212">
        <f t="shared" si="2"/>
        <v>847798.33152000001</v>
      </c>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row>
    <row r="157" spans="2:91" s="66" customFormat="1" x14ac:dyDescent="0.15">
      <c r="B157" s="213">
        <v>17031003918</v>
      </c>
      <c r="C157" s="213">
        <v>17031000540</v>
      </c>
      <c r="D157" s="213">
        <v>17031000526</v>
      </c>
      <c r="E157" s="213" t="s">
        <v>533</v>
      </c>
      <c r="F157" s="213" t="s">
        <v>534</v>
      </c>
      <c r="G157" s="213" t="s">
        <v>365</v>
      </c>
      <c r="H157" s="213" t="s">
        <v>557</v>
      </c>
      <c r="I157" s="213"/>
      <c r="J157" s="213" t="s">
        <v>535</v>
      </c>
      <c r="K157" s="213" t="s">
        <v>552</v>
      </c>
      <c r="L157" s="213" t="s">
        <v>543</v>
      </c>
      <c r="M157" s="213" t="s">
        <v>382</v>
      </c>
      <c r="N157" s="213"/>
      <c r="O157" s="213"/>
      <c r="P157" s="213"/>
      <c r="Q157" s="213"/>
      <c r="R157" s="213"/>
      <c r="S157" s="213" t="s">
        <v>570</v>
      </c>
      <c r="T157" s="213"/>
      <c r="U157" s="213" t="s">
        <v>538</v>
      </c>
      <c r="V157" s="213">
        <v>2</v>
      </c>
      <c r="W157" s="213" t="s">
        <v>545</v>
      </c>
      <c r="X157" s="213" t="s">
        <v>540</v>
      </c>
      <c r="Y157" s="213" t="s">
        <v>546</v>
      </c>
      <c r="Z157" s="212">
        <v>550773</v>
      </c>
      <c r="AA157" s="212">
        <v>35910022</v>
      </c>
      <c r="AB157" s="217">
        <v>0.37395800000000001</v>
      </c>
      <c r="AC157" s="217">
        <v>0.60182899999999995</v>
      </c>
      <c r="AD157" s="212">
        <f t="shared" si="2"/>
        <v>13428840.007076001</v>
      </c>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row>
    <row r="158" spans="2:91" s="66" customFormat="1" x14ac:dyDescent="0.15">
      <c r="B158" s="213">
        <v>17031003919</v>
      </c>
      <c r="C158" s="213">
        <v>17031000602</v>
      </c>
      <c r="D158" s="213">
        <v>17031000601</v>
      </c>
      <c r="E158" s="213" t="s">
        <v>533</v>
      </c>
      <c r="F158" s="213" t="s">
        <v>534</v>
      </c>
      <c r="G158" s="213" t="s">
        <v>365</v>
      </c>
      <c r="H158" s="213" t="s">
        <v>557</v>
      </c>
      <c r="I158" s="213"/>
      <c r="J158" s="213" t="s">
        <v>535</v>
      </c>
      <c r="K158" s="213" t="s">
        <v>552</v>
      </c>
      <c r="L158" s="213" t="s">
        <v>543</v>
      </c>
      <c r="M158" s="213" t="s">
        <v>382</v>
      </c>
      <c r="N158" s="213"/>
      <c r="O158" s="213"/>
      <c r="P158" s="213"/>
      <c r="Q158" s="213"/>
      <c r="R158" s="213"/>
      <c r="S158" s="213" t="s">
        <v>570</v>
      </c>
      <c r="T158" s="213"/>
      <c r="U158" s="213" t="s">
        <v>538</v>
      </c>
      <c r="V158" s="213">
        <v>2</v>
      </c>
      <c r="W158" s="213" t="s">
        <v>545</v>
      </c>
      <c r="X158" s="213" t="s">
        <v>540</v>
      </c>
      <c r="Y158" s="213" t="s">
        <v>580</v>
      </c>
      <c r="Z158" s="212">
        <v>895754</v>
      </c>
      <c r="AA158" s="212">
        <v>51031686</v>
      </c>
      <c r="AB158" s="217">
        <v>0.17310400000000001</v>
      </c>
      <c r="AC158" s="217">
        <v>0.278584</v>
      </c>
      <c r="AD158" s="212">
        <f t="shared" si="2"/>
        <v>8833788.9733440001</v>
      </c>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row>
    <row r="159" spans="2:91" s="66" customFormat="1" x14ac:dyDescent="0.15">
      <c r="B159" s="213">
        <v>17031003921</v>
      </c>
      <c r="C159" s="213">
        <v>17031000900</v>
      </c>
      <c r="D159" s="213">
        <v>17031000881</v>
      </c>
      <c r="E159" s="213" t="s">
        <v>533</v>
      </c>
      <c r="F159" s="213" t="s">
        <v>534</v>
      </c>
      <c r="G159" s="213" t="s">
        <v>365</v>
      </c>
      <c r="H159" s="213" t="s">
        <v>557</v>
      </c>
      <c r="I159" s="213"/>
      <c r="J159" s="213" t="s">
        <v>381</v>
      </c>
      <c r="K159" s="213" t="s">
        <v>535</v>
      </c>
      <c r="L159" s="213" t="s">
        <v>552</v>
      </c>
      <c r="M159" s="213" t="s">
        <v>543</v>
      </c>
      <c r="N159" s="213" t="s">
        <v>382</v>
      </c>
      <c r="O159" s="213"/>
      <c r="P159" s="213"/>
      <c r="Q159" s="213"/>
      <c r="R159" s="213"/>
      <c r="S159" s="213" t="s">
        <v>570</v>
      </c>
      <c r="T159" s="213"/>
      <c r="U159" s="213" t="s">
        <v>538</v>
      </c>
      <c r="V159" s="213">
        <v>2</v>
      </c>
      <c r="W159" s="213" t="s">
        <v>545</v>
      </c>
      <c r="X159" s="213" t="s">
        <v>540</v>
      </c>
      <c r="Y159" s="213" t="s">
        <v>580</v>
      </c>
      <c r="Z159" s="212">
        <v>1168398</v>
      </c>
      <c r="AA159" s="212">
        <v>59194608</v>
      </c>
      <c r="AB159" s="217">
        <v>0.28747</v>
      </c>
      <c r="AC159" s="217">
        <v>0.46263799999999999</v>
      </c>
      <c r="AD159" s="212">
        <f t="shared" si="2"/>
        <v>17016673.961759999</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row>
    <row r="160" spans="2:91" s="66" customFormat="1" x14ac:dyDescent="0.15">
      <c r="B160" s="213">
        <v>17031003924</v>
      </c>
      <c r="C160" s="213">
        <v>17031000570</v>
      </c>
      <c r="D160" s="213">
        <v>17031000566</v>
      </c>
      <c r="E160" s="213" t="s">
        <v>533</v>
      </c>
      <c r="F160" s="213" t="s">
        <v>534</v>
      </c>
      <c r="G160" s="213" t="s">
        <v>365</v>
      </c>
      <c r="H160" s="213" t="s">
        <v>382</v>
      </c>
      <c r="I160" s="213"/>
      <c r="J160" s="213" t="s">
        <v>547</v>
      </c>
      <c r="K160" s="213"/>
      <c r="L160" s="213"/>
      <c r="M160" s="213"/>
      <c r="N160" s="213"/>
      <c r="O160" s="213"/>
      <c r="P160" s="213"/>
      <c r="Q160" s="213"/>
      <c r="R160" s="213"/>
      <c r="S160" s="213" t="s">
        <v>583</v>
      </c>
      <c r="T160" s="213" t="s">
        <v>674</v>
      </c>
      <c r="U160" s="213" t="s">
        <v>538</v>
      </c>
      <c r="V160" s="213">
        <v>4</v>
      </c>
      <c r="W160" s="213" t="s">
        <v>545</v>
      </c>
      <c r="X160" s="213" t="s">
        <v>540</v>
      </c>
      <c r="Y160" s="213" t="s">
        <v>541</v>
      </c>
      <c r="Z160" s="212">
        <v>0</v>
      </c>
      <c r="AA160" s="212">
        <v>0</v>
      </c>
      <c r="AB160" s="217">
        <v>0.50454399999999999</v>
      </c>
      <c r="AC160" s="217">
        <v>0.81198700000000001</v>
      </c>
      <c r="AD160" s="212">
        <f t="shared" si="2"/>
        <v>0</v>
      </c>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row>
    <row r="161" spans="2:91" s="66" customFormat="1" x14ac:dyDescent="0.15">
      <c r="B161" s="213">
        <v>17031003929</v>
      </c>
      <c r="C161" s="213">
        <v>17031001137</v>
      </c>
      <c r="D161" s="213">
        <v>17031001115</v>
      </c>
      <c r="E161" s="213" t="s">
        <v>533</v>
      </c>
      <c r="F161" s="213" t="s">
        <v>534</v>
      </c>
      <c r="G161" s="213" t="s">
        <v>365</v>
      </c>
      <c r="H161" s="213" t="s">
        <v>571</v>
      </c>
      <c r="I161" s="213"/>
      <c r="J161" s="213"/>
      <c r="K161" s="213"/>
      <c r="L161" s="213"/>
      <c r="M161" s="213"/>
      <c r="N161" s="213"/>
      <c r="O161" s="213"/>
      <c r="P161" s="213"/>
      <c r="Q161" s="213"/>
      <c r="R161" s="213"/>
      <c r="S161" s="213" t="s">
        <v>573</v>
      </c>
      <c r="T161" s="213"/>
      <c r="U161" s="213" t="s">
        <v>538</v>
      </c>
      <c r="V161" s="213">
        <v>2</v>
      </c>
      <c r="W161" s="213" t="s">
        <v>545</v>
      </c>
      <c r="X161" s="213" t="s">
        <v>541</v>
      </c>
      <c r="Y161" s="213" t="s">
        <v>546</v>
      </c>
      <c r="Z161" s="212">
        <v>0</v>
      </c>
      <c r="AA161" s="212">
        <v>0</v>
      </c>
      <c r="AB161" s="217">
        <v>0.49542199999999997</v>
      </c>
      <c r="AC161" s="217">
        <v>0.79730699999999999</v>
      </c>
      <c r="AD161" s="212">
        <f t="shared" si="2"/>
        <v>0</v>
      </c>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row>
    <row r="162" spans="2:91" s="66" customFormat="1" x14ac:dyDescent="0.15">
      <c r="B162" s="213">
        <v>17031003930</v>
      </c>
      <c r="C162" s="213">
        <v>17031001129</v>
      </c>
      <c r="D162" s="213">
        <v>17031001101</v>
      </c>
      <c r="E162" s="213" t="s">
        <v>533</v>
      </c>
      <c r="F162" s="213" t="s">
        <v>534</v>
      </c>
      <c r="G162" s="213" t="s">
        <v>365</v>
      </c>
      <c r="H162" s="213" t="s">
        <v>571</v>
      </c>
      <c r="I162" s="213"/>
      <c r="J162" s="213" t="s">
        <v>552</v>
      </c>
      <c r="K162" s="213" t="s">
        <v>543</v>
      </c>
      <c r="L162" s="213"/>
      <c r="M162" s="213"/>
      <c r="N162" s="213"/>
      <c r="O162" s="213"/>
      <c r="P162" s="213"/>
      <c r="Q162" s="213"/>
      <c r="R162" s="213"/>
      <c r="S162" s="213"/>
      <c r="T162" s="213"/>
      <c r="U162" s="213" t="s">
        <v>538</v>
      </c>
      <c r="V162" s="213">
        <v>1</v>
      </c>
      <c r="W162" s="213" t="s">
        <v>545</v>
      </c>
      <c r="X162" s="213" t="s">
        <v>554</v>
      </c>
      <c r="Y162" s="213" t="s">
        <v>540</v>
      </c>
      <c r="Z162" s="212">
        <v>220910</v>
      </c>
      <c r="AA162" s="212">
        <v>7538764</v>
      </c>
      <c r="AB162" s="217">
        <v>0.25048500000000001</v>
      </c>
      <c r="AC162" s="217">
        <v>0.40311799999999998</v>
      </c>
      <c r="AD162" s="212">
        <f t="shared" si="2"/>
        <v>1888347.3005400002</v>
      </c>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row>
    <row r="163" spans="2:91" s="66" customFormat="1" x14ac:dyDescent="0.15">
      <c r="B163" s="213">
        <v>17031003954</v>
      </c>
      <c r="C163" s="213">
        <v>17031001116</v>
      </c>
      <c r="D163" s="213">
        <v>17031001084</v>
      </c>
      <c r="E163" s="213" t="s">
        <v>533</v>
      </c>
      <c r="F163" s="213" t="s">
        <v>534</v>
      </c>
      <c r="G163" s="213" t="s">
        <v>365</v>
      </c>
      <c r="H163" s="213" t="s">
        <v>535</v>
      </c>
      <c r="I163" s="213"/>
      <c r="J163" s="213" t="s">
        <v>542</v>
      </c>
      <c r="K163" s="213" t="s">
        <v>572</v>
      </c>
      <c r="L163" s="213" t="s">
        <v>543</v>
      </c>
      <c r="M163" s="213"/>
      <c r="N163" s="213"/>
      <c r="O163" s="213"/>
      <c r="P163" s="213"/>
      <c r="Q163" s="213"/>
      <c r="R163" s="213"/>
      <c r="S163" s="213" t="s">
        <v>544</v>
      </c>
      <c r="T163" s="213"/>
      <c r="U163" s="213" t="s">
        <v>538</v>
      </c>
      <c r="V163" s="213">
        <v>2</v>
      </c>
      <c r="W163" s="213" t="s">
        <v>545</v>
      </c>
      <c r="X163" s="213" t="s">
        <v>549</v>
      </c>
      <c r="Y163" s="213" t="s">
        <v>546</v>
      </c>
      <c r="Z163" s="212">
        <v>61864</v>
      </c>
      <c r="AA163" s="212">
        <v>4987299</v>
      </c>
      <c r="AB163" s="217">
        <v>0.28298200000000001</v>
      </c>
      <c r="AC163" s="217">
        <v>0.45541700000000002</v>
      </c>
      <c r="AD163" s="212">
        <f t="shared" si="2"/>
        <v>1411315.845618</v>
      </c>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row>
    <row r="164" spans="2:91" s="66" customFormat="1" x14ac:dyDescent="0.15">
      <c r="B164" s="213">
        <v>17031003956</v>
      </c>
      <c r="C164" s="213">
        <v>17031000640</v>
      </c>
      <c r="D164" s="213">
        <v>17031000645</v>
      </c>
      <c r="E164" s="213" t="s">
        <v>533</v>
      </c>
      <c r="F164" s="213" t="s">
        <v>534</v>
      </c>
      <c r="G164" s="213" t="s">
        <v>365</v>
      </c>
      <c r="H164" s="213" t="s">
        <v>547</v>
      </c>
      <c r="I164" s="213"/>
      <c r="J164" s="213"/>
      <c r="K164" s="213"/>
      <c r="L164" s="213"/>
      <c r="M164" s="213"/>
      <c r="N164" s="213"/>
      <c r="O164" s="213"/>
      <c r="P164" s="213"/>
      <c r="Q164" s="213"/>
      <c r="R164" s="213"/>
      <c r="S164" s="213" t="s">
        <v>581</v>
      </c>
      <c r="T164" s="213"/>
      <c r="U164" s="213" t="s">
        <v>538</v>
      </c>
      <c r="V164" s="213">
        <v>3</v>
      </c>
      <c r="W164" s="213" t="s">
        <v>582</v>
      </c>
      <c r="X164" s="213" t="s">
        <v>540</v>
      </c>
      <c r="Y164" s="213" t="s">
        <v>541</v>
      </c>
      <c r="Z164" s="212">
        <v>0</v>
      </c>
      <c r="AA164" s="212">
        <v>0</v>
      </c>
      <c r="AB164" s="217">
        <v>9.3101000000000003E-2</v>
      </c>
      <c r="AC164" s="217">
        <v>0.14983099999999999</v>
      </c>
      <c r="AD164" s="212">
        <f t="shared" si="2"/>
        <v>0</v>
      </c>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row>
    <row r="165" spans="2:91" s="66" customFormat="1" x14ac:dyDescent="0.15">
      <c r="B165" s="213">
        <v>17031003960</v>
      </c>
      <c r="C165" s="213">
        <v>17031000741</v>
      </c>
      <c r="D165" s="213">
        <v>17031004664</v>
      </c>
      <c r="E165" s="213" t="s">
        <v>533</v>
      </c>
      <c r="F165" s="213" t="s">
        <v>534</v>
      </c>
      <c r="G165" s="213" t="s">
        <v>365</v>
      </c>
      <c r="H165" s="213" t="s">
        <v>381</v>
      </c>
      <c r="I165" s="213"/>
      <c r="J165" s="213" t="s">
        <v>542</v>
      </c>
      <c r="K165" s="213" t="s">
        <v>547</v>
      </c>
      <c r="L165" s="213" t="s">
        <v>382</v>
      </c>
      <c r="M165" s="213"/>
      <c r="N165" s="213"/>
      <c r="O165" s="213"/>
      <c r="P165" s="213"/>
      <c r="Q165" s="213"/>
      <c r="R165" s="213"/>
      <c r="S165" s="213" t="s">
        <v>579</v>
      </c>
      <c r="T165" s="213"/>
      <c r="U165" s="213" t="s">
        <v>538</v>
      </c>
      <c r="V165" s="213">
        <v>5</v>
      </c>
      <c r="W165" s="213" t="s">
        <v>545</v>
      </c>
      <c r="X165" s="213" t="s">
        <v>549</v>
      </c>
      <c r="Y165" s="213" t="s">
        <v>580</v>
      </c>
      <c r="Z165" s="212">
        <v>935267</v>
      </c>
      <c r="AA165" s="212">
        <v>44554189</v>
      </c>
      <c r="AB165" s="217">
        <v>1.5954299999999999</v>
      </c>
      <c r="AC165" s="217">
        <v>2.5676009999999998</v>
      </c>
      <c r="AD165" s="212">
        <f t="shared" si="2"/>
        <v>71083089.756269991</v>
      </c>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row>
    <row r="166" spans="2:91" s="66" customFormat="1" x14ac:dyDescent="0.15">
      <c r="B166" s="213">
        <v>17031003962</v>
      </c>
      <c r="C166" s="213">
        <v>17031004521</v>
      </c>
      <c r="D166" s="213">
        <v>17031004658</v>
      </c>
      <c r="E166" s="213" t="s">
        <v>533</v>
      </c>
      <c r="F166" s="213" t="s">
        <v>534</v>
      </c>
      <c r="G166" s="213" t="s">
        <v>365</v>
      </c>
      <c r="H166" s="213" t="s">
        <v>381</v>
      </c>
      <c r="I166" s="213"/>
      <c r="J166" s="213" t="s">
        <v>542</v>
      </c>
      <c r="K166" s="213" t="s">
        <v>547</v>
      </c>
      <c r="L166" s="213" t="s">
        <v>382</v>
      </c>
      <c r="M166" s="213"/>
      <c r="N166" s="213"/>
      <c r="O166" s="213"/>
      <c r="P166" s="213"/>
      <c r="Q166" s="213"/>
      <c r="R166" s="213"/>
      <c r="S166" s="213" t="s">
        <v>579</v>
      </c>
      <c r="T166" s="213"/>
      <c r="U166" s="213" t="s">
        <v>538</v>
      </c>
      <c r="V166" s="213">
        <v>3</v>
      </c>
      <c r="W166" s="213" t="s">
        <v>545</v>
      </c>
      <c r="X166" s="213" t="s">
        <v>549</v>
      </c>
      <c r="Y166" s="213" t="s">
        <v>580</v>
      </c>
      <c r="Z166" s="212">
        <v>1206807</v>
      </c>
      <c r="AA166" s="212">
        <v>52650967</v>
      </c>
      <c r="AB166" s="217">
        <v>0.69527000000000005</v>
      </c>
      <c r="AC166" s="217">
        <v>1.118932</v>
      </c>
      <c r="AD166" s="212">
        <f t="shared" si="2"/>
        <v>36606637.826090001</v>
      </c>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row>
    <row r="167" spans="2:91" s="66" customFormat="1" x14ac:dyDescent="0.15">
      <c r="B167" s="213">
        <v>17031003981</v>
      </c>
      <c r="C167" s="213">
        <v>17031000626</v>
      </c>
      <c r="D167" s="213">
        <v>17031000604</v>
      </c>
      <c r="E167" s="213" t="s">
        <v>533</v>
      </c>
      <c r="F167" s="213" t="s">
        <v>534</v>
      </c>
      <c r="G167" s="213" t="s">
        <v>365</v>
      </c>
      <c r="H167" s="213" t="s">
        <v>381</v>
      </c>
      <c r="I167" s="213"/>
      <c r="J167" s="213" t="s">
        <v>542</v>
      </c>
      <c r="K167" s="213" t="s">
        <v>547</v>
      </c>
      <c r="L167" s="213"/>
      <c r="M167" s="213"/>
      <c r="N167" s="213"/>
      <c r="O167" s="213"/>
      <c r="P167" s="213"/>
      <c r="Q167" s="213"/>
      <c r="R167" s="213"/>
      <c r="S167" s="213" t="s">
        <v>579</v>
      </c>
      <c r="T167" s="213"/>
      <c r="U167" s="213" t="s">
        <v>538</v>
      </c>
      <c r="V167" s="213">
        <v>2</v>
      </c>
      <c r="W167" s="213" t="s">
        <v>545</v>
      </c>
      <c r="X167" s="213" t="s">
        <v>541</v>
      </c>
      <c r="Y167" s="213" t="s">
        <v>541</v>
      </c>
      <c r="Z167" s="212">
        <v>117832</v>
      </c>
      <c r="AA167" s="212">
        <v>8555347</v>
      </c>
      <c r="AB167" s="217">
        <v>0.59470100000000004</v>
      </c>
      <c r="AC167" s="217">
        <v>0.95708099999999996</v>
      </c>
      <c r="AD167" s="212">
        <f t="shared" si="2"/>
        <v>5087873.416247</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row>
    <row r="168" spans="2:91" s="66" customFormat="1" x14ac:dyDescent="0.15">
      <c r="B168" s="213">
        <v>17031003982</v>
      </c>
      <c r="C168" s="213">
        <v>17031007765</v>
      </c>
      <c r="D168" s="213">
        <v>17031000643</v>
      </c>
      <c r="E168" s="213" t="s">
        <v>533</v>
      </c>
      <c r="F168" s="213" t="s">
        <v>534</v>
      </c>
      <c r="G168" s="213" t="s">
        <v>365</v>
      </c>
      <c r="H168" s="213" t="s">
        <v>557</v>
      </c>
      <c r="I168" s="213"/>
      <c r="J168" s="213" t="s">
        <v>535</v>
      </c>
      <c r="K168" s="213"/>
      <c r="L168" s="213"/>
      <c r="M168" s="213"/>
      <c r="N168" s="213"/>
      <c r="O168" s="213"/>
      <c r="P168" s="213"/>
      <c r="Q168" s="213"/>
      <c r="R168" s="213"/>
      <c r="S168" s="213"/>
      <c r="T168" s="213"/>
      <c r="U168" s="213" t="s">
        <v>538</v>
      </c>
      <c r="V168" s="213">
        <v>1</v>
      </c>
      <c r="W168" s="213" t="s">
        <v>560</v>
      </c>
      <c r="X168" s="213" t="s">
        <v>541</v>
      </c>
      <c r="Y168" s="213" t="s">
        <v>541</v>
      </c>
      <c r="Z168" s="212">
        <v>2200</v>
      </c>
      <c r="AA168" s="212">
        <v>174320</v>
      </c>
      <c r="AB168" s="217">
        <v>0.27813700000000002</v>
      </c>
      <c r="AC168" s="217">
        <v>0.44761899999999999</v>
      </c>
      <c r="AD168" s="212">
        <f t="shared" si="2"/>
        <v>48484.841840000001</v>
      </c>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row>
    <row r="169" spans="2:91" s="66" customFormat="1" x14ac:dyDescent="0.15">
      <c r="B169" s="213">
        <v>17031004016</v>
      </c>
      <c r="C169" s="213">
        <v>17031000909</v>
      </c>
      <c r="D169" s="213">
        <v>17031000908</v>
      </c>
      <c r="E169" s="213" t="s">
        <v>533</v>
      </c>
      <c r="F169" s="213" t="s">
        <v>534</v>
      </c>
      <c r="G169" s="213" t="s">
        <v>365</v>
      </c>
      <c r="H169" s="213" t="s">
        <v>557</v>
      </c>
      <c r="I169" s="213"/>
      <c r="J169" s="213"/>
      <c r="K169" s="213"/>
      <c r="L169" s="213"/>
      <c r="M169" s="213"/>
      <c r="N169" s="213"/>
      <c r="O169" s="213"/>
      <c r="P169" s="213"/>
      <c r="Q169" s="213"/>
      <c r="R169" s="213"/>
      <c r="S169" s="213" t="s">
        <v>666</v>
      </c>
      <c r="T169" s="213"/>
      <c r="U169" s="213" t="s">
        <v>559</v>
      </c>
      <c r="V169" s="213">
        <v>1</v>
      </c>
      <c r="W169" s="213" t="s">
        <v>560</v>
      </c>
      <c r="X169" s="213" t="s">
        <v>541</v>
      </c>
      <c r="Y169" s="213" t="s">
        <v>541</v>
      </c>
      <c r="Z169" s="212">
        <v>0</v>
      </c>
      <c r="AA169" s="212">
        <v>0</v>
      </c>
      <c r="AB169" s="217">
        <v>1.456353</v>
      </c>
      <c r="AC169" s="217">
        <v>2.3437779999999999</v>
      </c>
      <c r="AD169" s="212">
        <f t="shared" si="2"/>
        <v>0</v>
      </c>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row>
    <row r="170" spans="2:91" s="66" customFormat="1" x14ac:dyDescent="0.15">
      <c r="B170" s="213">
        <v>17031004020</v>
      </c>
      <c r="C170" s="213">
        <v>17031000810</v>
      </c>
      <c r="D170" s="213">
        <v>17031000787</v>
      </c>
      <c r="E170" s="213" t="s">
        <v>533</v>
      </c>
      <c r="F170" s="213" t="s">
        <v>534</v>
      </c>
      <c r="G170" s="213" t="s">
        <v>365</v>
      </c>
      <c r="H170" s="213" t="s">
        <v>547</v>
      </c>
      <c r="I170" s="213"/>
      <c r="J170" s="213"/>
      <c r="K170" s="213"/>
      <c r="L170" s="213"/>
      <c r="M170" s="213"/>
      <c r="N170" s="213"/>
      <c r="O170" s="213"/>
      <c r="P170" s="213"/>
      <c r="Q170" s="213"/>
      <c r="R170" s="213"/>
      <c r="S170" s="213" t="s">
        <v>602</v>
      </c>
      <c r="T170" s="213"/>
      <c r="U170" s="213" t="s">
        <v>538</v>
      </c>
      <c r="V170" s="213">
        <v>2</v>
      </c>
      <c r="W170" s="213" t="s">
        <v>545</v>
      </c>
      <c r="X170" s="213" t="s">
        <v>540</v>
      </c>
      <c r="Y170" s="213" t="s">
        <v>541</v>
      </c>
      <c r="Z170" s="212">
        <v>0</v>
      </c>
      <c r="AA170" s="212">
        <v>0</v>
      </c>
      <c r="AB170" s="217">
        <v>0.39506599999999997</v>
      </c>
      <c r="AC170" s="217">
        <v>0.635799</v>
      </c>
      <c r="AD170" s="212">
        <f t="shared" si="2"/>
        <v>0</v>
      </c>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row>
    <row r="171" spans="2:91" s="66" customFormat="1" x14ac:dyDescent="0.15">
      <c r="B171" s="213">
        <v>17031004021</v>
      </c>
      <c r="C171" s="213">
        <v>17031000705</v>
      </c>
      <c r="D171" s="213">
        <v>17031000787</v>
      </c>
      <c r="E171" s="213" t="s">
        <v>533</v>
      </c>
      <c r="F171" s="213" t="s">
        <v>534</v>
      </c>
      <c r="G171" s="213" t="s">
        <v>365</v>
      </c>
      <c r="H171" s="213" t="s">
        <v>547</v>
      </c>
      <c r="I171" s="213"/>
      <c r="J171" s="213" t="s">
        <v>382</v>
      </c>
      <c r="K171" s="213"/>
      <c r="L171" s="213"/>
      <c r="M171" s="213"/>
      <c r="N171" s="213"/>
      <c r="O171" s="213"/>
      <c r="P171" s="213"/>
      <c r="Q171" s="213"/>
      <c r="R171" s="213"/>
      <c r="S171" s="213" t="s">
        <v>602</v>
      </c>
      <c r="T171" s="213"/>
      <c r="U171" s="213" t="s">
        <v>538</v>
      </c>
      <c r="V171" s="213">
        <v>2</v>
      </c>
      <c r="W171" s="213" t="s">
        <v>545</v>
      </c>
      <c r="X171" s="213" t="s">
        <v>540</v>
      </c>
      <c r="Y171" s="213" t="s">
        <v>541</v>
      </c>
      <c r="Z171" s="212">
        <v>0</v>
      </c>
      <c r="AA171" s="212">
        <v>0</v>
      </c>
      <c r="AB171" s="217">
        <v>1.7369049999999999</v>
      </c>
      <c r="AC171" s="217">
        <v>2.795283</v>
      </c>
      <c r="AD171" s="212">
        <f t="shared" si="2"/>
        <v>0</v>
      </c>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row>
    <row r="172" spans="2:91" s="66" customFormat="1" x14ac:dyDescent="0.15">
      <c r="B172" s="213">
        <v>17031004030</v>
      </c>
      <c r="C172" s="213">
        <v>17031000480</v>
      </c>
      <c r="D172" s="213">
        <v>17031000495</v>
      </c>
      <c r="E172" s="213" t="s">
        <v>533</v>
      </c>
      <c r="F172" s="213" t="s">
        <v>534</v>
      </c>
      <c r="G172" s="213" t="s">
        <v>365</v>
      </c>
      <c r="H172" s="213" t="s">
        <v>590</v>
      </c>
      <c r="I172" s="213"/>
      <c r="J172" s="213"/>
      <c r="K172" s="213"/>
      <c r="L172" s="213"/>
      <c r="M172" s="213"/>
      <c r="N172" s="213"/>
      <c r="O172" s="213"/>
      <c r="P172" s="213"/>
      <c r="Q172" s="213"/>
      <c r="R172" s="213"/>
      <c r="S172" s="213"/>
      <c r="T172" s="213"/>
      <c r="U172" s="213" t="s">
        <v>559</v>
      </c>
      <c r="V172" s="213">
        <v>1</v>
      </c>
      <c r="W172" s="213" t="s">
        <v>560</v>
      </c>
      <c r="X172" s="213" t="s">
        <v>541</v>
      </c>
      <c r="Y172" s="213" t="s">
        <v>541</v>
      </c>
      <c r="Z172" s="212">
        <v>0</v>
      </c>
      <c r="AA172" s="212">
        <v>0</v>
      </c>
      <c r="AB172" s="217">
        <v>0.27563100000000001</v>
      </c>
      <c r="AC172" s="217">
        <v>0.44358599999999998</v>
      </c>
      <c r="AD172" s="212">
        <f t="shared" si="2"/>
        <v>0</v>
      </c>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row>
    <row r="173" spans="2:91" s="66" customFormat="1" x14ac:dyDescent="0.15">
      <c r="B173" s="213">
        <v>17031004031</v>
      </c>
      <c r="C173" s="213">
        <v>17031000495</v>
      </c>
      <c r="D173" s="213">
        <v>17031000504</v>
      </c>
      <c r="E173" s="213" t="s">
        <v>533</v>
      </c>
      <c r="F173" s="213" t="s">
        <v>534</v>
      </c>
      <c r="G173" s="213" t="s">
        <v>365</v>
      </c>
      <c r="H173" s="213" t="s">
        <v>590</v>
      </c>
      <c r="I173" s="213"/>
      <c r="J173" s="213"/>
      <c r="K173" s="213"/>
      <c r="L173" s="213"/>
      <c r="M173" s="213"/>
      <c r="N173" s="213"/>
      <c r="O173" s="213"/>
      <c r="P173" s="213"/>
      <c r="Q173" s="213"/>
      <c r="R173" s="213"/>
      <c r="S173" s="213"/>
      <c r="T173" s="213"/>
      <c r="U173" s="213" t="s">
        <v>559</v>
      </c>
      <c r="V173" s="213">
        <v>1</v>
      </c>
      <c r="W173" s="213" t="s">
        <v>560</v>
      </c>
      <c r="X173" s="213" t="s">
        <v>541</v>
      </c>
      <c r="Y173" s="213" t="s">
        <v>541</v>
      </c>
      <c r="Z173" s="212">
        <v>0</v>
      </c>
      <c r="AA173" s="212">
        <v>0</v>
      </c>
      <c r="AB173" s="217">
        <v>0.27329700000000001</v>
      </c>
      <c r="AC173" s="217">
        <v>0.43983</v>
      </c>
      <c r="AD173" s="212">
        <f t="shared" si="2"/>
        <v>0</v>
      </c>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row>
    <row r="174" spans="2:91" s="66" customFormat="1" x14ac:dyDescent="0.15">
      <c r="B174" s="213">
        <v>17031004055</v>
      </c>
      <c r="C174" s="213">
        <v>17031000681</v>
      </c>
      <c r="D174" s="213">
        <v>17031000666</v>
      </c>
      <c r="E174" s="213" t="s">
        <v>533</v>
      </c>
      <c r="F174" s="213" t="s">
        <v>534</v>
      </c>
      <c r="G174" s="213" t="s">
        <v>365</v>
      </c>
      <c r="H174" s="213" t="s">
        <v>535</v>
      </c>
      <c r="I174" s="213"/>
      <c r="J174" s="213" t="s">
        <v>542</v>
      </c>
      <c r="K174" s="213" t="s">
        <v>572</v>
      </c>
      <c r="L174" s="213"/>
      <c r="M174" s="213"/>
      <c r="N174" s="213"/>
      <c r="O174" s="213"/>
      <c r="P174" s="213"/>
      <c r="Q174" s="213"/>
      <c r="R174" s="213"/>
      <c r="S174" s="213" t="s">
        <v>544</v>
      </c>
      <c r="T174" s="213"/>
      <c r="U174" s="213" t="s">
        <v>538</v>
      </c>
      <c r="V174" s="213">
        <v>2</v>
      </c>
      <c r="W174" s="213" t="s">
        <v>545</v>
      </c>
      <c r="X174" s="213" t="s">
        <v>541</v>
      </c>
      <c r="Y174" s="213" t="s">
        <v>549</v>
      </c>
      <c r="Z174" s="212">
        <v>13802</v>
      </c>
      <c r="AA174" s="212">
        <v>1450100</v>
      </c>
      <c r="AB174" s="217">
        <v>0.20763799999999999</v>
      </c>
      <c r="AC174" s="217">
        <v>0.33416200000000001</v>
      </c>
      <c r="AD174" s="212">
        <f t="shared" si="2"/>
        <v>301095.86379999999</v>
      </c>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row>
    <row r="175" spans="2:91" s="66" customFormat="1" x14ac:dyDescent="0.15">
      <c r="B175" s="213">
        <v>17031004056</v>
      </c>
      <c r="C175" s="213">
        <v>17031004739</v>
      </c>
      <c r="D175" s="213">
        <v>17031001151</v>
      </c>
      <c r="E175" s="213" t="s">
        <v>533</v>
      </c>
      <c r="F175" s="213" t="s">
        <v>534</v>
      </c>
      <c r="G175" s="213" t="s">
        <v>365</v>
      </c>
      <c r="H175" s="213" t="s">
        <v>543</v>
      </c>
      <c r="I175" s="213"/>
      <c r="J175" s="213" t="s">
        <v>542</v>
      </c>
      <c r="K175" s="213" t="s">
        <v>552</v>
      </c>
      <c r="L175" s="213" t="s">
        <v>557</v>
      </c>
      <c r="M175" s="213" t="s">
        <v>661</v>
      </c>
      <c r="N175" s="213"/>
      <c r="O175" s="213"/>
      <c r="P175" s="213"/>
      <c r="Q175" s="213"/>
      <c r="R175" s="213"/>
      <c r="S175" s="213" t="s">
        <v>630</v>
      </c>
      <c r="T175" s="213"/>
      <c r="U175" s="213" t="s">
        <v>538</v>
      </c>
      <c r="V175" s="213">
        <v>4</v>
      </c>
      <c r="W175" s="213" t="s">
        <v>545</v>
      </c>
      <c r="X175" s="213" t="s">
        <v>540</v>
      </c>
      <c r="Y175" s="213" t="s">
        <v>575</v>
      </c>
      <c r="Z175" s="212">
        <v>2178052</v>
      </c>
      <c r="AA175" s="212">
        <v>63763679</v>
      </c>
      <c r="AB175" s="217">
        <v>0.32247399999999998</v>
      </c>
      <c r="AC175" s="217">
        <v>0.51897300000000002</v>
      </c>
      <c r="AD175" s="212">
        <f t="shared" si="2"/>
        <v>20562128.621845998</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row>
    <row r="176" spans="2:91" s="66" customFormat="1" x14ac:dyDescent="0.15">
      <c r="B176" s="213">
        <v>17031004057</v>
      </c>
      <c r="C176" s="213">
        <v>17031007820</v>
      </c>
      <c r="D176" s="213">
        <v>17031001118</v>
      </c>
      <c r="E176" s="213" t="s">
        <v>533</v>
      </c>
      <c r="F176" s="213" t="s">
        <v>534</v>
      </c>
      <c r="G176" s="213" t="s">
        <v>365</v>
      </c>
      <c r="H176" s="213" t="s">
        <v>543</v>
      </c>
      <c r="I176" s="213"/>
      <c r="J176" s="213"/>
      <c r="K176" s="213"/>
      <c r="L176" s="213"/>
      <c r="M176" s="213"/>
      <c r="N176" s="213"/>
      <c r="O176" s="213"/>
      <c r="P176" s="213"/>
      <c r="Q176" s="213"/>
      <c r="R176" s="213"/>
      <c r="S176" s="213" t="s">
        <v>617</v>
      </c>
      <c r="T176" s="213"/>
      <c r="U176" s="213" t="s">
        <v>559</v>
      </c>
      <c r="V176" s="213">
        <v>1</v>
      </c>
      <c r="W176" s="213" t="s">
        <v>560</v>
      </c>
      <c r="X176" s="213" t="s">
        <v>541</v>
      </c>
      <c r="Y176" s="213" t="s">
        <v>541</v>
      </c>
      <c r="Z176" s="212">
        <v>0</v>
      </c>
      <c r="AA176" s="212">
        <v>0</v>
      </c>
      <c r="AB176" s="217">
        <v>0.73368</v>
      </c>
      <c r="AC176" s="217">
        <v>1.180747</v>
      </c>
      <c r="AD176" s="212">
        <f t="shared" si="2"/>
        <v>0</v>
      </c>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row>
    <row r="177" spans="2:91" s="66" customFormat="1" x14ac:dyDescent="0.15">
      <c r="B177" s="213">
        <v>17031004058</v>
      </c>
      <c r="C177" s="213">
        <v>17031001170</v>
      </c>
      <c r="D177" s="213">
        <v>17031007820</v>
      </c>
      <c r="E177" s="213" t="s">
        <v>533</v>
      </c>
      <c r="F177" s="213" t="s">
        <v>534</v>
      </c>
      <c r="G177" s="213" t="s">
        <v>365</v>
      </c>
      <c r="H177" s="213" t="s">
        <v>543</v>
      </c>
      <c r="I177" s="213"/>
      <c r="J177" s="213"/>
      <c r="K177" s="213"/>
      <c r="L177" s="213"/>
      <c r="M177" s="213"/>
      <c r="N177" s="213"/>
      <c r="O177" s="213"/>
      <c r="P177" s="213"/>
      <c r="Q177" s="213"/>
      <c r="R177" s="213"/>
      <c r="S177" s="213" t="s">
        <v>617</v>
      </c>
      <c r="T177" s="213"/>
      <c r="U177" s="213" t="s">
        <v>559</v>
      </c>
      <c r="V177" s="213">
        <v>1</v>
      </c>
      <c r="W177" s="213" t="s">
        <v>560</v>
      </c>
      <c r="X177" s="213" t="s">
        <v>541</v>
      </c>
      <c r="Y177" s="213" t="s">
        <v>541</v>
      </c>
      <c r="Z177" s="212">
        <v>0</v>
      </c>
      <c r="AA177" s="212">
        <v>0</v>
      </c>
      <c r="AB177" s="217">
        <v>0.47153299999999998</v>
      </c>
      <c r="AC177" s="217">
        <v>0.75885999999999998</v>
      </c>
      <c r="AD177" s="212">
        <f t="shared" si="2"/>
        <v>0</v>
      </c>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row>
    <row r="178" spans="2:91" s="66" customFormat="1" x14ac:dyDescent="0.15">
      <c r="B178" s="213">
        <v>17031004059</v>
      </c>
      <c r="C178" s="213">
        <v>17031000880</v>
      </c>
      <c r="D178" s="213">
        <v>17031000868</v>
      </c>
      <c r="E178" s="213" t="s">
        <v>533</v>
      </c>
      <c r="F178" s="213" t="s">
        <v>534</v>
      </c>
      <c r="G178" s="213" t="s">
        <v>365</v>
      </c>
      <c r="H178" s="213" t="s">
        <v>381</v>
      </c>
      <c r="I178" s="213"/>
      <c r="J178" s="213" t="s">
        <v>382</v>
      </c>
      <c r="K178" s="213"/>
      <c r="L178" s="213"/>
      <c r="M178" s="213"/>
      <c r="N178" s="213"/>
      <c r="O178" s="213"/>
      <c r="P178" s="213"/>
      <c r="Q178" s="213"/>
      <c r="R178" s="213"/>
      <c r="S178" s="213" t="s">
        <v>647</v>
      </c>
      <c r="T178" s="213"/>
      <c r="U178" s="213" t="s">
        <v>538</v>
      </c>
      <c r="V178" s="213">
        <v>2</v>
      </c>
      <c r="W178" s="213" t="s">
        <v>545</v>
      </c>
      <c r="X178" s="213" t="s">
        <v>549</v>
      </c>
      <c r="Y178" s="213" t="s">
        <v>580</v>
      </c>
      <c r="Z178" s="212">
        <v>1224810</v>
      </c>
      <c r="AA178" s="212">
        <v>23248317</v>
      </c>
      <c r="AB178" s="217">
        <v>0.45023600000000003</v>
      </c>
      <c r="AC178" s="217">
        <v>0.72458699999999998</v>
      </c>
      <c r="AD178" s="212">
        <f t="shared" si="2"/>
        <v>10467229.252812</v>
      </c>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row>
    <row r="179" spans="2:91" s="66" customFormat="1" x14ac:dyDescent="0.15">
      <c r="B179" s="213">
        <v>17031004060</v>
      </c>
      <c r="C179" s="213">
        <v>17031000868</v>
      </c>
      <c r="D179" s="213">
        <v>17031000864</v>
      </c>
      <c r="E179" s="213" t="s">
        <v>533</v>
      </c>
      <c r="F179" s="213" t="s">
        <v>534</v>
      </c>
      <c r="G179" s="213" t="s">
        <v>365</v>
      </c>
      <c r="H179" s="213" t="s">
        <v>381</v>
      </c>
      <c r="I179" s="213"/>
      <c r="J179" s="213" t="s">
        <v>382</v>
      </c>
      <c r="K179" s="213"/>
      <c r="L179" s="213"/>
      <c r="M179" s="213"/>
      <c r="N179" s="213"/>
      <c r="O179" s="213"/>
      <c r="P179" s="213"/>
      <c r="Q179" s="213"/>
      <c r="R179" s="213"/>
      <c r="S179" s="213" t="s">
        <v>647</v>
      </c>
      <c r="T179" s="213"/>
      <c r="U179" s="213" t="s">
        <v>538</v>
      </c>
      <c r="V179" s="213">
        <v>2</v>
      </c>
      <c r="W179" s="213" t="s">
        <v>545</v>
      </c>
      <c r="X179" s="213" t="s">
        <v>549</v>
      </c>
      <c r="Y179" s="213" t="s">
        <v>580</v>
      </c>
      <c r="Z179" s="212">
        <v>1224810</v>
      </c>
      <c r="AA179" s="212">
        <v>23248317</v>
      </c>
      <c r="AB179" s="217">
        <v>0.20927000000000001</v>
      </c>
      <c r="AC179" s="217">
        <v>0.33678900000000001</v>
      </c>
      <c r="AD179" s="212">
        <f t="shared" si="2"/>
        <v>4865175.2985900007</v>
      </c>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row>
    <row r="180" spans="2:91" s="66" customFormat="1" x14ac:dyDescent="0.15">
      <c r="B180" s="213">
        <v>17031004061</v>
      </c>
      <c r="C180" s="213">
        <v>17031006853</v>
      </c>
      <c r="D180" s="213">
        <v>17031000823</v>
      </c>
      <c r="E180" s="213" t="s">
        <v>533</v>
      </c>
      <c r="F180" s="213" t="s">
        <v>534</v>
      </c>
      <c r="G180" s="213" t="s">
        <v>365</v>
      </c>
      <c r="H180" s="213" t="s">
        <v>543</v>
      </c>
      <c r="I180" s="213"/>
      <c r="J180" s="213" t="s">
        <v>542</v>
      </c>
      <c r="K180" s="213"/>
      <c r="L180" s="213"/>
      <c r="M180" s="213"/>
      <c r="N180" s="213"/>
      <c r="O180" s="213"/>
      <c r="P180" s="213"/>
      <c r="Q180" s="213"/>
      <c r="R180" s="213"/>
      <c r="S180" s="213" t="s">
        <v>630</v>
      </c>
      <c r="T180" s="213"/>
      <c r="U180" s="213" t="s">
        <v>538</v>
      </c>
      <c r="V180" s="213">
        <v>2</v>
      </c>
      <c r="W180" s="213" t="s">
        <v>545</v>
      </c>
      <c r="X180" s="213" t="s">
        <v>540</v>
      </c>
      <c r="Y180" s="213" t="s">
        <v>549</v>
      </c>
      <c r="Z180" s="212">
        <v>1962622</v>
      </c>
      <c r="AA180" s="212">
        <v>56698813</v>
      </c>
      <c r="AB180" s="217">
        <v>0.57260900000000003</v>
      </c>
      <c r="AC180" s="217">
        <v>0.92152599999999996</v>
      </c>
      <c r="AD180" s="212">
        <f t="shared" si="2"/>
        <v>32466250.613117002</v>
      </c>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row>
    <row r="181" spans="2:91" s="66" customFormat="1" x14ac:dyDescent="0.15">
      <c r="B181" s="213">
        <v>17031004068</v>
      </c>
      <c r="C181" s="213">
        <v>17031000708</v>
      </c>
      <c r="D181" s="213">
        <v>17031004674</v>
      </c>
      <c r="E181" s="213" t="s">
        <v>533</v>
      </c>
      <c r="F181" s="213" t="s">
        <v>534</v>
      </c>
      <c r="G181" s="213" t="s">
        <v>365</v>
      </c>
      <c r="H181" s="213" t="s">
        <v>644</v>
      </c>
      <c r="I181" s="213"/>
      <c r="J181" s="213"/>
      <c r="K181" s="213"/>
      <c r="L181" s="213"/>
      <c r="M181" s="213"/>
      <c r="N181" s="213"/>
      <c r="O181" s="213"/>
      <c r="P181" s="213"/>
      <c r="Q181" s="213"/>
      <c r="R181" s="213"/>
      <c r="S181" s="213"/>
      <c r="T181" s="213"/>
      <c r="U181" s="213" t="s">
        <v>559</v>
      </c>
      <c r="V181" s="213">
        <v>1</v>
      </c>
      <c r="W181" s="213" t="s">
        <v>560</v>
      </c>
      <c r="X181" s="213" t="s">
        <v>541</v>
      </c>
      <c r="Y181" s="213" t="s">
        <v>541</v>
      </c>
      <c r="Z181" s="212">
        <v>0</v>
      </c>
      <c r="AA181" s="212">
        <v>0</v>
      </c>
      <c r="AB181" s="217">
        <v>0.98022399999999998</v>
      </c>
      <c r="AC181" s="217">
        <v>1.57752</v>
      </c>
      <c r="AD181" s="212">
        <f t="shared" si="2"/>
        <v>0</v>
      </c>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row>
    <row r="182" spans="2:91" s="66" customFormat="1" x14ac:dyDescent="0.15">
      <c r="B182" s="213">
        <v>17031004070</v>
      </c>
      <c r="C182" s="213">
        <v>17031000435</v>
      </c>
      <c r="D182" s="213">
        <v>17031004630</v>
      </c>
      <c r="E182" s="213" t="s">
        <v>533</v>
      </c>
      <c r="F182" s="213" t="s">
        <v>534</v>
      </c>
      <c r="G182" s="213" t="s">
        <v>365</v>
      </c>
      <c r="H182" s="213" t="s">
        <v>535</v>
      </c>
      <c r="I182" s="213"/>
      <c r="J182" s="213" t="s">
        <v>552</v>
      </c>
      <c r="K182" s="213" t="s">
        <v>547</v>
      </c>
      <c r="L182" s="213" t="s">
        <v>551</v>
      </c>
      <c r="M182" s="213"/>
      <c r="N182" s="213"/>
      <c r="O182" s="213"/>
      <c r="P182" s="213"/>
      <c r="Q182" s="213"/>
      <c r="R182" s="213"/>
      <c r="S182" s="213" t="s">
        <v>548</v>
      </c>
      <c r="T182" s="213"/>
      <c r="U182" s="213" t="s">
        <v>538</v>
      </c>
      <c r="V182" s="213">
        <v>3</v>
      </c>
      <c r="W182" s="213" t="s">
        <v>545</v>
      </c>
      <c r="X182" s="213" t="s">
        <v>554</v>
      </c>
      <c r="Y182" s="213" t="s">
        <v>546</v>
      </c>
      <c r="Z182" s="212">
        <v>456609</v>
      </c>
      <c r="AA182" s="212">
        <v>23964799</v>
      </c>
      <c r="AB182" s="217">
        <v>0.23444699999999999</v>
      </c>
      <c r="AC182" s="217">
        <v>0.377307</v>
      </c>
      <c r="AD182" s="212">
        <f t="shared" si="2"/>
        <v>5618475.2311530001</v>
      </c>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row>
    <row r="183" spans="2:91" s="66" customFormat="1" x14ac:dyDescent="0.15">
      <c r="B183" s="213">
        <v>17031004071</v>
      </c>
      <c r="C183" s="213">
        <v>17031007606</v>
      </c>
      <c r="D183" s="213">
        <v>17031004633</v>
      </c>
      <c r="E183" s="213" t="s">
        <v>533</v>
      </c>
      <c r="F183" s="213" t="s">
        <v>534</v>
      </c>
      <c r="G183" s="213" t="s">
        <v>365</v>
      </c>
      <c r="H183" s="213" t="s">
        <v>551</v>
      </c>
      <c r="I183" s="213"/>
      <c r="J183" s="213" t="s">
        <v>535</v>
      </c>
      <c r="K183" s="213"/>
      <c r="L183" s="213"/>
      <c r="M183" s="213"/>
      <c r="N183" s="213"/>
      <c r="O183" s="213"/>
      <c r="P183" s="213"/>
      <c r="Q183" s="213"/>
      <c r="R183" s="213"/>
      <c r="S183" s="213" t="s">
        <v>667</v>
      </c>
      <c r="T183" s="213"/>
      <c r="U183" s="213" t="s">
        <v>538</v>
      </c>
      <c r="V183" s="213">
        <v>2</v>
      </c>
      <c r="W183" s="213" t="s">
        <v>582</v>
      </c>
      <c r="X183" s="213" t="s">
        <v>541</v>
      </c>
      <c r="Y183" s="213" t="s">
        <v>541</v>
      </c>
      <c r="Z183" s="212">
        <v>0</v>
      </c>
      <c r="AA183" s="212">
        <v>0</v>
      </c>
      <c r="AB183" s="217">
        <v>0.65344199999999997</v>
      </c>
      <c r="AC183" s="217">
        <v>1.051615</v>
      </c>
      <c r="AD183" s="212">
        <f t="shared" si="2"/>
        <v>0</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row>
    <row r="184" spans="2:91" s="66" customFormat="1" x14ac:dyDescent="0.15">
      <c r="B184" s="213">
        <v>17031004072</v>
      </c>
      <c r="C184" s="213">
        <v>17031000619</v>
      </c>
      <c r="D184" s="213">
        <v>17031000617</v>
      </c>
      <c r="E184" s="213" t="s">
        <v>533</v>
      </c>
      <c r="F184" s="213" t="s">
        <v>534</v>
      </c>
      <c r="G184" s="213" t="s">
        <v>365</v>
      </c>
      <c r="H184" s="213" t="s">
        <v>551</v>
      </c>
      <c r="I184" s="213"/>
      <c r="J184" s="213" t="s">
        <v>535</v>
      </c>
      <c r="K184" s="213"/>
      <c r="L184" s="213"/>
      <c r="M184" s="213"/>
      <c r="N184" s="213"/>
      <c r="O184" s="213"/>
      <c r="P184" s="213"/>
      <c r="Q184" s="213"/>
      <c r="R184" s="213"/>
      <c r="S184" s="213" t="s">
        <v>667</v>
      </c>
      <c r="T184" s="213"/>
      <c r="U184" s="213" t="s">
        <v>538</v>
      </c>
      <c r="V184" s="213">
        <v>2</v>
      </c>
      <c r="W184" s="213" t="s">
        <v>582</v>
      </c>
      <c r="X184" s="213" t="s">
        <v>541</v>
      </c>
      <c r="Y184" s="213" t="s">
        <v>541</v>
      </c>
      <c r="Z184" s="212">
        <v>0</v>
      </c>
      <c r="AA184" s="212">
        <v>0</v>
      </c>
      <c r="AB184" s="217">
        <v>0.50689899999999999</v>
      </c>
      <c r="AC184" s="217">
        <v>0.81577599999999995</v>
      </c>
      <c r="AD184" s="212">
        <f t="shared" si="2"/>
        <v>0</v>
      </c>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row>
    <row r="185" spans="2:91" s="66" customFormat="1" x14ac:dyDescent="0.15">
      <c r="B185" s="213">
        <v>17031004082</v>
      </c>
      <c r="C185" s="213">
        <v>17031004655</v>
      </c>
      <c r="D185" s="213">
        <v>17031000757</v>
      </c>
      <c r="E185" s="213" t="s">
        <v>533</v>
      </c>
      <c r="F185" s="213" t="s">
        <v>534</v>
      </c>
      <c r="G185" s="213" t="s">
        <v>365</v>
      </c>
      <c r="H185" s="213" t="s">
        <v>535</v>
      </c>
      <c r="I185" s="213"/>
      <c r="J185" s="213"/>
      <c r="K185" s="213"/>
      <c r="L185" s="213"/>
      <c r="M185" s="213"/>
      <c r="N185" s="213"/>
      <c r="O185" s="213"/>
      <c r="P185" s="213"/>
      <c r="Q185" s="213"/>
      <c r="R185" s="213"/>
      <c r="S185" s="213" t="s">
        <v>624</v>
      </c>
      <c r="T185" s="213"/>
      <c r="U185" s="213" t="s">
        <v>538</v>
      </c>
      <c r="V185" s="213">
        <v>2</v>
      </c>
      <c r="W185" s="213" t="s">
        <v>582</v>
      </c>
      <c r="X185" s="213" t="s">
        <v>554</v>
      </c>
      <c r="Y185" s="213" t="s">
        <v>554</v>
      </c>
      <c r="Z185" s="212">
        <v>0</v>
      </c>
      <c r="AA185" s="212">
        <v>0</v>
      </c>
      <c r="AB185" s="217">
        <v>0.48969299999999999</v>
      </c>
      <c r="AC185" s="217">
        <v>0.78808599999999995</v>
      </c>
      <c r="AD185" s="212">
        <f t="shared" si="2"/>
        <v>0</v>
      </c>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row>
    <row r="186" spans="2:91" s="66" customFormat="1" x14ac:dyDescent="0.15">
      <c r="B186" s="213">
        <v>17031004089</v>
      </c>
      <c r="C186" s="213">
        <v>17031000719</v>
      </c>
      <c r="D186" s="213">
        <v>17031000717</v>
      </c>
      <c r="E186" s="213" t="s">
        <v>533</v>
      </c>
      <c r="F186" s="213" t="s">
        <v>534</v>
      </c>
      <c r="G186" s="213" t="s">
        <v>365</v>
      </c>
      <c r="H186" s="213" t="s">
        <v>381</v>
      </c>
      <c r="I186" s="213"/>
      <c r="J186" s="213" t="s">
        <v>542</v>
      </c>
      <c r="K186" s="213" t="s">
        <v>572</v>
      </c>
      <c r="L186" s="213" t="s">
        <v>547</v>
      </c>
      <c r="M186" s="213" t="s">
        <v>382</v>
      </c>
      <c r="N186" s="213" t="s">
        <v>571</v>
      </c>
      <c r="O186" s="213" t="s">
        <v>535</v>
      </c>
      <c r="P186" s="213" t="s">
        <v>543</v>
      </c>
      <c r="Q186" s="213"/>
      <c r="R186" s="213"/>
      <c r="S186" s="213" t="s">
        <v>579</v>
      </c>
      <c r="T186" s="213"/>
      <c r="U186" s="213" t="s">
        <v>538</v>
      </c>
      <c r="V186" s="213">
        <v>4</v>
      </c>
      <c r="W186" s="213" t="s">
        <v>545</v>
      </c>
      <c r="X186" s="213" t="s">
        <v>549</v>
      </c>
      <c r="Y186" s="213" t="s">
        <v>580</v>
      </c>
      <c r="Z186" s="212">
        <v>934791</v>
      </c>
      <c r="AA186" s="212">
        <v>44510765</v>
      </c>
      <c r="AB186" s="217">
        <v>0.14871000000000001</v>
      </c>
      <c r="AC186" s="217">
        <v>0.23932600000000001</v>
      </c>
      <c r="AD186" s="212">
        <f t="shared" si="2"/>
        <v>6619195.8631500006</v>
      </c>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row>
    <row r="187" spans="2:91" s="66" customFormat="1" x14ac:dyDescent="0.15">
      <c r="B187" s="213">
        <v>17031004154</v>
      </c>
      <c r="C187" s="213">
        <v>17031000554</v>
      </c>
      <c r="D187" s="213">
        <v>17031000557</v>
      </c>
      <c r="E187" s="213" t="s">
        <v>533</v>
      </c>
      <c r="F187" s="213" t="s">
        <v>534</v>
      </c>
      <c r="G187" s="213" t="s">
        <v>365</v>
      </c>
      <c r="H187" s="213" t="s">
        <v>382</v>
      </c>
      <c r="I187" s="213"/>
      <c r="J187" s="213" t="s">
        <v>547</v>
      </c>
      <c r="K187" s="213"/>
      <c r="L187" s="213"/>
      <c r="M187" s="213"/>
      <c r="N187" s="213"/>
      <c r="O187" s="213"/>
      <c r="P187" s="213"/>
      <c r="Q187" s="213"/>
      <c r="R187" s="213"/>
      <c r="S187" s="213" t="s">
        <v>583</v>
      </c>
      <c r="T187" s="213"/>
      <c r="U187" s="213" t="s">
        <v>538</v>
      </c>
      <c r="V187" s="213">
        <v>4</v>
      </c>
      <c r="W187" s="213" t="s">
        <v>545</v>
      </c>
      <c r="X187" s="213" t="s">
        <v>554</v>
      </c>
      <c r="Y187" s="213" t="s">
        <v>541</v>
      </c>
      <c r="Z187" s="212">
        <v>0</v>
      </c>
      <c r="AA187" s="212">
        <v>0</v>
      </c>
      <c r="AB187" s="217">
        <v>5.2949999999999997E-2</v>
      </c>
      <c r="AC187" s="217">
        <v>8.5214999999999999E-2</v>
      </c>
      <c r="AD187" s="212">
        <f t="shared" si="2"/>
        <v>0</v>
      </c>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row>
    <row r="188" spans="2:91" s="66" customFormat="1" x14ac:dyDescent="0.15">
      <c r="B188" s="213">
        <v>17031004182</v>
      </c>
      <c r="C188" s="213">
        <v>17031000256</v>
      </c>
      <c r="D188" s="213">
        <v>17031004614</v>
      </c>
      <c r="E188" s="213" t="s">
        <v>533</v>
      </c>
      <c r="F188" s="213" t="s">
        <v>534</v>
      </c>
      <c r="G188" s="213" t="s">
        <v>365</v>
      </c>
      <c r="H188" s="213" t="s">
        <v>552</v>
      </c>
      <c r="I188" s="213"/>
      <c r="J188" s="213" t="s">
        <v>542</v>
      </c>
      <c r="K188" s="213" t="s">
        <v>547</v>
      </c>
      <c r="L188" s="213" t="s">
        <v>563</v>
      </c>
      <c r="M188" s="213" t="s">
        <v>382</v>
      </c>
      <c r="N188" s="213"/>
      <c r="O188" s="213"/>
      <c r="P188" s="213"/>
      <c r="Q188" s="213"/>
      <c r="R188" s="213"/>
      <c r="S188" s="213" t="s">
        <v>564</v>
      </c>
      <c r="T188" s="213"/>
      <c r="U188" s="213" t="s">
        <v>538</v>
      </c>
      <c r="V188" s="213">
        <v>2</v>
      </c>
      <c r="W188" s="213" t="s">
        <v>545</v>
      </c>
      <c r="X188" s="213" t="s">
        <v>549</v>
      </c>
      <c r="Y188" s="213" t="s">
        <v>549</v>
      </c>
      <c r="Z188" s="212">
        <v>444697</v>
      </c>
      <c r="AA188" s="212">
        <v>28179770</v>
      </c>
      <c r="AB188" s="217">
        <v>0.55004200000000003</v>
      </c>
      <c r="AC188" s="217">
        <v>0.88520900000000002</v>
      </c>
      <c r="AD188" s="212">
        <f t="shared" si="2"/>
        <v>15500057.050340001</v>
      </c>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row>
    <row r="189" spans="2:91" s="66" customFormat="1" x14ac:dyDescent="0.15">
      <c r="B189" s="213">
        <v>17031004188</v>
      </c>
      <c r="C189" s="213">
        <v>17031000665</v>
      </c>
      <c r="D189" s="213">
        <v>17031000626</v>
      </c>
      <c r="E189" s="213" t="s">
        <v>533</v>
      </c>
      <c r="F189" s="213" t="s">
        <v>534</v>
      </c>
      <c r="G189" s="213" t="s">
        <v>365</v>
      </c>
      <c r="H189" s="213" t="s">
        <v>381</v>
      </c>
      <c r="I189" s="213"/>
      <c r="J189" s="213" t="s">
        <v>542</v>
      </c>
      <c r="K189" s="213" t="s">
        <v>547</v>
      </c>
      <c r="L189" s="213"/>
      <c r="M189" s="213"/>
      <c r="N189" s="213"/>
      <c r="O189" s="213"/>
      <c r="P189" s="213"/>
      <c r="Q189" s="213"/>
      <c r="R189" s="213"/>
      <c r="S189" s="213" t="s">
        <v>579</v>
      </c>
      <c r="T189" s="213" t="s">
        <v>660</v>
      </c>
      <c r="U189" s="213" t="s">
        <v>538</v>
      </c>
      <c r="V189" s="213">
        <v>2</v>
      </c>
      <c r="W189" s="213" t="s">
        <v>545</v>
      </c>
      <c r="X189" s="213" t="s">
        <v>554</v>
      </c>
      <c r="Y189" s="213" t="s">
        <v>541</v>
      </c>
      <c r="Z189" s="212">
        <v>117832</v>
      </c>
      <c r="AA189" s="212">
        <v>8555347</v>
      </c>
      <c r="AB189" s="217">
        <v>0.55506599999999995</v>
      </c>
      <c r="AC189" s="217">
        <v>0.893293</v>
      </c>
      <c r="AD189" s="212">
        <f t="shared" si="2"/>
        <v>4748782.2379019996</v>
      </c>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row>
    <row r="190" spans="2:91" s="66" customFormat="1" x14ac:dyDescent="0.15">
      <c r="B190" s="213">
        <v>17031004201</v>
      </c>
      <c r="C190" s="213">
        <v>17031000346</v>
      </c>
      <c r="D190" s="213">
        <v>17031000348</v>
      </c>
      <c r="E190" s="213" t="s">
        <v>533</v>
      </c>
      <c r="F190" s="213" t="s">
        <v>534</v>
      </c>
      <c r="G190" s="213" t="s">
        <v>365</v>
      </c>
      <c r="H190" s="213" t="s">
        <v>590</v>
      </c>
      <c r="I190" s="213"/>
      <c r="J190" s="213"/>
      <c r="K190" s="213"/>
      <c r="L190" s="213"/>
      <c r="M190" s="213"/>
      <c r="N190" s="213"/>
      <c r="O190" s="213"/>
      <c r="P190" s="213"/>
      <c r="Q190" s="213"/>
      <c r="R190" s="213"/>
      <c r="S190" s="213"/>
      <c r="T190" s="213"/>
      <c r="U190" s="213" t="s">
        <v>559</v>
      </c>
      <c r="V190" s="213">
        <v>1</v>
      </c>
      <c r="W190" s="213" t="s">
        <v>560</v>
      </c>
      <c r="X190" s="213" t="s">
        <v>541</v>
      </c>
      <c r="Y190" s="213" t="s">
        <v>541</v>
      </c>
      <c r="Z190" s="212">
        <v>0</v>
      </c>
      <c r="AA190" s="212">
        <v>0</v>
      </c>
      <c r="AB190" s="217">
        <v>0.79060900000000001</v>
      </c>
      <c r="AC190" s="217">
        <v>1.272365</v>
      </c>
      <c r="AD190" s="212">
        <f t="shared" si="2"/>
        <v>0</v>
      </c>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row>
    <row r="191" spans="2:91" s="66" customFormat="1" x14ac:dyDescent="0.15">
      <c r="B191" s="213">
        <v>17031004202</v>
      </c>
      <c r="C191" s="213">
        <v>17031007568</v>
      </c>
      <c r="D191" s="213">
        <v>17031007567</v>
      </c>
      <c r="E191" s="213" t="s">
        <v>533</v>
      </c>
      <c r="F191" s="213" t="s">
        <v>534</v>
      </c>
      <c r="G191" s="213" t="s">
        <v>365</v>
      </c>
      <c r="H191" s="213" t="s">
        <v>590</v>
      </c>
      <c r="I191" s="213"/>
      <c r="J191" s="213"/>
      <c r="K191" s="213"/>
      <c r="L191" s="213"/>
      <c r="M191" s="213"/>
      <c r="N191" s="213"/>
      <c r="O191" s="213"/>
      <c r="P191" s="213"/>
      <c r="Q191" s="213"/>
      <c r="R191" s="213"/>
      <c r="S191" s="213"/>
      <c r="T191" s="213"/>
      <c r="U191" s="213" t="s">
        <v>559</v>
      </c>
      <c r="V191" s="213">
        <v>1</v>
      </c>
      <c r="W191" s="213" t="s">
        <v>560</v>
      </c>
      <c r="X191" s="213" t="s">
        <v>541</v>
      </c>
      <c r="Y191" s="213" t="s">
        <v>541</v>
      </c>
      <c r="Z191" s="212">
        <v>0</v>
      </c>
      <c r="AA191" s="212">
        <v>0</v>
      </c>
      <c r="AB191" s="217">
        <v>0.51705999999999996</v>
      </c>
      <c r="AC191" s="217">
        <v>0.83213000000000004</v>
      </c>
      <c r="AD191" s="212">
        <f t="shared" si="2"/>
        <v>0</v>
      </c>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row>
    <row r="192" spans="2:91" s="66" customFormat="1" x14ac:dyDescent="0.15">
      <c r="B192" s="213">
        <v>17031004203</v>
      </c>
      <c r="C192" s="213">
        <v>17031007556</v>
      </c>
      <c r="D192" s="213">
        <v>17031000356</v>
      </c>
      <c r="E192" s="213" t="s">
        <v>533</v>
      </c>
      <c r="F192" s="213" t="s">
        <v>534</v>
      </c>
      <c r="G192" s="213" t="s">
        <v>365</v>
      </c>
      <c r="H192" s="213" t="s">
        <v>590</v>
      </c>
      <c r="I192" s="213"/>
      <c r="J192" s="213"/>
      <c r="K192" s="213"/>
      <c r="L192" s="213"/>
      <c r="M192" s="213"/>
      <c r="N192" s="213"/>
      <c r="O192" s="213"/>
      <c r="P192" s="213"/>
      <c r="Q192" s="213"/>
      <c r="R192" s="213"/>
      <c r="S192" s="213"/>
      <c r="T192" s="213"/>
      <c r="U192" s="213" t="s">
        <v>559</v>
      </c>
      <c r="V192" s="213">
        <v>1</v>
      </c>
      <c r="W192" s="213" t="s">
        <v>560</v>
      </c>
      <c r="X192" s="213" t="s">
        <v>541</v>
      </c>
      <c r="Y192" s="213" t="s">
        <v>541</v>
      </c>
      <c r="Z192" s="212">
        <v>0</v>
      </c>
      <c r="AA192" s="212">
        <v>0</v>
      </c>
      <c r="AB192" s="217">
        <v>0.90288900000000005</v>
      </c>
      <c r="AC192" s="217">
        <v>1.4530620000000001</v>
      </c>
      <c r="AD192" s="212">
        <f t="shared" si="2"/>
        <v>0</v>
      </c>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row>
    <row r="193" spans="2:91" s="66" customFormat="1" x14ac:dyDescent="0.15">
      <c r="B193" s="213">
        <v>17031004207</v>
      </c>
      <c r="C193" s="213">
        <v>17031000326</v>
      </c>
      <c r="D193" s="213">
        <v>17031000332</v>
      </c>
      <c r="E193" s="213" t="s">
        <v>533</v>
      </c>
      <c r="F193" s="213" t="s">
        <v>534</v>
      </c>
      <c r="G193" s="213" t="s">
        <v>365</v>
      </c>
      <c r="H193" s="213" t="s">
        <v>590</v>
      </c>
      <c r="I193" s="213"/>
      <c r="J193" s="213"/>
      <c r="K193" s="213"/>
      <c r="L193" s="213"/>
      <c r="M193" s="213"/>
      <c r="N193" s="213"/>
      <c r="O193" s="213"/>
      <c r="P193" s="213"/>
      <c r="Q193" s="213"/>
      <c r="R193" s="213"/>
      <c r="S193" s="213"/>
      <c r="T193" s="213"/>
      <c r="U193" s="213" t="s">
        <v>559</v>
      </c>
      <c r="V193" s="213">
        <v>1</v>
      </c>
      <c r="W193" s="213" t="s">
        <v>560</v>
      </c>
      <c r="X193" s="213" t="s">
        <v>541</v>
      </c>
      <c r="Y193" s="213" t="s">
        <v>541</v>
      </c>
      <c r="Z193" s="212">
        <v>0</v>
      </c>
      <c r="AA193" s="212">
        <v>0</v>
      </c>
      <c r="AB193" s="217">
        <v>0.14003499999999999</v>
      </c>
      <c r="AC193" s="217">
        <v>0.22536500000000001</v>
      </c>
      <c r="AD193" s="212">
        <f t="shared" si="2"/>
        <v>0</v>
      </c>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row>
    <row r="194" spans="2:91" s="66" customFormat="1" x14ac:dyDescent="0.15">
      <c r="B194" s="213">
        <v>17031004213</v>
      </c>
      <c r="C194" s="213">
        <v>17031000319</v>
      </c>
      <c r="D194" s="213">
        <v>17031000327</v>
      </c>
      <c r="E194" s="213" t="s">
        <v>533</v>
      </c>
      <c r="F194" s="213" t="s">
        <v>534</v>
      </c>
      <c r="G194" s="213" t="s">
        <v>365</v>
      </c>
      <c r="H194" s="213" t="s">
        <v>590</v>
      </c>
      <c r="I194" s="213"/>
      <c r="J194" s="213"/>
      <c r="K194" s="213"/>
      <c r="L194" s="213"/>
      <c r="M194" s="213"/>
      <c r="N194" s="213"/>
      <c r="O194" s="213"/>
      <c r="P194" s="213"/>
      <c r="Q194" s="213"/>
      <c r="R194" s="213"/>
      <c r="S194" s="213"/>
      <c r="T194" s="213"/>
      <c r="U194" s="213" t="s">
        <v>559</v>
      </c>
      <c r="V194" s="213">
        <v>1</v>
      </c>
      <c r="W194" s="213" t="s">
        <v>560</v>
      </c>
      <c r="X194" s="213" t="s">
        <v>541</v>
      </c>
      <c r="Y194" s="213" t="s">
        <v>541</v>
      </c>
      <c r="Z194" s="212">
        <v>0</v>
      </c>
      <c r="AA194" s="212">
        <v>0</v>
      </c>
      <c r="AB194" s="217">
        <v>0.24935199999999999</v>
      </c>
      <c r="AC194" s="217">
        <v>0.40129399999999998</v>
      </c>
      <c r="AD194" s="212">
        <f t="shared" si="2"/>
        <v>0</v>
      </c>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row>
    <row r="195" spans="2:91" s="66" customFormat="1" x14ac:dyDescent="0.15">
      <c r="B195" s="213">
        <v>17031004214</v>
      </c>
      <c r="C195" s="213">
        <v>17031000327</v>
      </c>
      <c r="D195" s="213">
        <v>17031000334</v>
      </c>
      <c r="E195" s="213" t="s">
        <v>533</v>
      </c>
      <c r="F195" s="213" t="s">
        <v>534</v>
      </c>
      <c r="G195" s="213" t="s">
        <v>365</v>
      </c>
      <c r="H195" s="213" t="s">
        <v>590</v>
      </c>
      <c r="I195" s="213"/>
      <c r="J195" s="213"/>
      <c r="K195" s="213"/>
      <c r="L195" s="213"/>
      <c r="M195" s="213"/>
      <c r="N195" s="213"/>
      <c r="O195" s="213"/>
      <c r="P195" s="213"/>
      <c r="Q195" s="213"/>
      <c r="R195" s="213"/>
      <c r="S195" s="213"/>
      <c r="T195" s="213"/>
      <c r="U195" s="213" t="s">
        <v>559</v>
      </c>
      <c r="V195" s="213">
        <v>1</v>
      </c>
      <c r="W195" s="213" t="s">
        <v>560</v>
      </c>
      <c r="X195" s="213" t="s">
        <v>541</v>
      </c>
      <c r="Y195" s="213" t="s">
        <v>541</v>
      </c>
      <c r="Z195" s="212">
        <v>0</v>
      </c>
      <c r="AA195" s="212">
        <v>0</v>
      </c>
      <c r="AB195" s="217">
        <v>0.126133</v>
      </c>
      <c r="AC195" s="217">
        <v>0.20299200000000001</v>
      </c>
      <c r="AD195" s="212">
        <f t="shared" si="2"/>
        <v>0</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row>
    <row r="196" spans="2:91" s="66" customFormat="1" x14ac:dyDescent="0.15">
      <c r="B196" s="213">
        <v>17031004215</v>
      </c>
      <c r="C196" s="213">
        <v>17031000313</v>
      </c>
      <c r="D196" s="213">
        <v>17031000319</v>
      </c>
      <c r="E196" s="213" t="s">
        <v>533</v>
      </c>
      <c r="F196" s="213" t="s">
        <v>534</v>
      </c>
      <c r="G196" s="213" t="s">
        <v>365</v>
      </c>
      <c r="H196" s="213" t="s">
        <v>590</v>
      </c>
      <c r="I196" s="213"/>
      <c r="J196" s="213"/>
      <c r="K196" s="213"/>
      <c r="L196" s="213"/>
      <c r="M196" s="213"/>
      <c r="N196" s="213"/>
      <c r="O196" s="213"/>
      <c r="P196" s="213"/>
      <c r="Q196" s="213"/>
      <c r="R196" s="213"/>
      <c r="S196" s="213"/>
      <c r="T196" s="213"/>
      <c r="U196" s="213" t="s">
        <v>559</v>
      </c>
      <c r="V196" s="213">
        <v>1</v>
      </c>
      <c r="W196" s="213" t="s">
        <v>560</v>
      </c>
      <c r="X196" s="213" t="s">
        <v>541</v>
      </c>
      <c r="Y196" s="213" t="s">
        <v>541</v>
      </c>
      <c r="Z196" s="212">
        <v>0</v>
      </c>
      <c r="AA196" s="212">
        <v>0</v>
      </c>
      <c r="AB196" s="217">
        <v>0.239289</v>
      </c>
      <c r="AC196" s="217">
        <v>0.38509900000000002</v>
      </c>
      <c r="AD196" s="212">
        <f t="shared" si="2"/>
        <v>0</v>
      </c>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row>
    <row r="197" spans="2:91" s="66" customFormat="1" x14ac:dyDescent="0.15">
      <c r="B197" s="213">
        <v>17031004246</v>
      </c>
      <c r="C197" s="213">
        <v>17031001561</v>
      </c>
      <c r="D197" s="213">
        <v>17031001576</v>
      </c>
      <c r="E197" s="213" t="s">
        <v>533</v>
      </c>
      <c r="F197" s="213" t="s">
        <v>534</v>
      </c>
      <c r="G197" s="213" t="s">
        <v>365</v>
      </c>
      <c r="H197" s="213" t="s">
        <v>382</v>
      </c>
      <c r="I197" s="213"/>
      <c r="J197" s="213"/>
      <c r="K197" s="213"/>
      <c r="L197" s="213"/>
      <c r="M197" s="213"/>
      <c r="N197" s="213"/>
      <c r="O197" s="213"/>
      <c r="P197" s="213"/>
      <c r="Q197" s="213"/>
      <c r="R197" s="213"/>
      <c r="S197" s="213" t="s">
        <v>576</v>
      </c>
      <c r="T197" s="213"/>
      <c r="U197" s="213" t="s">
        <v>559</v>
      </c>
      <c r="V197" s="213">
        <v>1</v>
      </c>
      <c r="W197" s="213" t="s">
        <v>560</v>
      </c>
      <c r="X197" s="213" t="s">
        <v>541</v>
      </c>
      <c r="Y197" s="213" t="s">
        <v>541</v>
      </c>
      <c r="Z197" s="212">
        <v>0</v>
      </c>
      <c r="AA197" s="212">
        <v>0</v>
      </c>
      <c r="AB197" s="217">
        <v>0.31204999999999999</v>
      </c>
      <c r="AC197" s="217">
        <v>0.50219800000000003</v>
      </c>
      <c r="AD197" s="212">
        <f t="shared" si="2"/>
        <v>0</v>
      </c>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row>
    <row r="198" spans="2:91" s="66" customFormat="1" x14ac:dyDescent="0.15">
      <c r="B198" s="213">
        <v>17031004249</v>
      </c>
      <c r="C198" s="213">
        <v>17031001574</v>
      </c>
      <c r="D198" s="213">
        <v>17031001583</v>
      </c>
      <c r="E198" s="213" t="s">
        <v>533</v>
      </c>
      <c r="F198" s="213" t="s">
        <v>534</v>
      </c>
      <c r="G198" s="213" t="s">
        <v>365</v>
      </c>
      <c r="H198" s="213" t="s">
        <v>382</v>
      </c>
      <c r="I198" s="213"/>
      <c r="J198" s="213"/>
      <c r="K198" s="213"/>
      <c r="L198" s="213"/>
      <c r="M198" s="213"/>
      <c r="N198" s="213"/>
      <c r="O198" s="213"/>
      <c r="P198" s="213"/>
      <c r="Q198" s="213"/>
      <c r="R198" s="213"/>
      <c r="S198" s="213" t="s">
        <v>576</v>
      </c>
      <c r="T198" s="213"/>
      <c r="U198" s="213" t="s">
        <v>559</v>
      </c>
      <c r="V198" s="213">
        <v>1</v>
      </c>
      <c r="W198" s="213" t="s">
        <v>560</v>
      </c>
      <c r="X198" s="213" t="s">
        <v>541</v>
      </c>
      <c r="Y198" s="213" t="s">
        <v>541</v>
      </c>
      <c r="Z198" s="212">
        <v>0</v>
      </c>
      <c r="AA198" s="212">
        <v>0</v>
      </c>
      <c r="AB198" s="217">
        <v>0.10358299999999999</v>
      </c>
      <c r="AC198" s="217">
        <v>0.16670099999999999</v>
      </c>
      <c r="AD198" s="212">
        <f t="shared" ref="AD198:AD261" si="3">AA198*AB198</f>
        <v>0</v>
      </c>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row>
    <row r="199" spans="2:91" s="66" customFormat="1" x14ac:dyDescent="0.15">
      <c r="B199" s="213">
        <v>17031004254</v>
      </c>
      <c r="C199" s="213">
        <v>17031001550</v>
      </c>
      <c r="D199" s="213">
        <v>17031001549</v>
      </c>
      <c r="E199" s="213" t="s">
        <v>533</v>
      </c>
      <c r="F199" s="213" t="s">
        <v>534</v>
      </c>
      <c r="G199" s="213" t="s">
        <v>365</v>
      </c>
      <c r="H199" s="213" t="s">
        <v>382</v>
      </c>
      <c r="I199" s="213"/>
      <c r="J199" s="213"/>
      <c r="K199" s="213"/>
      <c r="L199" s="213"/>
      <c r="M199" s="213"/>
      <c r="N199" s="213"/>
      <c r="O199" s="213"/>
      <c r="P199" s="213"/>
      <c r="Q199" s="213"/>
      <c r="R199" s="213"/>
      <c r="S199" s="213" t="s">
        <v>576</v>
      </c>
      <c r="T199" s="213"/>
      <c r="U199" s="213" t="s">
        <v>559</v>
      </c>
      <c r="V199" s="213">
        <v>1</v>
      </c>
      <c r="W199" s="213" t="s">
        <v>560</v>
      </c>
      <c r="X199" s="213" t="s">
        <v>541</v>
      </c>
      <c r="Y199" s="213" t="s">
        <v>541</v>
      </c>
      <c r="Z199" s="212">
        <v>0</v>
      </c>
      <c r="AA199" s="212">
        <v>0</v>
      </c>
      <c r="AB199" s="217">
        <v>0.14615500000000001</v>
      </c>
      <c r="AC199" s="217">
        <v>0.23521400000000001</v>
      </c>
      <c r="AD199" s="212">
        <f t="shared" si="3"/>
        <v>0</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row>
    <row r="200" spans="2:91" s="66" customFormat="1" x14ac:dyDescent="0.15">
      <c r="B200" s="213">
        <v>17031004260</v>
      </c>
      <c r="C200" s="213">
        <v>17031000302</v>
      </c>
      <c r="D200" s="213">
        <v>17031004616</v>
      </c>
      <c r="E200" s="213" t="s">
        <v>533</v>
      </c>
      <c r="F200" s="213" t="s">
        <v>534</v>
      </c>
      <c r="G200" s="213" t="s">
        <v>365</v>
      </c>
      <c r="H200" s="213" t="s">
        <v>552</v>
      </c>
      <c r="I200" s="213"/>
      <c r="J200" s="213" t="s">
        <v>542</v>
      </c>
      <c r="K200" s="213" t="s">
        <v>547</v>
      </c>
      <c r="L200" s="213" t="s">
        <v>563</v>
      </c>
      <c r="M200" s="213"/>
      <c r="N200" s="213"/>
      <c r="O200" s="213"/>
      <c r="P200" s="213"/>
      <c r="Q200" s="213"/>
      <c r="R200" s="213"/>
      <c r="S200" s="213" t="s">
        <v>564</v>
      </c>
      <c r="T200" s="213"/>
      <c r="U200" s="213" t="s">
        <v>538</v>
      </c>
      <c r="V200" s="213">
        <v>2</v>
      </c>
      <c r="W200" s="213" t="s">
        <v>545</v>
      </c>
      <c r="X200" s="213" t="s">
        <v>549</v>
      </c>
      <c r="Y200" s="213" t="s">
        <v>541</v>
      </c>
      <c r="Z200" s="212">
        <v>21788</v>
      </c>
      <c r="AA200" s="212">
        <v>1948660</v>
      </c>
      <c r="AB200" s="217">
        <v>1.728121</v>
      </c>
      <c r="AC200" s="217">
        <v>2.7811460000000001</v>
      </c>
      <c r="AD200" s="212">
        <f t="shared" si="3"/>
        <v>3367520.26786</v>
      </c>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row>
    <row r="201" spans="2:91" s="66" customFormat="1" x14ac:dyDescent="0.15">
      <c r="B201" s="213">
        <v>17031004263</v>
      </c>
      <c r="C201" s="213">
        <v>17031001394</v>
      </c>
      <c r="D201" s="213">
        <v>99999022928</v>
      </c>
      <c r="E201" s="213" t="s">
        <v>533</v>
      </c>
      <c r="F201" s="213" t="s">
        <v>534</v>
      </c>
      <c r="G201" s="213" t="s">
        <v>365</v>
      </c>
      <c r="H201" s="213" t="s">
        <v>551</v>
      </c>
      <c r="I201" s="213"/>
      <c r="J201" s="213"/>
      <c r="K201" s="213"/>
      <c r="L201" s="213"/>
      <c r="M201" s="213"/>
      <c r="N201" s="213"/>
      <c r="O201" s="213"/>
      <c r="P201" s="213"/>
      <c r="Q201" s="213"/>
      <c r="R201" s="213"/>
      <c r="S201" s="213" t="s">
        <v>603</v>
      </c>
      <c r="T201" s="213"/>
      <c r="U201" s="213" t="s">
        <v>538</v>
      </c>
      <c r="V201" s="213">
        <v>2</v>
      </c>
      <c r="W201" s="213" t="s">
        <v>545</v>
      </c>
      <c r="X201" s="213" t="s">
        <v>554</v>
      </c>
      <c r="Y201" s="213" t="s">
        <v>575</v>
      </c>
      <c r="Z201" s="212">
        <v>1457383</v>
      </c>
      <c r="AA201" s="212">
        <v>57277219</v>
      </c>
      <c r="AB201" s="217">
        <v>1.4485E-2</v>
      </c>
      <c r="AC201" s="217">
        <v>2.3310999999999998E-2</v>
      </c>
      <c r="AD201" s="212">
        <f t="shared" si="3"/>
        <v>829660.517215</v>
      </c>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row>
    <row r="202" spans="2:91" s="66" customFormat="1" x14ac:dyDescent="0.15">
      <c r="B202" s="213">
        <v>17031004267</v>
      </c>
      <c r="C202" s="213">
        <v>17031000745</v>
      </c>
      <c r="D202" s="213">
        <v>17031000748</v>
      </c>
      <c r="E202" s="213" t="s">
        <v>533</v>
      </c>
      <c r="F202" s="213" t="s">
        <v>534</v>
      </c>
      <c r="G202" s="213" t="s">
        <v>365</v>
      </c>
      <c r="H202" s="213" t="s">
        <v>571</v>
      </c>
      <c r="I202" s="213"/>
      <c r="J202" s="213" t="s">
        <v>535</v>
      </c>
      <c r="K202" s="213"/>
      <c r="L202" s="213"/>
      <c r="M202" s="213"/>
      <c r="N202" s="213"/>
      <c r="O202" s="213"/>
      <c r="P202" s="213"/>
      <c r="Q202" s="213"/>
      <c r="R202" s="213"/>
      <c r="S202" s="213"/>
      <c r="T202" s="213"/>
      <c r="U202" s="213" t="s">
        <v>538</v>
      </c>
      <c r="V202" s="213">
        <v>1</v>
      </c>
      <c r="W202" s="213" t="s">
        <v>560</v>
      </c>
      <c r="X202" s="213" t="s">
        <v>541</v>
      </c>
      <c r="Y202" s="213" t="s">
        <v>541</v>
      </c>
      <c r="Z202" s="212">
        <v>0</v>
      </c>
      <c r="AA202" s="212">
        <v>0</v>
      </c>
      <c r="AB202" s="217">
        <v>0.17902399999999999</v>
      </c>
      <c r="AC202" s="217">
        <v>0.28811199999999998</v>
      </c>
      <c r="AD202" s="212">
        <f t="shared" si="3"/>
        <v>0</v>
      </c>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row>
    <row r="203" spans="2:91" s="66" customFormat="1" x14ac:dyDescent="0.15">
      <c r="B203" s="213">
        <v>17031004282</v>
      </c>
      <c r="C203" s="213">
        <v>17031000636</v>
      </c>
      <c r="D203" s="213">
        <v>17031000631</v>
      </c>
      <c r="E203" s="213" t="s">
        <v>533</v>
      </c>
      <c r="F203" s="213" t="s">
        <v>534</v>
      </c>
      <c r="G203" s="213" t="s">
        <v>365</v>
      </c>
      <c r="H203" s="213" t="s">
        <v>571</v>
      </c>
      <c r="I203" s="213"/>
      <c r="J203" s="213" t="s">
        <v>535</v>
      </c>
      <c r="K203" s="213" t="s">
        <v>552</v>
      </c>
      <c r="L203" s="213" t="s">
        <v>551</v>
      </c>
      <c r="M203" s="213" t="s">
        <v>563</v>
      </c>
      <c r="N203" s="213"/>
      <c r="O203" s="213"/>
      <c r="P203" s="213"/>
      <c r="Q203" s="213"/>
      <c r="R203" s="213"/>
      <c r="S203" s="213" t="s">
        <v>573</v>
      </c>
      <c r="T203" s="213" t="s">
        <v>612</v>
      </c>
      <c r="U203" s="213" t="s">
        <v>538</v>
      </c>
      <c r="V203" s="213">
        <v>2</v>
      </c>
      <c r="W203" s="213" t="s">
        <v>545</v>
      </c>
      <c r="X203" s="213" t="s">
        <v>554</v>
      </c>
      <c r="Y203" s="213" t="s">
        <v>546</v>
      </c>
      <c r="Z203" s="212">
        <v>135172</v>
      </c>
      <c r="AA203" s="212">
        <v>4660280</v>
      </c>
      <c r="AB203" s="217">
        <v>0.175759</v>
      </c>
      <c r="AC203" s="217">
        <v>0.282858</v>
      </c>
      <c r="AD203" s="212">
        <f t="shared" si="3"/>
        <v>819086.15252</v>
      </c>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row>
    <row r="204" spans="2:91" s="66" customFormat="1" x14ac:dyDescent="0.15">
      <c r="B204" s="213">
        <v>17031004508</v>
      </c>
      <c r="C204" s="213">
        <v>17031000712</v>
      </c>
      <c r="D204" s="213">
        <v>17031000701</v>
      </c>
      <c r="E204" s="213" t="s">
        <v>533</v>
      </c>
      <c r="F204" s="213" t="s">
        <v>534</v>
      </c>
      <c r="G204" s="213" t="s">
        <v>365</v>
      </c>
      <c r="H204" s="213" t="s">
        <v>381</v>
      </c>
      <c r="I204" s="213"/>
      <c r="J204" s="213"/>
      <c r="K204" s="213"/>
      <c r="L204" s="213"/>
      <c r="M204" s="213"/>
      <c r="N204" s="213"/>
      <c r="O204" s="213"/>
      <c r="P204" s="213"/>
      <c r="Q204" s="213"/>
      <c r="R204" s="213"/>
      <c r="S204" s="213"/>
      <c r="T204" s="213"/>
      <c r="U204" s="213" t="s">
        <v>559</v>
      </c>
      <c r="V204" s="213">
        <v>1</v>
      </c>
      <c r="W204" s="213" t="s">
        <v>560</v>
      </c>
      <c r="X204" s="213" t="s">
        <v>541</v>
      </c>
      <c r="Y204" s="213" t="s">
        <v>541</v>
      </c>
      <c r="Z204" s="212">
        <v>0</v>
      </c>
      <c r="AA204" s="212">
        <v>0</v>
      </c>
      <c r="AB204" s="217">
        <v>0.35751100000000002</v>
      </c>
      <c r="AC204" s="217">
        <v>0.57535899999999995</v>
      </c>
      <c r="AD204" s="212">
        <f t="shared" si="3"/>
        <v>0</v>
      </c>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row>
    <row r="205" spans="2:91" s="66" customFormat="1" x14ac:dyDescent="0.15">
      <c r="B205" s="213">
        <v>17031004540</v>
      </c>
      <c r="C205" s="213">
        <v>17031001376</v>
      </c>
      <c r="D205" s="213">
        <v>17031001374</v>
      </c>
      <c r="E205" s="213" t="s">
        <v>533</v>
      </c>
      <c r="F205" s="213" t="s">
        <v>534</v>
      </c>
      <c r="G205" s="213" t="s">
        <v>365</v>
      </c>
      <c r="H205" s="213" t="s">
        <v>382</v>
      </c>
      <c r="I205" s="213"/>
      <c r="J205" s="213" t="s">
        <v>542</v>
      </c>
      <c r="K205" s="213" t="s">
        <v>551</v>
      </c>
      <c r="L205" s="213" t="s">
        <v>555</v>
      </c>
      <c r="M205" s="213" t="s">
        <v>552</v>
      </c>
      <c r="N205" s="213"/>
      <c r="O205" s="213"/>
      <c r="P205" s="213"/>
      <c r="Q205" s="213"/>
      <c r="R205" s="213"/>
      <c r="S205" s="213" t="s">
        <v>556</v>
      </c>
      <c r="T205" s="213"/>
      <c r="U205" s="213" t="s">
        <v>538</v>
      </c>
      <c r="V205" s="213">
        <v>2</v>
      </c>
      <c r="W205" s="213" t="s">
        <v>545</v>
      </c>
      <c r="X205" s="213" t="s">
        <v>540</v>
      </c>
      <c r="Y205" s="213" t="s">
        <v>540</v>
      </c>
      <c r="Z205" s="212">
        <v>52449</v>
      </c>
      <c r="AA205" s="212">
        <v>2652870</v>
      </c>
      <c r="AB205" s="217">
        <v>4.9706E-2</v>
      </c>
      <c r="AC205" s="217">
        <v>7.9993999999999996E-2</v>
      </c>
      <c r="AD205" s="212">
        <f t="shared" si="3"/>
        <v>131863.55622</v>
      </c>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row>
    <row r="206" spans="2:91" s="66" customFormat="1" x14ac:dyDescent="0.15">
      <c r="B206" s="213">
        <v>17031004675</v>
      </c>
      <c r="C206" s="213">
        <v>17031001143</v>
      </c>
      <c r="D206" s="213">
        <v>17031001134</v>
      </c>
      <c r="E206" s="213" t="s">
        <v>533</v>
      </c>
      <c r="F206" s="213" t="s">
        <v>534</v>
      </c>
      <c r="G206" s="213" t="s">
        <v>365</v>
      </c>
      <c r="H206" s="213" t="s">
        <v>543</v>
      </c>
      <c r="I206" s="213"/>
      <c r="J206" s="213" t="s">
        <v>577</v>
      </c>
      <c r="K206" s="213"/>
      <c r="L206" s="213"/>
      <c r="M206" s="213"/>
      <c r="N206" s="213"/>
      <c r="O206" s="213"/>
      <c r="P206" s="213"/>
      <c r="Q206" s="213"/>
      <c r="R206" s="213"/>
      <c r="S206" s="213" t="s">
        <v>656</v>
      </c>
      <c r="T206" s="213" t="s">
        <v>657</v>
      </c>
      <c r="U206" s="213" t="s">
        <v>559</v>
      </c>
      <c r="V206" s="213">
        <v>1</v>
      </c>
      <c r="W206" s="213" t="s">
        <v>560</v>
      </c>
      <c r="X206" s="213" t="s">
        <v>541</v>
      </c>
      <c r="Y206" s="213" t="s">
        <v>541</v>
      </c>
      <c r="Z206" s="212">
        <v>0</v>
      </c>
      <c r="AA206" s="212">
        <v>0</v>
      </c>
      <c r="AB206" s="217">
        <v>0.30999599999999999</v>
      </c>
      <c r="AC206" s="217">
        <v>0.49889099999999997</v>
      </c>
      <c r="AD206" s="212">
        <f t="shared" si="3"/>
        <v>0</v>
      </c>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row>
    <row r="207" spans="2:91" s="66" customFormat="1" x14ac:dyDescent="0.15">
      <c r="B207" s="213">
        <v>17031004679</v>
      </c>
      <c r="C207" s="213">
        <v>17031001208</v>
      </c>
      <c r="D207" s="213">
        <v>17031001172</v>
      </c>
      <c r="E207" s="213" t="s">
        <v>533</v>
      </c>
      <c r="F207" s="213" t="s">
        <v>534</v>
      </c>
      <c r="G207" s="213" t="s">
        <v>365</v>
      </c>
      <c r="H207" s="213" t="s">
        <v>627</v>
      </c>
      <c r="I207" s="213"/>
      <c r="J207" s="213"/>
      <c r="K207" s="213"/>
      <c r="L207" s="213"/>
      <c r="M207" s="213"/>
      <c r="N207" s="213"/>
      <c r="O207" s="213"/>
      <c r="P207" s="213"/>
      <c r="Q207" s="213"/>
      <c r="R207" s="213"/>
      <c r="S207" s="213"/>
      <c r="T207" s="213"/>
      <c r="U207" s="213" t="s">
        <v>538</v>
      </c>
      <c r="V207" s="213">
        <v>1</v>
      </c>
      <c r="W207" s="213" t="s">
        <v>545</v>
      </c>
      <c r="X207" s="213" t="s">
        <v>554</v>
      </c>
      <c r="Y207" s="213" t="s">
        <v>541</v>
      </c>
      <c r="Z207" s="212">
        <v>0</v>
      </c>
      <c r="AA207" s="212">
        <v>0</v>
      </c>
      <c r="AB207" s="217">
        <v>5.9547999999999997E-2</v>
      </c>
      <c r="AC207" s="217">
        <v>9.5834000000000003E-2</v>
      </c>
      <c r="AD207" s="212">
        <f t="shared" si="3"/>
        <v>0</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row>
    <row r="208" spans="2:91" s="66" customFormat="1" x14ac:dyDescent="0.15">
      <c r="B208" s="213">
        <v>17031004836</v>
      </c>
      <c r="C208" s="213">
        <v>17031001199</v>
      </c>
      <c r="D208" s="213">
        <v>17031001213</v>
      </c>
      <c r="E208" s="213" t="s">
        <v>533</v>
      </c>
      <c r="F208" s="213" t="s">
        <v>534</v>
      </c>
      <c r="G208" s="213" t="s">
        <v>365</v>
      </c>
      <c r="H208" s="213" t="s">
        <v>577</v>
      </c>
      <c r="I208" s="213"/>
      <c r="J208" s="213"/>
      <c r="K208" s="213"/>
      <c r="L208" s="213"/>
      <c r="M208" s="213"/>
      <c r="N208" s="213"/>
      <c r="O208" s="213"/>
      <c r="P208" s="213"/>
      <c r="Q208" s="213"/>
      <c r="R208" s="213"/>
      <c r="S208" s="213"/>
      <c r="T208" s="213"/>
      <c r="U208" s="213" t="s">
        <v>559</v>
      </c>
      <c r="V208" s="213">
        <v>1</v>
      </c>
      <c r="W208" s="213" t="s">
        <v>560</v>
      </c>
      <c r="X208" s="213" t="s">
        <v>541</v>
      </c>
      <c r="Y208" s="213" t="s">
        <v>541</v>
      </c>
      <c r="Z208" s="212">
        <v>0</v>
      </c>
      <c r="AA208" s="212">
        <v>0</v>
      </c>
      <c r="AB208" s="217">
        <v>0.42548399999999997</v>
      </c>
      <c r="AC208" s="217">
        <v>0.684751</v>
      </c>
      <c r="AD208" s="212">
        <f t="shared" si="3"/>
        <v>0</v>
      </c>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row>
    <row r="209" spans="1:91" s="66" customFormat="1" x14ac:dyDescent="0.15">
      <c r="B209" s="213">
        <v>17031004883</v>
      </c>
      <c r="C209" s="213">
        <v>17031001253</v>
      </c>
      <c r="D209" s="213">
        <v>17031001257</v>
      </c>
      <c r="E209" s="213" t="s">
        <v>533</v>
      </c>
      <c r="F209" s="213" t="s">
        <v>534</v>
      </c>
      <c r="G209" s="213" t="s">
        <v>365</v>
      </c>
      <c r="H209" s="213" t="s">
        <v>613</v>
      </c>
      <c r="I209" s="213"/>
      <c r="J209" s="213" t="s">
        <v>577</v>
      </c>
      <c r="K209" s="213" t="s">
        <v>572</v>
      </c>
      <c r="L209" s="213"/>
      <c r="M209" s="213"/>
      <c r="N209" s="213"/>
      <c r="O209" s="213"/>
      <c r="P209" s="213"/>
      <c r="Q209" s="213"/>
      <c r="R209" s="213"/>
      <c r="S209" s="213"/>
      <c r="T209" s="213"/>
      <c r="U209" s="213" t="s">
        <v>559</v>
      </c>
      <c r="V209" s="213">
        <v>1</v>
      </c>
      <c r="W209" s="213" t="s">
        <v>560</v>
      </c>
      <c r="X209" s="213" t="s">
        <v>541</v>
      </c>
      <c r="Y209" s="213" t="s">
        <v>541</v>
      </c>
      <c r="Z209" s="212">
        <v>0</v>
      </c>
      <c r="AA209" s="212">
        <v>0</v>
      </c>
      <c r="AB209" s="217">
        <v>9.9544999999999995E-2</v>
      </c>
      <c r="AC209" s="217">
        <v>0.16020200000000001</v>
      </c>
      <c r="AD209" s="212">
        <f t="shared" si="3"/>
        <v>0</v>
      </c>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row>
    <row r="210" spans="1:91" s="66" customFormat="1" x14ac:dyDescent="0.15">
      <c r="B210" s="213">
        <v>17031004887</v>
      </c>
      <c r="C210" s="213">
        <v>17031001285</v>
      </c>
      <c r="D210" s="213">
        <v>17031001313</v>
      </c>
      <c r="E210" s="213" t="s">
        <v>533</v>
      </c>
      <c r="F210" s="213" t="s">
        <v>534</v>
      </c>
      <c r="G210" s="213" t="s">
        <v>365</v>
      </c>
      <c r="H210" s="213" t="s">
        <v>551</v>
      </c>
      <c r="I210" s="213"/>
      <c r="J210" s="213"/>
      <c r="K210" s="213"/>
      <c r="L210" s="213"/>
      <c r="M210" s="213"/>
      <c r="N210" s="213"/>
      <c r="O210" s="213"/>
      <c r="P210" s="213"/>
      <c r="Q210" s="213"/>
      <c r="R210" s="213"/>
      <c r="S210" s="213" t="s">
        <v>614</v>
      </c>
      <c r="T210" s="213"/>
      <c r="U210" s="213" t="s">
        <v>559</v>
      </c>
      <c r="V210" s="213">
        <v>1</v>
      </c>
      <c r="W210" s="213" t="s">
        <v>560</v>
      </c>
      <c r="X210" s="213" t="s">
        <v>541</v>
      </c>
      <c r="Y210" s="213" t="s">
        <v>541</v>
      </c>
      <c r="Z210" s="212">
        <v>0</v>
      </c>
      <c r="AA210" s="212">
        <v>0</v>
      </c>
      <c r="AB210" s="217">
        <v>0.71516400000000002</v>
      </c>
      <c r="AC210" s="217">
        <v>1.1509469999999999</v>
      </c>
      <c r="AD210" s="212">
        <f t="shared" si="3"/>
        <v>0</v>
      </c>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row>
    <row r="211" spans="1:91" s="66" customFormat="1" x14ac:dyDescent="0.15">
      <c r="B211" s="213">
        <v>17031004989</v>
      </c>
      <c r="C211" s="213">
        <v>17031001393</v>
      </c>
      <c r="D211" s="213">
        <v>17031001386</v>
      </c>
      <c r="E211" s="213" t="s">
        <v>533</v>
      </c>
      <c r="F211" s="213" t="s">
        <v>534</v>
      </c>
      <c r="G211" s="213" t="s">
        <v>365</v>
      </c>
      <c r="H211" s="213" t="s">
        <v>551</v>
      </c>
      <c r="I211" s="213"/>
      <c r="J211" s="213" t="s">
        <v>557</v>
      </c>
      <c r="K211" s="213"/>
      <c r="L211" s="213"/>
      <c r="M211" s="213"/>
      <c r="N211" s="213"/>
      <c r="O211" s="213"/>
      <c r="P211" s="213"/>
      <c r="Q211" s="213"/>
      <c r="R211" s="213"/>
      <c r="S211" s="213" t="s">
        <v>603</v>
      </c>
      <c r="T211" s="213"/>
      <c r="U211" s="213" t="s">
        <v>538</v>
      </c>
      <c r="V211" s="213">
        <v>1</v>
      </c>
      <c r="W211" s="213" t="s">
        <v>545</v>
      </c>
      <c r="X211" s="213" t="s">
        <v>554</v>
      </c>
      <c r="Y211" s="213" t="s">
        <v>575</v>
      </c>
      <c r="Z211" s="212">
        <v>0</v>
      </c>
      <c r="AA211" s="212">
        <v>0</v>
      </c>
      <c r="AB211" s="217">
        <v>0.10864</v>
      </c>
      <c r="AC211" s="217">
        <v>0.17484</v>
      </c>
      <c r="AD211" s="212">
        <f t="shared" si="3"/>
        <v>0</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row>
    <row r="212" spans="1:91" s="66" customFormat="1" x14ac:dyDescent="0.15">
      <c r="B212" s="213">
        <v>17031005057</v>
      </c>
      <c r="C212" s="213">
        <v>17031001551</v>
      </c>
      <c r="D212" s="213">
        <v>17031001547</v>
      </c>
      <c r="E212" s="213" t="s">
        <v>533</v>
      </c>
      <c r="F212" s="213" t="s">
        <v>534</v>
      </c>
      <c r="G212" s="213" t="s">
        <v>365</v>
      </c>
      <c r="H212" s="213" t="s">
        <v>382</v>
      </c>
      <c r="I212" s="213"/>
      <c r="J212" s="213"/>
      <c r="K212" s="213"/>
      <c r="L212" s="213"/>
      <c r="M212" s="213"/>
      <c r="N212" s="213"/>
      <c r="O212" s="213"/>
      <c r="P212" s="213"/>
      <c r="Q212" s="213"/>
      <c r="R212" s="213"/>
      <c r="S212" s="213" t="s">
        <v>576</v>
      </c>
      <c r="T212" s="213"/>
      <c r="U212" s="213" t="s">
        <v>559</v>
      </c>
      <c r="V212" s="213">
        <v>1</v>
      </c>
      <c r="W212" s="213" t="s">
        <v>560</v>
      </c>
      <c r="X212" s="213" t="s">
        <v>541</v>
      </c>
      <c r="Y212" s="213" t="s">
        <v>541</v>
      </c>
      <c r="Z212" s="212">
        <v>0</v>
      </c>
      <c r="AA212" s="212">
        <v>0</v>
      </c>
      <c r="AB212" s="217">
        <v>6.3673999999999994E-2</v>
      </c>
      <c r="AC212" s="217">
        <v>0.102474</v>
      </c>
      <c r="AD212" s="212">
        <f t="shared" si="3"/>
        <v>0</v>
      </c>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row>
    <row r="213" spans="1:91" s="66" customFormat="1" x14ac:dyDescent="0.15">
      <c r="B213" s="213">
        <v>17031005080</v>
      </c>
      <c r="C213" s="213">
        <v>17031001324</v>
      </c>
      <c r="D213" s="213">
        <v>17031001346</v>
      </c>
      <c r="E213" s="213" t="s">
        <v>533</v>
      </c>
      <c r="F213" s="213" t="s">
        <v>534</v>
      </c>
      <c r="G213" s="213" t="s">
        <v>365</v>
      </c>
      <c r="H213" s="213" t="s">
        <v>543</v>
      </c>
      <c r="I213" s="213"/>
      <c r="J213" s="213"/>
      <c r="K213" s="213"/>
      <c r="L213" s="213"/>
      <c r="M213" s="213"/>
      <c r="N213" s="213"/>
      <c r="O213" s="213"/>
      <c r="P213" s="213"/>
      <c r="Q213" s="213"/>
      <c r="R213" s="213"/>
      <c r="S213" s="213"/>
      <c r="T213" s="213" t="s">
        <v>669</v>
      </c>
      <c r="U213" s="213" t="s">
        <v>559</v>
      </c>
      <c r="V213" s="213">
        <v>1</v>
      </c>
      <c r="W213" s="213" t="s">
        <v>560</v>
      </c>
      <c r="X213" s="213" t="s">
        <v>541</v>
      </c>
      <c r="Y213" s="213" t="s">
        <v>541</v>
      </c>
      <c r="Z213" s="212">
        <v>0</v>
      </c>
      <c r="AA213" s="212">
        <v>0</v>
      </c>
      <c r="AB213" s="217">
        <v>7.7465999999999993E-2</v>
      </c>
      <c r="AC213" s="217">
        <v>0.124669</v>
      </c>
      <c r="AD213" s="212">
        <f t="shared" si="3"/>
        <v>0</v>
      </c>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row>
    <row r="214" spans="1:91" s="66" customFormat="1" x14ac:dyDescent="0.15">
      <c r="B214" s="213">
        <v>17031005159</v>
      </c>
      <c r="C214" s="213">
        <v>17031000585</v>
      </c>
      <c r="D214" s="213">
        <v>17031004742</v>
      </c>
      <c r="E214" s="213" t="s">
        <v>533</v>
      </c>
      <c r="F214" s="213" t="s">
        <v>534</v>
      </c>
      <c r="G214" s="213" t="s">
        <v>365</v>
      </c>
      <c r="H214" s="213" t="s">
        <v>547</v>
      </c>
      <c r="I214" s="213"/>
      <c r="J214" s="213" t="s">
        <v>627</v>
      </c>
      <c r="K214" s="213"/>
      <c r="L214" s="213"/>
      <c r="M214" s="213"/>
      <c r="N214" s="213"/>
      <c r="O214" s="213"/>
      <c r="P214" s="213"/>
      <c r="Q214" s="213"/>
      <c r="R214" s="213"/>
      <c r="S214" s="213"/>
      <c r="T214" s="213"/>
      <c r="U214" s="213" t="s">
        <v>538</v>
      </c>
      <c r="V214" s="213">
        <v>4</v>
      </c>
      <c r="W214" s="213" t="s">
        <v>545</v>
      </c>
      <c r="X214" s="213" t="s">
        <v>554</v>
      </c>
      <c r="Y214" s="213" t="s">
        <v>541</v>
      </c>
      <c r="Z214" s="212">
        <v>0</v>
      </c>
      <c r="AA214" s="212">
        <v>0</v>
      </c>
      <c r="AB214" s="217">
        <v>0.66449000000000003</v>
      </c>
      <c r="AC214" s="217">
        <v>1.0693950000000001</v>
      </c>
      <c r="AD214" s="212">
        <f t="shared" si="3"/>
        <v>0</v>
      </c>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row>
    <row r="215" spans="1:91" x14ac:dyDescent="0.15">
      <c r="A215" s="66"/>
      <c r="B215" s="213">
        <v>17031005307</v>
      </c>
      <c r="C215" s="213">
        <v>17031001381</v>
      </c>
      <c r="D215" s="213">
        <v>17031001393</v>
      </c>
      <c r="E215" s="213" t="s">
        <v>533</v>
      </c>
      <c r="F215" s="213" t="s">
        <v>534</v>
      </c>
      <c r="G215" s="213" t="s">
        <v>365</v>
      </c>
      <c r="H215" s="213" t="s">
        <v>543</v>
      </c>
      <c r="I215" s="213"/>
      <c r="J215" s="213" t="s">
        <v>557</v>
      </c>
      <c r="K215" s="213"/>
      <c r="L215" s="213"/>
      <c r="M215" s="213"/>
      <c r="N215" s="213"/>
      <c r="O215" s="213"/>
      <c r="P215" s="213"/>
      <c r="Q215" s="213"/>
      <c r="R215" s="213"/>
      <c r="S215" s="213" t="s">
        <v>558</v>
      </c>
      <c r="T215" s="213"/>
      <c r="U215" s="213" t="s">
        <v>559</v>
      </c>
      <c r="V215" s="213">
        <v>1</v>
      </c>
      <c r="W215" s="213" t="s">
        <v>560</v>
      </c>
      <c r="X215" s="213" t="s">
        <v>541</v>
      </c>
      <c r="Y215" s="213" t="s">
        <v>541</v>
      </c>
      <c r="Z215" s="212">
        <v>0</v>
      </c>
      <c r="AA215" s="212">
        <v>0</v>
      </c>
      <c r="AB215" s="217">
        <v>0.13320399999999999</v>
      </c>
      <c r="AC215" s="217">
        <v>0.21437100000000001</v>
      </c>
      <c r="AD215" s="212">
        <f t="shared" si="3"/>
        <v>0</v>
      </c>
    </row>
    <row r="216" spans="1:91" x14ac:dyDescent="0.15">
      <c r="A216" s="66"/>
      <c r="B216" s="213">
        <v>17031005311</v>
      </c>
      <c r="C216" s="213">
        <v>17031001516</v>
      </c>
      <c r="D216" s="213">
        <v>17031001518</v>
      </c>
      <c r="E216" s="213" t="s">
        <v>533</v>
      </c>
      <c r="F216" s="213" t="s">
        <v>534</v>
      </c>
      <c r="G216" s="213" t="s">
        <v>365</v>
      </c>
      <c r="H216" s="213" t="s">
        <v>382</v>
      </c>
      <c r="I216" s="213"/>
      <c r="J216" s="213"/>
      <c r="K216" s="213"/>
      <c r="L216" s="213"/>
      <c r="M216" s="213"/>
      <c r="N216" s="213"/>
      <c r="O216" s="213"/>
      <c r="P216" s="213"/>
      <c r="Q216" s="213"/>
      <c r="R216" s="213"/>
      <c r="S216" s="213" t="s">
        <v>576</v>
      </c>
      <c r="T216" s="213"/>
      <c r="U216" s="213" t="s">
        <v>559</v>
      </c>
      <c r="V216" s="213">
        <v>1</v>
      </c>
      <c r="W216" s="213" t="s">
        <v>560</v>
      </c>
      <c r="X216" s="213" t="s">
        <v>541</v>
      </c>
      <c r="Y216" s="213" t="s">
        <v>541</v>
      </c>
      <c r="Z216" s="212">
        <v>0</v>
      </c>
      <c r="AA216" s="212">
        <v>0</v>
      </c>
      <c r="AB216" s="217">
        <v>0.144812</v>
      </c>
      <c r="AC216" s="217">
        <v>0.23305200000000001</v>
      </c>
      <c r="AD216" s="212">
        <f t="shared" si="3"/>
        <v>0</v>
      </c>
    </row>
    <row r="217" spans="1:91" x14ac:dyDescent="0.15">
      <c r="A217" s="66"/>
      <c r="B217" s="213">
        <v>17031005330</v>
      </c>
      <c r="C217" s="213">
        <v>17031001547</v>
      </c>
      <c r="D217" s="213">
        <v>17031001548</v>
      </c>
      <c r="E217" s="213" t="s">
        <v>533</v>
      </c>
      <c r="F217" s="213" t="s">
        <v>534</v>
      </c>
      <c r="G217" s="213" t="s">
        <v>365</v>
      </c>
      <c r="H217" s="213" t="s">
        <v>382</v>
      </c>
      <c r="I217" s="213"/>
      <c r="J217" s="213"/>
      <c r="K217" s="213"/>
      <c r="L217" s="213"/>
      <c r="M217" s="213"/>
      <c r="N217" s="213"/>
      <c r="O217" s="213"/>
      <c r="P217" s="213"/>
      <c r="Q217" s="213"/>
      <c r="R217" s="213"/>
      <c r="S217" s="213" t="s">
        <v>576</v>
      </c>
      <c r="T217" s="213"/>
      <c r="U217" s="213" t="s">
        <v>559</v>
      </c>
      <c r="V217" s="213">
        <v>1</v>
      </c>
      <c r="W217" s="213" t="s">
        <v>560</v>
      </c>
      <c r="X217" s="213" t="s">
        <v>541</v>
      </c>
      <c r="Y217" s="213" t="s">
        <v>541</v>
      </c>
      <c r="Z217" s="212">
        <v>0</v>
      </c>
      <c r="AA217" s="212">
        <v>0</v>
      </c>
      <c r="AB217" s="217">
        <v>0.195934</v>
      </c>
      <c r="AC217" s="217">
        <v>0.315326</v>
      </c>
      <c r="AD217" s="212">
        <f t="shared" si="3"/>
        <v>0</v>
      </c>
    </row>
    <row r="218" spans="1:91" x14ac:dyDescent="0.15">
      <c r="A218" s="66"/>
      <c r="B218" s="213">
        <v>17031005338</v>
      </c>
      <c r="C218" s="213">
        <v>17031000327</v>
      </c>
      <c r="D218" s="213">
        <v>17031000325</v>
      </c>
      <c r="E218" s="213" t="s">
        <v>533</v>
      </c>
      <c r="F218" s="213" t="s">
        <v>534</v>
      </c>
      <c r="G218" s="213" t="s">
        <v>365</v>
      </c>
      <c r="H218" s="213" t="s">
        <v>590</v>
      </c>
      <c r="I218" s="213"/>
      <c r="J218" s="213"/>
      <c r="K218" s="213"/>
      <c r="L218" s="213"/>
      <c r="M218" s="213"/>
      <c r="N218" s="213"/>
      <c r="O218" s="213"/>
      <c r="P218" s="213"/>
      <c r="Q218" s="213"/>
      <c r="R218" s="213"/>
      <c r="S218" s="213"/>
      <c r="T218" s="213"/>
      <c r="U218" s="213" t="s">
        <v>559</v>
      </c>
      <c r="V218" s="213">
        <v>1</v>
      </c>
      <c r="W218" s="213" t="s">
        <v>560</v>
      </c>
      <c r="X218" s="213" t="s">
        <v>541</v>
      </c>
      <c r="Y218" s="213" t="s">
        <v>541</v>
      </c>
      <c r="Z218" s="212">
        <v>0</v>
      </c>
      <c r="AA218" s="212">
        <v>0</v>
      </c>
      <c r="AB218" s="217">
        <v>6.4187999999999995E-2</v>
      </c>
      <c r="AC218" s="217">
        <v>0.1033</v>
      </c>
      <c r="AD218" s="212">
        <f t="shared" si="3"/>
        <v>0</v>
      </c>
    </row>
    <row r="219" spans="1:91" x14ac:dyDescent="0.15">
      <c r="A219" s="66"/>
      <c r="B219" s="213">
        <v>17031005363</v>
      </c>
      <c r="C219" s="213">
        <v>17031001380</v>
      </c>
      <c r="D219" s="213">
        <v>17031001387</v>
      </c>
      <c r="E219" s="213" t="s">
        <v>533</v>
      </c>
      <c r="F219" s="213" t="s">
        <v>534</v>
      </c>
      <c r="G219" s="213" t="s">
        <v>365</v>
      </c>
      <c r="H219" s="213" t="s">
        <v>557</v>
      </c>
      <c r="I219" s="213"/>
      <c r="J219" s="213"/>
      <c r="K219" s="213"/>
      <c r="L219" s="213"/>
      <c r="M219" s="213"/>
      <c r="N219" s="213"/>
      <c r="O219" s="213"/>
      <c r="P219" s="213"/>
      <c r="Q219" s="213"/>
      <c r="R219" s="213"/>
      <c r="S219" s="213" t="s">
        <v>567</v>
      </c>
      <c r="T219" s="213"/>
      <c r="U219" s="213" t="s">
        <v>559</v>
      </c>
      <c r="V219" s="213">
        <v>1</v>
      </c>
      <c r="W219" s="213" t="s">
        <v>560</v>
      </c>
      <c r="X219" s="213" t="s">
        <v>541</v>
      </c>
      <c r="Y219" s="213" t="s">
        <v>541</v>
      </c>
      <c r="Z219" s="212">
        <v>40</v>
      </c>
      <c r="AA219" s="212">
        <v>3520</v>
      </c>
      <c r="AB219" s="217">
        <v>0.23732200000000001</v>
      </c>
      <c r="AC219" s="217">
        <v>0.381934</v>
      </c>
      <c r="AD219" s="212">
        <f t="shared" si="3"/>
        <v>835.37344000000007</v>
      </c>
    </row>
    <row r="220" spans="1:91" x14ac:dyDescent="0.15">
      <c r="A220" s="66"/>
      <c r="B220" s="213">
        <v>17031005364</v>
      </c>
      <c r="C220" s="213">
        <v>17031001141</v>
      </c>
      <c r="D220" s="213">
        <v>17031001184</v>
      </c>
      <c r="E220" s="213" t="s">
        <v>533</v>
      </c>
      <c r="F220" s="213" t="s">
        <v>534</v>
      </c>
      <c r="G220" s="213" t="s">
        <v>365</v>
      </c>
      <c r="H220" s="213" t="s">
        <v>543</v>
      </c>
      <c r="I220" s="213"/>
      <c r="J220" s="213"/>
      <c r="K220" s="213"/>
      <c r="L220" s="213"/>
      <c r="M220" s="213"/>
      <c r="N220" s="213"/>
      <c r="O220" s="213"/>
      <c r="P220" s="213"/>
      <c r="Q220" s="213"/>
      <c r="R220" s="213"/>
      <c r="S220" s="213" t="s">
        <v>604</v>
      </c>
      <c r="T220" s="213" t="s">
        <v>623</v>
      </c>
      <c r="U220" s="213" t="s">
        <v>538</v>
      </c>
      <c r="V220" s="213">
        <v>1</v>
      </c>
      <c r="W220" s="213" t="s">
        <v>545</v>
      </c>
      <c r="X220" s="213" t="s">
        <v>554</v>
      </c>
      <c r="Y220" s="213" t="s">
        <v>546</v>
      </c>
      <c r="Z220" s="212">
        <v>4872</v>
      </c>
      <c r="AA220" s="212">
        <v>434024</v>
      </c>
      <c r="AB220" s="217">
        <v>1.1110949999999999</v>
      </c>
      <c r="AC220" s="217">
        <v>1.788138</v>
      </c>
      <c r="AD220" s="212">
        <f t="shared" si="3"/>
        <v>482241.89627999999</v>
      </c>
    </row>
    <row r="221" spans="1:91" x14ac:dyDescent="0.15">
      <c r="A221" s="66"/>
      <c r="B221" s="213">
        <v>17031005370</v>
      </c>
      <c r="C221" s="213">
        <v>17031001154</v>
      </c>
      <c r="D221" s="213">
        <v>17031004727</v>
      </c>
      <c r="E221" s="213" t="s">
        <v>533</v>
      </c>
      <c r="F221" s="213" t="s">
        <v>534</v>
      </c>
      <c r="G221" s="213" t="s">
        <v>365</v>
      </c>
      <c r="H221" s="213" t="s">
        <v>557</v>
      </c>
      <c r="I221" s="213"/>
      <c r="J221" s="213" t="s">
        <v>381</v>
      </c>
      <c r="K221" s="213" t="s">
        <v>535</v>
      </c>
      <c r="L221" s="213" t="s">
        <v>552</v>
      </c>
      <c r="M221" s="213" t="s">
        <v>551</v>
      </c>
      <c r="N221" s="213" t="s">
        <v>543</v>
      </c>
      <c r="O221" s="213" t="s">
        <v>382</v>
      </c>
      <c r="P221" s="213"/>
      <c r="Q221" s="213"/>
      <c r="R221" s="213"/>
      <c r="S221" s="213" t="s">
        <v>570</v>
      </c>
      <c r="T221" s="213"/>
      <c r="U221" s="213" t="s">
        <v>538</v>
      </c>
      <c r="V221" s="213">
        <v>2</v>
      </c>
      <c r="W221" s="213" t="s">
        <v>545</v>
      </c>
      <c r="X221" s="213" t="s">
        <v>540</v>
      </c>
      <c r="Y221" s="213" t="s">
        <v>575</v>
      </c>
      <c r="Z221" s="212">
        <v>884124</v>
      </c>
      <c r="AA221" s="212">
        <v>56597367</v>
      </c>
      <c r="AB221" s="217">
        <v>0.31860899999999998</v>
      </c>
      <c r="AC221" s="217">
        <v>0.51275300000000001</v>
      </c>
      <c r="AD221" s="212">
        <f t="shared" si="3"/>
        <v>18032430.502503</v>
      </c>
    </row>
    <row r="222" spans="1:91" x14ac:dyDescent="0.15">
      <c r="A222" s="66"/>
      <c r="B222" s="213">
        <v>17031005454</v>
      </c>
      <c r="C222" s="213">
        <v>17031007811</v>
      </c>
      <c r="D222" s="213">
        <v>17031007812</v>
      </c>
      <c r="E222" s="213" t="s">
        <v>533</v>
      </c>
      <c r="F222" s="213" t="s">
        <v>534</v>
      </c>
      <c r="G222" s="213" t="s">
        <v>365</v>
      </c>
      <c r="H222" s="213" t="s">
        <v>613</v>
      </c>
      <c r="I222" s="213"/>
      <c r="J222" s="213" t="s">
        <v>577</v>
      </c>
      <c r="K222" s="213" t="s">
        <v>572</v>
      </c>
      <c r="L222" s="213"/>
      <c r="M222" s="213"/>
      <c r="N222" s="213"/>
      <c r="O222" s="213"/>
      <c r="P222" s="213"/>
      <c r="Q222" s="213"/>
      <c r="R222" s="213"/>
      <c r="S222" s="213"/>
      <c r="T222" s="213"/>
      <c r="U222" s="213" t="s">
        <v>559</v>
      </c>
      <c r="V222" s="213">
        <v>1</v>
      </c>
      <c r="W222" s="213" t="s">
        <v>560</v>
      </c>
      <c r="X222" s="213" t="s">
        <v>541</v>
      </c>
      <c r="Y222" s="213" t="s">
        <v>541</v>
      </c>
      <c r="Z222" s="212">
        <v>0</v>
      </c>
      <c r="AA222" s="212">
        <v>0</v>
      </c>
      <c r="AB222" s="217">
        <v>0.415103</v>
      </c>
      <c r="AC222" s="217">
        <v>0.668045</v>
      </c>
      <c r="AD222" s="212">
        <f t="shared" si="3"/>
        <v>0</v>
      </c>
    </row>
    <row r="223" spans="1:91" x14ac:dyDescent="0.15">
      <c r="A223" s="66"/>
      <c r="B223" s="213">
        <v>17031005469</v>
      </c>
      <c r="C223" s="213">
        <v>17031000981</v>
      </c>
      <c r="D223" s="213">
        <v>17031000969</v>
      </c>
      <c r="E223" s="213" t="s">
        <v>533</v>
      </c>
      <c r="F223" s="213" t="s">
        <v>534</v>
      </c>
      <c r="G223" s="213" t="s">
        <v>365</v>
      </c>
      <c r="H223" s="213" t="s">
        <v>571</v>
      </c>
      <c r="I223" s="213"/>
      <c r="J223" s="213" t="s">
        <v>381</v>
      </c>
      <c r="K223" s="213" t="s">
        <v>535</v>
      </c>
      <c r="L223" s="213" t="s">
        <v>552</v>
      </c>
      <c r="M223" s="213" t="s">
        <v>572</v>
      </c>
      <c r="N223" s="213" t="s">
        <v>551</v>
      </c>
      <c r="O223" s="213" t="s">
        <v>555</v>
      </c>
      <c r="P223" s="213" t="s">
        <v>543</v>
      </c>
      <c r="Q223" s="213" t="s">
        <v>382</v>
      </c>
      <c r="R223" s="213" t="s">
        <v>563</v>
      </c>
      <c r="S223" s="213" t="s">
        <v>605</v>
      </c>
      <c r="T223" s="213" t="s">
        <v>574</v>
      </c>
      <c r="U223" s="213" t="s">
        <v>538</v>
      </c>
      <c r="V223" s="213">
        <v>2</v>
      </c>
      <c r="W223" s="213" t="s">
        <v>545</v>
      </c>
      <c r="X223" s="213" t="s">
        <v>554</v>
      </c>
      <c r="Y223" s="213" t="s">
        <v>575</v>
      </c>
      <c r="Z223" s="212">
        <v>268203</v>
      </c>
      <c r="AA223" s="212">
        <v>14969329</v>
      </c>
      <c r="AB223" s="217">
        <v>0.67534899999999998</v>
      </c>
      <c r="AC223" s="217">
        <v>1.0868720000000001</v>
      </c>
      <c r="AD223" s="212">
        <f t="shared" si="3"/>
        <v>10109521.370820999</v>
      </c>
    </row>
    <row r="224" spans="1:91" x14ac:dyDescent="0.15">
      <c r="A224" s="66"/>
      <c r="B224" s="213">
        <v>17031005480</v>
      </c>
      <c r="C224" s="213">
        <v>17031004732</v>
      </c>
      <c r="D224" s="213">
        <v>17031000985</v>
      </c>
      <c r="E224" s="213" t="s">
        <v>533</v>
      </c>
      <c r="F224" s="213" t="s">
        <v>534</v>
      </c>
      <c r="G224" s="213" t="s">
        <v>365</v>
      </c>
      <c r="H224" s="213" t="s">
        <v>571</v>
      </c>
      <c r="I224" s="213"/>
      <c r="J224" s="213" t="s">
        <v>381</v>
      </c>
      <c r="K224" s="213" t="s">
        <v>535</v>
      </c>
      <c r="L224" s="213" t="s">
        <v>552</v>
      </c>
      <c r="M224" s="213" t="s">
        <v>551</v>
      </c>
      <c r="N224" s="213" t="s">
        <v>382</v>
      </c>
      <c r="O224" s="213"/>
      <c r="P224" s="213"/>
      <c r="Q224" s="213"/>
      <c r="R224" s="213"/>
      <c r="S224" s="213"/>
      <c r="T224" s="213" t="s">
        <v>574</v>
      </c>
      <c r="U224" s="213" t="s">
        <v>559</v>
      </c>
      <c r="V224" s="213">
        <v>1</v>
      </c>
      <c r="W224" s="213" t="s">
        <v>560</v>
      </c>
      <c r="X224" s="213" t="s">
        <v>541</v>
      </c>
      <c r="Y224" s="213" t="s">
        <v>541</v>
      </c>
      <c r="Z224" s="212">
        <v>0</v>
      </c>
      <c r="AA224" s="212">
        <v>0</v>
      </c>
      <c r="AB224" s="217">
        <v>0.26659500000000003</v>
      </c>
      <c r="AC224" s="217">
        <v>0.42904399999999998</v>
      </c>
      <c r="AD224" s="212">
        <f t="shared" si="3"/>
        <v>0</v>
      </c>
    </row>
    <row r="225" spans="1:30" x14ac:dyDescent="0.15">
      <c r="A225" s="66"/>
      <c r="B225" s="213">
        <v>17031005484</v>
      </c>
      <c r="C225" s="213">
        <v>17031007121</v>
      </c>
      <c r="D225" s="213">
        <v>17031001008</v>
      </c>
      <c r="E225" s="213" t="s">
        <v>533</v>
      </c>
      <c r="F225" s="213" t="s">
        <v>534</v>
      </c>
      <c r="G225" s="213" t="s">
        <v>365</v>
      </c>
      <c r="H225" s="213" t="s">
        <v>571</v>
      </c>
      <c r="I225" s="213"/>
      <c r="J225" s="213" t="s">
        <v>381</v>
      </c>
      <c r="K225" s="213" t="s">
        <v>535</v>
      </c>
      <c r="L225" s="213" t="s">
        <v>552</v>
      </c>
      <c r="M225" s="213" t="s">
        <v>551</v>
      </c>
      <c r="N225" s="213" t="s">
        <v>382</v>
      </c>
      <c r="O225" s="213"/>
      <c r="P225" s="213"/>
      <c r="Q225" s="213"/>
      <c r="R225" s="213"/>
      <c r="S225" s="213"/>
      <c r="T225" s="213" t="s">
        <v>574</v>
      </c>
      <c r="U225" s="213" t="s">
        <v>559</v>
      </c>
      <c r="V225" s="213">
        <v>1</v>
      </c>
      <c r="W225" s="213" t="s">
        <v>560</v>
      </c>
      <c r="X225" s="213" t="s">
        <v>541</v>
      </c>
      <c r="Y225" s="213" t="s">
        <v>541</v>
      </c>
      <c r="Z225" s="212">
        <v>0</v>
      </c>
      <c r="AA225" s="212">
        <v>0</v>
      </c>
      <c r="AB225" s="217">
        <v>0.41309600000000002</v>
      </c>
      <c r="AC225" s="217">
        <v>0.66481400000000002</v>
      </c>
      <c r="AD225" s="212">
        <f t="shared" si="3"/>
        <v>0</v>
      </c>
    </row>
    <row r="226" spans="1:30" x14ac:dyDescent="0.15">
      <c r="A226" s="66"/>
      <c r="B226" s="213">
        <v>17031005509</v>
      </c>
      <c r="C226" s="213">
        <v>17031000662</v>
      </c>
      <c r="D226" s="213">
        <v>17031000638</v>
      </c>
      <c r="E226" s="213" t="s">
        <v>533</v>
      </c>
      <c r="F226" s="213" t="s">
        <v>534</v>
      </c>
      <c r="G226" s="213" t="s">
        <v>365</v>
      </c>
      <c r="H226" s="213" t="s">
        <v>382</v>
      </c>
      <c r="I226" s="213"/>
      <c r="J226" s="213" t="s">
        <v>572</v>
      </c>
      <c r="K226" s="213"/>
      <c r="L226" s="213"/>
      <c r="M226" s="213"/>
      <c r="N226" s="213"/>
      <c r="O226" s="213"/>
      <c r="P226" s="213"/>
      <c r="Q226" s="213"/>
      <c r="R226" s="213"/>
      <c r="S226" s="213" t="s">
        <v>609</v>
      </c>
      <c r="T226" s="213" t="s">
        <v>695</v>
      </c>
      <c r="U226" s="213" t="s">
        <v>538</v>
      </c>
      <c r="V226" s="213">
        <v>1</v>
      </c>
      <c r="W226" s="213" t="s">
        <v>539</v>
      </c>
      <c r="X226" s="213" t="s">
        <v>541</v>
      </c>
      <c r="Y226" s="213" t="s">
        <v>546</v>
      </c>
      <c r="Z226" s="212">
        <v>842746</v>
      </c>
      <c r="AA226" s="212">
        <v>26559579</v>
      </c>
      <c r="AB226" s="217">
        <v>0.46578900000000001</v>
      </c>
      <c r="AC226" s="217">
        <v>0.74961599999999995</v>
      </c>
      <c r="AD226" s="212">
        <f t="shared" si="3"/>
        <v>12371159.742831001</v>
      </c>
    </row>
    <row r="227" spans="1:30" x14ac:dyDescent="0.15">
      <c r="A227" s="66"/>
      <c r="B227" s="213">
        <v>17031005559</v>
      </c>
      <c r="C227" s="213">
        <v>17031000702</v>
      </c>
      <c r="D227" s="213">
        <v>17031000700</v>
      </c>
      <c r="E227" s="213" t="s">
        <v>533</v>
      </c>
      <c r="F227" s="213" t="s">
        <v>534</v>
      </c>
      <c r="G227" s="213" t="s">
        <v>365</v>
      </c>
      <c r="H227" s="213" t="s">
        <v>381</v>
      </c>
      <c r="I227" s="213"/>
      <c r="J227" s="213"/>
      <c r="K227" s="213"/>
      <c r="L227" s="213"/>
      <c r="M227" s="213"/>
      <c r="N227" s="213"/>
      <c r="O227" s="213"/>
      <c r="P227" s="213"/>
      <c r="Q227" s="213"/>
      <c r="R227" s="213"/>
      <c r="S227" s="213"/>
      <c r="T227" s="213"/>
      <c r="U227" s="213" t="s">
        <v>559</v>
      </c>
      <c r="V227" s="213">
        <v>1</v>
      </c>
      <c r="W227" s="213" t="s">
        <v>560</v>
      </c>
      <c r="X227" s="213" t="s">
        <v>541</v>
      </c>
      <c r="Y227" s="213" t="s">
        <v>541</v>
      </c>
      <c r="Z227" s="212">
        <v>0</v>
      </c>
      <c r="AA227" s="212">
        <v>0</v>
      </c>
      <c r="AB227" s="217">
        <v>0.23491699999999999</v>
      </c>
      <c r="AC227" s="217">
        <v>0.37806200000000001</v>
      </c>
      <c r="AD227" s="212">
        <f t="shared" si="3"/>
        <v>0</v>
      </c>
    </row>
    <row r="228" spans="1:30" x14ac:dyDescent="0.15">
      <c r="A228" s="66"/>
      <c r="B228" s="213">
        <v>17031005641</v>
      </c>
      <c r="C228" s="213">
        <v>17031001319</v>
      </c>
      <c r="D228" s="213">
        <v>17031001333</v>
      </c>
      <c r="E228" s="213" t="s">
        <v>533</v>
      </c>
      <c r="F228" s="213" t="s">
        <v>534</v>
      </c>
      <c r="G228" s="213" t="s">
        <v>365</v>
      </c>
      <c r="H228" s="213" t="s">
        <v>615</v>
      </c>
      <c r="I228" s="213"/>
      <c r="J228" s="213" t="s">
        <v>577</v>
      </c>
      <c r="K228" s="213" t="s">
        <v>551</v>
      </c>
      <c r="L228" s="213"/>
      <c r="M228" s="213"/>
      <c r="N228" s="213"/>
      <c r="O228" s="213"/>
      <c r="P228" s="213"/>
      <c r="Q228" s="213"/>
      <c r="R228" s="213"/>
      <c r="S228" s="213"/>
      <c r="T228" s="213"/>
      <c r="U228" s="213" t="s">
        <v>559</v>
      </c>
      <c r="V228" s="213">
        <v>1</v>
      </c>
      <c r="W228" s="213" t="s">
        <v>560</v>
      </c>
      <c r="X228" s="213" t="s">
        <v>541</v>
      </c>
      <c r="Y228" s="213" t="s">
        <v>541</v>
      </c>
      <c r="Z228" s="212">
        <v>34796</v>
      </c>
      <c r="AA228" s="212">
        <v>3311897</v>
      </c>
      <c r="AB228" s="217">
        <v>1.0292889999999999</v>
      </c>
      <c r="AC228" s="217">
        <v>1.6564829999999999</v>
      </c>
      <c r="AD228" s="212">
        <f t="shared" si="3"/>
        <v>3408899.1512329997</v>
      </c>
    </row>
    <row r="229" spans="1:30" x14ac:dyDescent="0.15">
      <c r="B229" s="213">
        <v>17031005650</v>
      </c>
      <c r="C229" s="213">
        <v>17031000630</v>
      </c>
      <c r="D229" s="213">
        <v>17031000669</v>
      </c>
      <c r="E229" s="213" t="s">
        <v>533</v>
      </c>
      <c r="F229" s="213" t="s">
        <v>534</v>
      </c>
      <c r="G229" s="213" t="s">
        <v>365</v>
      </c>
      <c r="H229" s="213" t="s">
        <v>551</v>
      </c>
      <c r="I229" s="213"/>
      <c r="J229" s="213"/>
      <c r="K229" s="213"/>
      <c r="L229" s="213"/>
      <c r="M229" s="213"/>
      <c r="N229" s="213"/>
      <c r="O229" s="213"/>
      <c r="P229" s="213"/>
      <c r="Q229" s="213"/>
      <c r="R229" s="213"/>
      <c r="S229" s="213" t="s">
        <v>649</v>
      </c>
      <c r="T229" s="213"/>
      <c r="U229" s="213" t="s">
        <v>559</v>
      </c>
      <c r="V229" s="213">
        <v>1</v>
      </c>
      <c r="W229" s="213" t="s">
        <v>539</v>
      </c>
      <c r="X229" s="213" t="s">
        <v>541</v>
      </c>
      <c r="Y229" s="213" t="s">
        <v>541</v>
      </c>
      <c r="Z229" s="212">
        <v>840</v>
      </c>
      <c r="AA229" s="212">
        <v>73120</v>
      </c>
      <c r="AB229" s="217">
        <v>0.41852299999999998</v>
      </c>
      <c r="AC229" s="217">
        <v>0.67354899999999995</v>
      </c>
      <c r="AD229" s="212">
        <f t="shared" si="3"/>
        <v>30602.401759999997</v>
      </c>
    </row>
    <row r="230" spans="1:30" x14ac:dyDescent="0.15">
      <c r="B230" s="213">
        <v>17031005658</v>
      </c>
      <c r="C230" s="213">
        <v>17031000542</v>
      </c>
      <c r="D230" s="213">
        <v>17031000549</v>
      </c>
      <c r="E230" s="213" t="s">
        <v>533</v>
      </c>
      <c r="F230" s="213" t="s">
        <v>534</v>
      </c>
      <c r="G230" s="213" t="s">
        <v>365</v>
      </c>
      <c r="H230" s="213" t="s">
        <v>382</v>
      </c>
      <c r="I230" s="213"/>
      <c r="J230" s="213"/>
      <c r="K230" s="213"/>
      <c r="L230" s="213"/>
      <c r="M230" s="213"/>
      <c r="N230" s="213"/>
      <c r="O230" s="213"/>
      <c r="P230" s="213"/>
      <c r="Q230" s="213"/>
      <c r="R230" s="213"/>
      <c r="S230" s="213" t="s">
        <v>646</v>
      </c>
      <c r="T230" s="213"/>
      <c r="U230" s="213" t="s">
        <v>559</v>
      </c>
      <c r="V230" s="213">
        <v>1</v>
      </c>
      <c r="W230" s="213" t="s">
        <v>560</v>
      </c>
      <c r="X230" s="213" t="s">
        <v>541</v>
      </c>
      <c r="Y230" s="213" t="s">
        <v>541</v>
      </c>
      <c r="Z230" s="212">
        <v>0</v>
      </c>
      <c r="AA230" s="212">
        <v>0</v>
      </c>
      <c r="AB230" s="217">
        <v>0.108754</v>
      </c>
      <c r="AC230" s="217">
        <v>0.17502400000000001</v>
      </c>
      <c r="AD230" s="212">
        <f t="shared" si="3"/>
        <v>0</v>
      </c>
    </row>
    <row r="231" spans="1:30" x14ac:dyDescent="0.15">
      <c r="B231" s="213">
        <v>17031005661</v>
      </c>
      <c r="C231" s="213">
        <v>17031000587</v>
      </c>
      <c r="D231" s="213">
        <v>17031000583</v>
      </c>
      <c r="E231" s="213" t="s">
        <v>533</v>
      </c>
      <c r="F231" s="213" t="s">
        <v>534</v>
      </c>
      <c r="G231" s="213" t="s">
        <v>365</v>
      </c>
      <c r="H231" s="213" t="s">
        <v>382</v>
      </c>
      <c r="I231" s="213"/>
      <c r="J231" s="213" t="s">
        <v>547</v>
      </c>
      <c r="K231" s="213"/>
      <c r="L231" s="213"/>
      <c r="M231" s="213"/>
      <c r="N231" s="213"/>
      <c r="O231" s="213"/>
      <c r="P231" s="213"/>
      <c r="Q231" s="213"/>
      <c r="R231" s="213"/>
      <c r="S231" s="213" t="s">
        <v>583</v>
      </c>
      <c r="T231" s="213"/>
      <c r="U231" s="213" t="s">
        <v>538</v>
      </c>
      <c r="V231" s="213">
        <v>4</v>
      </c>
      <c r="W231" s="213" t="s">
        <v>545</v>
      </c>
      <c r="X231" s="213" t="s">
        <v>541</v>
      </c>
      <c r="Y231" s="213" t="s">
        <v>541</v>
      </c>
      <c r="Z231" s="212">
        <v>0</v>
      </c>
      <c r="AA231" s="212">
        <v>0</v>
      </c>
      <c r="AB231" s="217">
        <v>0.26130500000000001</v>
      </c>
      <c r="AC231" s="217">
        <v>0.42053000000000001</v>
      </c>
      <c r="AD231" s="212">
        <f t="shared" si="3"/>
        <v>0</v>
      </c>
    </row>
    <row r="232" spans="1:30" x14ac:dyDescent="0.15">
      <c r="B232" s="213">
        <v>17031005665</v>
      </c>
      <c r="C232" s="213">
        <v>17031000792</v>
      </c>
      <c r="D232" s="213">
        <v>17031006832</v>
      </c>
      <c r="E232" s="213" t="s">
        <v>533</v>
      </c>
      <c r="F232" s="213" t="s">
        <v>534</v>
      </c>
      <c r="G232" s="213" t="s">
        <v>365</v>
      </c>
      <c r="H232" s="213" t="s">
        <v>382</v>
      </c>
      <c r="I232" s="213"/>
      <c r="J232" s="213"/>
      <c r="K232" s="213"/>
      <c r="L232" s="213"/>
      <c r="M232" s="213"/>
      <c r="N232" s="213"/>
      <c r="O232" s="213"/>
      <c r="P232" s="213"/>
      <c r="Q232" s="213"/>
      <c r="R232" s="213"/>
      <c r="S232" s="213"/>
      <c r="T232" s="213"/>
      <c r="U232" s="213" t="s">
        <v>559</v>
      </c>
      <c r="V232" s="213">
        <v>1</v>
      </c>
      <c r="W232" s="213" t="s">
        <v>560</v>
      </c>
      <c r="X232" s="213" t="s">
        <v>541</v>
      </c>
      <c r="Y232" s="213" t="s">
        <v>541</v>
      </c>
      <c r="Z232" s="212">
        <v>640</v>
      </c>
      <c r="AA232" s="212">
        <v>34200</v>
      </c>
      <c r="AB232" s="217">
        <v>6.9421999999999998E-2</v>
      </c>
      <c r="AC232" s="217">
        <v>0.111724</v>
      </c>
      <c r="AD232" s="212">
        <f t="shared" si="3"/>
        <v>2374.2323999999999</v>
      </c>
    </row>
    <row r="233" spans="1:30" x14ac:dyDescent="0.15">
      <c r="B233" s="213">
        <v>17031005678</v>
      </c>
      <c r="C233" s="213">
        <v>17031004748</v>
      </c>
      <c r="D233" s="213">
        <v>17031001353</v>
      </c>
      <c r="E233" s="213" t="s">
        <v>533</v>
      </c>
      <c r="F233" s="213" t="s">
        <v>534</v>
      </c>
      <c r="G233" s="213" t="s">
        <v>365</v>
      </c>
      <c r="H233" s="213" t="s">
        <v>551</v>
      </c>
      <c r="I233" s="213"/>
      <c r="J233" s="213"/>
      <c r="K233" s="213"/>
      <c r="L233" s="213"/>
      <c r="M233" s="213"/>
      <c r="N233" s="213"/>
      <c r="O233" s="213"/>
      <c r="P233" s="213"/>
      <c r="Q233" s="213"/>
      <c r="R233" s="213"/>
      <c r="S233" s="213" t="s">
        <v>603</v>
      </c>
      <c r="T233" s="213"/>
      <c r="U233" s="213" t="s">
        <v>538</v>
      </c>
      <c r="V233" s="213">
        <v>2</v>
      </c>
      <c r="W233" s="213" t="s">
        <v>545</v>
      </c>
      <c r="X233" s="213" t="s">
        <v>554</v>
      </c>
      <c r="Y233" s="213" t="s">
        <v>575</v>
      </c>
      <c r="Z233" s="212">
        <v>1667395</v>
      </c>
      <c r="AA233" s="212">
        <v>63823528</v>
      </c>
      <c r="AB233" s="217">
        <v>0.38470900000000002</v>
      </c>
      <c r="AC233" s="217">
        <v>0.61912999999999996</v>
      </c>
      <c r="AD233" s="212">
        <f t="shared" si="3"/>
        <v>24553485.633352</v>
      </c>
    </row>
    <row r="234" spans="1:30" x14ac:dyDescent="0.15">
      <c r="B234" s="213">
        <v>17031005680</v>
      </c>
      <c r="C234" s="213">
        <v>17031001396</v>
      </c>
      <c r="D234" s="213">
        <v>17031001391</v>
      </c>
      <c r="E234" s="213" t="s">
        <v>533</v>
      </c>
      <c r="F234" s="213" t="s">
        <v>534</v>
      </c>
      <c r="G234" s="213" t="s">
        <v>365</v>
      </c>
      <c r="H234" s="213" t="s">
        <v>551</v>
      </c>
      <c r="I234" s="213"/>
      <c r="J234" s="213"/>
      <c r="K234" s="213"/>
      <c r="L234" s="213"/>
      <c r="M234" s="213"/>
      <c r="N234" s="213"/>
      <c r="O234" s="213"/>
      <c r="P234" s="213"/>
      <c r="Q234" s="213"/>
      <c r="R234" s="213"/>
      <c r="S234" s="213" t="s">
        <v>603</v>
      </c>
      <c r="T234" s="213"/>
      <c r="U234" s="213" t="s">
        <v>538</v>
      </c>
      <c r="V234" s="213">
        <v>1</v>
      </c>
      <c r="W234" s="213" t="s">
        <v>545</v>
      </c>
      <c r="X234" s="213" t="s">
        <v>554</v>
      </c>
      <c r="Y234" s="213" t="s">
        <v>575</v>
      </c>
      <c r="Z234" s="212">
        <v>1457423</v>
      </c>
      <c r="AA234" s="212">
        <v>57278139</v>
      </c>
      <c r="AB234" s="217">
        <v>0.12209</v>
      </c>
      <c r="AC234" s="217">
        <v>0.19648499999999999</v>
      </c>
      <c r="AD234" s="212">
        <f t="shared" si="3"/>
        <v>6993087.9905099999</v>
      </c>
    </row>
    <row r="235" spans="1:30" x14ac:dyDescent="0.15">
      <c r="B235" s="213">
        <v>17031005685</v>
      </c>
      <c r="C235" s="213">
        <v>17031001519</v>
      </c>
      <c r="D235" s="213">
        <v>17031001526</v>
      </c>
      <c r="E235" s="213" t="s">
        <v>533</v>
      </c>
      <c r="F235" s="213" t="s">
        <v>534</v>
      </c>
      <c r="G235" s="213" t="s">
        <v>365</v>
      </c>
      <c r="H235" s="213" t="s">
        <v>382</v>
      </c>
      <c r="I235" s="213"/>
      <c r="J235" s="213"/>
      <c r="K235" s="213"/>
      <c r="L235" s="213"/>
      <c r="M235" s="213"/>
      <c r="N235" s="213"/>
      <c r="O235" s="213"/>
      <c r="P235" s="213"/>
      <c r="Q235" s="213"/>
      <c r="R235" s="213"/>
      <c r="S235" s="213" t="s">
        <v>576</v>
      </c>
      <c r="T235" s="213"/>
      <c r="U235" s="213" t="s">
        <v>559</v>
      </c>
      <c r="V235" s="213">
        <v>1</v>
      </c>
      <c r="W235" s="213" t="s">
        <v>560</v>
      </c>
      <c r="X235" s="213" t="s">
        <v>541</v>
      </c>
      <c r="Y235" s="213" t="s">
        <v>541</v>
      </c>
      <c r="Z235" s="212">
        <v>0</v>
      </c>
      <c r="AA235" s="212">
        <v>0</v>
      </c>
      <c r="AB235" s="217">
        <v>4.7886999999999999E-2</v>
      </c>
      <c r="AC235" s="217">
        <v>7.7066999999999997E-2</v>
      </c>
      <c r="AD235" s="212">
        <f t="shared" si="3"/>
        <v>0</v>
      </c>
    </row>
    <row r="236" spans="1:30" x14ac:dyDescent="0.15">
      <c r="B236" s="213">
        <v>17031005688</v>
      </c>
      <c r="C236" s="213">
        <v>17031001566</v>
      </c>
      <c r="D236" s="213">
        <v>17031001563</v>
      </c>
      <c r="E236" s="213" t="s">
        <v>533</v>
      </c>
      <c r="F236" s="213" t="s">
        <v>534</v>
      </c>
      <c r="G236" s="213" t="s">
        <v>365</v>
      </c>
      <c r="H236" s="213" t="s">
        <v>535</v>
      </c>
      <c r="I236" s="213"/>
      <c r="J236" s="213"/>
      <c r="K236" s="213"/>
      <c r="L236" s="213"/>
      <c r="M236" s="213"/>
      <c r="N236" s="213"/>
      <c r="O236" s="213"/>
      <c r="P236" s="213"/>
      <c r="Q236" s="213"/>
      <c r="R236" s="213"/>
      <c r="S236" s="213"/>
      <c r="T236" s="213"/>
      <c r="U236" s="213" t="s">
        <v>538</v>
      </c>
      <c r="V236" s="213">
        <v>1</v>
      </c>
      <c r="W236" s="213" t="s">
        <v>560</v>
      </c>
      <c r="X236" s="213" t="s">
        <v>541</v>
      </c>
      <c r="Y236" s="213" t="s">
        <v>541</v>
      </c>
      <c r="Z236" s="212">
        <v>12076</v>
      </c>
      <c r="AA236" s="212">
        <v>1059960</v>
      </c>
      <c r="AB236" s="217">
        <v>0.12982299999999999</v>
      </c>
      <c r="AC236" s="217">
        <v>0.20893100000000001</v>
      </c>
      <c r="AD236" s="212">
        <f t="shared" si="3"/>
        <v>137607.18708</v>
      </c>
    </row>
    <row r="237" spans="1:30" x14ac:dyDescent="0.15">
      <c r="B237" s="213">
        <v>17031005733</v>
      </c>
      <c r="C237" s="213">
        <v>17031001048</v>
      </c>
      <c r="D237" s="213">
        <v>17031001051</v>
      </c>
      <c r="E237" s="213" t="s">
        <v>533</v>
      </c>
      <c r="F237" s="213" t="s">
        <v>534</v>
      </c>
      <c r="G237" s="213" t="s">
        <v>365</v>
      </c>
      <c r="H237" s="213" t="s">
        <v>543</v>
      </c>
      <c r="I237" s="213"/>
      <c r="J237" s="213"/>
      <c r="K237" s="213"/>
      <c r="L237" s="213"/>
      <c r="M237" s="213"/>
      <c r="N237" s="213"/>
      <c r="O237" s="213"/>
      <c r="P237" s="213"/>
      <c r="Q237" s="213"/>
      <c r="R237" s="213"/>
      <c r="S237" s="213" t="s">
        <v>604</v>
      </c>
      <c r="T237" s="213"/>
      <c r="U237" s="213" t="s">
        <v>538</v>
      </c>
      <c r="V237" s="213">
        <v>1</v>
      </c>
      <c r="W237" s="213" t="s">
        <v>545</v>
      </c>
      <c r="X237" s="213" t="s">
        <v>554</v>
      </c>
      <c r="Y237" s="213" t="s">
        <v>549</v>
      </c>
      <c r="Z237" s="212">
        <v>0</v>
      </c>
      <c r="AA237" s="212">
        <v>0</v>
      </c>
      <c r="AB237" s="217">
        <v>0.12070500000000001</v>
      </c>
      <c r="AC237" s="217">
        <v>0.19425600000000001</v>
      </c>
      <c r="AD237" s="212">
        <f t="shared" si="3"/>
        <v>0</v>
      </c>
    </row>
    <row r="238" spans="1:30" x14ac:dyDescent="0.15">
      <c r="B238" s="213">
        <v>17031005734</v>
      </c>
      <c r="C238" s="213">
        <v>17031001034</v>
      </c>
      <c r="D238" s="213">
        <v>17031001051</v>
      </c>
      <c r="E238" s="213" t="s">
        <v>533</v>
      </c>
      <c r="F238" s="213" t="s">
        <v>534</v>
      </c>
      <c r="G238" s="213" t="s">
        <v>365</v>
      </c>
      <c r="H238" s="213" t="s">
        <v>543</v>
      </c>
      <c r="I238" s="213"/>
      <c r="J238" s="213"/>
      <c r="K238" s="213"/>
      <c r="L238" s="213"/>
      <c r="M238" s="213"/>
      <c r="N238" s="213"/>
      <c r="O238" s="213"/>
      <c r="P238" s="213"/>
      <c r="Q238" s="213"/>
      <c r="R238" s="213"/>
      <c r="S238" s="213" t="s">
        <v>604</v>
      </c>
      <c r="T238" s="213"/>
      <c r="U238" s="213" t="s">
        <v>538</v>
      </c>
      <c r="V238" s="213">
        <v>1</v>
      </c>
      <c r="W238" s="213" t="s">
        <v>582</v>
      </c>
      <c r="X238" s="213" t="s">
        <v>554</v>
      </c>
      <c r="Y238" s="213" t="s">
        <v>549</v>
      </c>
      <c r="Z238" s="212">
        <v>0</v>
      </c>
      <c r="AA238" s="212">
        <v>0</v>
      </c>
      <c r="AB238" s="217">
        <v>0.52502400000000005</v>
      </c>
      <c r="AC238" s="217">
        <v>0.844947</v>
      </c>
      <c r="AD238" s="212">
        <f t="shared" si="3"/>
        <v>0</v>
      </c>
    </row>
    <row r="239" spans="1:30" x14ac:dyDescent="0.15">
      <c r="B239" s="213">
        <v>17031005735</v>
      </c>
      <c r="C239" s="213">
        <v>17031001051</v>
      </c>
      <c r="D239" s="213">
        <v>17031001060</v>
      </c>
      <c r="E239" s="213" t="s">
        <v>533</v>
      </c>
      <c r="F239" s="213" t="s">
        <v>534</v>
      </c>
      <c r="G239" s="213" t="s">
        <v>365</v>
      </c>
      <c r="H239" s="213" t="s">
        <v>543</v>
      </c>
      <c r="I239" s="213"/>
      <c r="J239" s="213"/>
      <c r="K239" s="213"/>
      <c r="L239" s="213"/>
      <c r="M239" s="213"/>
      <c r="N239" s="213"/>
      <c r="O239" s="213"/>
      <c r="P239" s="213"/>
      <c r="Q239" s="213"/>
      <c r="R239" s="213"/>
      <c r="S239" s="213" t="s">
        <v>604</v>
      </c>
      <c r="T239" s="213"/>
      <c r="U239" s="213" t="s">
        <v>538</v>
      </c>
      <c r="V239" s="213">
        <v>2</v>
      </c>
      <c r="W239" s="213" t="s">
        <v>545</v>
      </c>
      <c r="X239" s="213" t="s">
        <v>540</v>
      </c>
      <c r="Y239" s="213" t="s">
        <v>549</v>
      </c>
      <c r="Z239" s="212">
        <v>0</v>
      </c>
      <c r="AA239" s="212">
        <v>0</v>
      </c>
      <c r="AB239" s="217">
        <v>0.697218</v>
      </c>
      <c r="AC239" s="217">
        <v>1.1220650000000001</v>
      </c>
      <c r="AD239" s="212">
        <f t="shared" si="3"/>
        <v>0</v>
      </c>
    </row>
    <row r="240" spans="1:30" x14ac:dyDescent="0.15">
      <c r="B240" s="213">
        <v>17031005738</v>
      </c>
      <c r="C240" s="213">
        <v>17031001370</v>
      </c>
      <c r="D240" s="213">
        <v>17031001364</v>
      </c>
      <c r="E240" s="213" t="s">
        <v>533</v>
      </c>
      <c r="F240" s="213" t="s">
        <v>534</v>
      </c>
      <c r="G240" s="213" t="s">
        <v>365</v>
      </c>
      <c r="H240" s="213" t="s">
        <v>535</v>
      </c>
      <c r="I240" s="213"/>
      <c r="J240" s="213" t="s">
        <v>382</v>
      </c>
      <c r="K240" s="213" t="s">
        <v>555</v>
      </c>
      <c r="L240" s="213" t="s">
        <v>557</v>
      </c>
      <c r="M240" s="213"/>
      <c r="N240" s="213"/>
      <c r="O240" s="213"/>
      <c r="P240" s="213"/>
      <c r="Q240" s="213"/>
      <c r="R240" s="213"/>
      <c r="S240" s="213"/>
      <c r="T240" s="213"/>
      <c r="U240" s="213" t="s">
        <v>538</v>
      </c>
      <c r="V240" s="213">
        <v>1</v>
      </c>
      <c r="W240" s="213" t="s">
        <v>560</v>
      </c>
      <c r="X240" s="213" t="s">
        <v>541</v>
      </c>
      <c r="Y240" s="213" t="s">
        <v>541</v>
      </c>
      <c r="Z240" s="212">
        <v>84190</v>
      </c>
      <c r="AA240" s="212">
        <v>8485512</v>
      </c>
      <c r="AB240" s="217">
        <v>0.52598199999999995</v>
      </c>
      <c r="AC240" s="217">
        <v>0.84648800000000002</v>
      </c>
      <c r="AD240" s="212">
        <f t="shared" si="3"/>
        <v>4463226.5727839991</v>
      </c>
    </row>
    <row r="241" spans="2:30" x14ac:dyDescent="0.15">
      <c r="B241" s="213">
        <v>17031005956</v>
      </c>
      <c r="C241" s="213">
        <v>17031000610</v>
      </c>
      <c r="D241" s="213">
        <v>17031000634</v>
      </c>
      <c r="E241" s="213" t="s">
        <v>533</v>
      </c>
      <c r="F241" s="213" t="s">
        <v>534</v>
      </c>
      <c r="G241" s="213" t="s">
        <v>365</v>
      </c>
      <c r="H241" s="213" t="s">
        <v>547</v>
      </c>
      <c r="I241" s="213"/>
      <c r="J241" s="213"/>
      <c r="K241" s="213"/>
      <c r="L241" s="213"/>
      <c r="M241" s="213"/>
      <c r="N241" s="213"/>
      <c r="O241" s="213"/>
      <c r="P241" s="213"/>
      <c r="Q241" s="213"/>
      <c r="R241" s="213"/>
      <c r="S241" s="213" t="s">
        <v>581</v>
      </c>
      <c r="T241" s="213"/>
      <c r="U241" s="213" t="s">
        <v>538</v>
      </c>
      <c r="V241" s="213">
        <v>4</v>
      </c>
      <c r="W241" s="213" t="s">
        <v>582</v>
      </c>
      <c r="X241" s="213" t="s">
        <v>541</v>
      </c>
      <c r="Y241" s="213" t="s">
        <v>541</v>
      </c>
      <c r="Z241" s="212">
        <v>0</v>
      </c>
      <c r="AA241" s="212">
        <v>0</v>
      </c>
      <c r="AB241" s="217">
        <v>0.252774</v>
      </c>
      <c r="AC241" s="217">
        <v>0.40680100000000002</v>
      </c>
      <c r="AD241" s="212">
        <f t="shared" si="3"/>
        <v>0</v>
      </c>
    </row>
    <row r="242" spans="2:30" x14ac:dyDescent="0.15">
      <c r="B242" s="213">
        <v>17031005984</v>
      </c>
      <c r="C242" s="213">
        <v>17031000534</v>
      </c>
      <c r="D242" s="213">
        <v>17031000540</v>
      </c>
      <c r="E242" s="213" t="s">
        <v>533</v>
      </c>
      <c r="F242" s="213" t="s">
        <v>534</v>
      </c>
      <c r="G242" s="213" t="s">
        <v>365</v>
      </c>
      <c r="H242" s="213" t="s">
        <v>382</v>
      </c>
      <c r="I242" s="213"/>
      <c r="J242" s="213" t="s">
        <v>535</v>
      </c>
      <c r="K242" s="213" t="s">
        <v>552</v>
      </c>
      <c r="L242" s="213" t="s">
        <v>557</v>
      </c>
      <c r="M242" s="213" t="s">
        <v>543</v>
      </c>
      <c r="N242" s="213"/>
      <c r="O242" s="213"/>
      <c r="P242" s="213"/>
      <c r="Q242" s="213"/>
      <c r="R242" s="213"/>
      <c r="S242" s="213"/>
      <c r="T242" s="213"/>
      <c r="U242" s="213" t="s">
        <v>559</v>
      </c>
      <c r="V242" s="213">
        <v>1</v>
      </c>
      <c r="W242" s="213" t="s">
        <v>539</v>
      </c>
      <c r="X242" s="213" t="s">
        <v>541</v>
      </c>
      <c r="Y242" s="213" t="s">
        <v>541</v>
      </c>
      <c r="Z242" s="212">
        <v>1080</v>
      </c>
      <c r="AA242" s="212">
        <v>84240</v>
      </c>
      <c r="AB242" s="217">
        <v>0.30993500000000002</v>
      </c>
      <c r="AC242" s="217">
        <v>0.49879400000000002</v>
      </c>
      <c r="AD242" s="212">
        <f t="shared" si="3"/>
        <v>26108.9244</v>
      </c>
    </row>
    <row r="243" spans="2:30" x14ac:dyDescent="0.15">
      <c r="B243" s="213">
        <v>17031006058</v>
      </c>
      <c r="C243" s="213">
        <v>17031000696</v>
      </c>
      <c r="D243" s="213">
        <v>17031000664</v>
      </c>
      <c r="E243" s="213" t="s">
        <v>533</v>
      </c>
      <c r="F243" s="213" t="s">
        <v>534</v>
      </c>
      <c r="G243" s="213" t="s">
        <v>365</v>
      </c>
      <c r="H243" s="213" t="s">
        <v>381</v>
      </c>
      <c r="I243" s="213"/>
      <c r="J243" s="213"/>
      <c r="K243" s="213"/>
      <c r="L243" s="213"/>
      <c r="M243" s="213"/>
      <c r="N243" s="213"/>
      <c r="O243" s="213"/>
      <c r="P243" s="213"/>
      <c r="Q243" s="213"/>
      <c r="R243" s="213"/>
      <c r="S243" s="213"/>
      <c r="T243" s="213"/>
      <c r="U243" s="213" t="s">
        <v>559</v>
      </c>
      <c r="V243" s="213">
        <v>1</v>
      </c>
      <c r="W243" s="213" t="s">
        <v>560</v>
      </c>
      <c r="X243" s="213" t="s">
        <v>541</v>
      </c>
      <c r="Y243" s="213" t="s">
        <v>541</v>
      </c>
      <c r="Z243" s="212">
        <v>0</v>
      </c>
      <c r="AA243" s="212">
        <v>0</v>
      </c>
      <c r="AB243" s="217">
        <v>0.52745600000000004</v>
      </c>
      <c r="AC243" s="217">
        <v>0.84885999999999995</v>
      </c>
      <c r="AD243" s="212">
        <f t="shared" si="3"/>
        <v>0</v>
      </c>
    </row>
    <row r="244" spans="2:30" x14ac:dyDescent="0.15">
      <c r="B244" s="213">
        <v>17031006129</v>
      </c>
      <c r="C244" s="213">
        <v>17031007600</v>
      </c>
      <c r="D244" s="213">
        <v>17031000375</v>
      </c>
      <c r="E244" s="213" t="s">
        <v>533</v>
      </c>
      <c r="F244" s="213" t="s">
        <v>534</v>
      </c>
      <c r="G244" s="213" t="s">
        <v>365</v>
      </c>
      <c r="H244" s="213" t="s">
        <v>382</v>
      </c>
      <c r="I244" s="213"/>
      <c r="J244" s="213"/>
      <c r="K244" s="213"/>
      <c r="L244" s="213"/>
      <c r="M244" s="213"/>
      <c r="N244" s="213"/>
      <c r="O244" s="213"/>
      <c r="P244" s="213"/>
      <c r="Q244" s="213"/>
      <c r="R244" s="213"/>
      <c r="S244" s="213" t="s">
        <v>616</v>
      </c>
      <c r="T244" s="213"/>
      <c r="U244" s="213" t="s">
        <v>559</v>
      </c>
      <c r="V244" s="213">
        <v>1</v>
      </c>
      <c r="W244" s="213" t="s">
        <v>560</v>
      </c>
      <c r="X244" s="213" t="s">
        <v>541</v>
      </c>
      <c r="Y244" s="213" t="s">
        <v>541</v>
      </c>
      <c r="Z244" s="212">
        <v>0</v>
      </c>
      <c r="AA244" s="212">
        <v>0</v>
      </c>
      <c r="AB244" s="217">
        <v>1.3308439999999999</v>
      </c>
      <c r="AC244" s="217">
        <v>2.1417899999999999</v>
      </c>
      <c r="AD244" s="212">
        <f t="shared" si="3"/>
        <v>0</v>
      </c>
    </row>
    <row r="245" spans="2:30" x14ac:dyDescent="0.15">
      <c r="B245" s="213">
        <v>17031006130</v>
      </c>
      <c r="C245" s="213">
        <v>17031000492</v>
      </c>
      <c r="D245" s="213">
        <v>17031000496</v>
      </c>
      <c r="E245" s="213" t="s">
        <v>533</v>
      </c>
      <c r="F245" s="213" t="s">
        <v>534</v>
      </c>
      <c r="G245" s="213" t="s">
        <v>365</v>
      </c>
      <c r="H245" s="213" t="s">
        <v>552</v>
      </c>
      <c r="I245" s="213"/>
      <c r="J245" s="213" t="s">
        <v>547</v>
      </c>
      <c r="K245" s="213"/>
      <c r="L245" s="213"/>
      <c r="M245" s="213"/>
      <c r="N245" s="213"/>
      <c r="O245" s="213"/>
      <c r="P245" s="213"/>
      <c r="Q245" s="213"/>
      <c r="R245" s="213"/>
      <c r="S245" s="213" t="s">
        <v>589</v>
      </c>
      <c r="T245" s="213"/>
      <c r="U245" s="213" t="s">
        <v>538</v>
      </c>
      <c r="V245" s="213">
        <v>3</v>
      </c>
      <c r="W245" s="213" t="s">
        <v>545</v>
      </c>
      <c r="X245" s="213" t="s">
        <v>540</v>
      </c>
      <c r="Y245" s="213" t="s">
        <v>541</v>
      </c>
      <c r="Z245" s="212">
        <v>31044</v>
      </c>
      <c r="AA245" s="212">
        <v>1434376</v>
      </c>
      <c r="AB245" s="217">
        <v>0.20166799999999999</v>
      </c>
      <c r="AC245" s="217">
        <v>0.32455400000000001</v>
      </c>
      <c r="AD245" s="212">
        <f t="shared" si="3"/>
        <v>289267.739168</v>
      </c>
    </row>
    <row r="246" spans="2:30" x14ac:dyDescent="0.15">
      <c r="B246" s="213">
        <v>17031006132</v>
      </c>
      <c r="C246" s="213">
        <v>17031000658</v>
      </c>
      <c r="D246" s="213">
        <v>17031000663</v>
      </c>
      <c r="E246" s="213" t="s">
        <v>533</v>
      </c>
      <c r="F246" s="213" t="s">
        <v>534</v>
      </c>
      <c r="G246" s="213" t="s">
        <v>365</v>
      </c>
      <c r="H246" s="213" t="s">
        <v>382</v>
      </c>
      <c r="I246" s="213"/>
      <c r="J246" s="213" t="s">
        <v>542</v>
      </c>
      <c r="K246" s="213" t="s">
        <v>577</v>
      </c>
      <c r="L246" s="213" t="s">
        <v>572</v>
      </c>
      <c r="M246" s="213"/>
      <c r="N246" s="213"/>
      <c r="O246" s="213"/>
      <c r="P246" s="213"/>
      <c r="Q246" s="213"/>
      <c r="R246" s="213"/>
      <c r="S246" s="213"/>
      <c r="T246" s="213"/>
      <c r="U246" s="213" t="s">
        <v>538</v>
      </c>
      <c r="V246" s="213">
        <v>1</v>
      </c>
      <c r="W246" s="213" t="s">
        <v>560</v>
      </c>
      <c r="X246" s="213" t="s">
        <v>541</v>
      </c>
      <c r="Y246" s="213" t="s">
        <v>541</v>
      </c>
      <c r="Z246" s="212">
        <v>880</v>
      </c>
      <c r="AA246" s="212">
        <v>63320</v>
      </c>
      <c r="AB246" s="217">
        <v>8.6028999999999994E-2</v>
      </c>
      <c r="AC246" s="217">
        <v>0.13845099999999999</v>
      </c>
      <c r="AD246" s="212">
        <f t="shared" si="3"/>
        <v>5447.35628</v>
      </c>
    </row>
    <row r="247" spans="2:30" x14ac:dyDescent="0.15">
      <c r="B247" s="213">
        <v>17031006143</v>
      </c>
      <c r="C247" s="213">
        <v>17031000796</v>
      </c>
      <c r="D247" s="213">
        <v>17031000821</v>
      </c>
      <c r="E247" s="213" t="s">
        <v>533</v>
      </c>
      <c r="F247" s="213" t="s">
        <v>534</v>
      </c>
      <c r="G247" s="213" t="s">
        <v>365</v>
      </c>
      <c r="H247" s="213" t="s">
        <v>543</v>
      </c>
      <c r="I247" s="213"/>
      <c r="J247" s="213" t="s">
        <v>535</v>
      </c>
      <c r="K247" s="213"/>
      <c r="L247" s="213"/>
      <c r="M247" s="213"/>
      <c r="N247" s="213"/>
      <c r="O247" s="213"/>
      <c r="P247" s="213"/>
      <c r="Q247" s="213"/>
      <c r="R247" s="213"/>
      <c r="S247" s="213" t="s">
        <v>658</v>
      </c>
      <c r="T247" s="213"/>
      <c r="U247" s="213" t="s">
        <v>559</v>
      </c>
      <c r="V247" s="213">
        <v>1</v>
      </c>
      <c r="W247" s="213" t="s">
        <v>560</v>
      </c>
      <c r="X247" s="213" t="s">
        <v>541</v>
      </c>
      <c r="Y247" s="213" t="s">
        <v>541</v>
      </c>
      <c r="Z247" s="212">
        <v>67764</v>
      </c>
      <c r="AA247" s="212">
        <v>3962380</v>
      </c>
      <c r="AB247" s="217">
        <v>0.46486899999999998</v>
      </c>
      <c r="AC247" s="217">
        <v>0.74813600000000002</v>
      </c>
      <c r="AD247" s="212">
        <f t="shared" si="3"/>
        <v>1841987.6282199998</v>
      </c>
    </row>
    <row r="248" spans="2:30" x14ac:dyDescent="0.15">
      <c r="B248" s="213">
        <v>17031006154</v>
      </c>
      <c r="C248" s="213">
        <v>17031001106</v>
      </c>
      <c r="D248" s="213">
        <v>17031001141</v>
      </c>
      <c r="E248" s="213" t="s">
        <v>533</v>
      </c>
      <c r="F248" s="213" t="s">
        <v>534</v>
      </c>
      <c r="G248" s="213" t="s">
        <v>365</v>
      </c>
      <c r="H248" s="213" t="s">
        <v>543</v>
      </c>
      <c r="I248" s="213"/>
      <c r="J248" s="213"/>
      <c r="K248" s="213"/>
      <c r="L248" s="213"/>
      <c r="M248" s="213"/>
      <c r="N248" s="213"/>
      <c r="O248" s="213"/>
      <c r="P248" s="213"/>
      <c r="Q248" s="213"/>
      <c r="R248" s="213"/>
      <c r="S248" s="213" t="s">
        <v>604</v>
      </c>
      <c r="T248" s="213" t="s">
        <v>623</v>
      </c>
      <c r="U248" s="213" t="s">
        <v>538</v>
      </c>
      <c r="V248" s="213">
        <v>1</v>
      </c>
      <c r="W248" s="213" t="s">
        <v>545</v>
      </c>
      <c r="X248" s="213" t="s">
        <v>540</v>
      </c>
      <c r="Y248" s="213" t="s">
        <v>546</v>
      </c>
      <c r="Z248" s="212">
        <v>4872</v>
      </c>
      <c r="AA248" s="212">
        <v>434024</v>
      </c>
      <c r="AB248" s="217">
        <v>0.91504799999999997</v>
      </c>
      <c r="AC248" s="217">
        <v>1.472629</v>
      </c>
      <c r="AD248" s="212">
        <f t="shared" si="3"/>
        <v>397152.793152</v>
      </c>
    </row>
    <row r="249" spans="2:30" x14ac:dyDescent="0.15">
      <c r="B249" s="213">
        <v>17031006166</v>
      </c>
      <c r="C249" s="213">
        <v>17031000692</v>
      </c>
      <c r="D249" s="213">
        <v>17031000688</v>
      </c>
      <c r="E249" s="213" t="s">
        <v>533</v>
      </c>
      <c r="F249" s="213" t="s">
        <v>534</v>
      </c>
      <c r="G249" s="213" t="s">
        <v>365</v>
      </c>
      <c r="H249" s="213" t="s">
        <v>381</v>
      </c>
      <c r="I249" s="213"/>
      <c r="J249" s="213"/>
      <c r="K249" s="213"/>
      <c r="L249" s="213"/>
      <c r="M249" s="213"/>
      <c r="N249" s="213"/>
      <c r="O249" s="213"/>
      <c r="P249" s="213"/>
      <c r="Q249" s="213"/>
      <c r="R249" s="213"/>
      <c r="S249" s="213"/>
      <c r="T249" s="213"/>
      <c r="U249" s="213" t="s">
        <v>559</v>
      </c>
      <c r="V249" s="213">
        <v>1</v>
      </c>
      <c r="W249" s="213" t="s">
        <v>560</v>
      </c>
      <c r="X249" s="213" t="s">
        <v>541</v>
      </c>
      <c r="Y249" s="213" t="s">
        <v>541</v>
      </c>
      <c r="Z249" s="212">
        <v>0</v>
      </c>
      <c r="AA249" s="212">
        <v>0</v>
      </c>
      <c r="AB249" s="217">
        <v>4.8036000000000002E-2</v>
      </c>
      <c r="AC249" s="217">
        <v>7.7307000000000001E-2</v>
      </c>
      <c r="AD249" s="212">
        <f t="shared" si="3"/>
        <v>0</v>
      </c>
    </row>
    <row r="250" spans="2:30" x14ac:dyDescent="0.15">
      <c r="B250" s="213">
        <v>17031006167</v>
      </c>
      <c r="C250" s="213">
        <v>17031000688</v>
      </c>
      <c r="D250" s="213">
        <v>17031000718</v>
      </c>
      <c r="E250" s="213" t="s">
        <v>533</v>
      </c>
      <c r="F250" s="213" t="s">
        <v>534</v>
      </c>
      <c r="G250" s="213" t="s">
        <v>365</v>
      </c>
      <c r="H250" s="213" t="s">
        <v>381</v>
      </c>
      <c r="I250" s="213"/>
      <c r="J250" s="213"/>
      <c r="K250" s="213"/>
      <c r="L250" s="213"/>
      <c r="M250" s="213"/>
      <c r="N250" s="213"/>
      <c r="O250" s="213"/>
      <c r="P250" s="213"/>
      <c r="Q250" s="213"/>
      <c r="R250" s="213"/>
      <c r="S250" s="213"/>
      <c r="T250" s="213"/>
      <c r="U250" s="213" t="s">
        <v>559</v>
      </c>
      <c r="V250" s="213">
        <v>1</v>
      </c>
      <c r="W250" s="213" t="s">
        <v>560</v>
      </c>
      <c r="X250" s="213" t="s">
        <v>541</v>
      </c>
      <c r="Y250" s="213" t="s">
        <v>541</v>
      </c>
      <c r="Z250" s="212">
        <v>0</v>
      </c>
      <c r="AA250" s="212">
        <v>0</v>
      </c>
      <c r="AB250" s="217">
        <v>0.73253599999999996</v>
      </c>
      <c r="AC250" s="217">
        <v>1.178904</v>
      </c>
      <c r="AD250" s="212">
        <f t="shared" si="3"/>
        <v>0</v>
      </c>
    </row>
    <row r="251" spans="2:30" x14ac:dyDescent="0.15">
      <c r="B251" s="213">
        <v>17031006168</v>
      </c>
      <c r="C251" s="213">
        <v>17031000680</v>
      </c>
      <c r="D251" s="213">
        <v>17031000694</v>
      </c>
      <c r="E251" s="213" t="s">
        <v>533</v>
      </c>
      <c r="F251" s="213" t="s">
        <v>534</v>
      </c>
      <c r="G251" s="213" t="s">
        <v>365</v>
      </c>
      <c r="H251" s="213" t="s">
        <v>551</v>
      </c>
      <c r="I251" s="213"/>
      <c r="J251" s="213"/>
      <c r="K251" s="213"/>
      <c r="L251" s="213"/>
      <c r="M251" s="213"/>
      <c r="N251" s="213"/>
      <c r="O251" s="213"/>
      <c r="P251" s="213"/>
      <c r="Q251" s="213"/>
      <c r="R251" s="213"/>
      <c r="S251" s="213" t="s">
        <v>600</v>
      </c>
      <c r="T251" s="213"/>
      <c r="U251" s="213" t="s">
        <v>538</v>
      </c>
      <c r="V251" s="213">
        <v>2</v>
      </c>
      <c r="W251" s="213" t="s">
        <v>582</v>
      </c>
      <c r="X251" s="213" t="s">
        <v>554</v>
      </c>
      <c r="Y251" s="213" t="s">
        <v>549</v>
      </c>
      <c r="Z251" s="212">
        <v>174583</v>
      </c>
      <c r="AA251" s="212">
        <v>7594517</v>
      </c>
      <c r="AB251" s="217">
        <v>0.44461600000000001</v>
      </c>
      <c r="AC251" s="217">
        <v>0.71554200000000001</v>
      </c>
      <c r="AD251" s="212">
        <f t="shared" si="3"/>
        <v>3376643.7704719999</v>
      </c>
    </row>
    <row r="252" spans="2:30" x14ac:dyDescent="0.15">
      <c r="B252" s="213">
        <v>17031006173</v>
      </c>
      <c r="C252" s="213">
        <v>17031000647</v>
      </c>
      <c r="D252" s="213">
        <v>17031000680</v>
      </c>
      <c r="E252" s="213" t="s">
        <v>533</v>
      </c>
      <c r="F252" s="213" t="s">
        <v>534</v>
      </c>
      <c r="G252" s="213" t="s">
        <v>365</v>
      </c>
      <c r="H252" s="213" t="s">
        <v>551</v>
      </c>
      <c r="I252" s="213"/>
      <c r="J252" s="213"/>
      <c r="K252" s="213"/>
      <c r="L252" s="213"/>
      <c r="M252" s="213"/>
      <c r="N252" s="213"/>
      <c r="O252" s="213"/>
      <c r="P252" s="213"/>
      <c r="Q252" s="213"/>
      <c r="R252" s="213"/>
      <c r="S252" s="213" t="s">
        <v>600</v>
      </c>
      <c r="T252" s="213"/>
      <c r="U252" s="213" t="s">
        <v>538</v>
      </c>
      <c r="V252" s="213">
        <v>2</v>
      </c>
      <c r="W252" s="213" t="s">
        <v>582</v>
      </c>
      <c r="X252" s="213" t="s">
        <v>554</v>
      </c>
      <c r="Y252" s="213" t="s">
        <v>549</v>
      </c>
      <c r="Z252" s="212">
        <v>174583</v>
      </c>
      <c r="AA252" s="212">
        <v>7594517</v>
      </c>
      <c r="AB252" s="217">
        <v>0.163661</v>
      </c>
      <c r="AC252" s="217">
        <v>0.26338699999999998</v>
      </c>
      <c r="AD252" s="212">
        <f t="shared" si="3"/>
        <v>1242926.2467370001</v>
      </c>
    </row>
    <row r="253" spans="2:30" x14ac:dyDescent="0.15">
      <c r="B253" s="213">
        <v>17031006179</v>
      </c>
      <c r="C253" s="213">
        <v>17031001084</v>
      </c>
      <c r="D253" s="213">
        <v>17031001076</v>
      </c>
      <c r="E253" s="213" t="s">
        <v>533</v>
      </c>
      <c r="F253" s="213" t="s">
        <v>534</v>
      </c>
      <c r="G253" s="213" t="s">
        <v>365</v>
      </c>
      <c r="H253" s="213" t="s">
        <v>535</v>
      </c>
      <c r="I253" s="213"/>
      <c r="J253" s="213" t="s">
        <v>542</v>
      </c>
      <c r="K253" s="213" t="s">
        <v>572</v>
      </c>
      <c r="L253" s="213"/>
      <c r="M253" s="213"/>
      <c r="N253" s="213"/>
      <c r="O253" s="213"/>
      <c r="P253" s="213"/>
      <c r="Q253" s="213"/>
      <c r="R253" s="213"/>
      <c r="S253" s="213" t="s">
        <v>544</v>
      </c>
      <c r="T253" s="213"/>
      <c r="U253" s="213" t="s">
        <v>538</v>
      </c>
      <c r="V253" s="213">
        <v>2</v>
      </c>
      <c r="W253" s="213" t="s">
        <v>545</v>
      </c>
      <c r="X253" s="213" t="s">
        <v>549</v>
      </c>
      <c r="Y253" s="213" t="s">
        <v>549</v>
      </c>
      <c r="Z253" s="212">
        <v>14866</v>
      </c>
      <c r="AA253" s="212">
        <v>1555392</v>
      </c>
      <c r="AB253" s="217">
        <v>0.23946000000000001</v>
      </c>
      <c r="AC253" s="217">
        <v>0.38537399999999999</v>
      </c>
      <c r="AD253" s="212">
        <f t="shared" si="3"/>
        <v>372454.16832</v>
      </c>
    </row>
    <row r="254" spans="2:30" x14ac:dyDescent="0.15">
      <c r="B254" s="213">
        <v>17031006180</v>
      </c>
      <c r="C254" s="213">
        <v>17031001084</v>
      </c>
      <c r="D254" s="213">
        <v>17031001099</v>
      </c>
      <c r="E254" s="213" t="s">
        <v>533</v>
      </c>
      <c r="F254" s="213" t="s">
        <v>534</v>
      </c>
      <c r="G254" s="213" t="s">
        <v>365</v>
      </c>
      <c r="H254" s="213" t="s">
        <v>571</v>
      </c>
      <c r="I254" s="213"/>
      <c r="J254" s="213" t="s">
        <v>572</v>
      </c>
      <c r="K254" s="213" t="s">
        <v>543</v>
      </c>
      <c r="L254" s="213"/>
      <c r="M254" s="213"/>
      <c r="N254" s="213"/>
      <c r="O254" s="213"/>
      <c r="P254" s="213"/>
      <c r="Q254" s="213"/>
      <c r="R254" s="213"/>
      <c r="S254" s="213"/>
      <c r="T254" s="213"/>
      <c r="U254" s="213" t="s">
        <v>538</v>
      </c>
      <c r="V254" s="213">
        <v>1</v>
      </c>
      <c r="W254" s="213" t="s">
        <v>560</v>
      </c>
      <c r="X254" s="213" t="s">
        <v>541</v>
      </c>
      <c r="Y254" s="213" t="s">
        <v>541</v>
      </c>
      <c r="Z254" s="212">
        <v>47790</v>
      </c>
      <c r="AA254" s="212">
        <v>3501019</v>
      </c>
      <c r="AB254" s="217">
        <v>0.62182199999999999</v>
      </c>
      <c r="AC254" s="217">
        <v>1.0007280000000001</v>
      </c>
      <c r="AD254" s="212">
        <f t="shared" si="3"/>
        <v>2177010.636618</v>
      </c>
    </row>
    <row r="255" spans="2:30" x14ac:dyDescent="0.15">
      <c r="B255" s="213">
        <v>17031006183</v>
      </c>
      <c r="C255" s="213">
        <v>17031000729</v>
      </c>
      <c r="D255" s="213">
        <v>17031000730</v>
      </c>
      <c r="E255" s="213" t="s">
        <v>533</v>
      </c>
      <c r="F255" s="213" t="s">
        <v>534</v>
      </c>
      <c r="G255" s="213" t="s">
        <v>365</v>
      </c>
      <c r="H255" s="213" t="s">
        <v>535</v>
      </c>
      <c r="I255" s="213"/>
      <c r="J255" s="213" t="s">
        <v>542</v>
      </c>
      <c r="K255" s="213" t="s">
        <v>572</v>
      </c>
      <c r="L255" s="213" t="s">
        <v>547</v>
      </c>
      <c r="M255" s="213" t="s">
        <v>382</v>
      </c>
      <c r="N255" s="213"/>
      <c r="O255" s="213"/>
      <c r="P255" s="213"/>
      <c r="Q255" s="213"/>
      <c r="R255" s="213"/>
      <c r="S255" s="213" t="s">
        <v>624</v>
      </c>
      <c r="T255" s="213" t="s">
        <v>625</v>
      </c>
      <c r="U255" s="213" t="s">
        <v>538</v>
      </c>
      <c r="V255" s="213">
        <v>2</v>
      </c>
      <c r="W255" s="213" t="s">
        <v>545</v>
      </c>
      <c r="X255" s="213" t="s">
        <v>554</v>
      </c>
      <c r="Y255" s="213" t="s">
        <v>549</v>
      </c>
      <c r="Z255" s="212">
        <v>75216</v>
      </c>
      <c r="AA255" s="212">
        <v>2779760</v>
      </c>
      <c r="AB255" s="217">
        <v>3.8067999999999998E-2</v>
      </c>
      <c r="AC255" s="217">
        <v>6.1265E-2</v>
      </c>
      <c r="AD255" s="212">
        <f t="shared" si="3"/>
        <v>105819.90367999999</v>
      </c>
    </row>
    <row r="256" spans="2:30" x14ac:dyDescent="0.15">
      <c r="B256" s="213">
        <v>17031006185</v>
      </c>
      <c r="C256" s="213">
        <v>17031000752</v>
      </c>
      <c r="D256" s="213">
        <v>17031000744</v>
      </c>
      <c r="E256" s="213" t="s">
        <v>533</v>
      </c>
      <c r="F256" s="213" t="s">
        <v>534</v>
      </c>
      <c r="G256" s="213" t="s">
        <v>365</v>
      </c>
      <c r="H256" s="213" t="s">
        <v>644</v>
      </c>
      <c r="I256" s="213"/>
      <c r="J256" s="213" t="s">
        <v>535</v>
      </c>
      <c r="K256" s="213"/>
      <c r="L256" s="213"/>
      <c r="M256" s="213"/>
      <c r="N256" s="213"/>
      <c r="O256" s="213"/>
      <c r="P256" s="213"/>
      <c r="Q256" s="213"/>
      <c r="R256" s="213"/>
      <c r="S256" s="213"/>
      <c r="T256" s="213"/>
      <c r="U256" s="213" t="s">
        <v>559</v>
      </c>
      <c r="V256" s="213">
        <v>1</v>
      </c>
      <c r="W256" s="213" t="s">
        <v>560</v>
      </c>
      <c r="X256" s="213" t="s">
        <v>541</v>
      </c>
      <c r="Y256" s="213" t="s">
        <v>541</v>
      </c>
      <c r="Z256" s="212">
        <v>0</v>
      </c>
      <c r="AA256" s="212">
        <v>0</v>
      </c>
      <c r="AB256" s="217">
        <v>0.16115499999999999</v>
      </c>
      <c r="AC256" s="217">
        <v>0.25935399999999997</v>
      </c>
      <c r="AD256" s="212">
        <f t="shared" si="3"/>
        <v>0</v>
      </c>
    </row>
    <row r="257" spans="2:30" x14ac:dyDescent="0.15">
      <c r="B257" s="213">
        <v>17031006189</v>
      </c>
      <c r="C257" s="213">
        <v>17031001128</v>
      </c>
      <c r="D257" s="213">
        <v>17031001110</v>
      </c>
      <c r="E257" s="213" t="s">
        <v>533</v>
      </c>
      <c r="F257" s="213" t="s">
        <v>534</v>
      </c>
      <c r="G257" s="213" t="s">
        <v>365</v>
      </c>
      <c r="H257" s="213" t="s">
        <v>577</v>
      </c>
      <c r="I257" s="213"/>
      <c r="J257" s="213"/>
      <c r="K257" s="213"/>
      <c r="L257" s="213"/>
      <c r="M257" s="213"/>
      <c r="N257" s="213"/>
      <c r="O257" s="213"/>
      <c r="P257" s="213"/>
      <c r="Q257" s="213"/>
      <c r="R257" s="213"/>
      <c r="S257" s="213"/>
      <c r="T257" s="213"/>
      <c r="U257" s="213" t="s">
        <v>538</v>
      </c>
      <c r="V257" s="213">
        <v>1</v>
      </c>
      <c r="W257" s="213" t="s">
        <v>560</v>
      </c>
      <c r="X257" s="213" t="s">
        <v>541</v>
      </c>
      <c r="Y257" s="213" t="s">
        <v>541</v>
      </c>
      <c r="Z257" s="212">
        <v>0</v>
      </c>
      <c r="AA257" s="212">
        <v>0</v>
      </c>
      <c r="AB257" s="217">
        <v>0.16883000000000001</v>
      </c>
      <c r="AC257" s="217">
        <v>0.27170699999999998</v>
      </c>
      <c r="AD257" s="212">
        <f t="shared" si="3"/>
        <v>0</v>
      </c>
    </row>
    <row r="258" spans="2:30" x14ac:dyDescent="0.15">
      <c r="B258" s="213">
        <v>17031006264</v>
      </c>
      <c r="C258" s="213">
        <v>17031001353</v>
      </c>
      <c r="D258" s="213">
        <v>17031001376</v>
      </c>
      <c r="E258" s="213" t="s">
        <v>533</v>
      </c>
      <c r="F258" s="213" t="s">
        <v>534</v>
      </c>
      <c r="G258" s="213" t="s">
        <v>365</v>
      </c>
      <c r="H258" s="213" t="s">
        <v>551</v>
      </c>
      <c r="I258" s="213"/>
      <c r="J258" s="213"/>
      <c r="K258" s="213"/>
      <c r="L258" s="213"/>
      <c r="M258" s="213"/>
      <c r="N258" s="213"/>
      <c r="O258" s="213"/>
      <c r="P258" s="213"/>
      <c r="Q258" s="213"/>
      <c r="R258" s="213"/>
      <c r="S258" s="213" t="s">
        <v>603</v>
      </c>
      <c r="T258" s="213"/>
      <c r="U258" s="213" t="s">
        <v>538</v>
      </c>
      <c r="V258" s="213">
        <v>1</v>
      </c>
      <c r="W258" s="213" t="s">
        <v>545</v>
      </c>
      <c r="X258" s="213" t="s">
        <v>541</v>
      </c>
      <c r="Y258" s="213" t="s">
        <v>549</v>
      </c>
      <c r="Z258" s="212">
        <v>304140</v>
      </c>
      <c r="AA258" s="212">
        <v>15884316</v>
      </c>
      <c r="AB258" s="217">
        <v>0.24614800000000001</v>
      </c>
      <c r="AC258" s="217">
        <v>0.39613700000000002</v>
      </c>
      <c r="AD258" s="212">
        <f t="shared" si="3"/>
        <v>3909892.6147680003</v>
      </c>
    </row>
    <row r="259" spans="2:30" x14ac:dyDescent="0.15">
      <c r="B259" s="213">
        <v>17031006266</v>
      </c>
      <c r="C259" s="213">
        <v>17031001089</v>
      </c>
      <c r="D259" s="213">
        <v>17031001090</v>
      </c>
      <c r="E259" s="213" t="s">
        <v>533</v>
      </c>
      <c r="F259" s="213" t="s">
        <v>534</v>
      </c>
      <c r="G259" s="213" t="s">
        <v>365</v>
      </c>
      <c r="H259" s="213" t="s">
        <v>661</v>
      </c>
      <c r="I259" s="213"/>
      <c r="J259" s="213"/>
      <c r="K259" s="213"/>
      <c r="L259" s="213"/>
      <c r="M259" s="213"/>
      <c r="N259" s="213"/>
      <c r="O259" s="213"/>
      <c r="P259" s="213"/>
      <c r="Q259" s="213"/>
      <c r="R259" s="213"/>
      <c r="S259" s="213"/>
      <c r="T259" s="213"/>
      <c r="U259" s="213" t="s">
        <v>538</v>
      </c>
      <c r="V259" s="213">
        <v>1</v>
      </c>
      <c r="W259" s="213" t="s">
        <v>560</v>
      </c>
      <c r="X259" s="213" t="s">
        <v>541</v>
      </c>
      <c r="Y259" s="213" t="s">
        <v>541</v>
      </c>
      <c r="Z259" s="212">
        <v>0</v>
      </c>
      <c r="AA259" s="212">
        <v>0</v>
      </c>
      <c r="AB259" s="217">
        <v>6.9765999999999995E-2</v>
      </c>
      <c r="AC259" s="217">
        <v>0.112278</v>
      </c>
      <c r="AD259" s="212">
        <f t="shared" si="3"/>
        <v>0</v>
      </c>
    </row>
    <row r="260" spans="2:30" x14ac:dyDescent="0.15">
      <c r="B260" s="213">
        <v>17031006268</v>
      </c>
      <c r="C260" s="213">
        <v>17031001109</v>
      </c>
      <c r="D260" s="213">
        <v>17031006704</v>
      </c>
      <c r="E260" s="213" t="s">
        <v>533</v>
      </c>
      <c r="F260" s="213" t="s">
        <v>534</v>
      </c>
      <c r="G260" s="213" t="s">
        <v>365</v>
      </c>
      <c r="H260" s="213" t="s">
        <v>661</v>
      </c>
      <c r="I260" s="213"/>
      <c r="J260" s="213"/>
      <c r="K260" s="213"/>
      <c r="L260" s="213"/>
      <c r="M260" s="213"/>
      <c r="N260" s="213"/>
      <c r="O260" s="213"/>
      <c r="P260" s="213"/>
      <c r="Q260" s="213"/>
      <c r="R260" s="213"/>
      <c r="S260" s="213"/>
      <c r="T260" s="213" t="s">
        <v>662</v>
      </c>
      <c r="U260" s="213" t="s">
        <v>538</v>
      </c>
      <c r="V260" s="213">
        <v>1</v>
      </c>
      <c r="W260" s="213" t="s">
        <v>560</v>
      </c>
      <c r="X260" s="213" t="s">
        <v>541</v>
      </c>
      <c r="Y260" s="213" t="s">
        <v>541</v>
      </c>
      <c r="Z260" s="212">
        <v>0</v>
      </c>
      <c r="AA260" s="212">
        <v>0</v>
      </c>
      <c r="AB260" s="217">
        <v>0.48571300000000001</v>
      </c>
      <c r="AC260" s="217">
        <v>0.78168099999999996</v>
      </c>
      <c r="AD260" s="212">
        <f t="shared" si="3"/>
        <v>0</v>
      </c>
    </row>
    <row r="261" spans="2:30" x14ac:dyDescent="0.15">
      <c r="B261" s="213">
        <v>17031006272</v>
      </c>
      <c r="C261" s="213">
        <v>17031001402</v>
      </c>
      <c r="D261" s="213">
        <v>17031004744</v>
      </c>
      <c r="E261" s="213" t="s">
        <v>533</v>
      </c>
      <c r="F261" s="213" t="s">
        <v>534</v>
      </c>
      <c r="G261" s="213" t="s">
        <v>365</v>
      </c>
      <c r="H261" s="213" t="s">
        <v>557</v>
      </c>
      <c r="I261" s="213"/>
      <c r="J261" s="213" t="s">
        <v>552</v>
      </c>
      <c r="K261" s="213"/>
      <c r="L261" s="213"/>
      <c r="M261" s="213"/>
      <c r="N261" s="213"/>
      <c r="O261" s="213"/>
      <c r="P261" s="213"/>
      <c r="Q261" s="213"/>
      <c r="R261" s="213"/>
      <c r="S261" s="213" t="s">
        <v>634</v>
      </c>
      <c r="T261" s="213"/>
      <c r="U261" s="213" t="s">
        <v>559</v>
      </c>
      <c r="V261" s="213">
        <v>1</v>
      </c>
      <c r="W261" s="213" t="s">
        <v>560</v>
      </c>
      <c r="X261" s="213" t="s">
        <v>541</v>
      </c>
      <c r="Y261" s="213" t="s">
        <v>541</v>
      </c>
      <c r="Z261" s="212">
        <v>0</v>
      </c>
      <c r="AA261" s="212">
        <v>0</v>
      </c>
      <c r="AB261" s="217">
        <v>0.23583499999999999</v>
      </c>
      <c r="AC261" s="217">
        <v>0.37953999999999999</v>
      </c>
      <c r="AD261" s="212">
        <f t="shared" si="3"/>
        <v>0</v>
      </c>
    </row>
    <row r="262" spans="2:30" x14ac:dyDescent="0.15">
      <c r="B262" s="213">
        <v>17031006293</v>
      </c>
      <c r="C262" s="213">
        <v>17031000625</v>
      </c>
      <c r="D262" s="213">
        <v>17031000629</v>
      </c>
      <c r="E262" s="213" t="s">
        <v>533</v>
      </c>
      <c r="F262" s="213" t="s">
        <v>534</v>
      </c>
      <c r="G262" s="213" t="s">
        <v>365</v>
      </c>
      <c r="H262" s="213" t="s">
        <v>382</v>
      </c>
      <c r="I262" s="213"/>
      <c r="J262" s="213" t="s">
        <v>572</v>
      </c>
      <c r="K262" s="213" t="s">
        <v>543</v>
      </c>
      <c r="L262" s="213"/>
      <c r="M262" s="213"/>
      <c r="N262" s="213"/>
      <c r="O262" s="213"/>
      <c r="P262" s="213"/>
      <c r="Q262" s="213"/>
      <c r="R262" s="213"/>
      <c r="S262" s="213" t="s">
        <v>609</v>
      </c>
      <c r="T262" s="213"/>
      <c r="U262" s="213" t="s">
        <v>538</v>
      </c>
      <c r="V262" s="213">
        <v>2</v>
      </c>
      <c r="W262" s="213" t="s">
        <v>539</v>
      </c>
      <c r="X262" s="213" t="s">
        <v>554</v>
      </c>
      <c r="Y262" s="213" t="s">
        <v>580</v>
      </c>
      <c r="Z262" s="212">
        <v>999857</v>
      </c>
      <c r="AA262" s="212">
        <v>33304864</v>
      </c>
      <c r="AB262" s="217">
        <v>8.7497000000000005E-2</v>
      </c>
      <c r="AC262" s="217">
        <v>0.14081299999999999</v>
      </c>
      <c r="AD262" s="212">
        <f t="shared" ref="AD262:AD325" si="4">AA262*AB262</f>
        <v>2914075.6854080004</v>
      </c>
    </row>
    <row r="263" spans="2:30" x14ac:dyDescent="0.15">
      <c r="B263" s="213">
        <v>17031006298</v>
      </c>
      <c r="C263" s="213">
        <v>17031001403</v>
      </c>
      <c r="D263" s="213">
        <v>17031001390</v>
      </c>
      <c r="E263" s="213" t="s">
        <v>533</v>
      </c>
      <c r="F263" s="213" t="s">
        <v>534</v>
      </c>
      <c r="G263" s="213" t="s">
        <v>365</v>
      </c>
      <c r="H263" s="213" t="s">
        <v>557</v>
      </c>
      <c r="I263" s="213"/>
      <c r="J263" s="213" t="s">
        <v>552</v>
      </c>
      <c r="K263" s="213"/>
      <c r="L263" s="213"/>
      <c r="M263" s="213"/>
      <c r="N263" s="213"/>
      <c r="O263" s="213"/>
      <c r="P263" s="213"/>
      <c r="Q263" s="213"/>
      <c r="R263" s="213"/>
      <c r="S263" s="213" t="s">
        <v>567</v>
      </c>
      <c r="T263" s="213"/>
      <c r="U263" s="213" t="s">
        <v>559</v>
      </c>
      <c r="V263" s="213">
        <v>1</v>
      </c>
      <c r="W263" s="213" t="s">
        <v>560</v>
      </c>
      <c r="X263" s="213" t="s">
        <v>541</v>
      </c>
      <c r="Y263" s="213" t="s">
        <v>541</v>
      </c>
      <c r="Z263" s="212">
        <v>120</v>
      </c>
      <c r="AA263" s="212">
        <v>10120</v>
      </c>
      <c r="AB263" s="217">
        <v>0.39464100000000002</v>
      </c>
      <c r="AC263" s="217">
        <v>0.63511499999999999</v>
      </c>
      <c r="AD263" s="212">
        <f t="shared" si="4"/>
        <v>3993.76692</v>
      </c>
    </row>
    <row r="264" spans="2:30" x14ac:dyDescent="0.15">
      <c r="B264" s="213">
        <v>17031006317</v>
      </c>
      <c r="C264" s="213">
        <v>17031001172</v>
      </c>
      <c r="D264" s="213">
        <v>17031000958</v>
      </c>
      <c r="E264" s="213" t="s">
        <v>533</v>
      </c>
      <c r="F264" s="213" t="s">
        <v>534</v>
      </c>
      <c r="G264" s="213" t="s">
        <v>365</v>
      </c>
      <c r="H264" s="213" t="s">
        <v>547</v>
      </c>
      <c r="I264" s="213"/>
      <c r="J264" s="213" t="s">
        <v>627</v>
      </c>
      <c r="K264" s="213"/>
      <c r="L264" s="213"/>
      <c r="M264" s="213"/>
      <c r="N264" s="213"/>
      <c r="O264" s="213"/>
      <c r="P264" s="213"/>
      <c r="Q264" s="213"/>
      <c r="R264" s="213"/>
      <c r="S264" s="213"/>
      <c r="T264" s="213"/>
      <c r="U264" s="213" t="s">
        <v>538</v>
      </c>
      <c r="V264" s="213">
        <v>4</v>
      </c>
      <c r="W264" s="213" t="s">
        <v>545</v>
      </c>
      <c r="X264" s="213" t="s">
        <v>540</v>
      </c>
      <c r="Y264" s="213" t="s">
        <v>541</v>
      </c>
      <c r="Z264" s="212">
        <v>0</v>
      </c>
      <c r="AA264" s="212">
        <v>0</v>
      </c>
      <c r="AB264" s="217">
        <v>6.06473</v>
      </c>
      <c r="AC264" s="217">
        <v>9.760256</v>
      </c>
      <c r="AD264" s="212">
        <f t="shared" si="4"/>
        <v>0</v>
      </c>
    </row>
    <row r="265" spans="2:30" x14ac:dyDescent="0.15">
      <c r="B265" s="213">
        <v>17031006318</v>
      </c>
      <c r="C265" s="213">
        <v>17031000910</v>
      </c>
      <c r="D265" s="213">
        <v>17031000934</v>
      </c>
      <c r="E265" s="213" t="s">
        <v>533</v>
      </c>
      <c r="F265" s="213" t="s">
        <v>534</v>
      </c>
      <c r="G265" s="213" t="s">
        <v>365</v>
      </c>
      <c r="H265" s="213" t="s">
        <v>535</v>
      </c>
      <c r="I265" s="213"/>
      <c r="J265" s="213" t="s">
        <v>542</v>
      </c>
      <c r="K265" s="213" t="s">
        <v>572</v>
      </c>
      <c r="L265" s="213" t="s">
        <v>547</v>
      </c>
      <c r="M265" s="213" t="s">
        <v>382</v>
      </c>
      <c r="N265" s="213" t="s">
        <v>552</v>
      </c>
      <c r="O265" s="213" t="s">
        <v>381</v>
      </c>
      <c r="P265" s="213"/>
      <c r="Q265" s="213"/>
      <c r="R265" s="213"/>
      <c r="S265" s="213" t="s">
        <v>601</v>
      </c>
      <c r="T265" s="213"/>
      <c r="U265" s="213" t="s">
        <v>538</v>
      </c>
      <c r="V265" s="213">
        <v>2</v>
      </c>
      <c r="W265" s="213" t="s">
        <v>545</v>
      </c>
      <c r="X265" s="213" t="s">
        <v>549</v>
      </c>
      <c r="Y265" s="213" t="s">
        <v>540</v>
      </c>
      <c r="Z265" s="212">
        <v>3016</v>
      </c>
      <c r="AA265" s="212">
        <v>276444</v>
      </c>
      <c r="AB265" s="217">
        <v>7.2438000000000002E-2</v>
      </c>
      <c r="AC265" s="217">
        <v>0.116578</v>
      </c>
      <c r="AD265" s="212">
        <f t="shared" si="4"/>
        <v>20025.050471999999</v>
      </c>
    </row>
    <row r="266" spans="2:30" x14ac:dyDescent="0.15">
      <c r="B266" s="213">
        <v>17031006333</v>
      </c>
      <c r="C266" s="213">
        <v>17031004581</v>
      </c>
      <c r="D266" s="213">
        <v>17031000300</v>
      </c>
      <c r="E266" s="213" t="s">
        <v>533</v>
      </c>
      <c r="F266" s="213" t="s">
        <v>534</v>
      </c>
      <c r="G266" s="213" t="s">
        <v>365</v>
      </c>
      <c r="H266" s="213" t="s">
        <v>382</v>
      </c>
      <c r="I266" s="213"/>
      <c r="J266" s="213" t="s">
        <v>547</v>
      </c>
      <c r="K266" s="213"/>
      <c r="L266" s="213"/>
      <c r="M266" s="213"/>
      <c r="N266" s="213"/>
      <c r="O266" s="213"/>
      <c r="P266" s="213"/>
      <c r="Q266" s="213"/>
      <c r="R266" s="213"/>
      <c r="S266" s="213" t="s">
        <v>565</v>
      </c>
      <c r="T266" s="213"/>
      <c r="U266" s="213" t="s">
        <v>538</v>
      </c>
      <c r="V266" s="213">
        <v>2</v>
      </c>
      <c r="W266" s="213" t="s">
        <v>566</v>
      </c>
      <c r="X266" s="213" t="s">
        <v>549</v>
      </c>
      <c r="Y266" s="213" t="s">
        <v>541</v>
      </c>
      <c r="Z266" s="212">
        <v>0</v>
      </c>
      <c r="AA266" s="212">
        <v>0</v>
      </c>
      <c r="AB266" s="217">
        <v>0.15001800000000001</v>
      </c>
      <c r="AC266" s="217">
        <v>0.24143000000000001</v>
      </c>
      <c r="AD266" s="212">
        <f t="shared" si="4"/>
        <v>0</v>
      </c>
    </row>
    <row r="267" spans="2:30" x14ac:dyDescent="0.15">
      <c r="B267" s="213">
        <v>17031006334</v>
      </c>
      <c r="C267" s="213">
        <v>17031004586</v>
      </c>
      <c r="D267" s="213">
        <v>17031004585</v>
      </c>
      <c r="E267" s="213" t="s">
        <v>533</v>
      </c>
      <c r="F267" s="213" t="s">
        <v>534</v>
      </c>
      <c r="G267" s="213" t="s">
        <v>365</v>
      </c>
      <c r="H267" s="213" t="s">
        <v>382</v>
      </c>
      <c r="I267" s="213"/>
      <c r="J267" s="213" t="s">
        <v>547</v>
      </c>
      <c r="K267" s="213"/>
      <c r="L267" s="213"/>
      <c r="M267" s="213"/>
      <c r="N267" s="213"/>
      <c r="O267" s="213"/>
      <c r="P267" s="213"/>
      <c r="Q267" s="213"/>
      <c r="R267" s="213"/>
      <c r="S267" s="213" t="s">
        <v>565</v>
      </c>
      <c r="T267" s="213"/>
      <c r="U267" s="213" t="s">
        <v>538</v>
      </c>
      <c r="V267" s="213">
        <v>2</v>
      </c>
      <c r="W267" s="213" t="s">
        <v>566</v>
      </c>
      <c r="X267" s="213" t="s">
        <v>549</v>
      </c>
      <c r="Y267" s="213" t="s">
        <v>541</v>
      </c>
      <c r="Z267" s="212">
        <v>0</v>
      </c>
      <c r="AA267" s="212">
        <v>0</v>
      </c>
      <c r="AB267" s="217">
        <v>0.20282700000000001</v>
      </c>
      <c r="AC267" s="217">
        <v>0.32641999999999999</v>
      </c>
      <c r="AD267" s="212">
        <f t="shared" si="4"/>
        <v>0</v>
      </c>
    </row>
    <row r="268" spans="2:30" x14ac:dyDescent="0.15">
      <c r="B268" s="213">
        <v>17031006339</v>
      </c>
      <c r="C268" s="213">
        <v>17031000259</v>
      </c>
      <c r="D268" s="213">
        <v>17031004588</v>
      </c>
      <c r="E268" s="213" t="s">
        <v>533</v>
      </c>
      <c r="F268" s="213" t="s">
        <v>534</v>
      </c>
      <c r="G268" s="213" t="s">
        <v>365</v>
      </c>
      <c r="H268" s="213" t="s">
        <v>382</v>
      </c>
      <c r="I268" s="213"/>
      <c r="J268" s="213" t="s">
        <v>535</v>
      </c>
      <c r="K268" s="213"/>
      <c r="L268" s="213"/>
      <c r="M268" s="213"/>
      <c r="N268" s="213"/>
      <c r="O268" s="213"/>
      <c r="P268" s="213"/>
      <c r="Q268" s="213"/>
      <c r="R268" s="213"/>
      <c r="S268" s="213" t="s">
        <v>586</v>
      </c>
      <c r="T268" s="213"/>
      <c r="U268" s="213" t="s">
        <v>538</v>
      </c>
      <c r="V268" s="213">
        <v>2</v>
      </c>
      <c r="W268" s="213" t="s">
        <v>582</v>
      </c>
      <c r="X268" s="213" t="s">
        <v>549</v>
      </c>
      <c r="Y268" s="213" t="s">
        <v>549</v>
      </c>
      <c r="Z268" s="212">
        <v>98392</v>
      </c>
      <c r="AA268" s="212">
        <v>10782047</v>
      </c>
      <c r="AB268" s="217">
        <v>1.3260400000000001</v>
      </c>
      <c r="AC268" s="217">
        <v>2.1340590000000002</v>
      </c>
      <c r="AD268" s="212">
        <f t="shared" si="4"/>
        <v>14297425.603880001</v>
      </c>
    </row>
    <row r="269" spans="2:30" x14ac:dyDescent="0.15">
      <c r="B269" s="213">
        <v>17031006344</v>
      </c>
      <c r="C269" s="213">
        <v>17031000252</v>
      </c>
      <c r="D269" s="213">
        <v>17031004624</v>
      </c>
      <c r="E269" s="213" t="s">
        <v>533</v>
      </c>
      <c r="F269" s="213" t="s">
        <v>534</v>
      </c>
      <c r="G269" s="213" t="s">
        <v>365</v>
      </c>
      <c r="H269" s="213" t="s">
        <v>535</v>
      </c>
      <c r="I269" s="213"/>
      <c r="J269" s="213" t="s">
        <v>547</v>
      </c>
      <c r="K269" s="213"/>
      <c r="L269" s="213"/>
      <c r="M269" s="213"/>
      <c r="N269" s="213"/>
      <c r="O269" s="213"/>
      <c r="P269" s="213"/>
      <c r="Q269" s="213"/>
      <c r="R269" s="213"/>
      <c r="S269" s="213" t="s">
        <v>548</v>
      </c>
      <c r="T269" s="213"/>
      <c r="U269" s="213" t="s">
        <v>538</v>
      </c>
      <c r="V269" s="213">
        <v>2</v>
      </c>
      <c r="W269" s="213" t="s">
        <v>545</v>
      </c>
      <c r="X269" s="213" t="s">
        <v>549</v>
      </c>
      <c r="Y269" s="213" t="s">
        <v>546</v>
      </c>
      <c r="Z269" s="212">
        <v>374009</v>
      </c>
      <c r="AA269" s="212">
        <v>22824039</v>
      </c>
      <c r="AB269" s="217">
        <v>0.38465100000000002</v>
      </c>
      <c r="AC269" s="217">
        <v>0.61903600000000003</v>
      </c>
      <c r="AD269" s="212">
        <f t="shared" si="4"/>
        <v>8779289.4253890011</v>
      </c>
    </row>
    <row r="270" spans="2:30" x14ac:dyDescent="0.15">
      <c r="B270" s="213">
        <v>17031006347</v>
      </c>
      <c r="C270" s="213">
        <v>17031000512</v>
      </c>
      <c r="D270" s="213">
        <v>17031000478</v>
      </c>
      <c r="E270" s="213" t="s">
        <v>533</v>
      </c>
      <c r="F270" s="213" t="s">
        <v>534</v>
      </c>
      <c r="G270" s="213" t="s">
        <v>365</v>
      </c>
      <c r="H270" s="213" t="s">
        <v>382</v>
      </c>
      <c r="I270" s="213"/>
      <c r="J270" s="213" t="s">
        <v>547</v>
      </c>
      <c r="K270" s="213"/>
      <c r="L270" s="213"/>
      <c r="M270" s="213"/>
      <c r="N270" s="213"/>
      <c r="O270" s="213"/>
      <c r="P270" s="213"/>
      <c r="Q270" s="213"/>
      <c r="R270" s="213"/>
      <c r="S270" s="213" t="s">
        <v>608</v>
      </c>
      <c r="T270" s="213"/>
      <c r="U270" s="213" t="s">
        <v>538</v>
      </c>
      <c r="V270" s="213">
        <v>4</v>
      </c>
      <c r="W270" s="213" t="s">
        <v>566</v>
      </c>
      <c r="X270" s="213" t="s">
        <v>540</v>
      </c>
      <c r="Y270" s="213" t="s">
        <v>541</v>
      </c>
      <c r="Z270" s="212">
        <v>0</v>
      </c>
      <c r="AA270" s="212">
        <v>0</v>
      </c>
      <c r="AB270" s="217">
        <v>0.35342099999999999</v>
      </c>
      <c r="AC270" s="217">
        <v>0.56877800000000001</v>
      </c>
      <c r="AD270" s="212">
        <f t="shared" si="4"/>
        <v>0</v>
      </c>
    </row>
    <row r="271" spans="2:30" x14ac:dyDescent="0.15">
      <c r="B271" s="213">
        <v>17031006349</v>
      </c>
      <c r="C271" s="213">
        <v>17031004593</v>
      </c>
      <c r="D271" s="213">
        <v>17031004592</v>
      </c>
      <c r="E271" s="213" t="s">
        <v>533</v>
      </c>
      <c r="F271" s="213" t="s">
        <v>534</v>
      </c>
      <c r="G271" s="213" t="s">
        <v>365</v>
      </c>
      <c r="H271" s="213" t="s">
        <v>535</v>
      </c>
      <c r="I271" s="213"/>
      <c r="J271" s="213" t="s">
        <v>547</v>
      </c>
      <c r="K271" s="213" t="s">
        <v>551</v>
      </c>
      <c r="L271" s="213"/>
      <c r="M271" s="213"/>
      <c r="N271" s="213"/>
      <c r="O271" s="213"/>
      <c r="P271" s="213"/>
      <c r="Q271" s="213"/>
      <c r="R271" s="213"/>
      <c r="S271" s="213" t="s">
        <v>548</v>
      </c>
      <c r="T271" s="213" t="s">
        <v>671</v>
      </c>
      <c r="U271" s="213" t="s">
        <v>538</v>
      </c>
      <c r="V271" s="213">
        <v>2</v>
      </c>
      <c r="W271" s="213" t="s">
        <v>545</v>
      </c>
      <c r="X271" s="213" t="s">
        <v>549</v>
      </c>
      <c r="Y271" s="213" t="s">
        <v>546</v>
      </c>
      <c r="Z271" s="212">
        <v>374329</v>
      </c>
      <c r="AA271" s="212">
        <v>22852279</v>
      </c>
      <c r="AB271" s="217">
        <v>0.51984699999999995</v>
      </c>
      <c r="AC271" s="217">
        <v>0.83661399999999997</v>
      </c>
      <c r="AD271" s="212">
        <f t="shared" si="4"/>
        <v>11879688.681312999</v>
      </c>
    </row>
    <row r="272" spans="2:30" x14ac:dyDescent="0.15">
      <c r="B272" s="213">
        <v>17031006356</v>
      </c>
      <c r="C272" s="213">
        <v>17031000486</v>
      </c>
      <c r="D272" s="213">
        <v>17031004642</v>
      </c>
      <c r="E272" s="213" t="s">
        <v>533</v>
      </c>
      <c r="F272" s="213" t="s">
        <v>534</v>
      </c>
      <c r="G272" s="213" t="s">
        <v>365</v>
      </c>
      <c r="H272" s="213" t="s">
        <v>552</v>
      </c>
      <c r="I272" s="213"/>
      <c r="J272" s="213" t="s">
        <v>551</v>
      </c>
      <c r="K272" s="213" t="s">
        <v>547</v>
      </c>
      <c r="L272" s="213" t="s">
        <v>382</v>
      </c>
      <c r="M272" s="213" t="s">
        <v>563</v>
      </c>
      <c r="N272" s="213"/>
      <c r="O272" s="213"/>
      <c r="P272" s="213"/>
      <c r="Q272" s="213"/>
      <c r="R272" s="213"/>
      <c r="S272" s="213" t="s">
        <v>589</v>
      </c>
      <c r="T272" s="213"/>
      <c r="U272" s="213" t="s">
        <v>538</v>
      </c>
      <c r="V272" s="213">
        <v>3</v>
      </c>
      <c r="W272" s="213" t="s">
        <v>545</v>
      </c>
      <c r="X272" s="213" t="s">
        <v>549</v>
      </c>
      <c r="Y272" s="213" t="s">
        <v>549</v>
      </c>
      <c r="Z272" s="212">
        <v>321019</v>
      </c>
      <c r="AA272" s="212">
        <v>20272568</v>
      </c>
      <c r="AB272" s="217">
        <v>5.2434000000000001E-2</v>
      </c>
      <c r="AC272" s="217">
        <v>8.4385000000000002E-2</v>
      </c>
      <c r="AD272" s="212">
        <f t="shared" si="4"/>
        <v>1062971.830512</v>
      </c>
    </row>
    <row r="273" spans="2:30" x14ac:dyDescent="0.15">
      <c r="B273" s="213">
        <v>17031006357</v>
      </c>
      <c r="C273" s="213">
        <v>17031000465</v>
      </c>
      <c r="D273" s="213">
        <v>17031000462</v>
      </c>
      <c r="E273" s="213" t="s">
        <v>533</v>
      </c>
      <c r="F273" s="213" t="s">
        <v>534</v>
      </c>
      <c r="G273" s="213" t="s">
        <v>365</v>
      </c>
      <c r="H273" s="213" t="s">
        <v>557</v>
      </c>
      <c r="I273" s="213"/>
      <c r="J273" s="213" t="s">
        <v>535</v>
      </c>
      <c r="K273" s="213" t="s">
        <v>552</v>
      </c>
      <c r="L273" s="213" t="s">
        <v>543</v>
      </c>
      <c r="M273" s="213" t="s">
        <v>382</v>
      </c>
      <c r="N273" s="213"/>
      <c r="O273" s="213"/>
      <c r="P273" s="213"/>
      <c r="Q273" s="213"/>
      <c r="R273" s="213"/>
      <c r="S273" s="213" t="s">
        <v>570</v>
      </c>
      <c r="T273" s="213" t="s">
        <v>676</v>
      </c>
      <c r="U273" s="213" t="s">
        <v>538</v>
      </c>
      <c r="V273" s="213">
        <v>2</v>
      </c>
      <c r="W273" s="213" t="s">
        <v>545</v>
      </c>
      <c r="X273" s="213" t="s">
        <v>554</v>
      </c>
      <c r="Y273" s="213" t="s">
        <v>546</v>
      </c>
      <c r="Z273" s="212">
        <v>550913</v>
      </c>
      <c r="AA273" s="212">
        <v>35918062</v>
      </c>
      <c r="AB273" s="217">
        <v>0.28209699999999999</v>
      </c>
      <c r="AC273" s="217">
        <v>0.45399299999999998</v>
      </c>
      <c r="AD273" s="212">
        <f t="shared" si="4"/>
        <v>10132377.536014</v>
      </c>
    </row>
    <row r="274" spans="2:30" x14ac:dyDescent="0.15">
      <c r="B274" s="213">
        <v>17031006358</v>
      </c>
      <c r="C274" s="213">
        <v>17031000526</v>
      </c>
      <c r="D274" s="213">
        <v>17031004644</v>
      </c>
      <c r="E274" s="213" t="s">
        <v>533</v>
      </c>
      <c r="F274" s="213" t="s">
        <v>534</v>
      </c>
      <c r="G274" s="213" t="s">
        <v>365</v>
      </c>
      <c r="H274" s="213" t="s">
        <v>557</v>
      </c>
      <c r="I274" s="213"/>
      <c r="J274" s="213" t="s">
        <v>535</v>
      </c>
      <c r="K274" s="213" t="s">
        <v>552</v>
      </c>
      <c r="L274" s="213" t="s">
        <v>543</v>
      </c>
      <c r="M274" s="213" t="s">
        <v>382</v>
      </c>
      <c r="N274" s="213"/>
      <c r="O274" s="213"/>
      <c r="P274" s="213"/>
      <c r="Q274" s="213"/>
      <c r="R274" s="213"/>
      <c r="S274" s="213" t="s">
        <v>570</v>
      </c>
      <c r="T274" s="213"/>
      <c r="U274" s="213" t="s">
        <v>538</v>
      </c>
      <c r="V274" s="213">
        <v>2</v>
      </c>
      <c r="W274" s="213" t="s">
        <v>545</v>
      </c>
      <c r="X274" s="213" t="s">
        <v>540</v>
      </c>
      <c r="Y274" s="213" t="s">
        <v>546</v>
      </c>
      <c r="Z274" s="212">
        <v>550913</v>
      </c>
      <c r="AA274" s="212">
        <v>35918062</v>
      </c>
      <c r="AB274" s="217">
        <v>0.52703999999999995</v>
      </c>
      <c r="AC274" s="217">
        <v>0.84819100000000003</v>
      </c>
      <c r="AD274" s="212">
        <f t="shared" si="4"/>
        <v>18930255.396479998</v>
      </c>
    </row>
    <row r="275" spans="2:30" x14ac:dyDescent="0.15">
      <c r="B275" s="213">
        <v>17031006363</v>
      </c>
      <c r="C275" s="213">
        <v>17999020762</v>
      </c>
      <c r="D275" s="213">
        <v>17031004654</v>
      </c>
      <c r="E275" s="213" t="s">
        <v>533</v>
      </c>
      <c r="F275" s="213" t="s">
        <v>534</v>
      </c>
      <c r="G275" s="213" t="s">
        <v>365</v>
      </c>
      <c r="H275" s="213" t="s">
        <v>535</v>
      </c>
      <c r="I275" s="213"/>
      <c r="J275" s="213"/>
      <c r="K275" s="213"/>
      <c r="L275" s="213"/>
      <c r="M275" s="213"/>
      <c r="N275" s="213"/>
      <c r="O275" s="213"/>
      <c r="P275" s="213"/>
      <c r="Q275" s="213"/>
      <c r="R275" s="213"/>
      <c r="S275" s="213" t="s">
        <v>624</v>
      </c>
      <c r="T275" s="213"/>
      <c r="U275" s="213" t="s">
        <v>538</v>
      </c>
      <c r="V275" s="213">
        <v>1</v>
      </c>
      <c r="W275" s="213" t="s">
        <v>582</v>
      </c>
      <c r="X275" s="213" t="s">
        <v>540</v>
      </c>
      <c r="Y275" s="213" t="s">
        <v>554</v>
      </c>
      <c r="Z275" s="212">
        <v>1960</v>
      </c>
      <c r="AA275" s="212">
        <v>160440</v>
      </c>
      <c r="AB275" s="217">
        <v>1.267617</v>
      </c>
      <c r="AC275" s="217">
        <v>2.0400360000000002</v>
      </c>
      <c r="AD275" s="212">
        <f t="shared" si="4"/>
        <v>203376.47148000001</v>
      </c>
    </row>
    <row r="276" spans="2:30" x14ac:dyDescent="0.15">
      <c r="B276" s="213">
        <v>17031006370</v>
      </c>
      <c r="C276" s="213">
        <v>17031004664</v>
      </c>
      <c r="D276" s="213">
        <v>17031000719</v>
      </c>
      <c r="E276" s="213" t="s">
        <v>533</v>
      </c>
      <c r="F276" s="213" t="s">
        <v>534</v>
      </c>
      <c r="G276" s="213" t="s">
        <v>365</v>
      </c>
      <c r="H276" s="213" t="s">
        <v>381</v>
      </c>
      <c r="I276" s="213"/>
      <c r="J276" s="213" t="s">
        <v>542</v>
      </c>
      <c r="K276" s="213" t="s">
        <v>547</v>
      </c>
      <c r="L276" s="213" t="s">
        <v>382</v>
      </c>
      <c r="M276" s="213"/>
      <c r="N276" s="213"/>
      <c r="O276" s="213"/>
      <c r="P276" s="213"/>
      <c r="Q276" s="213"/>
      <c r="R276" s="213"/>
      <c r="S276" s="213" t="s">
        <v>579</v>
      </c>
      <c r="T276" s="213"/>
      <c r="U276" s="213" t="s">
        <v>538</v>
      </c>
      <c r="V276" s="213">
        <v>5</v>
      </c>
      <c r="W276" s="213" t="s">
        <v>545</v>
      </c>
      <c r="X276" s="213" t="s">
        <v>549</v>
      </c>
      <c r="Y276" s="213" t="s">
        <v>580</v>
      </c>
      <c r="Z276" s="212">
        <v>935267</v>
      </c>
      <c r="AA276" s="212">
        <v>44554189</v>
      </c>
      <c r="AB276" s="217">
        <v>0.344275</v>
      </c>
      <c r="AC276" s="217">
        <v>0.55405800000000005</v>
      </c>
      <c r="AD276" s="212">
        <f t="shared" si="4"/>
        <v>15338893.417974999</v>
      </c>
    </row>
    <row r="277" spans="2:30" x14ac:dyDescent="0.15">
      <c r="B277" s="213">
        <v>17031006371</v>
      </c>
      <c r="C277" s="213">
        <v>17031000721</v>
      </c>
      <c r="D277" s="213">
        <v>17031000745</v>
      </c>
      <c r="E277" s="213" t="s">
        <v>533</v>
      </c>
      <c r="F277" s="213" t="s">
        <v>534</v>
      </c>
      <c r="G277" s="213" t="s">
        <v>365</v>
      </c>
      <c r="H277" s="213" t="s">
        <v>571</v>
      </c>
      <c r="I277" s="213"/>
      <c r="J277" s="213" t="s">
        <v>381</v>
      </c>
      <c r="K277" s="213" t="s">
        <v>535</v>
      </c>
      <c r="L277" s="213" t="s">
        <v>552</v>
      </c>
      <c r="M277" s="213" t="s">
        <v>551</v>
      </c>
      <c r="N277" s="213" t="s">
        <v>563</v>
      </c>
      <c r="O277" s="213" t="s">
        <v>543</v>
      </c>
      <c r="P277" s="213"/>
      <c r="Q277" s="213"/>
      <c r="R277" s="213"/>
      <c r="S277" s="213" t="s">
        <v>573</v>
      </c>
      <c r="T277" s="213"/>
      <c r="U277" s="213" t="s">
        <v>538</v>
      </c>
      <c r="V277" s="213">
        <v>2</v>
      </c>
      <c r="W277" s="213" t="s">
        <v>545</v>
      </c>
      <c r="X277" s="213" t="s">
        <v>554</v>
      </c>
      <c r="Y277" s="213" t="s">
        <v>580</v>
      </c>
      <c r="Z277" s="212">
        <v>960811</v>
      </c>
      <c r="AA277" s="212">
        <v>41250978</v>
      </c>
      <c r="AB277" s="217">
        <v>3.0428E-2</v>
      </c>
      <c r="AC277" s="217">
        <v>4.8968999999999999E-2</v>
      </c>
      <c r="AD277" s="212">
        <f t="shared" si="4"/>
        <v>1255184.7585839999</v>
      </c>
    </row>
    <row r="278" spans="2:30" x14ac:dyDescent="0.15">
      <c r="B278" s="213">
        <v>17031006384</v>
      </c>
      <c r="C278" s="213">
        <v>17031004673</v>
      </c>
      <c r="D278" s="213">
        <v>17031000720</v>
      </c>
      <c r="E278" s="213" t="s">
        <v>533</v>
      </c>
      <c r="F278" s="213" t="s">
        <v>534</v>
      </c>
      <c r="G278" s="213" t="s">
        <v>365</v>
      </c>
      <c r="H278" s="213" t="s">
        <v>571</v>
      </c>
      <c r="I278" s="213"/>
      <c r="J278" s="213" t="s">
        <v>381</v>
      </c>
      <c r="K278" s="213" t="s">
        <v>535</v>
      </c>
      <c r="L278" s="213" t="s">
        <v>543</v>
      </c>
      <c r="M278" s="213"/>
      <c r="N278" s="213"/>
      <c r="O278" s="213"/>
      <c r="P278" s="213"/>
      <c r="Q278" s="213"/>
      <c r="R278" s="213"/>
      <c r="S278" s="213"/>
      <c r="T278" s="213"/>
      <c r="U278" s="213" t="s">
        <v>538</v>
      </c>
      <c r="V278" s="213">
        <v>1</v>
      </c>
      <c r="W278" s="213" t="s">
        <v>545</v>
      </c>
      <c r="X278" s="213" t="s">
        <v>541</v>
      </c>
      <c r="Y278" s="213" t="s">
        <v>540</v>
      </c>
      <c r="Z278" s="212">
        <v>820479</v>
      </c>
      <c r="AA278" s="212">
        <v>36265218</v>
      </c>
      <c r="AB278" s="217">
        <v>0.248501</v>
      </c>
      <c r="AC278" s="217">
        <v>0.399924</v>
      </c>
      <c r="AD278" s="212">
        <f t="shared" si="4"/>
        <v>9011942.9382179994</v>
      </c>
    </row>
    <row r="279" spans="2:30" x14ac:dyDescent="0.15">
      <c r="B279" s="213">
        <v>17031006387</v>
      </c>
      <c r="C279" s="213">
        <v>17031000625</v>
      </c>
      <c r="D279" s="213">
        <v>17031004675</v>
      </c>
      <c r="E279" s="213" t="s">
        <v>533</v>
      </c>
      <c r="F279" s="213" t="s">
        <v>534</v>
      </c>
      <c r="G279" s="213" t="s">
        <v>365</v>
      </c>
      <c r="H279" s="213" t="s">
        <v>382</v>
      </c>
      <c r="I279" s="213"/>
      <c r="J279" s="213" t="s">
        <v>572</v>
      </c>
      <c r="K279" s="213" t="s">
        <v>543</v>
      </c>
      <c r="L279" s="213"/>
      <c r="M279" s="213"/>
      <c r="N279" s="213"/>
      <c r="O279" s="213"/>
      <c r="P279" s="213"/>
      <c r="Q279" s="213"/>
      <c r="R279" s="213"/>
      <c r="S279" s="213" t="s">
        <v>609</v>
      </c>
      <c r="T279" s="213"/>
      <c r="U279" s="213" t="s">
        <v>538</v>
      </c>
      <c r="V279" s="213">
        <v>2</v>
      </c>
      <c r="W279" s="213" t="s">
        <v>539</v>
      </c>
      <c r="X279" s="213" t="s">
        <v>554</v>
      </c>
      <c r="Y279" s="213" t="s">
        <v>580</v>
      </c>
      <c r="Z279" s="212">
        <v>2501161</v>
      </c>
      <c r="AA279" s="212">
        <v>65918465</v>
      </c>
      <c r="AB279" s="217">
        <v>0.17044699999999999</v>
      </c>
      <c r="AC279" s="217">
        <v>0.27430900000000003</v>
      </c>
      <c r="AD279" s="212">
        <f t="shared" si="4"/>
        <v>11235604.603854999</v>
      </c>
    </row>
    <row r="280" spans="2:30" x14ac:dyDescent="0.15">
      <c r="B280" s="213">
        <v>17031006388</v>
      </c>
      <c r="C280" s="213">
        <v>17031004675</v>
      </c>
      <c r="D280" s="213">
        <v>17031000638</v>
      </c>
      <c r="E280" s="213" t="s">
        <v>533</v>
      </c>
      <c r="F280" s="213" t="s">
        <v>534</v>
      </c>
      <c r="G280" s="213" t="s">
        <v>365</v>
      </c>
      <c r="H280" s="213" t="s">
        <v>382</v>
      </c>
      <c r="I280" s="213"/>
      <c r="J280" s="213" t="s">
        <v>572</v>
      </c>
      <c r="K280" s="213"/>
      <c r="L280" s="213"/>
      <c r="M280" s="213"/>
      <c r="N280" s="213"/>
      <c r="O280" s="213"/>
      <c r="P280" s="213"/>
      <c r="Q280" s="213"/>
      <c r="R280" s="213"/>
      <c r="S280" s="213" t="s">
        <v>609</v>
      </c>
      <c r="T280" s="213"/>
      <c r="U280" s="213" t="s">
        <v>538</v>
      </c>
      <c r="V280" s="213">
        <v>2</v>
      </c>
      <c r="W280" s="213" t="s">
        <v>539</v>
      </c>
      <c r="X280" s="213" t="s">
        <v>541</v>
      </c>
      <c r="Y280" s="213" t="s">
        <v>546</v>
      </c>
      <c r="Z280" s="212">
        <v>842746</v>
      </c>
      <c r="AA280" s="212">
        <v>26559579</v>
      </c>
      <c r="AB280" s="217">
        <v>0.20289699999999999</v>
      </c>
      <c r="AC280" s="217">
        <v>0.32653100000000002</v>
      </c>
      <c r="AD280" s="212">
        <f t="shared" si="4"/>
        <v>5388858.9003630001</v>
      </c>
    </row>
    <row r="281" spans="2:30" x14ac:dyDescent="0.15">
      <c r="B281" s="213">
        <v>17031006400</v>
      </c>
      <c r="C281" s="213">
        <v>17031004680</v>
      </c>
      <c r="D281" s="213">
        <v>17031004679</v>
      </c>
      <c r="E281" s="213" t="s">
        <v>533</v>
      </c>
      <c r="F281" s="213" t="s">
        <v>534</v>
      </c>
      <c r="G281" s="213" t="s">
        <v>365</v>
      </c>
      <c r="H281" s="213" t="s">
        <v>381</v>
      </c>
      <c r="I281" s="213"/>
      <c r="J281" s="213" t="s">
        <v>382</v>
      </c>
      <c r="K281" s="213" t="s">
        <v>535</v>
      </c>
      <c r="L281" s="213"/>
      <c r="M281" s="213"/>
      <c r="N281" s="213"/>
      <c r="O281" s="213"/>
      <c r="P281" s="213"/>
      <c r="Q281" s="213"/>
      <c r="R281" s="213"/>
      <c r="S281" s="213"/>
      <c r="T281" s="213" t="s">
        <v>668</v>
      </c>
      <c r="U281" s="213" t="s">
        <v>559</v>
      </c>
      <c r="V281" s="213">
        <v>1</v>
      </c>
      <c r="W281" s="213" t="s">
        <v>539</v>
      </c>
      <c r="X281" s="213" t="s">
        <v>541</v>
      </c>
      <c r="Y281" s="213" t="s">
        <v>541</v>
      </c>
      <c r="Z281" s="212">
        <v>2111337</v>
      </c>
      <c r="AA281" s="212">
        <v>66206882</v>
      </c>
      <c r="AB281" s="217">
        <v>0.32686500000000002</v>
      </c>
      <c r="AC281" s="217">
        <v>0.52603900000000003</v>
      </c>
      <c r="AD281" s="212">
        <f t="shared" si="4"/>
        <v>21640712.484930001</v>
      </c>
    </row>
    <row r="282" spans="2:30" x14ac:dyDescent="0.15">
      <c r="B282" s="213">
        <v>17031006401</v>
      </c>
      <c r="C282" s="213">
        <v>17031004679</v>
      </c>
      <c r="D282" s="213">
        <v>17031004678</v>
      </c>
      <c r="E282" s="213" t="s">
        <v>533</v>
      </c>
      <c r="F282" s="213" t="s">
        <v>534</v>
      </c>
      <c r="G282" s="213" t="s">
        <v>365</v>
      </c>
      <c r="H282" s="213" t="s">
        <v>381</v>
      </c>
      <c r="I282" s="213"/>
      <c r="J282" s="213" t="s">
        <v>382</v>
      </c>
      <c r="K282" s="213" t="s">
        <v>535</v>
      </c>
      <c r="L282" s="213"/>
      <c r="M282" s="213"/>
      <c r="N282" s="213"/>
      <c r="O282" s="213"/>
      <c r="P282" s="213"/>
      <c r="Q282" s="213"/>
      <c r="R282" s="213"/>
      <c r="S282" s="213"/>
      <c r="T282" s="213" t="s">
        <v>668</v>
      </c>
      <c r="U282" s="213" t="s">
        <v>559</v>
      </c>
      <c r="V282" s="213">
        <v>1</v>
      </c>
      <c r="W282" s="213" t="s">
        <v>539</v>
      </c>
      <c r="X282" s="213" t="s">
        <v>541</v>
      </c>
      <c r="Y282" s="213" t="s">
        <v>541</v>
      </c>
      <c r="Z282" s="212">
        <v>2112177</v>
      </c>
      <c r="AA282" s="212">
        <v>66219202</v>
      </c>
      <c r="AB282" s="217">
        <v>0.132326</v>
      </c>
      <c r="AC282" s="217">
        <v>0.21295800000000001</v>
      </c>
      <c r="AD282" s="212">
        <f t="shared" si="4"/>
        <v>8762522.1238519996</v>
      </c>
    </row>
    <row r="283" spans="2:30" x14ac:dyDescent="0.15">
      <c r="B283" s="213">
        <v>17031006407</v>
      </c>
      <c r="C283" s="213">
        <v>17031004705</v>
      </c>
      <c r="D283" s="213">
        <v>17031004704</v>
      </c>
      <c r="E283" s="213" t="s">
        <v>533</v>
      </c>
      <c r="F283" s="213" t="s">
        <v>534</v>
      </c>
      <c r="G283" s="213" t="s">
        <v>365</v>
      </c>
      <c r="H283" s="213" t="s">
        <v>547</v>
      </c>
      <c r="I283" s="213"/>
      <c r="J283" s="213"/>
      <c r="K283" s="213"/>
      <c r="L283" s="213"/>
      <c r="M283" s="213"/>
      <c r="N283" s="213"/>
      <c r="O283" s="213"/>
      <c r="P283" s="213"/>
      <c r="Q283" s="213"/>
      <c r="R283" s="213"/>
      <c r="S283" s="213" t="s">
        <v>611</v>
      </c>
      <c r="T283" s="213"/>
      <c r="U283" s="213" t="s">
        <v>538</v>
      </c>
      <c r="V283" s="213">
        <v>2</v>
      </c>
      <c r="W283" s="213" t="s">
        <v>582</v>
      </c>
      <c r="X283" s="213" t="s">
        <v>540</v>
      </c>
      <c r="Y283" s="213" t="s">
        <v>541</v>
      </c>
      <c r="Z283" s="212">
        <v>0</v>
      </c>
      <c r="AA283" s="212">
        <v>0</v>
      </c>
      <c r="AB283" s="217">
        <v>0.50446299999999999</v>
      </c>
      <c r="AC283" s="217">
        <v>0.81185700000000005</v>
      </c>
      <c r="AD283" s="212">
        <f t="shared" si="4"/>
        <v>0</v>
      </c>
    </row>
    <row r="284" spans="2:30" x14ac:dyDescent="0.15">
      <c r="B284" s="213">
        <v>17031006408</v>
      </c>
      <c r="C284" s="213">
        <v>17031004704</v>
      </c>
      <c r="D284" s="213">
        <v>17031004703</v>
      </c>
      <c r="E284" s="213" t="s">
        <v>533</v>
      </c>
      <c r="F284" s="213" t="s">
        <v>534</v>
      </c>
      <c r="G284" s="213" t="s">
        <v>365</v>
      </c>
      <c r="H284" s="213" t="s">
        <v>547</v>
      </c>
      <c r="I284" s="213"/>
      <c r="J284" s="213"/>
      <c r="K284" s="213"/>
      <c r="L284" s="213"/>
      <c r="M284" s="213"/>
      <c r="N284" s="213"/>
      <c r="O284" s="213"/>
      <c r="P284" s="213"/>
      <c r="Q284" s="213"/>
      <c r="R284" s="213"/>
      <c r="S284" s="213" t="s">
        <v>611</v>
      </c>
      <c r="T284" s="213"/>
      <c r="U284" s="213" t="s">
        <v>538</v>
      </c>
      <c r="V284" s="213">
        <v>2</v>
      </c>
      <c r="W284" s="213" t="s">
        <v>582</v>
      </c>
      <c r="X284" s="213" t="s">
        <v>540</v>
      </c>
      <c r="Y284" s="213" t="s">
        <v>541</v>
      </c>
      <c r="Z284" s="212">
        <v>0</v>
      </c>
      <c r="AA284" s="212">
        <v>0</v>
      </c>
      <c r="AB284" s="217">
        <v>0.507691</v>
      </c>
      <c r="AC284" s="217">
        <v>0.81705099999999997</v>
      </c>
      <c r="AD284" s="212">
        <f t="shared" si="4"/>
        <v>0</v>
      </c>
    </row>
    <row r="285" spans="2:30" x14ac:dyDescent="0.15">
      <c r="B285" s="213">
        <v>17031006410</v>
      </c>
      <c r="C285" s="213">
        <v>17031004702</v>
      </c>
      <c r="D285" s="213">
        <v>17031004701</v>
      </c>
      <c r="E285" s="213" t="s">
        <v>533</v>
      </c>
      <c r="F285" s="213" t="s">
        <v>534</v>
      </c>
      <c r="G285" s="213" t="s">
        <v>365</v>
      </c>
      <c r="H285" s="213" t="s">
        <v>547</v>
      </c>
      <c r="I285" s="213"/>
      <c r="J285" s="213"/>
      <c r="K285" s="213"/>
      <c r="L285" s="213"/>
      <c r="M285" s="213"/>
      <c r="N285" s="213"/>
      <c r="O285" s="213"/>
      <c r="P285" s="213"/>
      <c r="Q285" s="213"/>
      <c r="R285" s="213"/>
      <c r="S285" s="213" t="s">
        <v>611</v>
      </c>
      <c r="T285" s="213"/>
      <c r="U285" s="213" t="s">
        <v>538</v>
      </c>
      <c r="V285" s="213">
        <v>2</v>
      </c>
      <c r="W285" s="213" t="s">
        <v>582</v>
      </c>
      <c r="X285" s="213" t="s">
        <v>540</v>
      </c>
      <c r="Y285" s="213" t="s">
        <v>541</v>
      </c>
      <c r="Z285" s="212">
        <v>0</v>
      </c>
      <c r="AA285" s="212">
        <v>0</v>
      </c>
      <c r="AB285" s="217">
        <v>0.52367699999999995</v>
      </c>
      <c r="AC285" s="217">
        <v>0.84277899999999994</v>
      </c>
      <c r="AD285" s="212">
        <f t="shared" si="4"/>
        <v>0</v>
      </c>
    </row>
    <row r="286" spans="2:30" x14ac:dyDescent="0.15">
      <c r="B286" s="213">
        <v>17031006411</v>
      </c>
      <c r="C286" s="213">
        <v>17031004700</v>
      </c>
      <c r="D286" s="213">
        <v>17031007053</v>
      </c>
      <c r="E286" s="213" t="s">
        <v>533</v>
      </c>
      <c r="F286" s="213" t="s">
        <v>534</v>
      </c>
      <c r="G286" s="213" t="s">
        <v>365</v>
      </c>
      <c r="H286" s="213" t="s">
        <v>547</v>
      </c>
      <c r="I286" s="213"/>
      <c r="J286" s="213"/>
      <c r="K286" s="213"/>
      <c r="L286" s="213"/>
      <c r="M286" s="213"/>
      <c r="N286" s="213"/>
      <c r="O286" s="213"/>
      <c r="P286" s="213"/>
      <c r="Q286" s="213"/>
      <c r="R286" s="213"/>
      <c r="S286" s="213" t="s">
        <v>611</v>
      </c>
      <c r="T286" s="213"/>
      <c r="U286" s="213" t="s">
        <v>538</v>
      </c>
      <c r="V286" s="213">
        <v>2</v>
      </c>
      <c r="W286" s="213" t="s">
        <v>582</v>
      </c>
      <c r="X286" s="213" t="s">
        <v>540</v>
      </c>
      <c r="Y286" s="213" t="s">
        <v>541</v>
      </c>
      <c r="Z286" s="212">
        <v>0</v>
      </c>
      <c r="AA286" s="212">
        <v>0</v>
      </c>
      <c r="AB286" s="217">
        <v>0.48569800000000002</v>
      </c>
      <c r="AC286" s="217">
        <v>0.78165700000000005</v>
      </c>
      <c r="AD286" s="212">
        <f t="shared" si="4"/>
        <v>0</v>
      </c>
    </row>
    <row r="287" spans="2:30" x14ac:dyDescent="0.15">
      <c r="B287" s="213">
        <v>17031006412</v>
      </c>
      <c r="C287" s="213">
        <v>17031004699</v>
      </c>
      <c r="D287" s="213">
        <v>17031001286</v>
      </c>
      <c r="E287" s="213" t="s">
        <v>533</v>
      </c>
      <c r="F287" s="213" t="s">
        <v>534</v>
      </c>
      <c r="G287" s="213" t="s">
        <v>365</v>
      </c>
      <c r="H287" s="213" t="s">
        <v>547</v>
      </c>
      <c r="I287" s="213"/>
      <c r="J287" s="213"/>
      <c r="K287" s="213"/>
      <c r="L287" s="213"/>
      <c r="M287" s="213"/>
      <c r="N287" s="213"/>
      <c r="O287" s="213"/>
      <c r="P287" s="213"/>
      <c r="Q287" s="213"/>
      <c r="R287" s="213"/>
      <c r="S287" s="213"/>
      <c r="T287" s="213"/>
      <c r="U287" s="213" t="s">
        <v>538</v>
      </c>
      <c r="V287" s="213">
        <v>1</v>
      </c>
      <c r="W287" s="213" t="s">
        <v>582</v>
      </c>
      <c r="X287" s="213" t="s">
        <v>541</v>
      </c>
      <c r="Y287" s="213" t="s">
        <v>541</v>
      </c>
      <c r="Z287" s="212">
        <v>0</v>
      </c>
      <c r="AA287" s="212">
        <v>0</v>
      </c>
      <c r="AB287" s="217">
        <v>0.12859000000000001</v>
      </c>
      <c r="AC287" s="217">
        <v>0.20694499999999999</v>
      </c>
      <c r="AD287" s="212">
        <f t="shared" si="4"/>
        <v>0</v>
      </c>
    </row>
    <row r="288" spans="2:30" x14ac:dyDescent="0.15">
      <c r="B288" s="213">
        <v>17031006414</v>
      </c>
      <c r="C288" s="213">
        <v>17031001065</v>
      </c>
      <c r="D288" s="213">
        <v>17031001030</v>
      </c>
      <c r="E288" s="213" t="s">
        <v>533</v>
      </c>
      <c r="F288" s="213" t="s">
        <v>534</v>
      </c>
      <c r="G288" s="213" t="s">
        <v>365</v>
      </c>
      <c r="H288" s="213" t="s">
        <v>547</v>
      </c>
      <c r="I288" s="213"/>
      <c r="J288" s="213" t="s">
        <v>577</v>
      </c>
      <c r="K288" s="213"/>
      <c r="L288" s="213"/>
      <c r="M288" s="213"/>
      <c r="N288" s="213"/>
      <c r="O288" s="213"/>
      <c r="P288" s="213"/>
      <c r="Q288" s="213"/>
      <c r="R288" s="213"/>
      <c r="S288" s="213" t="s">
        <v>581</v>
      </c>
      <c r="T288" s="213"/>
      <c r="U288" s="213" t="s">
        <v>538</v>
      </c>
      <c r="V288" s="213">
        <v>2</v>
      </c>
      <c r="W288" s="213" t="s">
        <v>582</v>
      </c>
      <c r="X288" s="213" t="s">
        <v>540</v>
      </c>
      <c r="Y288" s="213" t="s">
        <v>541</v>
      </c>
      <c r="Z288" s="212">
        <v>0</v>
      </c>
      <c r="AA288" s="212">
        <v>0</v>
      </c>
      <c r="AB288" s="217">
        <v>0.18220700000000001</v>
      </c>
      <c r="AC288" s="217">
        <v>0.29323399999999999</v>
      </c>
      <c r="AD288" s="212">
        <f t="shared" si="4"/>
        <v>0</v>
      </c>
    </row>
    <row r="289" spans="2:30" x14ac:dyDescent="0.15">
      <c r="B289" s="213">
        <v>17031006417</v>
      </c>
      <c r="C289" s="213">
        <v>17031000959</v>
      </c>
      <c r="D289" s="213">
        <v>17031004728</v>
      </c>
      <c r="E289" s="213" t="s">
        <v>533</v>
      </c>
      <c r="F289" s="213" t="s">
        <v>534</v>
      </c>
      <c r="G289" s="213" t="s">
        <v>365</v>
      </c>
      <c r="H289" s="213" t="s">
        <v>571</v>
      </c>
      <c r="I289" s="213"/>
      <c r="J289" s="213" t="s">
        <v>381</v>
      </c>
      <c r="K289" s="213" t="s">
        <v>535</v>
      </c>
      <c r="L289" s="213" t="s">
        <v>552</v>
      </c>
      <c r="M289" s="213" t="s">
        <v>551</v>
      </c>
      <c r="N289" s="213" t="s">
        <v>557</v>
      </c>
      <c r="O289" s="213" t="s">
        <v>543</v>
      </c>
      <c r="P289" s="213" t="s">
        <v>382</v>
      </c>
      <c r="Q289" s="213" t="s">
        <v>563</v>
      </c>
      <c r="R289" s="213"/>
      <c r="S289" s="213" t="s">
        <v>605</v>
      </c>
      <c r="T289" s="213"/>
      <c r="U289" s="213" t="s">
        <v>538</v>
      </c>
      <c r="V289" s="213">
        <v>1</v>
      </c>
      <c r="W289" s="213" t="s">
        <v>545</v>
      </c>
      <c r="X289" s="213" t="s">
        <v>554</v>
      </c>
      <c r="Y289" s="213" t="s">
        <v>546</v>
      </c>
      <c r="Z289" s="212">
        <v>489947</v>
      </c>
      <c r="AA289" s="212">
        <v>29653124</v>
      </c>
      <c r="AB289" s="217">
        <v>0.217775</v>
      </c>
      <c r="AC289" s="217">
        <v>0.35047499999999998</v>
      </c>
      <c r="AD289" s="212">
        <f t="shared" si="4"/>
        <v>6457709.0790999997</v>
      </c>
    </row>
    <row r="290" spans="2:30" x14ac:dyDescent="0.15">
      <c r="B290" s="213">
        <v>17031006421</v>
      </c>
      <c r="C290" s="213">
        <v>17031004728</v>
      </c>
      <c r="D290" s="213">
        <v>17031004729</v>
      </c>
      <c r="E290" s="213" t="s">
        <v>533</v>
      </c>
      <c r="F290" s="213" t="s">
        <v>534</v>
      </c>
      <c r="G290" s="213" t="s">
        <v>365</v>
      </c>
      <c r="H290" s="213" t="s">
        <v>571</v>
      </c>
      <c r="I290" s="213"/>
      <c r="J290" s="213" t="s">
        <v>381</v>
      </c>
      <c r="K290" s="213" t="s">
        <v>535</v>
      </c>
      <c r="L290" s="213" t="s">
        <v>552</v>
      </c>
      <c r="M290" s="213" t="s">
        <v>572</v>
      </c>
      <c r="N290" s="213" t="s">
        <v>551</v>
      </c>
      <c r="O290" s="213" t="s">
        <v>555</v>
      </c>
      <c r="P290" s="213" t="s">
        <v>543</v>
      </c>
      <c r="Q290" s="213" t="s">
        <v>382</v>
      </c>
      <c r="R290" s="213" t="s">
        <v>563</v>
      </c>
      <c r="S290" s="213" t="s">
        <v>605</v>
      </c>
      <c r="T290" s="213" t="s">
        <v>574</v>
      </c>
      <c r="U290" s="213" t="s">
        <v>538</v>
      </c>
      <c r="V290" s="213">
        <v>1</v>
      </c>
      <c r="W290" s="213" t="s">
        <v>545</v>
      </c>
      <c r="X290" s="213" t="s">
        <v>554</v>
      </c>
      <c r="Y290" s="213" t="s">
        <v>575</v>
      </c>
      <c r="Z290" s="212">
        <v>268203</v>
      </c>
      <c r="AA290" s="212">
        <v>14969329</v>
      </c>
      <c r="AB290" s="217">
        <v>8.9332999999999996E-2</v>
      </c>
      <c r="AC290" s="217">
        <v>0.14376800000000001</v>
      </c>
      <c r="AD290" s="212">
        <f t="shared" si="4"/>
        <v>1337255.0675569999</v>
      </c>
    </row>
    <row r="291" spans="2:30" x14ac:dyDescent="0.15">
      <c r="B291" s="213">
        <v>17031006424</v>
      </c>
      <c r="C291" s="213">
        <v>17031004730</v>
      </c>
      <c r="D291" s="213">
        <v>17031000981</v>
      </c>
      <c r="E291" s="213" t="s">
        <v>533</v>
      </c>
      <c r="F291" s="213" t="s">
        <v>534</v>
      </c>
      <c r="G291" s="213" t="s">
        <v>365</v>
      </c>
      <c r="H291" s="213" t="s">
        <v>571</v>
      </c>
      <c r="I291" s="213"/>
      <c r="J291" s="213" t="s">
        <v>381</v>
      </c>
      <c r="K291" s="213" t="s">
        <v>535</v>
      </c>
      <c r="L291" s="213" t="s">
        <v>552</v>
      </c>
      <c r="M291" s="213" t="s">
        <v>572</v>
      </c>
      <c r="N291" s="213" t="s">
        <v>551</v>
      </c>
      <c r="O291" s="213" t="s">
        <v>555</v>
      </c>
      <c r="P291" s="213" t="s">
        <v>543</v>
      </c>
      <c r="Q291" s="213" t="s">
        <v>382</v>
      </c>
      <c r="R291" s="213" t="s">
        <v>563</v>
      </c>
      <c r="S291" s="213" t="s">
        <v>605</v>
      </c>
      <c r="T291" s="213" t="s">
        <v>574</v>
      </c>
      <c r="U291" s="213" t="s">
        <v>538</v>
      </c>
      <c r="V291" s="213">
        <v>2</v>
      </c>
      <c r="W291" s="213" t="s">
        <v>545</v>
      </c>
      <c r="X291" s="213" t="s">
        <v>554</v>
      </c>
      <c r="Y291" s="213" t="s">
        <v>575</v>
      </c>
      <c r="Z291" s="212">
        <v>268203</v>
      </c>
      <c r="AA291" s="212">
        <v>14969329</v>
      </c>
      <c r="AB291" s="217">
        <v>0.76854500000000003</v>
      </c>
      <c r="AC291" s="217">
        <v>1.236855</v>
      </c>
      <c r="AD291" s="212">
        <f t="shared" si="4"/>
        <v>11504602.956305001</v>
      </c>
    </row>
    <row r="292" spans="2:30" x14ac:dyDescent="0.15">
      <c r="B292" s="213">
        <v>17031006430</v>
      </c>
      <c r="C292" s="213">
        <v>17031001273</v>
      </c>
      <c r="D292" s="213">
        <v>17031001274</v>
      </c>
      <c r="E292" s="213" t="s">
        <v>533</v>
      </c>
      <c r="F292" s="213" t="s">
        <v>534</v>
      </c>
      <c r="G292" s="213" t="s">
        <v>365</v>
      </c>
      <c r="H292" s="213" t="s">
        <v>613</v>
      </c>
      <c r="I292" s="213"/>
      <c r="J292" s="213" t="s">
        <v>577</v>
      </c>
      <c r="K292" s="213" t="s">
        <v>572</v>
      </c>
      <c r="L292" s="213"/>
      <c r="M292" s="213"/>
      <c r="N292" s="213"/>
      <c r="O292" s="213"/>
      <c r="P292" s="213"/>
      <c r="Q292" s="213"/>
      <c r="R292" s="213"/>
      <c r="S292" s="213"/>
      <c r="T292" s="213"/>
      <c r="U292" s="213" t="s">
        <v>559</v>
      </c>
      <c r="V292" s="213">
        <v>1</v>
      </c>
      <c r="W292" s="213" t="s">
        <v>560</v>
      </c>
      <c r="X292" s="213" t="s">
        <v>541</v>
      </c>
      <c r="Y292" s="213" t="s">
        <v>541</v>
      </c>
      <c r="Z292" s="212">
        <v>0</v>
      </c>
      <c r="AA292" s="212">
        <v>0</v>
      </c>
      <c r="AB292" s="217">
        <v>0.108279</v>
      </c>
      <c r="AC292" s="217">
        <v>0.174259</v>
      </c>
      <c r="AD292" s="212">
        <f t="shared" si="4"/>
        <v>0</v>
      </c>
    </row>
    <row r="293" spans="2:30" x14ac:dyDescent="0.15">
      <c r="B293" s="213">
        <v>17031006434</v>
      </c>
      <c r="C293" s="213">
        <v>17031001351</v>
      </c>
      <c r="D293" s="213">
        <v>17031001347</v>
      </c>
      <c r="E293" s="213" t="s">
        <v>533</v>
      </c>
      <c r="F293" s="213" t="s">
        <v>534</v>
      </c>
      <c r="G293" s="213" t="s">
        <v>365</v>
      </c>
      <c r="H293" s="213" t="s">
        <v>543</v>
      </c>
      <c r="I293" s="213"/>
      <c r="J293" s="213"/>
      <c r="K293" s="213"/>
      <c r="L293" s="213"/>
      <c r="M293" s="213"/>
      <c r="N293" s="213"/>
      <c r="O293" s="213"/>
      <c r="P293" s="213"/>
      <c r="Q293" s="213"/>
      <c r="R293" s="213"/>
      <c r="S293" s="213" t="s">
        <v>604</v>
      </c>
      <c r="T293" s="213"/>
      <c r="U293" s="213" t="s">
        <v>538</v>
      </c>
      <c r="V293" s="213">
        <v>2</v>
      </c>
      <c r="W293" s="213" t="s">
        <v>545</v>
      </c>
      <c r="X293" s="213" t="s">
        <v>554</v>
      </c>
      <c r="Y293" s="213" t="s">
        <v>546</v>
      </c>
      <c r="Z293" s="212">
        <v>4872</v>
      </c>
      <c r="AA293" s="212">
        <v>434024</v>
      </c>
      <c r="AB293" s="217">
        <v>0.36465799999999998</v>
      </c>
      <c r="AC293" s="217">
        <v>0.58686199999999999</v>
      </c>
      <c r="AD293" s="212">
        <f t="shared" si="4"/>
        <v>158270.32379199998</v>
      </c>
    </row>
    <row r="294" spans="2:30" x14ac:dyDescent="0.15">
      <c r="B294" s="213">
        <v>17031006441</v>
      </c>
      <c r="C294" s="213">
        <v>17031004737</v>
      </c>
      <c r="D294" s="213">
        <v>17031004738</v>
      </c>
      <c r="E294" s="213" t="s">
        <v>533</v>
      </c>
      <c r="F294" s="213" t="s">
        <v>534</v>
      </c>
      <c r="G294" s="213" t="s">
        <v>365</v>
      </c>
      <c r="H294" s="213" t="s">
        <v>543</v>
      </c>
      <c r="I294" s="213"/>
      <c r="J294" s="213"/>
      <c r="K294" s="213"/>
      <c r="L294" s="213"/>
      <c r="M294" s="213"/>
      <c r="N294" s="213"/>
      <c r="O294" s="213"/>
      <c r="P294" s="213"/>
      <c r="Q294" s="213"/>
      <c r="R294" s="213"/>
      <c r="S294" s="213" t="s">
        <v>604</v>
      </c>
      <c r="T294" s="213"/>
      <c r="U294" s="213" t="s">
        <v>538</v>
      </c>
      <c r="V294" s="213">
        <v>1</v>
      </c>
      <c r="W294" s="213" t="s">
        <v>545</v>
      </c>
      <c r="X294" s="213" t="s">
        <v>554</v>
      </c>
      <c r="Y294" s="213" t="s">
        <v>546</v>
      </c>
      <c r="Z294" s="212">
        <v>4872</v>
      </c>
      <c r="AA294" s="212">
        <v>434024</v>
      </c>
      <c r="AB294" s="217">
        <v>0.23055700000000001</v>
      </c>
      <c r="AC294" s="217">
        <v>0.37104700000000002</v>
      </c>
      <c r="AD294" s="212">
        <f t="shared" si="4"/>
        <v>100067.271368</v>
      </c>
    </row>
    <row r="295" spans="2:30" x14ac:dyDescent="0.15">
      <c r="B295" s="213">
        <v>17031006445</v>
      </c>
      <c r="C295" s="213">
        <v>17031004740</v>
      </c>
      <c r="D295" s="213">
        <v>17031001261</v>
      </c>
      <c r="E295" s="213" t="s">
        <v>533</v>
      </c>
      <c r="F295" s="213" t="s">
        <v>534</v>
      </c>
      <c r="G295" s="213" t="s">
        <v>365</v>
      </c>
      <c r="H295" s="213" t="s">
        <v>543</v>
      </c>
      <c r="I295" s="213"/>
      <c r="J295" s="213"/>
      <c r="K295" s="213"/>
      <c r="L295" s="213"/>
      <c r="M295" s="213"/>
      <c r="N295" s="213"/>
      <c r="O295" s="213"/>
      <c r="P295" s="213"/>
      <c r="Q295" s="213"/>
      <c r="R295" s="213"/>
      <c r="S295" s="213" t="s">
        <v>617</v>
      </c>
      <c r="T295" s="213"/>
      <c r="U295" s="213" t="s">
        <v>559</v>
      </c>
      <c r="V295" s="213">
        <v>1</v>
      </c>
      <c r="W295" s="213" t="s">
        <v>560</v>
      </c>
      <c r="X295" s="213" t="s">
        <v>541</v>
      </c>
      <c r="Y295" s="213" t="s">
        <v>541</v>
      </c>
      <c r="Z295" s="212">
        <v>0</v>
      </c>
      <c r="AA295" s="212">
        <v>0</v>
      </c>
      <c r="AB295" s="217">
        <v>0.402839</v>
      </c>
      <c r="AC295" s="217">
        <v>0.64830699999999997</v>
      </c>
      <c r="AD295" s="212">
        <f t="shared" si="4"/>
        <v>0</v>
      </c>
    </row>
    <row r="296" spans="2:30" x14ac:dyDescent="0.15">
      <c r="B296" s="213">
        <v>17031006450</v>
      </c>
      <c r="C296" s="213">
        <v>17031001543</v>
      </c>
      <c r="D296" s="213">
        <v>17031001528</v>
      </c>
      <c r="E296" s="213" t="s">
        <v>533</v>
      </c>
      <c r="F296" s="213" t="s">
        <v>534</v>
      </c>
      <c r="G296" s="213" t="s">
        <v>365</v>
      </c>
      <c r="H296" s="213" t="s">
        <v>382</v>
      </c>
      <c r="I296" s="213"/>
      <c r="J296" s="213"/>
      <c r="K296" s="213"/>
      <c r="L296" s="213"/>
      <c r="M296" s="213"/>
      <c r="N296" s="213"/>
      <c r="O296" s="213"/>
      <c r="P296" s="213"/>
      <c r="Q296" s="213"/>
      <c r="R296" s="213"/>
      <c r="S296" s="213" t="s">
        <v>576</v>
      </c>
      <c r="T296" s="213"/>
      <c r="U296" s="213" t="s">
        <v>559</v>
      </c>
      <c r="V296" s="213">
        <v>1</v>
      </c>
      <c r="W296" s="213" t="s">
        <v>560</v>
      </c>
      <c r="X296" s="213" t="s">
        <v>541</v>
      </c>
      <c r="Y296" s="213" t="s">
        <v>541</v>
      </c>
      <c r="Z296" s="212">
        <v>0</v>
      </c>
      <c r="AA296" s="212">
        <v>0</v>
      </c>
      <c r="AB296" s="217">
        <v>7.2559999999999999E-2</v>
      </c>
      <c r="AC296" s="217">
        <v>0.116775</v>
      </c>
      <c r="AD296" s="212">
        <f t="shared" si="4"/>
        <v>0</v>
      </c>
    </row>
    <row r="297" spans="2:30" x14ac:dyDescent="0.15">
      <c r="B297" s="213">
        <v>17031006457</v>
      </c>
      <c r="C297" s="213">
        <v>17031001459</v>
      </c>
      <c r="D297" s="213">
        <v>17031001449</v>
      </c>
      <c r="E297" s="213" t="s">
        <v>533</v>
      </c>
      <c r="F297" s="213" t="s">
        <v>534</v>
      </c>
      <c r="G297" s="213" t="s">
        <v>365</v>
      </c>
      <c r="H297" s="213" t="s">
        <v>551</v>
      </c>
      <c r="I297" s="213"/>
      <c r="J297" s="213"/>
      <c r="K297" s="213"/>
      <c r="L297" s="213"/>
      <c r="M297" s="213"/>
      <c r="N297" s="213"/>
      <c r="O297" s="213"/>
      <c r="P297" s="213"/>
      <c r="Q297" s="213"/>
      <c r="R297" s="213"/>
      <c r="S297" s="213"/>
      <c r="T297" s="213"/>
      <c r="U297" s="213" t="s">
        <v>559</v>
      </c>
      <c r="V297" s="213">
        <v>1</v>
      </c>
      <c r="W297" s="213" t="s">
        <v>560</v>
      </c>
      <c r="X297" s="213" t="s">
        <v>541</v>
      </c>
      <c r="Y297" s="213" t="s">
        <v>541</v>
      </c>
      <c r="Z297" s="212">
        <v>0</v>
      </c>
      <c r="AA297" s="212">
        <v>0</v>
      </c>
      <c r="AB297" s="217">
        <v>0.21791099999999999</v>
      </c>
      <c r="AC297" s="217">
        <v>0.35069499999999998</v>
      </c>
      <c r="AD297" s="212">
        <f t="shared" si="4"/>
        <v>0</v>
      </c>
    </row>
    <row r="298" spans="2:30" x14ac:dyDescent="0.15">
      <c r="B298" s="213">
        <v>17031006472</v>
      </c>
      <c r="C298" s="213">
        <v>17031000999</v>
      </c>
      <c r="D298" s="213">
        <v>17031001009</v>
      </c>
      <c r="E298" s="213" t="s">
        <v>533</v>
      </c>
      <c r="F298" s="213" t="s">
        <v>534</v>
      </c>
      <c r="G298" s="213" t="s">
        <v>365</v>
      </c>
      <c r="H298" s="213" t="s">
        <v>551</v>
      </c>
      <c r="I298" s="213"/>
      <c r="J298" s="213" t="s">
        <v>381</v>
      </c>
      <c r="K298" s="213" t="s">
        <v>535</v>
      </c>
      <c r="L298" s="213" t="s">
        <v>552</v>
      </c>
      <c r="M298" s="213" t="s">
        <v>382</v>
      </c>
      <c r="N298" s="213"/>
      <c r="O298" s="213"/>
      <c r="P298" s="213"/>
      <c r="Q298" s="213"/>
      <c r="R298" s="213"/>
      <c r="S298" s="213" t="s">
        <v>600</v>
      </c>
      <c r="T298" s="213"/>
      <c r="U298" s="213" t="s">
        <v>538</v>
      </c>
      <c r="V298" s="213">
        <v>2</v>
      </c>
      <c r="W298" s="213" t="s">
        <v>582</v>
      </c>
      <c r="X298" s="213" t="s">
        <v>554</v>
      </c>
      <c r="Y298" s="213" t="s">
        <v>575</v>
      </c>
      <c r="Z298" s="212">
        <v>174623</v>
      </c>
      <c r="AA298" s="212">
        <v>7596917</v>
      </c>
      <c r="AB298" s="217">
        <v>0.18213399999999999</v>
      </c>
      <c r="AC298" s="217">
        <v>0.29311700000000002</v>
      </c>
      <c r="AD298" s="212">
        <f t="shared" si="4"/>
        <v>1383656.8808779998</v>
      </c>
    </row>
    <row r="299" spans="2:30" x14ac:dyDescent="0.15">
      <c r="B299" s="213">
        <v>17031006476</v>
      </c>
      <c r="C299" s="213">
        <v>17031004721</v>
      </c>
      <c r="D299" s="213">
        <v>17031001311</v>
      </c>
      <c r="E299" s="213" t="s">
        <v>533</v>
      </c>
      <c r="F299" s="213" t="s">
        <v>534</v>
      </c>
      <c r="G299" s="213" t="s">
        <v>365</v>
      </c>
      <c r="H299" s="213" t="s">
        <v>551</v>
      </c>
      <c r="I299" s="213"/>
      <c r="J299" s="213"/>
      <c r="K299" s="213"/>
      <c r="L299" s="213"/>
      <c r="M299" s="213"/>
      <c r="N299" s="213"/>
      <c r="O299" s="213"/>
      <c r="P299" s="213"/>
      <c r="Q299" s="213"/>
      <c r="R299" s="213"/>
      <c r="S299" s="213" t="s">
        <v>600</v>
      </c>
      <c r="T299" s="213"/>
      <c r="U299" s="213" t="s">
        <v>538</v>
      </c>
      <c r="V299" s="213">
        <v>2</v>
      </c>
      <c r="W299" s="213" t="s">
        <v>545</v>
      </c>
      <c r="X299" s="213" t="s">
        <v>540</v>
      </c>
      <c r="Y299" s="213" t="s">
        <v>575</v>
      </c>
      <c r="Z299" s="212">
        <v>179731</v>
      </c>
      <c r="AA299" s="212">
        <v>7982557</v>
      </c>
      <c r="AB299" s="217">
        <v>0.46623300000000001</v>
      </c>
      <c r="AC299" s="217">
        <v>0.75033099999999997</v>
      </c>
      <c r="AD299" s="212">
        <f t="shared" si="4"/>
        <v>3721731.4977810001</v>
      </c>
    </row>
    <row r="300" spans="2:30" x14ac:dyDescent="0.15">
      <c r="B300" s="213">
        <v>17031006481</v>
      </c>
      <c r="C300" s="213">
        <v>17031001390</v>
      </c>
      <c r="D300" s="213">
        <v>17031001388</v>
      </c>
      <c r="E300" s="213" t="s">
        <v>533</v>
      </c>
      <c r="F300" s="213" t="s">
        <v>534</v>
      </c>
      <c r="G300" s="213" t="s">
        <v>365</v>
      </c>
      <c r="H300" s="213" t="s">
        <v>557</v>
      </c>
      <c r="I300" s="213"/>
      <c r="J300" s="213" t="s">
        <v>552</v>
      </c>
      <c r="K300" s="213"/>
      <c r="L300" s="213"/>
      <c r="M300" s="213"/>
      <c r="N300" s="213"/>
      <c r="O300" s="213"/>
      <c r="P300" s="213"/>
      <c r="Q300" s="213"/>
      <c r="R300" s="213"/>
      <c r="S300" s="213"/>
      <c r="T300" s="213"/>
      <c r="U300" s="213" t="s">
        <v>559</v>
      </c>
      <c r="V300" s="213">
        <v>1</v>
      </c>
      <c r="W300" s="213" t="s">
        <v>560</v>
      </c>
      <c r="X300" s="213" t="s">
        <v>541</v>
      </c>
      <c r="Y300" s="213" t="s">
        <v>541</v>
      </c>
      <c r="Z300" s="212">
        <v>80</v>
      </c>
      <c r="AA300" s="212">
        <v>6600</v>
      </c>
      <c r="AB300" s="217">
        <v>0.11287999999999999</v>
      </c>
      <c r="AC300" s="217">
        <v>0.18166299999999999</v>
      </c>
      <c r="AD300" s="212">
        <f t="shared" si="4"/>
        <v>745.00799999999992</v>
      </c>
    </row>
    <row r="301" spans="2:30" x14ac:dyDescent="0.15">
      <c r="B301" s="213">
        <v>17031006493</v>
      </c>
      <c r="C301" s="213">
        <v>17031001167</v>
      </c>
      <c r="D301" s="213">
        <v>17031001415</v>
      </c>
      <c r="E301" s="213" t="s">
        <v>533</v>
      </c>
      <c r="F301" s="213" t="s">
        <v>534</v>
      </c>
      <c r="G301" s="213" t="s">
        <v>365</v>
      </c>
      <c r="H301" s="213" t="s">
        <v>547</v>
      </c>
      <c r="I301" s="213"/>
      <c r="J301" s="213"/>
      <c r="K301" s="213"/>
      <c r="L301" s="213"/>
      <c r="M301" s="213"/>
      <c r="N301" s="213"/>
      <c r="O301" s="213"/>
      <c r="P301" s="213"/>
      <c r="Q301" s="213"/>
      <c r="R301" s="213"/>
      <c r="S301" s="213"/>
      <c r="T301" s="213"/>
      <c r="U301" s="213" t="s">
        <v>538</v>
      </c>
      <c r="V301" s="213">
        <v>4</v>
      </c>
      <c r="W301" s="213" t="s">
        <v>545</v>
      </c>
      <c r="X301" s="213" t="s">
        <v>540</v>
      </c>
      <c r="Y301" s="213" t="s">
        <v>541</v>
      </c>
      <c r="Z301" s="212">
        <v>0</v>
      </c>
      <c r="AA301" s="212">
        <v>0</v>
      </c>
      <c r="AB301" s="217">
        <v>4.9474049999999998</v>
      </c>
      <c r="AC301" s="217">
        <v>7.9620930000000003</v>
      </c>
      <c r="AD301" s="212">
        <f t="shared" si="4"/>
        <v>0</v>
      </c>
    </row>
    <row r="302" spans="2:30" x14ac:dyDescent="0.15">
      <c r="B302" s="213">
        <v>17031006494</v>
      </c>
      <c r="C302" s="213">
        <v>17031001415</v>
      </c>
      <c r="D302" s="213">
        <v>17031004752</v>
      </c>
      <c r="E302" s="213" t="s">
        <v>533</v>
      </c>
      <c r="F302" s="213" t="s">
        <v>534</v>
      </c>
      <c r="G302" s="213" t="s">
        <v>365</v>
      </c>
      <c r="H302" s="213" t="s">
        <v>547</v>
      </c>
      <c r="I302" s="213"/>
      <c r="J302" s="213"/>
      <c r="K302" s="213"/>
      <c r="L302" s="213"/>
      <c r="M302" s="213"/>
      <c r="N302" s="213"/>
      <c r="O302" s="213"/>
      <c r="P302" s="213"/>
      <c r="Q302" s="213"/>
      <c r="R302" s="213"/>
      <c r="S302" s="213"/>
      <c r="T302" s="213"/>
      <c r="U302" s="213" t="s">
        <v>538</v>
      </c>
      <c r="V302" s="213">
        <v>4</v>
      </c>
      <c r="W302" s="213" t="s">
        <v>545</v>
      </c>
      <c r="X302" s="213" t="s">
        <v>540</v>
      </c>
      <c r="Y302" s="213" t="s">
        <v>541</v>
      </c>
      <c r="Z302" s="212">
        <v>0</v>
      </c>
      <c r="AA302" s="212">
        <v>0</v>
      </c>
      <c r="AB302" s="217">
        <v>8.863073</v>
      </c>
      <c r="AC302" s="217">
        <v>14.263762</v>
      </c>
      <c r="AD302" s="212">
        <f t="shared" si="4"/>
        <v>0</v>
      </c>
    </row>
    <row r="303" spans="2:30" x14ac:dyDescent="0.15">
      <c r="B303" s="213">
        <v>17031006495</v>
      </c>
      <c r="C303" s="213">
        <v>17031004752</v>
      </c>
      <c r="D303" s="213">
        <v>17999099921</v>
      </c>
      <c r="E303" s="213" t="s">
        <v>533</v>
      </c>
      <c r="F303" s="213" t="s">
        <v>534</v>
      </c>
      <c r="G303" s="213" t="s">
        <v>365</v>
      </c>
      <c r="H303" s="213" t="s">
        <v>547</v>
      </c>
      <c r="I303" s="213"/>
      <c r="J303" s="213"/>
      <c r="K303" s="213"/>
      <c r="L303" s="213"/>
      <c r="M303" s="213"/>
      <c r="N303" s="213"/>
      <c r="O303" s="213"/>
      <c r="P303" s="213"/>
      <c r="Q303" s="213"/>
      <c r="R303" s="213"/>
      <c r="S303" s="213"/>
      <c r="T303" s="213"/>
      <c r="U303" s="213" t="s">
        <v>538</v>
      </c>
      <c r="V303" s="213">
        <v>2</v>
      </c>
      <c r="W303" s="213" t="s">
        <v>545</v>
      </c>
      <c r="X303" s="213" t="s">
        <v>540</v>
      </c>
      <c r="Y303" s="213" t="s">
        <v>541</v>
      </c>
      <c r="Z303" s="212">
        <v>0</v>
      </c>
      <c r="AA303" s="212">
        <v>0</v>
      </c>
      <c r="AB303" s="217">
        <v>1.442715</v>
      </c>
      <c r="AC303" s="217">
        <v>2.3218290000000001</v>
      </c>
      <c r="AD303" s="212">
        <f t="shared" si="4"/>
        <v>0</v>
      </c>
    </row>
    <row r="304" spans="2:30" x14ac:dyDescent="0.15">
      <c r="B304" s="213">
        <v>17031006497</v>
      </c>
      <c r="C304" s="213">
        <v>17031000774</v>
      </c>
      <c r="D304" s="213">
        <v>17031000796</v>
      </c>
      <c r="E304" s="213" t="s">
        <v>533</v>
      </c>
      <c r="F304" s="213" t="s">
        <v>534</v>
      </c>
      <c r="G304" s="213" t="s">
        <v>365</v>
      </c>
      <c r="H304" s="213" t="s">
        <v>543</v>
      </c>
      <c r="I304" s="213"/>
      <c r="J304" s="213"/>
      <c r="K304" s="213"/>
      <c r="L304" s="213"/>
      <c r="M304" s="213"/>
      <c r="N304" s="213"/>
      <c r="O304" s="213"/>
      <c r="P304" s="213"/>
      <c r="Q304" s="213"/>
      <c r="R304" s="213"/>
      <c r="S304" s="213" t="s">
        <v>639</v>
      </c>
      <c r="T304" s="213"/>
      <c r="U304" s="213" t="s">
        <v>538</v>
      </c>
      <c r="V304" s="213">
        <v>2</v>
      </c>
      <c r="W304" s="213" t="s">
        <v>560</v>
      </c>
      <c r="X304" s="213" t="s">
        <v>541</v>
      </c>
      <c r="Y304" s="213" t="s">
        <v>541</v>
      </c>
      <c r="Z304" s="212">
        <v>1658415</v>
      </c>
      <c r="AA304" s="212">
        <v>39358886</v>
      </c>
      <c r="AB304" s="217">
        <v>0.36618499999999998</v>
      </c>
      <c r="AC304" s="217">
        <v>0.58931800000000001</v>
      </c>
      <c r="AD304" s="212">
        <f t="shared" si="4"/>
        <v>14412633.669909999</v>
      </c>
    </row>
    <row r="305" spans="2:30" x14ac:dyDescent="0.15">
      <c r="B305" s="213">
        <v>17031006500</v>
      </c>
      <c r="C305" s="213">
        <v>17031004755</v>
      </c>
      <c r="D305" s="213">
        <v>17031000791</v>
      </c>
      <c r="E305" s="213" t="s">
        <v>533</v>
      </c>
      <c r="F305" s="213" t="s">
        <v>534</v>
      </c>
      <c r="G305" s="213" t="s">
        <v>365</v>
      </c>
      <c r="H305" s="213" t="s">
        <v>547</v>
      </c>
      <c r="I305" s="213"/>
      <c r="J305" s="213" t="s">
        <v>577</v>
      </c>
      <c r="K305" s="213"/>
      <c r="L305" s="213"/>
      <c r="M305" s="213"/>
      <c r="N305" s="213"/>
      <c r="O305" s="213"/>
      <c r="P305" s="213"/>
      <c r="Q305" s="213"/>
      <c r="R305" s="213"/>
      <c r="S305" s="213" t="s">
        <v>581</v>
      </c>
      <c r="T305" s="213"/>
      <c r="U305" s="213" t="s">
        <v>538</v>
      </c>
      <c r="V305" s="213">
        <v>2</v>
      </c>
      <c r="W305" s="213" t="s">
        <v>582</v>
      </c>
      <c r="X305" s="213" t="s">
        <v>540</v>
      </c>
      <c r="Y305" s="213" t="s">
        <v>541</v>
      </c>
      <c r="Z305" s="212">
        <v>0</v>
      </c>
      <c r="AA305" s="212">
        <v>0</v>
      </c>
      <c r="AB305" s="217">
        <v>1.3293159999999999</v>
      </c>
      <c r="AC305" s="217">
        <v>2.1393309999999999</v>
      </c>
      <c r="AD305" s="212">
        <f t="shared" si="4"/>
        <v>0</v>
      </c>
    </row>
    <row r="306" spans="2:30" x14ac:dyDescent="0.15">
      <c r="B306" s="213">
        <v>17031006501</v>
      </c>
      <c r="C306" s="213">
        <v>17031000906</v>
      </c>
      <c r="D306" s="213">
        <v>17031000907</v>
      </c>
      <c r="E306" s="213" t="s">
        <v>533</v>
      </c>
      <c r="F306" s="213" t="s">
        <v>534</v>
      </c>
      <c r="G306" s="213" t="s">
        <v>365</v>
      </c>
      <c r="H306" s="213" t="s">
        <v>547</v>
      </c>
      <c r="I306" s="213"/>
      <c r="J306" s="213" t="s">
        <v>577</v>
      </c>
      <c r="K306" s="213"/>
      <c r="L306" s="213"/>
      <c r="M306" s="213"/>
      <c r="N306" s="213"/>
      <c r="O306" s="213"/>
      <c r="P306" s="213"/>
      <c r="Q306" s="213"/>
      <c r="R306" s="213"/>
      <c r="S306" s="213" t="s">
        <v>581</v>
      </c>
      <c r="T306" s="213"/>
      <c r="U306" s="213" t="s">
        <v>538</v>
      </c>
      <c r="V306" s="213">
        <v>2</v>
      </c>
      <c r="W306" s="213" t="s">
        <v>582</v>
      </c>
      <c r="X306" s="213" t="s">
        <v>540</v>
      </c>
      <c r="Y306" s="213" t="s">
        <v>541</v>
      </c>
      <c r="Z306" s="212">
        <v>0</v>
      </c>
      <c r="AA306" s="212">
        <v>0</v>
      </c>
      <c r="AB306" s="217">
        <v>8.9208999999999997E-2</v>
      </c>
      <c r="AC306" s="217">
        <v>0.143568</v>
      </c>
      <c r="AD306" s="212">
        <f t="shared" si="4"/>
        <v>0</v>
      </c>
    </row>
    <row r="307" spans="2:30" x14ac:dyDescent="0.15">
      <c r="B307" s="213">
        <v>17031006512</v>
      </c>
      <c r="C307" s="213">
        <v>17031001103</v>
      </c>
      <c r="D307" s="213">
        <v>17031001073</v>
      </c>
      <c r="E307" s="213" t="s">
        <v>533</v>
      </c>
      <c r="F307" s="213" t="s">
        <v>534</v>
      </c>
      <c r="G307" s="213" t="s">
        <v>365</v>
      </c>
      <c r="H307" s="213" t="s">
        <v>535</v>
      </c>
      <c r="I307" s="213"/>
      <c r="J307" s="213"/>
      <c r="K307" s="213"/>
      <c r="L307" s="213"/>
      <c r="M307" s="213"/>
      <c r="N307" s="213"/>
      <c r="O307" s="213"/>
      <c r="P307" s="213"/>
      <c r="Q307" s="213"/>
      <c r="R307" s="213"/>
      <c r="S307" s="213"/>
      <c r="T307" s="213"/>
      <c r="U307" s="213" t="s">
        <v>538</v>
      </c>
      <c r="V307" s="213">
        <v>1</v>
      </c>
      <c r="W307" s="213" t="s">
        <v>560</v>
      </c>
      <c r="X307" s="213" t="s">
        <v>541</v>
      </c>
      <c r="Y307" s="213" t="s">
        <v>541</v>
      </c>
      <c r="Z307" s="212">
        <v>240</v>
      </c>
      <c r="AA307" s="212">
        <v>21560</v>
      </c>
      <c r="AB307" s="217">
        <v>6.4049999999999996E-2</v>
      </c>
      <c r="AC307" s="217">
        <v>0.103078</v>
      </c>
      <c r="AD307" s="212">
        <f t="shared" si="4"/>
        <v>1380.9179999999999</v>
      </c>
    </row>
    <row r="308" spans="2:30" x14ac:dyDescent="0.15">
      <c r="B308" s="213">
        <v>17031007050</v>
      </c>
      <c r="C308" s="213">
        <v>99999022069</v>
      </c>
      <c r="D308" s="213">
        <v>17031001166</v>
      </c>
      <c r="E308" s="213" t="s">
        <v>533</v>
      </c>
      <c r="F308" s="213" t="s">
        <v>534</v>
      </c>
      <c r="G308" s="213" t="s">
        <v>365</v>
      </c>
      <c r="H308" s="213" t="s">
        <v>535</v>
      </c>
      <c r="I308" s="213"/>
      <c r="J308" s="213"/>
      <c r="K308" s="213"/>
      <c r="L308" s="213"/>
      <c r="M308" s="213"/>
      <c r="N308" s="213"/>
      <c r="O308" s="213"/>
      <c r="P308" s="213"/>
      <c r="Q308" s="213"/>
      <c r="R308" s="213"/>
      <c r="S308" s="213" t="s">
        <v>597</v>
      </c>
      <c r="T308" s="213"/>
      <c r="U308" s="213" t="s">
        <v>538</v>
      </c>
      <c r="V308" s="213">
        <v>1</v>
      </c>
      <c r="W308" s="213" t="s">
        <v>539</v>
      </c>
      <c r="X308" s="213" t="s">
        <v>554</v>
      </c>
      <c r="Y308" s="213" t="s">
        <v>541</v>
      </c>
      <c r="Z308" s="212">
        <v>240</v>
      </c>
      <c r="AA308" s="212">
        <v>21560</v>
      </c>
      <c r="AB308" s="217">
        <v>9.9743999999999999E-2</v>
      </c>
      <c r="AC308" s="217">
        <v>0.160523</v>
      </c>
      <c r="AD308" s="212">
        <f t="shared" si="4"/>
        <v>2150.4806399999998</v>
      </c>
    </row>
    <row r="309" spans="2:30" x14ac:dyDescent="0.15">
      <c r="B309" s="213">
        <v>17031007052</v>
      </c>
      <c r="C309" s="213">
        <v>17031005597</v>
      </c>
      <c r="D309" s="213">
        <v>99999114312</v>
      </c>
      <c r="E309" s="213" t="s">
        <v>533</v>
      </c>
      <c r="F309" s="213" t="s">
        <v>534</v>
      </c>
      <c r="G309" s="213" t="s">
        <v>365</v>
      </c>
      <c r="H309" s="213" t="s">
        <v>535</v>
      </c>
      <c r="I309" s="213"/>
      <c r="J309" s="213"/>
      <c r="K309" s="213"/>
      <c r="L309" s="213"/>
      <c r="M309" s="213"/>
      <c r="N309" s="213"/>
      <c r="O309" s="213"/>
      <c r="P309" s="213"/>
      <c r="Q309" s="213"/>
      <c r="R309" s="213"/>
      <c r="S309" s="213"/>
      <c r="T309" s="213" t="s">
        <v>645</v>
      </c>
      <c r="U309" s="213" t="s">
        <v>559</v>
      </c>
      <c r="V309" s="213">
        <v>1</v>
      </c>
      <c r="W309" s="213" t="s">
        <v>560</v>
      </c>
      <c r="X309" s="213" t="s">
        <v>541</v>
      </c>
      <c r="Y309" s="213" t="s">
        <v>541</v>
      </c>
      <c r="Z309" s="212">
        <v>0</v>
      </c>
      <c r="AA309" s="212">
        <v>0</v>
      </c>
      <c r="AB309" s="217">
        <v>2.427E-2</v>
      </c>
      <c r="AC309" s="217">
        <v>3.9058000000000002E-2</v>
      </c>
      <c r="AD309" s="212">
        <f t="shared" si="4"/>
        <v>0</v>
      </c>
    </row>
    <row r="310" spans="2:30" x14ac:dyDescent="0.15">
      <c r="B310" s="213">
        <v>17031008302</v>
      </c>
      <c r="C310" s="213">
        <v>17031000631</v>
      </c>
      <c r="D310" s="213">
        <v>17031006638</v>
      </c>
      <c r="E310" s="213" t="s">
        <v>533</v>
      </c>
      <c r="F310" s="213" t="s">
        <v>534</v>
      </c>
      <c r="G310" s="213" t="s">
        <v>365</v>
      </c>
      <c r="H310" s="213" t="s">
        <v>571</v>
      </c>
      <c r="I310" s="213"/>
      <c r="J310" s="213" t="s">
        <v>535</v>
      </c>
      <c r="K310" s="213" t="s">
        <v>552</v>
      </c>
      <c r="L310" s="213" t="s">
        <v>551</v>
      </c>
      <c r="M310" s="213" t="s">
        <v>563</v>
      </c>
      <c r="N310" s="213"/>
      <c r="O310" s="213"/>
      <c r="P310" s="213"/>
      <c r="Q310" s="213"/>
      <c r="R310" s="213"/>
      <c r="S310" s="213" t="s">
        <v>573</v>
      </c>
      <c r="T310" s="213" t="s">
        <v>612</v>
      </c>
      <c r="U310" s="213" t="s">
        <v>538</v>
      </c>
      <c r="V310" s="213">
        <v>2</v>
      </c>
      <c r="W310" s="213" t="s">
        <v>545</v>
      </c>
      <c r="X310" s="213" t="s">
        <v>554</v>
      </c>
      <c r="Y310" s="213" t="s">
        <v>580</v>
      </c>
      <c r="Z310" s="212">
        <v>136012</v>
      </c>
      <c r="AA310" s="212">
        <v>4733400</v>
      </c>
      <c r="AB310" s="217">
        <v>0.2054</v>
      </c>
      <c r="AC310" s="217">
        <v>0.33056099999999999</v>
      </c>
      <c r="AD310" s="212">
        <f t="shared" si="4"/>
        <v>972240.36</v>
      </c>
    </row>
    <row r="311" spans="2:30" x14ac:dyDescent="0.15">
      <c r="B311" s="213">
        <v>17031008368</v>
      </c>
      <c r="C311" s="213">
        <v>17031006673</v>
      </c>
      <c r="D311" s="213">
        <v>17031000528</v>
      </c>
      <c r="E311" s="213" t="s">
        <v>533</v>
      </c>
      <c r="F311" s="213" t="s">
        <v>534</v>
      </c>
      <c r="G311" s="213" t="s">
        <v>365</v>
      </c>
      <c r="H311" s="213" t="s">
        <v>382</v>
      </c>
      <c r="I311" s="213"/>
      <c r="J311" s="213" t="s">
        <v>535</v>
      </c>
      <c r="K311" s="213" t="s">
        <v>552</v>
      </c>
      <c r="L311" s="213" t="s">
        <v>572</v>
      </c>
      <c r="M311" s="213" t="s">
        <v>557</v>
      </c>
      <c r="N311" s="213" t="s">
        <v>543</v>
      </c>
      <c r="O311" s="213"/>
      <c r="P311" s="213"/>
      <c r="Q311" s="213"/>
      <c r="R311" s="213"/>
      <c r="S311" s="213" t="s">
        <v>650</v>
      </c>
      <c r="T311" s="213" t="s">
        <v>626</v>
      </c>
      <c r="U311" s="213" t="s">
        <v>559</v>
      </c>
      <c r="V311" s="213">
        <v>1</v>
      </c>
      <c r="W311" s="213" t="s">
        <v>539</v>
      </c>
      <c r="X311" s="213" t="s">
        <v>541</v>
      </c>
      <c r="Y311" s="213" t="s">
        <v>540</v>
      </c>
      <c r="Z311" s="212">
        <v>1220</v>
      </c>
      <c r="AA311" s="212">
        <v>92280</v>
      </c>
      <c r="AB311" s="217">
        <v>0.43081999999999998</v>
      </c>
      <c r="AC311" s="217">
        <v>0.69333900000000004</v>
      </c>
      <c r="AD311" s="212">
        <f t="shared" si="4"/>
        <v>39756.069599999995</v>
      </c>
    </row>
    <row r="312" spans="2:30" x14ac:dyDescent="0.15">
      <c r="B312" s="213">
        <v>17031008451</v>
      </c>
      <c r="C312" s="213">
        <v>17031000832</v>
      </c>
      <c r="D312" s="213">
        <v>17031006962</v>
      </c>
      <c r="E312" s="213" t="s">
        <v>533</v>
      </c>
      <c r="F312" s="213" t="s">
        <v>534</v>
      </c>
      <c r="G312" s="213" t="s">
        <v>365</v>
      </c>
      <c r="H312" s="213" t="s">
        <v>381</v>
      </c>
      <c r="I312" s="213"/>
      <c r="J312" s="213" t="s">
        <v>382</v>
      </c>
      <c r="K312" s="213" t="s">
        <v>535</v>
      </c>
      <c r="L312" s="213" t="s">
        <v>543</v>
      </c>
      <c r="M312" s="213"/>
      <c r="N312" s="213"/>
      <c r="O312" s="213"/>
      <c r="P312" s="213"/>
      <c r="Q312" s="213"/>
      <c r="R312" s="213"/>
      <c r="S312" s="213" t="s">
        <v>647</v>
      </c>
      <c r="T312" s="213" t="s">
        <v>668</v>
      </c>
      <c r="U312" s="213" t="s">
        <v>538</v>
      </c>
      <c r="V312" s="213">
        <v>2</v>
      </c>
      <c r="W312" s="213" t="s">
        <v>539</v>
      </c>
      <c r="X312" s="213" t="s">
        <v>541</v>
      </c>
      <c r="Y312" s="213" t="s">
        <v>580</v>
      </c>
      <c r="Z312" s="212">
        <v>70404</v>
      </c>
      <c r="AA312" s="212">
        <v>4181500</v>
      </c>
      <c r="AB312" s="217">
        <v>4.1102E-2</v>
      </c>
      <c r="AC312" s="217">
        <v>6.6147999999999998E-2</v>
      </c>
      <c r="AD312" s="212">
        <f t="shared" si="4"/>
        <v>171868.01300000001</v>
      </c>
    </row>
    <row r="313" spans="2:30" x14ac:dyDescent="0.15">
      <c r="B313" s="213">
        <v>17031008580</v>
      </c>
      <c r="C313" s="213">
        <v>17031007052</v>
      </c>
      <c r="D313" s="213">
        <v>17031001270</v>
      </c>
      <c r="E313" s="213" t="s">
        <v>533</v>
      </c>
      <c r="F313" s="213" t="s">
        <v>534</v>
      </c>
      <c r="G313" s="213" t="s">
        <v>365</v>
      </c>
      <c r="H313" s="213" t="s">
        <v>547</v>
      </c>
      <c r="I313" s="213"/>
      <c r="J313" s="213"/>
      <c r="K313" s="213"/>
      <c r="L313" s="213"/>
      <c r="M313" s="213"/>
      <c r="N313" s="213"/>
      <c r="O313" s="213"/>
      <c r="P313" s="213"/>
      <c r="Q313" s="213"/>
      <c r="R313" s="213"/>
      <c r="S313" s="213" t="s">
        <v>611</v>
      </c>
      <c r="T313" s="213"/>
      <c r="U313" s="213" t="s">
        <v>538</v>
      </c>
      <c r="V313" s="213">
        <v>2</v>
      </c>
      <c r="W313" s="213" t="s">
        <v>582</v>
      </c>
      <c r="X313" s="213" t="s">
        <v>540</v>
      </c>
      <c r="Y313" s="213" t="s">
        <v>541</v>
      </c>
      <c r="Z313" s="212">
        <v>0</v>
      </c>
      <c r="AA313" s="212">
        <v>0</v>
      </c>
      <c r="AB313" s="217">
        <v>5.0701000000000003E-2</v>
      </c>
      <c r="AC313" s="217">
        <v>8.1595000000000001E-2</v>
      </c>
      <c r="AD313" s="212">
        <f t="shared" si="4"/>
        <v>0</v>
      </c>
    </row>
    <row r="314" spans="2:30" x14ac:dyDescent="0.15">
      <c r="B314" s="213">
        <v>17031008722</v>
      </c>
      <c r="C314" s="213">
        <v>17031006779</v>
      </c>
      <c r="D314" s="213">
        <v>17031001029</v>
      </c>
      <c r="E314" s="213" t="s">
        <v>533</v>
      </c>
      <c r="F314" s="213" t="s">
        <v>534</v>
      </c>
      <c r="G314" s="213" t="s">
        <v>365</v>
      </c>
      <c r="H314" s="213" t="s">
        <v>571</v>
      </c>
      <c r="I314" s="213"/>
      <c r="J314" s="213" t="s">
        <v>552</v>
      </c>
      <c r="K314" s="213" t="s">
        <v>572</v>
      </c>
      <c r="L314" s="213" t="s">
        <v>551</v>
      </c>
      <c r="M314" s="213" t="s">
        <v>555</v>
      </c>
      <c r="N314" s="213" t="s">
        <v>543</v>
      </c>
      <c r="O314" s="213" t="s">
        <v>382</v>
      </c>
      <c r="P314" s="213" t="s">
        <v>535</v>
      </c>
      <c r="Q314" s="213" t="s">
        <v>381</v>
      </c>
      <c r="R314" s="213"/>
      <c r="S314" s="213" t="s">
        <v>573</v>
      </c>
      <c r="T314" s="213"/>
      <c r="U314" s="213" t="s">
        <v>538</v>
      </c>
      <c r="V314" s="213">
        <v>4</v>
      </c>
      <c r="W314" s="213" t="s">
        <v>545</v>
      </c>
      <c r="X314" s="213" t="s">
        <v>554</v>
      </c>
      <c r="Y314" s="213" t="s">
        <v>575</v>
      </c>
      <c r="Z314" s="212">
        <v>368851</v>
      </c>
      <c r="AA314" s="212">
        <v>16478945</v>
      </c>
      <c r="AB314" s="217">
        <v>4.2187000000000002E-2</v>
      </c>
      <c r="AC314" s="217">
        <v>6.7893999999999996E-2</v>
      </c>
      <c r="AD314" s="212">
        <f t="shared" si="4"/>
        <v>695197.25271500007</v>
      </c>
    </row>
    <row r="315" spans="2:30" x14ac:dyDescent="0.15">
      <c r="B315" s="213">
        <v>17031009183</v>
      </c>
      <c r="C315" s="213">
        <v>17031007086</v>
      </c>
      <c r="D315" s="213">
        <v>17031000749</v>
      </c>
      <c r="E315" s="213" t="s">
        <v>533</v>
      </c>
      <c r="F315" s="213" t="s">
        <v>534</v>
      </c>
      <c r="G315" s="213" t="s">
        <v>365</v>
      </c>
      <c r="H315" s="213" t="s">
        <v>535</v>
      </c>
      <c r="I315" s="213"/>
      <c r="J315" s="213" t="s">
        <v>571</v>
      </c>
      <c r="K315" s="213"/>
      <c r="L315" s="213"/>
      <c r="M315" s="213"/>
      <c r="N315" s="213"/>
      <c r="O315" s="213"/>
      <c r="P315" s="213"/>
      <c r="Q315" s="213"/>
      <c r="R315" s="213"/>
      <c r="S315" s="213"/>
      <c r="T315" s="213"/>
      <c r="U315" s="213" t="s">
        <v>559</v>
      </c>
      <c r="V315" s="213">
        <v>1</v>
      </c>
      <c r="W315" s="213" t="s">
        <v>560</v>
      </c>
      <c r="X315" s="213" t="s">
        <v>541</v>
      </c>
      <c r="Y315" s="213" t="s">
        <v>541</v>
      </c>
      <c r="Z315" s="212">
        <v>0</v>
      </c>
      <c r="AA315" s="212">
        <v>0</v>
      </c>
      <c r="AB315" s="217">
        <v>5.0518E-2</v>
      </c>
      <c r="AC315" s="217">
        <v>8.1299999999999997E-2</v>
      </c>
      <c r="AD315" s="212">
        <f t="shared" si="4"/>
        <v>0</v>
      </c>
    </row>
    <row r="316" spans="2:30" x14ac:dyDescent="0.15">
      <c r="B316" s="213">
        <v>17031009235</v>
      </c>
      <c r="C316" s="213">
        <v>17031000985</v>
      </c>
      <c r="D316" s="213">
        <v>17031007122</v>
      </c>
      <c r="E316" s="213" t="s">
        <v>533</v>
      </c>
      <c r="F316" s="213" t="s">
        <v>534</v>
      </c>
      <c r="G316" s="213" t="s">
        <v>365</v>
      </c>
      <c r="H316" s="213" t="s">
        <v>571</v>
      </c>
      <c r="I316" s="213"/>
      <c r="J316" s="213" t="s">
        <v>381</v>
      </c>
      <c r="K316" s="213" t="s">
        <v>535</v>
      </c>
      <c r="L316" s="213" t="s">
        <v>552</v>
      </c>
      <c r="M316" s="213" t="s">
        <v>551</v>
      </c>
      <c r="N316" s="213" t="s">
        <v>382</v>
      </c>
      <c r="O316" s="213"/>
      <c r="P316" s="213"/>
      <c r="Q316" s="213"/>
      <c r="R316" s="213"/>
      <c r="S316" s="213"/>
      <c r="T316" s="213" t="s">
        <v>574</v>
      </c>
      <c r="U316" s="213" t="s">
        <v>559</v>
      </c>
      <c r="V316" s="213">
        <v>1</v>
      </c>
      <c r="W316" s="213" t="s">
        <v>560</v>
      </c>
      <c r="X316" s="213" t="s">
        <v>541</v>
      </c>
      <c r="Y316" s="213" t="s">
        <v>541</v>
      </c>
      <c r="Z316" s="212">
        <v>0</v>
      </c>
      <c r="AA316" s="212">
        <v>0</v>
      </c>
      <c r="AB316" s="217">
        <v>6.8706000000000003E-2</v>
      </c>
      <c r="AC316" s="217">
        <v>0.110571</v>
      </c>
      <c r="AD316" s="212">
        <f t="shared" si="4"/>
        <v>0</v>
      </c>
    </row>
    <row r="317" spans="2:30" x14ac:dyDescent="0.15">
      <c r="B317" s="213">
        <v>17031009464</v>
      </c>
      <c r="C317" s="213">
        <v>17031007567</v>
      </c>
      <c r="D317" s="213">
        <v>17031000352</v>
      </c>
      <c r="E317" s="213" t="s">
        <v>533</v>
      </c>
      <c r="F317" s="213" t="s">
        <v>534</v>
      </c>
      <c r="G317" s="213" t="s">
        <v>365</v>
      </c>
      <c r="H317" s="213" t="s">
        <v>590</v>
      </c>
      <c r="I317" s="213"/>
      <c r="J317" s="213"/>
      <c r="K317" s="213"/>
      <c r="L317" s="213"/>
      <c r="M317" s="213"/>
      <c r="N317" s="213"/>
      <c r="O317" s="213"/>
      <c r="P317" s="213"/>
      <c r="Q317" s="213"/>
      <c r="R317" s="213"/>
      <c r="S317" s="213"/>
      <c r="T317" s="213"/>
      <c r="U317" s="213" t="s">
        <v>559</v>
      </c>
      <c r="V317" s="213">
        <v>1</v>
      </c>
      <c r="W317" s="213" t="s">
        <v>560</v>
      </c>
      <c r="X317" s="213" t="s">
        <v>541</v>
      </c>
      <c r="Y317" s="213" t="s">
        <v>541</v>
      </c>
      <c r="Z317" s="212">
        <v>0</v>
      </c>
      <c r="AA317" s="212">
        <v>0</v>
      </c>
      <c r="AB317" s="217">
        <v>0.30198199999999997</v>
      </c>
      <c r="AC317" s="217">
        <v>0.48599399999999998</v>
      </c>
      <c r="AD317" s="212">
        <f t="shared" si="4"/>
        <v>0</v>
      </c>
    </row>
    <row r="318" spans="2:30" x14ac:dyDescent="0.15">
      <c r="B318" s="213">
        <v>17031009478</v>
      </c>
      <c r="C318" s="213">
        <v>17031007577</v>
      </c>
      <c r="D318" s="213">
        <v>17031000252</v>
      </c>
      <c r="E318" s="213" t="s">
        <v>533</v>
      </c>
      <c r="F318" s="213" t="s">
        <v>534</v>
      </c>
      <c r="G318" s="213" t="s">
        <v>365</v>
      </c>
      <c r="H318" s="213" t="s">
        <v>535</v>
      </c>
      <c r="I318" s="213"/>
      <c r="J318" s="213" t="s">
        <v>547</v>
      </c>
      <c r="K318" s="213"/>
      <c r="L318" s="213"/>
      <c r="M318" s="213"/>
      <c r="N318" s="213"/>
      <c r="O318" s="213"/>
      <c r="P318" s="213"/>
      <c r="Q318" s="213"/>
      <c r="R318" s="213"/>
      <c r="S318" s="213" t="s">
        <v>548</v>
      </c>
      <c r="T318" s="213"/>
      <c r="U318" s="213" t="s">
        <v>538</v>
      </c>
      <c r="V318" s="213">
        <v>2</v>
      </c>
      <c r="W318" s="213" t="s">
        <v>545</v>
      </c>
      <c r="X318" s="213" t="s">
        <v>549</v>
      </c>
      <c r="Y318" s="213" t="s">
        <v>546</v>
      </c>
      <c r="Z318" s="212">
        <v>374329</v>
      </c>
      <c r="AA318" s="212">
        <v>22852279</v>
      </c>
      <c r="AB318" s="217">
        <v>0.550925</v>
      </c>
      <c r="AC318" s="217">
        <v>0.88663000000000003</v>
      </c>
      <c r="AD318" s="212">
        <f t="shared" si="4"/>
        <v>12589891.808075</v>
      </c>
    </row>
    <row r="319" spans="2:30" x14ac:dyDescent="0.15">
      <c r="B319" s="213">
        <v>17031009480</v>
      </c>
      <c r="C319" s="213">
        <v>17031007581</v>
      </c>
      <c r="D319" s="213">
        <v>17031007577</v>
      </c>
      <c r="E319" s="213" t="s">
        <v>533</v>
      </c>
      <c r="F319" s="213" t="s">
        <v>534</v>
      </c>
      <c r="G319" s="213" t="s">
        <v>365</v>
      </c>
      <c r="H319" s="213" t="s">
        <v>535</v>
      </c>
      <c r="I319" s="213"/>
      <c r="J319" s="213" t="s">
        <v>547</v>
      </c>
      <c r="K319" s="213"/>
      <c r="L319" s="213"/>
      <c r="M319" s="213"/>
      <c r="N319" s="213"/>
      <c r="O319" s="213"/>
      <c r="P319" s="213"/>
      <c r="Q319" s="213"/>
      <c r="R319" s="213"/>
      <c r="S319" s="213" t="s">
        <v>548</v>
      </c>
      <c r="T319" s="213"/>
      <c r="U319" s="213" t="s">
        <v>538</v>
      </c>
      <c r="V319" s="213">
        <v>2</v>
      </c>
      <c r="W319" s="213" t="s">
        <v>545</v>
      </c>
      <c r="X319" s="213" t="s">
        <v>549</v>
      </c>
      <c r="Y319" s="213" t="s">
        <v>546</v>
      </c>
      <c r="Z319" s="212">
        <v>374329</v>
      </c>
      <c r="AA319" s="212">
        <v>22852279</v>
      </c>
      <c r="AB319" s="217">
        <v>0.105615</v>
      </c>
      <c r="AC319" s="217">
        <v>0.16997200000000001</v>
      </c>
      <c r="AD319" s="212">
        <f t="shared" si="4"/>
        <v>2413543.446585</v>
      </c>
    </row>
    <row r="320" spans="2:30" x14ac:dyDescent="0.15">
      <c r="B320" s="213">
        <v>17031009482</v>
      </c>
      <c r="C320" s="213">
        <v>17031007579</v>
      </c>
      <c r="D320" s="213">
        <v>17031007581</v>
      </c>
      <c r="E320" s="213" t="s">
        <v>533</v>
      </c>
      <c r="F320" s="213" t="s">
        <v>534</v>
      </c>
      <c r="G320" s="213" t="s">
        <v>365</v>
      </c>
      <c r="H320" s="213" t="s">
        <v>535</v>
      </c>
      <c r="I320" s="213"/>
      <c r="J320" s="213" t="s">
        <v>547</v>
      </c>
      <c r="K320" s="213"/>
      <c r="L320" s="213"/>
      <c r="M320" s="213"/>
      <c r="N320" s="213"/>
      <c r="O320" s="213"/>
      <c r="P320" s="213"/>
      <c r="Q320" s="213"/>
      <c r="R320" s="213"/>
      <c r="S320" s="213" t="s">
        <v>548</v>
      </c>
      <c r="T320" s="213"/>
      <c r="U320" s="213" t="s">
        <v>538</v>
      </c>
      <c r="V320" s="213">
        <v>2</v>
      </c>
      <c r="W320" s="213" t="s">
        <v>545</v>
      </c>
      <c r="X320" s="213" t="s">
        <v>549</v>
      </c>
      <c r="Y320" s="213" t="s">
        <v>546</v>
      </c>
      <c r="Z320" s="212">
        <v>374329</v>
      </c>
      <c r="AA320" s="212">
        <v>22852279</v>
      </c>
      <c r="AB320" s="217">
        <v>5.4663999999999997E-2</v>
      </c>
      <c r="AC320" s="217">
        <v>8.7972999999999996E-2</v>
      </c>
      <c r="AD320" s="212">
        <f t="shared" si="4"/>
        <v>1249196.9792559999</v>
      </c>
    </row>
    <row r="321" spans="2:30" x14ac:dyDescent="0.15">
      <c r="B321" s="213">
        <v>17031009518</v>
      </c>
      <c r="C321" s="213">
        <v>17031007616</v>
      </c>
      <c r="D321" s="213">
        <v>17031001574</v>
      </c>
      <c r="E321" s="213" t="s">
        <v>533</v>
      </c>
      <c r="F321" s="213" t="s">
        <v>534</v>
      </c>
      <c r="G321" s="213" t="s">
        <v>365</v>
      </c>
      <c r="H321" s="213" t="s">
        <v>382</v>
      </c>
      <c r="I321" s="213"/>
      <c r="J321" s="213"/>
      <c r="K321" s="213"/>
      <c r="L321" s="213"/>
      <c r="M321" s="213"/>
      <c r="N321" s="213"/>
      <c r="O321" s="213"/>
      <c r="P321" s="213"/>
      <c r="Q321" s="213"/>
      <c r="R321" s="213"/>
      <c r="S321" s="213" t="s">
        <v>576</v>
      </c>
      <c r="T321" s="213"/>
      <c r="U321" s="213" t="s">
        <v>559</v>
      </c>
      <c r="V321" s="213">
        <v>1</v>
      </c>
      <c r="W321" s="213" t="s">
        <v>560</v>
      </c>
      <c r="X321" s="213" t="s">
        <v>541</v>
      </c>
      <c r="Y321" s="213" t="s">
        <v>541</v>
      </c>
      <c r="Z321" s="212">
        <v>0</v>
      </c>
      <c r="AA321" s="212">
        <v>0</v>
      </c>
      <c r="AB321" s="217">
        <v>0.18687699999999999</v>
      </c>
      <c r="AC321" s="217">
        <v>0.30075000000000002</v>
      </c>
      <c r="AD321" s="212">
        <f t="shared" si="4"/>
        <v>0</v>
      </c>
    </row>
    <row r="322" spans="2:30" x14ac:dyDescent="0.15">
      <c r="B322" s="213">
        <v>17031009553</v>
      </c>
      <c r="C322" s="213">
        <v>17031007649</v>
      </c>
      <c r="D322" s="213">
        <v>17031001522</v>
      </c>
      <c r="E322" s="213" t="s">
        <v>533</v>
      </c>
      <c r="F322" s="213" t="s">
        <v>534</v>
      </c>
      <c r="G322" s="213" t="s">
        <v>365</v>
      </c>
      <c r="H322" s="213" t="s">
        <v>382</v>
      </c>
      <c r="I322" s="213"/>
      <c r="J322" s="213"/>
      <c r="K322" s="213"/>
      <c r="L322" s="213"/>
      <c r="M322" s="213"/>
      <c r="N322" s="213"/>
      <c r="O322" s="213"/>
      <c r="P322" s="213"/>
      <c r="Q322" s="213"/>
      <c r="R322" s="213"/>
      <c r="S322" s="213" t="s">
        <v>576</v>
      </c>
      <c r="T322" s="213"/>
      <c r="U322" s="213" t="s">
        <v>559</v>
      </c>
      <c r="V322" s="213">
        <v>1</v>
      </c>
      <c r="W322" s="213" t="s">
        <v>560</v>
      </c>
      <c r="X322" s="213" t="s">
        <v>541</v>
      </c>
      <c r="Y322" s="213" t="s">
        <v>541</v>
      </c>
      <c r="Z322" s="212">
        <v>0</v>
      </c>
      <c r="AA322" s="212">
        <v>0</v>
      </c>
      <c r="AB322" s="217">
        <v>0.22430900000000001</v>
      </c>
      <c r="AC322" s="217">
        <v>0.36099100000000001</v>
      </c>
      <c r="AD322" s="212">
        <f t="shared" si="4"/>
        <v>0</v>
      </c>
    </row>
    <row r="323" spans="2:30" x14ac:dyDescent="0.15">
      <c r="B323" s="213">
        <v>17031009598</v>
      </c>
      <c r="C323" s="213">
        <v>17031001386</v>
      </c>
      <c r="D323" s="213">
        <v>17031007685</v>
      </c>
      <c r="E323" s="213" t="s">
        <v>533</v>
      </c>
      <c r="F323" s="213" t="s">
        <v>534</v>
      </c>
      <c r="G323" s="213" t="s">
        <v>365</v>
      </c>
      <c r="H323" s="213" t="s">
        <v>557</v>
      </c>
      <c r="I323" s="213"/>
      <c r="J323" s="213"/>
      <c r="K323" s="213"/>
      <c r="L323" s="213"/>
      <c r="M323" s="213"/>
      <c r="N323" s="213"/>
      <c r="O323" s="213"/>
      <c r="P323" s="213"/>
      <c r="Q323" s="213"/>
      <c r="R323" s="213"/>
      <c r="S323" s="213" t="s">
        <v>618</v>
      </c>
      <c r="T323" s="213"/>
      <c r="U323" s="213" t="s">
        <v>559</v>
      </c>
      <c r="V323" s="213">
        <v>1</v>
      </c>
      <c r="W323" s="213" t="s">
        <v>560</v>
      </c>
      <c r="X323" s="213" t="s">
        <v>541</v>
      </c>
      <c r="Y323" s="213" t="s">
        <v>541</v>
      </c>
      <c r="Z323" s="212">
        <v>0</v>
      </c>
      <c r="AA323" s="212">
        <v>0</v>
      </c>
      <c r="AB323" s="217">
        <v>0.49998100000000001</v>
      </c>
      <c r="AC323" s="217">
        <v>0.80464400000000003</v>
      </c>
      <c r="AD323" s="212">
        <f t="shared" si="4"/>
        <v>0</v>
      </c>
    </row>
    <row r="324" spans="2:30" x14ac:dyDescent="0.15">
      <c r="B324" s="213">
        <v>17031009606</v>
      </c>
      <c r="C324" s="213">
        <v>17031007694</v>
      </c>
      <c r="D324" s="213">
        <v>17031001197</v>
      </c>
      <c r="E324" s="213" t="s">
        <v>533</v>
      </c>
      <c r="F324" s="213" t="s">
        <v>534</v>
      </c>
      <c r="G324" s="213" t="s">
        <v>365</v>
      </c>
      <c r="H324" s="213" t="s">
        <v>535</v>
      </c>
      <c r="I324" s="213"/>
      <c r="J324" s="213" t="s">
        <v>542</v>
      </c>
      <c r="K324" s="213" t="s">
        <v>572</v>
      </c>
      <c r="L324" s="213" t="s">
        <v>547</v>
      </c>
      <c r="M324" s="213" t="s">
        <v>382</v>
      </c>
      <c r="N324" s="213"/>
      <c r="O324" s="213"/>
      <c r="P324" s="213"/>
      <c r="Q324" s="213"/>
      <c r="R324" s="213"/>
      <c r="S324" s="213" t="s">
        <v>601</v>
      </c>
      <c r="T324" s="213"/>
      <c r="U324" s="213" t="s">
        <v>538</v>
      </c>
      <c r="V324" s="213">
        <v>2</v>
      </c>
      <c r="W324" s="213" t="s">
        <v>545</v>
      </c>
      <c r="X324" s="213" t="s">
        <v>549</v>
      </c>
      <c r="Y324" s="213" t="s">
        <v>540</v>
      </c>
      <c r="Z324" s="212">
        <v>166265</v>
      </c>
      <c r="AA324" s="212">
        <v>7630815</v>
      </c>
      <c r="AB324" s="217">
        <v>0.18424199999999999</v>
      </c>
      <c r="AC324" s="217">
        <v>0.29651</v>
      </c>
      <c r="AD324" s="212">
        <f t="shared" si="4"/>
        <v>1405916.61723</v>
      </c>
    </row>
    <row r="325" spans="2:30" x14ac:dyDescent="0.15">
      <c r="B325" s="213">
        <v>17031009615</v>
      </c>
      <c r="C325" s="213">
        <v>17031007703</v>
      </c>
      <c r="D325" s="213">
        <v>17031007706</v>
      </c>
      <c r="E325" s="213" t="s">
        <v>533</v>
      </c>
      <c r="F325" s="213" t="s">
        <v>534</v>
      </c>
      <c r="G325" s="213" t="s">
        <v>365</v>
      </c>
      <c r="H325" s="213" t="s">
        <v>535</v>
      </c>
      <c r="I325" s="213"/>
      <c r="J325" s="213" t="s">
        <v>542</v>
      </c>
      <c r="K325" s="213" t="s">
        <v>572</v>
      </c>
      <c r="L325" s="213" t="s">
        <v>547</v>
      </c>
      <c r="M325" s="213" t="s">
        <v>382</v>
      </c>
      <c r="N325" s="213"/>
      <c r="O325" s="213"/>
      <c r="P325" s="213"/>
      <c r="Q325" s="213"/>
      <c r="R325" s="213"/>
      <c r="S325" s="213" t="s">
        <v>601</v>
      </c>
      <c r="T325" s="213"/>
      <c r="U325" s="213" t="s">
        <v>538</v>
      </c>
      <c r="V325" s="213">
        <v>2</v>
      </c>
      <c r="W325" s="213" t="s">
        <v>545</v>
      </c>
      <c r="X325" s="213" t="s">
        <v>549</v>
      </c>
      <c r="Y325" s="213" t="s">
        <v>540</v>
      </c>
      <c r="Z325" s="212">
        <v>168065</v>
      </c>
      <c r="AA325" s="212">
        <v>7807855</v>
      </c>
      <c r="AB325" s="217">
        <v>0.56725599999999998</v>
      </c>
      <c r="AC325" s="217">
        <v>0.91291199999999995</v>
      </c>
      <c r="AD325" s="212">
        <f t="shared" si="4"/>
        <v>4429052.5958799999</v>
      </c>
    </row>
    <row r="326" spans="2:30" x14ac:dyDescent="0.15">
      <c r="B326" s="213">
        <v>17031009619</v>
      </c>
      <c r="C326" s="213">
        <v>17031007706</v>
      </c>
      <c r="D326" s="213">
        <v>17031000940</v>
      </c>
      <c r="E326" s="213" t="s">
        <v>533</v>
      </c>
      <c r="F326" s="213" t="s">
        <v>534</v>
      </c>
      <c r="G326" s="213" t="s">
        <v>365</v>
      </c>
      <c r="H326" s="213" t="s">
        <v>535</v>
      </c>
      <c r="I326" s="213"/>
      <c r="J326" s="213" t="s">
        <v>542</v>
      </c>
      <c r="K326" s="213" t="s">
        <v>572</v>
      </c>
      <c r="L326" s="213" t="s">
        <v>547</v>
      </c>
      <c r="M326" s="213" t="s">
        <v>382</v>
      </c>
      <c r="N326" s="213"/>
      <c r="O326" s="213"/>
      <c r="P326" s="213"/>
      <c r="Q326" s="213"/>
      <c r="R326" s="213"/>
      <c r="S326" s="213" t="s">
        <v>601</v>
      </c>
      <c r="T326" s="213"/>
      <c r="U326" s="213" t="s">
        <v>538</v>
      </c>
      <c r="V326" s="213">
        <v>2</v>
      </c>
      <c r="W326" s="213" t="s">
        <v>545</v>
      </c>
      <c r="X326" s="213" t="s">
        <v>549</v>
      </c>
      <c r="Y326" s="213" t="s">
        <v>540</v>
      </c>
      <c r="Z326" s="212">
        <v>168065</v>
      </c>
      <c r="AA326" s="212">
        <v>7807855</v>
      </c>
      <c r="AB326" s="217">
        <v>0.28770299999999999</v>
      </c>
      <c r="AC326" s="217">
        <v>0.46301399999999998</v>
      </c>
      <c r="AD326" s="212">
        <f t="shared" ref="AD326:AD389" si="5">AA326*AB326</f>
        <v>2246343.3070649998</v>
      </c>
    </row>
    <row r="327" spans="2:30" x14ac:dyDescent="0.15">
      <c r="B327" s="213">
        <v>17031009649</v>
      </c>
      <c r="C327" s="213">
        <v>17031007733</v>
      </c>
      <c r="D327" s="213">
        <v>17031000967</v>
      </c>
      <c r="E327" s="213" t="s">
        <v>533</v>
      </c>
      <c r="F327" s="213" t="s">
        <v>534</v>
      </c>
      <c r="G327" s="213" t="s">
        <v>365</v>
      </c>
      <c r="H327" s="213" t="s">
        <v>381</v>
      </c>
      <c r="I327" s="213"/>
      <c r="J327" s="213" t="s">
        <v>551</v>
      </c>
      <c r="K327" s="213" t="s">
        <v>543</v>
      </c>
      <c r="L327" s="213" t="s">
        <v>382</v>
      </c>
      <c r="M327" s="213"/>
      <c r="N327" s="213"/>
      <c r="O327" s="213"/>
      <c r="P327" s="213"/>
      <c r="Q327" s="213"/>
      <c r="R327" s="213"/>
      <c r="S327" s="213" t="s">
        <v>647</v>
      </c>
      <c r="T327" s="213"/>
      <c r="U327" s="213" t="s">
        <v>538</v>
      </c>
      <c r="V327" s="213">
        <v>2</v>
      </c>
      <c r="W327" s="213" t="s">
        <v>545</v>
      </c>
      <c r="X327" s="213" t="s">
        <v>549</v>
      </c>
      <c r="Y327" s="213" t="s">
        <v>580</v>
      </c>
      <c r="Z327" s="212">
        <v>1558633</v>
      </c>
      <c r="AA327" s="212">
        <v>41812567</v>
      </c>
      <c r="AB327" s="217">
        <v>4.691E-2</v>
      </c>
      <c r="AC327" s="217">
        <v>7.5494000000000006E-2</v>
      </c>
      <c r="AD327" s="212">
        <f t="shared" si="5"/>
        <v>1961427.5179699999</v>
      </c>
    </row>
    <row r="328" spans="2:30" x14ac:dyDescent="0.15">
      <c r="B328" s="213">
        <v>17031009658</v>
      </c>
      <c r="C328" s="213">
        <v>17031007747</v>
      </c>
      <c r="D328" s="213">
        <v>17031000986</v>
      </c>
      <c r="E328" s="213" t="s">
        <v>533</v>
      </c>
      <c r="F328" s="213" t="s">
        <v>534</v>
      </c>
      <c r="G328" s="213" t="s">
        <v>365</v>
      </c>
      <c r="H328" s="213" t="s">
        <v>557</v>
      </c>
      <c r="I328" s="213"/>
      <c r="J328" s="213" t="s">
        <v>381</v>
      </c>
      <c r="K328" s="213" t="s">
        <v>535</v>
      </c>
      <c r="L328" s="213" t="s">
        <v>552</v>
      </c>
      <c r="M328" s="213" t="s">
        <v>551</v>
      </c>
      <c r="N328" s="213" t="s">
        <v>543</v>
      </c>
      <c r="O328" s="213" t="s">
        <v>382</v>
      </c>
      <c r="P328" s="213"/>
      <c r="Q328" s="213"/>
      <c r="R328" s="213"/>
      <c r="S328" s="213" t="s">
        <v>570</v>
      </c>
      <c r="T328" s="213"/>
      <c r="U328" s="213" t="s">
        <v>538</v>
      </c>
      <c r="V328" s="213">
        <v>2</v>
      </c>
      <c r="W328" s="213" t="s">
        <v>545</v>
      </c>
      <c r="X328" s="213" t="s">
        <v>540</v>
      </c>
      <c r="Y328" s="213" t="s">
        <v>575</v>
      </c>
      <c r="Z328" s="212">
        <v>883724</v>
      </c>
      <c r="AA328" s="212">
        <v>56558327</v>
      </c>
      <c r="AB328" s="217">
        <v>0.45621899999999999</v>
      </c>
      <c r="AC328" s="217">
        <v>0.73421400000000003</v>
      </c>
      <c r="AD328" s="212">
        <f t="shared" si="5"/>
        <v>25802983.385612998</v>
      </c>
    </row>
    <row r="329" spans="2:30" x14ac:dyDescent="0.15">
      <c r="B329" s="213">
        <v>17031009673</v>
      </c>
      <c r="C329" s="213">
        <v>17031000256</v>
      </c>
      <c r="D329" s="213">
        <v>17031007756</v>
      </c>
      <c r="E329" s="213" t="s">
        <v>533</v>
      </c>
      <c r="F329" s="213" t="s">
        <v>534</v>
      </c>
      <c r="G329" s="213" t="s">
        <v>365</v>
      </c>
      <c r="H329" s="213" t="s">
        <v>552</v>
      </c>
      <c r="I329" s="213"/>
      <c r="J329" s="213" t="s">
        <v>382</v>
      </c>
      <c r="K329" s="213"/>
      <c r="L329" s="213"/>
      <c r="M329" s="213"/>
      <c r="N329" s="213"/>
      <c r="O329" s="213"/>
      <c r="P329" s="213"/>
      <c r="Q329" s="213"/>
      <c r="R329" s="213"/>
      <c r="S329" s="213" t="s">
        <v>564</v>
      </c>
      <c r="T329" s="213"/>
      <c r="U329" s="213" t="s">
        <v>538</v>
      </c>
      <c r="V329" s="213">
        <v>2</v>
      </c>
      <c r="W329" s="213" t="s">
        <v>545</v>
      </c>
      <c r="X329" s="213" t="s">
        <v>554</v>
      </c>
      <c r="Y329" s="213" t="s">
        <v>549</v>
      </c>
      <c r="Z329" s="212">
        <v>422989</v>
      </c>
      <c r="AA329" s="212">
        <v>26239030</v>
      </c>
      <c r="AB329" s="217">
        <v>0.43207899999999999</v>
      </c>
      <c r="AC329" s="217">
        <v>0.69536500000000001</v>
      </c>
      <c r="AD329" s="212">
        <f t="shared" si="5"/>
        <v>11337333.84337</v>
      </c>
    </row>
    <row r="330" spans="2:30" x14ac:dyDescent="0.15">
      <c r="B330" s="213">
        <v>17031009681</v>
      </c>
      <c r="C330" s="213">
        <v>17031007764</v>
      </c>
      <c r="D330" s="213">
        <v>17031000643</v>
      </c>
      <c r="E330" s="213" t="s">
        <v>533</v>
      </c>
      <c r="F330" s="213" t="s">
        <v>534</v>
      </c>
      <c r="G330" s="213" t="s">
        <v>365</v>
      </c>
      <c r="H330" s="213" t="s">
        <v>557</v>
      </c>
      <c r="I330" s="213"/>
      <c r="J330" s="213" t="s">
        <v>535</v>
      </c>
      <c r="K330" s="213" t="s">
        <v>552</v>
      </c>
      <c r="L330" s="213" t="s">
        <v>543</v>
      </c>
      <c r="M330" s="213" t="s">
        <v>382</v>
      </c>
      <c r="N330" s="213"/>
      <c r="O330" s="213"/>
      <c r="P330" s="213"/>
      <c r="Q330" s="213"/>
      <c r="R330" s="213"/>
      <c r="S330" s="213" t="s">
        <v>570</v>
      </c>
      <c r="T330" s="213"/>
      <c r="U330" s="213" t="s">
        <v>538</v>
      </c>
      <c r="V330" s="213">
        <v>2</v>
      </c>
      <c r="W330" s="213" t="s">
        <v>545</v>
      </c>
      <c r="X330" s="213" t="s">
        <v>540</v>
      </c>
      <c r="Y330" s="213" t="s">
        <v>580</v>
      </c>
      <c r="Z330" s="212">
        <v>897874</v>
      </c>
      <c r="AA330" s="212">
        <v>51198646</v>
      </c>
      <c r="AB330" s="217">
        <v>0.91985099999999997</v>
      </c>
      <c r="AC330" s="217">
        <v>1.4803599999999999</v>
      </c>
      <c r="AD330" s="212">
        <f t="shared" si="5"/>
        <v>47095125.721745998</v>
      </c>
    </row>
    <row r="331" spans="2:30" x14ac:dyDescent="0.15">
      <c r="B331" s="213">
        <v>17031009682</v>
      </c>
      <c r="C331" s="213">
        <v>17031000675</v>
      </c>
      <c r="D331" s="213">
        <v>17031007765</v>
      </c>
      <c r="E331" s="213" t="s">
        <v>533</v>
      </c>
      <c r="F331" s="213" t="s">
        <v>534</v>
      </c>
      <c r="G331" s="213" t="s">
        <v>365</v>
      </c>
      <c r="H331" s="213" t="s">
        <v>557</v>
      </c>
      <c r="I331" s="213"/>
      <c r="J331" s="213" t="s">
        <v>535</v>
      </c>
      <c r="K331" s="213"/>
      <c r="L331" s="213"/>
      <c r="M331" s="213"/>
      <c r="N331" s="213"/>
      <c r="O331" s="213"/>
      <c r="P331" s="213"/>
      <c r="Q331" s="213"/>
      <c r="R331" s="213"/>
      <c r="S331" s="213"/>
      <c r="T331" s="213"/>
      <c r="U331" s="213" t="s">
        <v>538</v>
      </c>
      <c r="V331" s="213">
        <v>1</v>
      </c>
      <c r="W331" s="213" t="s">
        <v>560</v>
      </c>
      <c r="X331" s="213" t="s">
        <v>541</v>
      </c>
      <c r="Y331" s="213" t="s">
        <v>541</v>
      </c>
      <c r="Z331" s="212">
        <v>2200</v>
      </c>
      <c r="AA331" s="212">
        <v>174320</v>
      </c>
      <c r="AB331" s="217">
        <v>5.3323000000000002E-2</v>
      </c>
      <c r="AC331" s="217">
        <v>8.5816000000000003E-2</v>
      </c>
      <c r="AD331" s="212">
        <f t="shared" si="5"/>
        <v>9295.2653600000012</v>
      </c>
    </row>
    <row r="332" spans="2:30" x14ac:dyDescent="0.15">
      <c r="B332" s="213">
        <v>17031009714</v>
      </c>
      <c r="C332" s="213">
        <v>17031004746</v>
      </c>
      <c r="D332" s="213">
        <v>17031007795</v>
      </c>
      <c r="E332" s="213" t="s">
        <v>533</v>
      </c>
      <c r="F332" s="213" t="s">
        <v>534</v>
      </c>
      <c r="G332" s="213" t="s">
        <v>365</v>
      </c>
      <c r="H332" s="213" t="s">
        <v>551</v>
      </c>
      <c r="I332" s="213"/>
      <c r="J332" s="213"/>
      <c r="K332" s="213"/>
      <c r="L332" s="213"/>
      <c r="M332" s="213"/>
      <c r="N332" s="213"/>
      <c r="O332" s="213"/>
      <c r="P332" s="213"/>
      <c r="Q332" s="213"/>
      <c r="R332" s="213"/>
      <c r="S332" s="213" t="s">
        <v>603</v>
      </c>
      <c r="T332" s="213"/>
      <c r="U332" s="213" t="s">
        <v>538</v>
      </c>
      <c r="V332" s="213">
        <v>2</v>
      </c>
      <c r="W332" s="213" t="s">
        <v>545</v>
      </c>
      <c r="X332" s="213" t="s">
        <v>540</v>
      </c>
      <c r="Y332" s="213" t="s">
        <v>575</v>
      </c>
      <c r="Z332" s="212">
        <v>1457423</v>
      </c>
      <c r="AA332" s="212">
        <v>57278139</v>
      </c>
      <c r="AB332" s="217">
        <v>0.128999</v>
      </c>
      <c r="AC332" s="217">
        <v>0.20760500000000001</v>
      </c>
      <c r="AD332" s="212">
        <f t="shared" si="5"/>
        <v>7388822.652861</v>
      </c>
    </row>
    <row r="333" spans="2:30" x14ac:dyDescent="0.15">
      <c r="B333" s="213">
        <v>17031009732</v>
      </c>
      <c r="C333" s="213">
        <v>17031007812</v>
      </c>
      <c r="D333" s="213">
        <v>17031007810</v>
      </c>
      <c r="E333" s="213" t="s">
        <v>533</v>
      </c>
      <c r="F333" s="213" t="s">
        <v>534</v>
      </c>
      <c r="G333" s="213" t="s">
        <v>365</v>
      </c>
      <c r="H333" s="213" t="s">
        <v>613</v>
      </c>
      <c r="I333" s="213"/>
      <c r="J333" s="213" t="s">
        <v>577</v>
      </c>
      <c r="K333" s="213" t="s">
        <v>572</v>
      </c>
      <c r="L333" s="213"/>
      <c r="M333" s="213"/>
      <c r="N333" s="213"/>
      <c r="O333" s="213"/>
      <c r="P333" s="213"/>
      <c r="Q333" s="213"/>
      <c r="R333" s="213"/>
      <c r="S333" s="213"/>
      <c r="T333" s="213"/>
      <c r="U333" s="213" t="s">
        <v>559</v>
      </c>
      <c r="V333" s="213">
        <v>1</v>
      </c>
      <c r="W333" s="213" t="s">
        <v>560</v>
      </c>
      <c r="X333" s="213" t="s">
        <v>541</v>
      </c>
      <c r="Y333" s="213" t="s">
        <v>541</v>
      </c>
      <c r="Z333" s="212">
        <v>0</v>
      </c>
      <c r="AA333" s="212">
        <v>0</v>
      </c>
      <c r="AB333" s="217">
        <v>1.8491E-2</v>
      </c>
      <c r="AC333" s="217">
        <v>2.9758E-2</v>
      </c>
      <c r="AD333" s="212">
        <f t="shared" si="5"/>
        <v>0</v>
      </c>
    </row>
    <row r="334" spans="2:30" x14ac:dyDescent="0.15">
      <c r="B334" s="213">
        <v>17031009833</v>
      </c>
      <c r="C334" s="213">
        <v>17031001558</v>
      </c>
      <c r="D334" s="213">
        <v>17031007901</v>
      </c>
      <c r="E334" s="213" t="s">
        <v>533</v>
      </c>
      <c r="F334" s="213" t="s">
        <v>534</v>
      </c>
      <c r="G334" s="213" t="s">
        <v>365</v>
      </c>
      <c r="H334" s="213" t="s">
        <v>535</v>
      </c>
      <c r="I334" s="213"/>
      <c r="J334" s="213" t="s">
        <v>382</v>
      </c>
      <c r="K334" s="213" t="s">
        <v>536</v>
      </c>
      <c r="L334" s="213"/>
      <c r="M334" s="213"/>
      <c r="N334" s="213"/>
      <c r="O334" s="213"/>
      <c r="P334" s="213"/>
      <c r="Q334" s="213"/>
      <c r="R334" s="213"/>
      <c r="S334" s="213"/>
      <c r="T334" s="213"/>
      <c r="U334" s="213" t="s">
        <v>538</v>
      </c>
      <c r="V334" s="213">
        <v>1</v>
      </c>
      <c r="W334" s="213" t="s">
        <v>560</v>
      </c>
      <c r="X334" s="213" t="s">
        <v>554</v>
      </c>
      <c r="Y334" s="213" t="s">
        <v>554</v>
      </c>
      <c r="Z334" s="212">
        <v>0</v>
      </c>
      <c r="AA334" s="212">
        <v>0</v>
      </c>
      <c r="AB334" s="217">
        <v>0.18546899999999999</v>
      </c>
      <c r="AC334" s="217">
        <v>0.298485</v>
      </c>
      <c r="AD334" s="212">
        <f t="shared" si="5"/>
        <v>0</v>
      </c>
    </row>
    <row r="335" spans="2:30" x14ac:dyDescent="0.15">
      <c r="B335" s="213">
        <v>17031009837</v>
      </c>
      <c r="C335" s="213">
        <v>17031001564</v>
      </c>
      <c r="D335" s="213">
        <v>17031007902</v>
      </c>
      <c r="E335" s="213" t="s">
        <v>533</v>
      </c>
      <c r="F335" s="213" t="s">
        <v>534</v>
      </c>
      <c r="G335" s="213" t="s">
        <v>365</v>
      </c>
      <c r="H335" s="213" t="s">
        <v>535</v>
      </c>
      <c r="I335" s="213"/>
      <c r="J335" s="213" t="s">
        <v>382</v>
      </c>
      <c r="K335" s="213" t="s">
        <v>536</v>
      </c>
      <c r="L335" s="213"/>
      <c r="M335" s="213"/>
      <c r="N335" s="213"/>
      <c r="O335" s="213"/>
      <c r="P335" s="213"/>
      <c r="Q335" s="213"/>
      <c r="R335" s="213"/>
      <c r="S335" s="213" t="s">
        <v>537</v>
      </c>
      <c r="T335" s="213"/>
      <c r="U335" s="213" t="s">
        <v>538</v>
      </c>
      <c r="V335" s="213">
        <v>2</v>
      </c>
      <c r="W335" s="213" t="s">
        <v>582</v>
      </c>
      <c r="X335" s="213" t="s">
        <v>549</v>
      </c>
      <c r="Y335" s="213" t="s">
        <v>540</v>
      </c>
      <c r="Z335" s="212">
        <v>29102</v>
      </c>
      <c r="AA335" s="212">
        <v>2918940</v>
      </c>
      <c r="AB335" s="217">
        <v>1.7413000000000001E-2</v>
      </c>
      <c r="AC335" s="217">
        <v>2.8024E-2</v>
      </c>
      <c r="AD335" s="212">
        <f t="shared" si="5"/>
        <v>50827.502220000002</v>
      </c>
    </row>
    <row r="336" spans="2:30" x14ac:dyDescent="0.15">
      <c r="B336" s="213">
        <v>17031009846</v>
      </c>
      <c r="C336" s="213">
        <v>17031007918</v>
      </c>
      <c r="D336" s="213">
        <v>17031000801</v>
      </c>
      <c r="E336" s="213" t="s">
        <v>533</v>
      </c>
      <c r="F336" s="213" t="s">
        <v>534</v>
      </c>
      <c r="G336" s="213" t="s">
        <v>365</v>
      </c>
      <c r="H336" s="213" t="s">
        <v>543</v>
      </c>
      <c r="I336" s="213"/>
      <c r="J336" s="213" t="s">
        <v>382</v>
      </c>
      <c r="K336" s="213"/>
      <c r="L336" s="213"/>
      <c r="M336" s="213"/>
      <c r="N336" s="213"/>
      <c r="O336" s="213"/>
      <c r="P336" s="213"/>
      <c r="Q336" s="213"/>
      <c r="R336" s="213"/>
      <c r="S336" s="213" t="s">
        <v>639</v>
      </c>
      <c r="T336" s="213"/>
      <c r="U336" s="213" t="s">
        <v>538</v>
      </c>
      <c r="V336" s="213">
        <v>2</v>
      </c>
      <c r="W336" s="213" t="s">
        <v>560</v>
      </c>
      <c r="X336" s="213" t="s">
        <v>541</v>
      </c>
      <c r="Y336" s="213" t="s">
        <v>549</v>
      </c>
      <c r="Z336" s="212">
        <v>2036028</v>
      </c>
      <c r="AA336" s="212">
        <v>59308526</v>
      </c>
      <c r="AB336" s="217">
        <v>3.8894999999999999E-2</v>
      </c>
      <c r="AC336" s="217">
        <v>6.2594999999999998E-2</v>
      </c>
      <c r="AD336" s="212">
        <f t="shared" si="5"/>
        <v>2306805.1187700001</v>
      </c>
    </row>
    <row r="337" spans="2:30" x14ac:dyDescent="0.15">
      <c r="B337" s="213">
        <v>17031010242</v>
      </c>
      <c r="C337" s="213">
        <v>17031000303</v>
      </c>
      <c r="D337" s="213">
        <v>17031007571</v>
      </c>
      <c r="E337" s="213" t="s">
        <v>533</v>
      </c>
      <c r="F337" s="213" t="s">
        <v>534</v>
      </c>
      <c r="G337" s="213" t="s">
        <v>365</v>
      </c>
      <c r="H337" s="213" t="s">
        <v>382</v>
      </c>
      <c r="I337" s="213"/>
      <c r="J337" s="213" t="s">
        <v>552</v>
      </c>
      <c r="K337" s="213"/>
      <c r="L337" s="213"/>
      <c r="M337" s="213"/>
      <c r="N337" s="213"/>
      <c r="O337" s="213"/>
      <c r="P337" s="213"/>
      <c r="Q337" s="213"/>
      <c r="R337" s="213"/>
      <c r="S337" s="213" t="s">
        <v>586</v>
      </c>
      <c r="T337" s="213"/>
      <c r="U337" s="213" t="s">
        <v>538</v>
      </c>
      <c r="V337" s="213">
        <v>2</v>
      </c>
      <c r="W337" s="213" t="s">
        <v>582</v>
      </c>
      <c r="X337" s="213" t="s">
        <v>549</v>
      </c>
      <c r="Y337" s="213" t="s">
        <v>580</v>
      </c>
      <c r="Z337" s="212">
        <v>522661</v>
      </c>
      <c r="AA337" s="212">
        <v>37139797</v>
      </c>
      <c r="AB337" s="217">
        <v>0.57126399999999999</v>
      </c>
      <c r="AC337" s="217">
        <v>0.91936200000000001</v>
      </c>
      <c r="AD337" s="212">
        <f t="shared" si="5"/>
        <v>21216628.993407998</v>
      </c>
    </row>
    <row r="338" spans="2:30" x14ac:dyDescent="0.15">
      <c r="B338" s="213">
        <v>17043002048</v>
      </c>
      <c r="C338" s="213">
        <v>17043000980</v>
      </c>
      <c r="D338" s="213">
        <v>17043000913</v>
      </c>
      <c r="E338" s="213" t="s">
        <v>533</v>
      </c>
      <c r="F338" s="213" t="s">
        <v>534</v>
      </c>
      <c r="G338" s="213" t="s">
        <v>367</v>
      </c>
      <c r="H338" s="213" t="s">
        <v>535</v>
      </c>
      <c r="I338" s="213"/>
      <c r="J338" s="213" t="s">
        <v>536</v>
      </c>
      <c r="K338" s="213" t="s">
        <v>382</v>
      </c>
      <c r="L338" s="213"/>
      <c r="M338" s="213"/>
      <c r="N338" s="213"/>
      <c r="O338" s="213"/>
      <c r="P338" s="213"/>
      <c r="Q338" s="213"/>
      <c r="R338" s="213"/>
      <c r="S338" s="213" t="s">
        <v>550</v>
      </c>
      <c r="T338" s="213"/>
      <c r="U338" s="213" t="s">
        <v>538</v>
      </c>
      <c r="V338" s="213">
        <v>1</v>
      </c>
      <c r="W338" s="213" t="s">
        <v>545</v>
      </c>
      <c r="X338" s="213" t="s">
        <v>549</v>
      </c>
      <c r="Y338" s="213" t="s">
        <v>540</v>
      </c>
      <c r="Z338" s="212">
        <v>80988</v>
      </c>
      <c r="AA338" s="212">
        <v>9181980</v>
      </c>
      <c r="AB338" s="217">
        <v>0.91529499999999997</v>
      </c>
      <c r="AC338" s="217">
        <v>1.4730270000000001</v>
      </c>
      <c r="AD338" s="212">
        <f t="shared" si="5"/>
        <v>8404220.3840999994</v>
      </c>
    </row>
    <row r="339" spans="2:30" x14ac:dyDescent="0.15">
      <c r="B339" s="213">
        <v>17043002049</v>
      </c>
      <c r="C339" s="213">
        <v>17043007355</v>
      </c>
      <c r="D339" s="213">
        <v>17043004782</v>
      </c>
      <c r="E339" s="213" t="s">
        <v>533</v>
      </c>
      <c r="F339" s="213" t="s">
        <v>534</v>
      </c>
      <c r="G339" s="213" t="s">
        <v>367</v>
      </c>
      <c r="H339" s="213" t="s">
        <v>382</v>
      </c>
      <c r="I339" s="213"/>
      <c r="J339" s="213"/>
      <c r="K339" s="213"/>
      <c r="L339" s="213"/>
      <c r="M339" s="213"/>
      <c r="N339" s="213"/>
      <c r="O339" s="213"/>
      <c r="P339" s="213"/>
      <c r="Q339" s="213"/>
      <c r="R339" s="213"/>
      <c r="S339" s="213" t="s">
        <v>635</v>
      </c>
      <c r="T339" s="213"/>
      <c r="U339" s="213" t="s">
        <v>559</v>
      </c>
      <c r="V339" s="213">
        <v>1</v>
      </c>
      <c r="W339" s="213" t="s">
        <v>560</v>
      </c>
      <c r="X339" s="213" t="s">
        <v>541</v>
      </c>
      <c r="Y339" s="213" t="s">
        <v>541</v>
      </c>
      <c r="Z339" s="212">
        <v>80</v>
      </c>
      <c r="AA339" s="212">
        <v>4720</v>
      </c>
      <c r="AB339" s="217">
        <v>1.683997</v>
      </c>
      <c r="AC339" s="217">
        <v>2.7101359999999999</v>
      </c>
      <c r="AD339" s="212">
        <f t="shared" si="5"/>
        <v>7948.4658399999998</v>
      </c>
    </row>
    <row r="340" spans="2:30" x14ac:dyDescent="0.15">
      <c r="B340" s="213">
        <v>17043002077</v>
      </c>
      <c r="C340" s="213">
        <v>17043004764</v>
      </c>
      <c r="D340" s="213">
        <v>17043000503</v>
      </c>
      <c r="E340" s="213" t="s">
        <v>533</v>
      </c>
      <c r="F340" s="213" t="s">
        <v>534</v>
      </c>
      <c r="G340" s="213" t="s">
        <v>367</v>
      </c>
      <c r="H340" s="213" t="s">
        <v>535</v>
      </c>
      <c r="I340" s="213"/>
      <c r="J340" s="213" t="s">
        <v>536</v>
      </c>
      <c r="K340" s="213" t="s">
        <v>382</v>
      </c>
      <c r="L340" s="213"/>
      <c r="M340" s="213"/>
      <c r="N340" s="213"/>
      <c r="O340" s="213"/>
      <c r="P340" s="213"/>
      <c r="Q340" s="213"/>
      <c r="R340" s="213"/>
      <c r="S340" s="213" t="s">
        <v>550</v>
      </c>
      <c r="T340" s="213"/>
      <c r="U340" s="213" t="s">
        <v>538</v>
      </c>
      <c r="V340" s="213">
        <v>2</v>
      </c>
      <c r="W340" s="213" t="s">
        <v>545</v>
      </c>
      <c r="X340" s="213" t="s">
        <v>540</v>
      </c>
      <c r="Y340" s="213" t="s">
        <v>540</v>
      </c>
      <c r="Z340" s="212">
        <v>43627</v>
      </c>
      <c r="AA340" s="212">
        <v>4713541</v>
      </c>
      <c r="AB340" s="217">
        <v>0.96634900000000001</v>
      </c>
      <c r="AC340" s="217">
        <v>1.555191</v>
      </c>
      <c r="AD340" s="212">
        <f t="shared" si="5"/>
        <v>4554925.6318089999</v>
      </c>
    </row>
    <row r="341" spans="2:30" x14ac:dyDescent="0.15">
      <c r="B341" s="213">
        <v>17043002124</v>
      </c>
      <c r="C341" s="213">
        <v>17043000635</v>
      </c>
      <c r="D341" s="213">
        <v>17043000612</v>
      </c>
      <c r="E341" s="213" t="s">
        <v>533</v>
      </c>
      <c r="F341" s="213" t="s">
        <v>534</v>
      </c>
      <c r="G341" s="213" t="s">
        <v>367</v>
      </c>
      <c r="H341" s="213" t="s">
        <v>382</v>
      </c>
      <c r="I341" s="213"/>
      <c r="J341" s="213" t="s">
        <v>547</v>
      </c>
      <c r="K341" s="213"/>
      <c r="L341" s="213"/>
      <c r="M341" s="213"/>
      <c r="N341" s="213"/>
      <c r="O341" s="213"/>
      <c r="P341" s="213"/>
      <c r="Q341" s="213"/>
      <c r="R341" s="213"/>
      <c r="S341" s="213" t="s">
        <v>583</v>
      </c>
      <c r="T341" s="213"/>
      <c r="U341" s="213" t="s">
        <v>538</v>
      </c>
      <c r="V341" s="213">
        <v>3</v>
      </c>
      <c r="W341" s="213" t="s">
        <v>588</v>
      </c>
      <c r="X341" s="213" t="s">
        <v>549</v>
      </c>
      <c r="Y341" s="213" t="s">
        <v>575</v>
      </c>
      <c r="Z341" s="212">
        <v>1774964</v>
      </c>
      <c r="AA341" s="212">
        <v>63888874</v>
      </c>
      <c r="AB341" s="217">
        <v>2.4489999999999998</v>
      </c>
      <c r="AC341" s="217">
        <v>3.9412910000000001</v>
      </c>
      <c r="AD341" s="212">
        <f t="shared" si="5"/>
        <v>156463852.426</v>
      </c>
    </row>
    <row r="342" spans="2:30" x14ac:dyDescent="0.15">
      <c r="B342" s="213">
        <v>17043002130</v>
      </c>
      <c r="C342" s="213">
        <v>17043004894</v>
      </c>
      <c r="D342" s="213">
        <v>17043000980</v>
      </c>
      <c r="E342" s="213" t="s">
        <v>533</v>
      </c>
      <c r="F342" s="213" t="s">
        <v>534</v>
      </c>
      <c r="G342" s="213" t="s">
        <v>367</v>
      </c>
      <c r="H342" s="213" t="s">
        <v>535</v>
      </c>
      <c r="I342" s="213"/>
      <c r="J342" s="213" t="s">
        <v>382</v>
      </c>
      <c r="K342" s="213" t="s">
        <v>536</v>
      </c>
      <c r="L342" s="213"/>
      <c r="M342" s="213"/>
      <c r="N342" s="213"/>
      <c r="O342" s="213"/>
      <c r="P342" s="213"/>
      <c r="Q342" s="213"/>
      <c r="R342" s="213"/>
      <c r="S342" s="213" t="s">
        <v>550</v>
      </c>
      <c r="T342" s="213"/>
      <c r="U342" s="213" t="s">
        <v>538</v>
      </c>
      <c r="V342" s="213">
        <v>1</v>
      </c>
      <c r="W342" s="213" t="s">
        <v>545</v>
      </c>
      <c r="X342" s="213" t="s">
        <v>549</v>
      </c>
      <c r="Y342" s="213" t="s">
        <v>540</v>
      </c>
      <c r="Z342" s="212">
        <v>80988</v>
      </c>
      <c r="AA342" s="212">
        <v>9181980</v>
      </c>
      <c r="AB342" s="217">
        <v>2.055021</v>
      </c>
      <c r="AC342" s="217">
        <v>3.307242</v>
      </c>
      <c r="AD342" s="212">
        <f t="shared" si="5"/>
        <v>18869161.721579999</v>
      </c>
    </row>
    <row r="343" spans="2:30" x14ac:dyDescent="0.15">
      <c r="B343" s="213">
        <v>17043002230</v>
      </c>
      <c r="C343" s="213">
        <v>17043000385</v>
      </c>
      <c r="D343" s="213">
        <v>17043000367</v>
      </c>
      <c r="E343" s="213" t="s">
        <v>533</v>
      </c>
      <c r="F343" s="213" t="s">
        <v>534</v>
      </c>
      <c r="G343" s="213" t="s">
        <v>367</v>
      </c>
      <c r="H343" s="213" t="s">
        <v>552</v>
      </c>
      <c r="I343" s="213"/>
      <c r="J343" s="213" t="s">
        <v>547</v>
      </c>
      <c r="K343" s="213"/>
      <c r="L343" s="213"/>
      <c r="M343" s="213"/>
      <c r="N343" s="213"/>
      <c r="O343" s="213"/>
      <c r="P343" s="213"/>
      <c r="Q343" s="213"/>
      <c r="R343" s="213"/>
      <c r="S343" s="213" t="s">
        <v>589</v>
      </c>
      <c r="T343" s="213"/>
      <c r="U343" s="213" t="s">
        <v>538</v>
      </c>
      <c r="V343" s="213">
        <v>2</v>
      </c>
      <c r="W343" s="213" t="s">
        <v>545</v>
      </c>
      <c r="X343" s="213" t="s">
        <v>549</v>
      </c>
      <c r="Y343" s="213" t="s">
        <v>540</v>
      </c>
      <c r="Z343" s="212">
        <v>38298</v>
      </c>
      <c r="AA343" s="212">
        <v>3612264</v>
      </c>
      <c r="AB343" s="217">
        <v>0.67397200000000002</v>
      </c>
      <c r="AC343" s="217">
        <v>1.0846549999999999</v>
      </c>
      <c r="AD343" s="212">
        <f t="shared" si="5"/>
        <v>2434564.7926079999</v>
      </c>
    </row>
    <row r="344" spans="2:30" x14ac:dyDescent="0.15">
      <c r="B344" s="213">
        <v>17043002315</v>
      </c>
      <c r="C344" s="213">
        <v>17043000921</v>
      </c>
      <c r="D344" s="213">
        <v>17043004888</v>
      </c>
      <c r="E344" s="213" t="s">
        <v>533</v>
      </c>
      <c r="F344" s="213" t="s">
        <v>534</v>
      </c>
      <c r="G344" s="213" t="s">
        <v>367</v>
      </c>
      <c r="H344" s="213" t="s">
        <v>381</v>
      </c>
      <c r="I344" s="213"/>
      <c r="J344" s="213" t="s">
        <v>542</v>
      </c>
      <c r="K344" s="213" t="s">
        <v>547</v>
      </c>
      <c r="L344" s="213" t="s">
        <v>382</v>
      </c>
      <c r="M344" s="213"/>
      <c r="N344" s="213"/>
      <c r="O344" s="213"/>
      <c r="P344" s="213"/>
      <c r="Q344" s="213"/>
      <c r="R344" s="213"/>
      <c r="S344" s="213" t="s">
        <v>579</v>
      </c>
      <c r="T344" s="213"/>
      <c r="U344" s="213" t="s">
        <v>538</v>
      </c>
      <c r="V344" s="213">
        <v>3</v>
      </c>
      <c r="W344" s="213" t="s">
        <v>545</v>
      </c>
      <c r="X344" s="213" t="s">
        <v>549</v>
      </c>
      <c r="Y344" s="213" t="s">
        <v>580</v>
      </c>
      <c r="Z344" s="212">
        <v>1206767</v>
      </c>
      <c r="AA344" s="212">
        <v>52647247</v>
      </c>
      <c r="AB344" s="217">
        <v>4.0735890000000001</v>
      </c>
      <c r="AC344" s="217">
        <v>6.5558199999999998</v>
      </c>
      <c r="AD344" s="212">
        <f t="shared" si="5"/>
        <v>214463246.25948301</v>
      </c>
    </row>
    <row r="345" spans="2:30" x14ac:dyDescent="0.15">
      <c r="B345" s="213">
        <v>17043002335</v>
      </c>
      <c r="C345" s="213">
        <v>17043000404</v>
      </c>
      <c r="D345" s="213">
        <v>17043004636</v>
      </c>
      <c r="E345" s="213" t="s">
        <v>533</v>
      </c>
      <c r="F345" s="213" t="s">
        <v>534</v>
      </c>
      <c r="G345" s="213" t="s">
        <v>367</v>
      </c>
      <c r="H345" s="213" t="s">
        <v>552</v>
      </c>
      <c r="I345" s="213"/>
      <c r="J345" s="213" t="s">
        <v>547</v>
      </c>
      <c r="K345" s="213"/>
      <c r="L345" s="213"/>
      <c r="M345" s="213"/>
      <c r="N345" s="213"/>
      <c r="O345" s="213"/>
      <c r="P345" s="213"/>
      <c r="Q345" s="213"/>
      <c r="R345" s="213"/>
      <c r="S345" s="213" t="s">
        <v>589</v>
      </c>
      <c r="T345" s="213" t="s">
        <v>632</v>
      </c>
      <c r="U345" s="213" t="s">
        <v>538</v>
      </c>
      <c r="V345" s="213">
        <v>2</v>
      </c>
      <c r="W345" s="213" t="s">
        <v>545</v>
      </c>
      <c r="X345" s="213" t="s">
        <v>549</v>
      </c>
      <c r="Y345" s="213" t="s">
        <v>540</v>
      </c>
      <c r="Z345" s="212">
        <v>38698</v>
      </c>
      <c r="AA345" s="212">
        <v>3641224</v>
      </c>
      <c r="AB345" s="217">
        <v>0.123207</v>
      </c>
      <c r="AC345" s="217">
        <v>0.19828200000000001</v>
      </c>
      <c r="AD345" s="212">
        <f t="shared" si="5"/>
        <v>448624.28536799998</v>
      </c>
    </row>
    <row r="346" spans="2:30" x14ac:dyDescent="0.15">
      <c r="B346" s="213">
        <v>17043002346</v>
      </c>
      <c r="C346" s="213">
        <v>17043000522</v>
      </c>
      <c r="D346" s="213">
        <v>17043004775</v>
      </c>
      <c r="E346" s="213" t="s">
        <v>533</v>
      </c>
      <c r="F346" s="213" t="s">
        <v>534</v>
      </c>
      <c r="G346" s="213" t="s">
        <v>367</v>
      </c>
      <c r="H346" s="213" t="s">
        <v>382</v>
      </c>
      <c r="I346" s="213"/>
      <c r="J346" s="213" t="s">
        <v>547</v>
      </c>
      <c r="K346" s="213"/>
      <c r="L346" s="213"/>
      <c r="M346" s="213"/>
      <c r="N346" s="213"/>
      <c r="O346" s="213"/>
      <c r="P346" s="213"/>
      <c r="Q346" s="213"/>
      <c r="R346" s="213"/>
      <c r="S346" s="213" t="s">
        <v>583</v>
      </c>
      <c r="T346" s="213"/>
      <c r="U346" s="213" t="s">
        <v>538</v>
      </c>
      <c r="V346" s="213">
        <v>3</v>
      </c>
      <c r="W346" s="213" t="s">
        <v>588</v>
      </c>
      <c r="X346" s="213" t="s">
        <v>549</v>
      </c>
      <c r="Y346" s="213" t="s">
        <v>575</v>
      </c>
      <c r="Z346" s="212">
        <v>1774964</v>
      </c>
      <c r="AA346" s="212">
        <v>63888874</v>
      </c>
      <c r="AB346" s="217">
        <v>0.82846399999999998</v>
      </c>
      <c r="AC346" s="217">
        <v>1.333286</v>
      </c>
      <c r="AD346" s="212">
        <f t="shared" si="5"/>
        <v>52929632.109536</v>
      </c>
    </row>
    <row r="347" spans="2:30" x14ac:dyDescent="0.15">
      <c r="B347" s="213">
        <v>17043002352</v>
      </c>
      <c r="C347" s="213">
        <v>17043004635</v>
      </c>
      <c r="D347" s="213">
        <v>17043004772</v>
      </c>
      <c r="E347" s="213" t="s">
        <v>533</v>
      </c>
      <c r="F347" s="213" t="s">
        <v>534</v>
      </c>
      <c r="G347" s="213" t="s">
        <v>367</v>
      </c>
      <c r="H347" s="213" t="s">
        <v>552</v>
      </c>
      <c r="I347" s="213"/>
      <c r="J347" s="213" t="s">
        <v>547</v>
      </c>
      <c r="K347" s="213"/>
      <c r="L347" s="213"/>
      <c r="M347" s="213"/>
      <c r="N347" s="213"/>
      <c r="O347" s="213"/>
      <c r="P347" s="213"/>
      <c r="Q347" s="213"/>
      <c r="R347" s="213"/>
      <c r="S347" s="213" t="s">
        <v>589</v>
      </c>
      <c r="T347" s="213"/>
      <c r="U347" s="213" t="s">
        <v>538</v>
      </c>
      <c r="V347" s="213">
        <v>2</v>
      </c>
      <c r="W347" s="213" t="s">
        <v>545</v>
      </c>
      <c r="X347" s="213" t="s">
        <v>549</v>
      </c>
      <c r="Y347" s="213" t="s">
        <v>540</v>
      </c>
      <c r="Z347" s="212">
        <v>38578</v>
      </c>
      <c r="AA347" s="212">
        <v>3630264</v>
      </c>
      <c r="AB347" s="217">
        <v>1.7556849999999999</v>
      </c>
      <c r="AC347" s="217">
        <v>2.825507</v>
      </c>
      <c r="AD347" s="212">
        <f t="shared" si="5"/>
        <v>6373600.0508399997</v>
      </c>
    </row>
    <row r="348" spans="2:30" x14ac:dyDescent="0.15">
      <c r="B348" s="213">
        <v>17043002394</v>
      </c>
      <c r="C348" s="213">
        <v>17043004763</v>
      </c>
      <c r="D348" s="213">
        <v>17043004764</v>
      </c>
      <c r="E348" s="213" t="s">
        <v>533</v>
      </c>
      <c r="F348" s="213" t="s">
        <v>534</v>
      </c>
      <c r="G348" s="213" t="s">
        <v>367</v>
      </c>
      <c r="H348" s="213" t="s">
        <v>535</v>
      </c>
      <c r="I348" s="213"/>
      <c r="J348" s="213" t="s">
        <v>536</v>
      </c>
      <c r="K348" s="213" t="s">
        <v>382</v>
      </c>
      <c r="L348" s="213"/>
      <c r="M348" s="213"/>
      <c r="N348" s="213"/>
      <c r="O348" s="213"/>
      <c r="P348" s="213"/>
      <c r="Q348" s="213"/>
      <c r="R348" s="213"/>
      <c r="S348" s="213" t="s">
        <v>550</v>
      </c>
      <c r="T348" s="213"/>
      <c r="U348" s="213" t="s">
        <v>538</v>
      </c>
      <c r="V348" s="213">
        <v>2</v>
      </c>
      <c r="W348" s="213" t="s">
        <v>545</v>
      </c>
      <c r="X348" s="213" t="s">
        <v>540</v>
      </c>
      <c r="Y348" s="213" t="s">
        <v>540</v>
      </c>
      <c r="Z348" s="212">
        <v>43627</v>
      </c>
      <c r="AA348" s="212">
        <v>4713541</v>
      </c>
      <c r="AB348" s="217">
        <v>0.90288299999999999</v>
      </c>
      <c r="AC348" s="217">
        <v>1.453052</v>
      </c>
      <c r="AD348" s="212">
        <f t="shared" si="5"/>
        <v>4255776.0387030002</v>
      </c>
    </row>
    <row r="349" spans="2:30" x14ac:dyDescent="0.15">
      <c r="B349" s="213">
        <v>17043002400</v>
      </c>
      <c r="C349" s="213">
        <v>17043000384</v>
      </c>
      <c r="D349" s="213">
        <v>17043000383</v>
      </c>
      <c r="E349" s="213" t="s">
        <v>533</v>
      </c>
      <c r="F349" s="213" t="s">
        <v>534</v>
      </c>
      <c r="G349" s="213" t="s">
        <v>367</v>
      </c>
      <c r="H349" s="213" t="s">
        <v>638</v>
      </c>
      <c r="I349" s="213"/>
      <c r="J349" s="213"/>
      <c r="K349" s="213"/>
      <c r="L349" s="213"/>
      <c r="M349" s="213"/>
      <c r="N349" s="213"/>
      <c r="O349" s="213"/>
      <c r="P349" s="213"/>
      <c r="Q349" s="213"/>
      <c r="R349" s="213"/>
      <c r="S349" s="213"/>
      <c r="T349" s="213"/>
      <c r="U349" s="213" t="s">
        <v>559</v>
      </c>
      <c r="V349" s="213">
        <v>1</v>
      </c>
      <c r="W349" s="213" t="s">
        <v>560</v>
      </c>
      <c r="X349" s="213" t="s">
        <v>541</v>
      </c>
      <c r="Y349" s="213" t="s">
        <v>541</v>
      </c>
      <c r="Z349" s="212">
        <v>0</v>
      </c>
      <c r="AA349" s="212">
        <v>0</v>
      </c>
      <c r="AB349" s="217">
        <v>0.21859200000000001</v>
      </c>
      <c r="AC349" s="217">
        <v>0.35179100000000002</v>
      </c>
      <c r="AD349" s="212">
        <f t="shared" si="5"/>
        <v>0</v>
      </c>
    </row>
    <row r="350" spans="2:30" x14ac:dyDescent="0.15">
      <c r="B350" s="213">
        <v>17043002402</v>
      </c>
      <c r="C350" s="213">
        <v>17043000382</v>
      </c>
      <c r="D350" s="213">
        <v>17043000387</v>
      </c>
      <c r="E350" s="213" t="s">
        <v>533</v>
      </c>
      <c r="F350" s="213" t="s">
        <v>534</v>
      </c>
      <c r="G350" s="213" t="s">
        <v>367</v>
      </c>
      <c r="H350" s="213" t="s">
        <v>638</v>
      </c>
      <c r="I350" s="213"/>
      <c r="J350" s="213"/>
      <c r="K350" s="213"/>
      <c r="L350" s="213"/>
      <c r="M350" s="213"/>
      <c r="N350" s="213"/>
      <c r="O350" s="213"/>
      <c r="P350" s="213"/>
      <c r="Q350" s="213"/>
      <c r="R350" s="213"/>
      <c r="S350" s="213"/>
      <c r="T350" s="213"/>
      <c r="U350" s="213" t="s">
        <v>559</v>
      </c>
      <c r="V350" s="213">
        <v>1</v>
      </c>
      <c r="W350" s="213" t="s">
        <v>560</v>
      </c>
      <c r="X350" s="213" t="s">
        <v>541</v>
      </c>
      <c r="Y350" s="213" t="s">
        <v>541</v>
      </c>
      <c r="Z350" s="212">
        <v>0</v>
      </c>
      <c r="AA350" s="212">
        <v>0</v>
      </c>
      <c r="AB350" s="217">
        <v>0.128555</v>
      </c>
      <c r="AC350" s="217">
        <v>0.20688999999999999</v>
      </c>
      <c r="AD350" s="212">
        <f t="shared" si="5"/>
        <v>0</v>
      </c>
    </row>
    <row r="351" spans="2:30" x14ac:dyDescent="0.15">
      <c r="B351" s="213">
        <v>17043002405</v>
      </c>
      <c r="C351" s="213">
        <v>17043000605</v>
      </c>
      <c r="D351" s="213">
        <v>17043000552</v>
      </c>
      <c r="E351" s="213" t="s">
        <v>533</v>
      </c>
      <c r="F351" s="213" t="s">
        <v>534</v>
      </c>
      <c r="G351" s="213" t="s">
        <v>367</v>
      </c>
      <c r="H351" s="213" t="s">
        <v>382</v>
      </c>
      <c r="I351" s="213"/>
      <c r="J351" s="213" t="s">
        <v>547</v>
      </c>
      <c r="K351" s="213"/>
      <c r="L351" s="213"/>
      <c r="M351" s="213"/>
      <c r="N351" s="213"/>
      <c r="O351" s="213"/>
      <c r="P351" s="213"/>
      <c r="Q351" s="213"/>
      <c r="R351" s="213"/>
      <c r="S351" s="213" t="s">
        <v>583</v>
      </c>
      <c r="T351" s="213"/>
      <c r="U351" s="213" t="s">
        <v>538</v>
      </c>
      <c r="V351" s="213">
        <v>3</v>
      </c>
      <c r="W351" s="213" t="s">
        <v>588</v>
      </c>
      <c r="X351" s="213" t="s">
        <v>549</v>
      </c>
      <c r="Y351" s="213" t="s">
        <v>575</v>
      </c>
      <c r="Z351" s="212">
        <v>1774964</v>
      </c>
      <c r="AA351" s="212">
        <v>63888874</v>
      </c>
      <c r="AB351" s="217">
        <v>2.461951</v>
      </c>
      <c r="AC351" s="217">
        <v>3.9621339999999998</v>
      </c>
      <c r="AD351" s="212">
        <f t="shared" si="5"/>
        <v>157291277.233174</v>
      </c>
    </row>
    <row r="352" spans="2:30" x14ac:dyDescent="0.15">
      <c r="B352" s="213">
        <v>17043003113</v>
      </c>
      <c r="C352" s="213">
        <v>17043000595</v>
      </c>
      <c r="D352" s="213">
        <v>17043000591</v>
      </c>
      <c r="E352" s="213" t="s">
        <v>533</v>
      </c>
      <c r="F352" s="213" t="s">
        <v>534</v>
      </c>
      <c r="G352" s="213" t="s">
        <v>367</v>
      </c>
      <c r="H352" s="213" t="s">
        <v>382</v>
      </c>
      <c r="I352" s="213"/>
      <c r="J352" s="213" t="s">
        <v>547</v>
      </c>
      <c r="K352" s="213"/>
      <c r="L352" s="213"/>
      <c r="M352" s="213"/>
      <c r="N352" s="213"/>
      <c r="O352" s="213"/>
      <c r="P352" s="213"/>
      <c r="Q352" s="213"/>
      <c r="R352" s="213"/>
      <c r="S352" s="213" t="s">
        <v>583</v>
      </c>
      <c r="T352" s="213" t="s">
        <v>587</v>
      </c>
      <c r="U352" s="213" t="s">
        <v>538</v>
      </c>
      <c r="V352" s="213">
        <v>3</v>
      </c>
      <c r="W352" s="213" t="s">
        <v>588</v>
      </c>
      <c r="X352" s="213" t="s">
        <v>549</v>
      </c>
      <c r="Y352" s="213" t="s">
        <v>575</v>
      </c>
      <c r="Z352" s="212">
        <v>1876668</v>
      </c>
      <c r="AA352" s="212">
        <v>76122842</v>
      </c>
      <c r="AB352" s="217">
        <v>1.7673559999999999</v>
      </c>
      <c r="AC352" s="217">
        <v>2.84429</v>
      </c>
      <c r="AD352" s="212">
        <f t="shared" si="5"/>
        <v>134536161.54575199</v>
      </c>
    </row>
    <row r="353" spans="2:30" x14ac:dyDescent="0.15">
      <c r="B353" s="213">
        <v>17043003488</v>
      </c>
      <c r="C353" s="213">
        <v>17999022248</v>
      </c>
      <c r="D353" s="213">
        <v>17043001186</v>
      </c>
      <c r="E353" s="213" t="s">
        <v>533</v>
      </c>
      <c r="F353" s="213" t="s">
        <v>534</v>
      </c>
      <c r="G353" s="213" t="s">
        <v>367</v>
      </c>
      <c r="H353" s="213" t="s">
        <v>381</v>
      </c>
      <c r="I353" s="213"/>
      <c r="J353" s="213" t="s">
        <v>382</v>
      </c>
      <c r="K353" s="213"/>
      <c r="L353" s="213"/>
      <c r="M353" s="213"/>
      <c r="N353" s="213"/>
      <c r="O353" s="213"/>
      <c r="P353" s="213"/>
      <c r="Q353" s="213"/>
      <c r="R353" s="213"/>
      <c r="S353" s="213" t="s">
        <v>647</v>
      </c>
      <c r="T353" s="213"/>
      <c r="U353" s="213" t="s">
        <v>538</v>
      </c>
      <c r="V353" s="213">
        <v>2</v>
      </c>
      <c r="W353" s="213" t="s">
        <v>545</v>
      </c>
      <c r="X353" s="213" t="s">
        <v>549</v>
      </c>
      <c r="Y353" s="213" t="s">
        <v>580</v>
      </c>
      <c r="Z353" s="212">
        <v>1672273</v>
      </c>
      <c r="AA353" s="212">
        <v>44165151</v>
      </c>
      <c r="AB353" s="217">
        <v>1.4564410000000001</v>
      </c>
      <c r="AC353" s="217">
        <v>2.3439190000000001</v>
      </c>
      <c r="AD353" s="212">
        <f t="shared" si="5"/>
        <v>64323936.687591001</v>
      </c>
    </row>
    <row r="354" spans="2:30" x14ac:dyDescent="0.15">
      <c r="B354" s="213">
        <v>17043003512</v>
      </c>
      <c r="C354" s="213">
        <v>17043004774</v>
      </c>
      <c r="D354" s="213">
        <v>17043000404</v>
      </c>
      <c r="E354" s="213" t="s">
        <v>533</v>
      </c>
      <c r="F354" s="213" t="s">
        <v>534</v>
      </c>
      <c r="G354" s="213" t="s">
        <v>367</v>
      </c>
      <c r="H354" s="213" t="s">
        <v>552</v>
      </c>
      <c r="I354" s="213"/>
      <c r="J354" s="213" t="s">
        <v>551</v>
      </c>
      <c r="K354" s="213" t="s">
        <v>547</v>
      </c>
      <c r="L354" s="213" t="s">
        <v>382</v>
      </c>
      <c r="M354" s="213" t="s">
        <v>563</v>
      </c>
      <c r="N354" s="213"/>
      <c r="O354" s="213"/>
      <c r="P354" s="213"/>
      <c r="Q354" s="213"/>
      <c r="R354" s="213"/>
      <c r="S354" s="213" t="s">
        <v>589</v>
      </c>
      <c r="T354" s="213" t="s">
        <v>632</v>
      </c>
      <c r="U354" s="213" t="s">
        <v>538</v>
      </c>
      <c r="V354" s="213">
        <v>2</v>
      </c>
      <c r="W354" s="213" t="s">
        <v>545</v>
      </c>
      <c r="X354" s="213" t="s">
        <v>549</v>
      </c>
      <c r="Y354" s="213" t="s">
        <v>549</v>
      </c>
      <c r="Z354" s="212">
        <v>481121</v>
      </c>
      <c r="AA354" s="212">
        <v>31735951</v>
      </c>
      <c r="AB354" s="217">
        <v>0.42605599999999999</v>
      </c>
      <c r="AC354" s="217">
        <v>0.68567199999999995</v>
      </c>
      <c r="AD354" s="212">
        <f t="shared" si="5"/>
        <v>13521292.339256</v>
      </c>
    </row>
    <row r="355" spans="2:30" x14ac:dyDescent="0.15">
      <c r="B355" s="213">
        <v>17043003530</v>
      </c>
      <c r="C355" s="213">
        <v>17043004770</v>
      </c>
      <c r="D355" s="213">
        <v>17043007347</v>
      </c>
      <c r="E355" s="213" t="s">
        <v>533</v>
      </c>
      <c r="F355" s="213" t="s">
        <v>534</v>
      </c>
      <c r="G355" s="213" t="s">
        <v>367</v>
      </c>
      <c r="H355" s="213" t="s">
        <v>552</v>
      </c>
      <c r="I355" s="213"/>
      <c r="J355" s="213"/>
      <c r="K355" s="213"/>
      <c r="L355" s="213"/>
      <c r="M355" s="213"/>
      <c r="N355" s="213"/>
      <c r="O355" s="213"/>
      <c r="P355" s="213"/>
      <c r="Q355" s="213"/>
      <c r="R355" s="213"/>
      <c r="S355" s="213"/>
      <c r="T355" s="213"/>
      <c r="U355" s="213" t="s">
        <v>559</v>
      </c>
      <c r="V355" s="213">
        <v>1</v>
      </c>
      <c r="W355" s="213" t="s">
        <v>560</v>
      </c>
      <c r="X355" s="213" t="s">
        <v>541</v>
      </c>
      <c r="Y355" s="213" t="s">
        <v>541</v>
      </c>
      <c r="Z355" s="212">
        <v>0</v>
      </c>
      <c r="AA355" s="212">
        <v>0</v>
      </c>
      <c r="AB355" s="217">
        <v>0.21829000000000001</v>
      </c>
      <c r="AC355" s="217">
        <v>0.35130400000000001</v>
      </c>
      <c r="AD355" s="212">
        <f t="shared" si="5"/>
        <v>0</v>
      </c>
    </row>
    <row r="356" spans="2:30" x14ac:dyDescent="0.15">
      <c r="B356" s="213">
        <v>17043003531</v>
      </c>
      <c r="C356" s="213">
        <v>17999020085</v>
      </c>
      <c r="D356" s="213">
        <v>17043000363</v>
      </c>
      <c r="E356" s="213" t="s">
        <v>533</v>
      </c>
      <c r="F356" s="213" t="s">
        <v>534</v>
      </c>
      <c r="G356" s="213" t="s">
        <v>367</v>
      </c>
      <c r="H356" s="213" t="s">
        <v>382</v>
      </c>
      <c r="I356" s="213"/>
      <c r="J356" s="213"/>
      <c r="K356" s="213"/>
      <c r="L356" s="213"/>
      <c r="M356" s="213"/>
      <c r="N356" s="213"/>
      <c r="O356" s="213"/>
      <c r="P356" s="213"/>
      <c r="Q356" s="213"/>
      <c r="R356" s="213"/>
      <c r="S356" s="213" t="s">
        <v>586</v>
      </c>
      <c r="T356" s="213"/>
      <c r="U356" s="213" t="s">
        <v>538</v>
      </c>
      <c r="V356" s="213">
        <v>2</v>
      </c>
      <c r="W356" s="213" t="s">
        <v>582</v>
      </c>
      <c r="X356" s="213" t="s">
        <v>549</v>
      </c>
      <c r="Y356" s="213" t="s">
        <v>549</v>
      </c>
      <c r="Z356" s="212">
        <v>86234</v>
      </c>
      <c r="AA356" s="212">
        <v>9510170</v>
      </c>
      <c r="AB356" s="217">
        <v>2.5207700000000002</v>
      </c>
      <c r="AC356" s="217">
        <v>4.056794</v>
      </c>
      <c r="AD356" s="212">
        <f t="shared" si="5"/>
        <v>23972951.230900001</v>
      </c>
    </row>
    <row r="357" spans="2:30" x14ac:dyDescent="0.15">
      <c r="B357" s="213">
        <v>17043003893</v>
      </c>
      <c r="C357" s="213">
        <v>17043000363</v>
      </c>
      <c r="D357" s="213">
        <v>17043004773</v>
      </c>
      <c r="E357" s="213" t="s">
        <v>533</v>
      </c>
      <c r="F357" s="213" t="s">
        <v>534</v>
      </c>
      <c r="G357" s="213" t="s">
        <v>367</v>
      </c>
      <c r="H357" s="213" t="s">
        <v>382</v>
      </c>
      <c r="I357" s="213"/>
      <c r="J357" s="213" t="s">
        <v>552</v>
      </c>
      <c r="K357" s="213"/>
      <c r="L357" s="213"/>
      <c r="M357" s="213"/>
      <c r="N357" s="213"/>
      <c r="O357" s="213"/>
      <c r="P357" s="213"/>
      <c r="Q357" s="213"/>
      <c r="R357" s="213"/>
      <c r="S357" s="213" t="s">
        <v>586</v>
      </c>
      <c r="T357" s="213"/>
      <c r="U357" s="213" t="s">
        <v>538</v>
      </c>
      <c r="V357" s="213">
        <v>2</v>
      </c>
      <c r="W357" s="213" t="s">
        <v>582</v>
      </c>
      <c r="X357" s="213" t="s">
        <v>549</v>
      </c>
      <c r="Y357" s="213" t="s">
        <v>580</v>
      </c>
      <c r="Z357" s="212">
        <v>534692</v>
      </c>
      <c r="AA357" s="212">
        <v>38186685</v>
      </c>
      <c r="AB357" s="217">
        <v>0.145005</v>
      </c>
      <c r="AC357" s="217">
        <v>0.23336299999999999</v>
      </c>
      <c r="AD357" s="212">
        <f t="shared" si="5"/>
        <v>5537260.2584250001</v>
      </c>
    </row>
    <row r="358" spans="2:30" x14ac:dyDescent="0.15">
      <c r="B358" s="213">
        <v>17043003968</v>
      </c>
      <c r="C358" s="213">
        <v>17043000928</v>
      </c>
      <c r="D358" s="213">
        <v>17043000924</v>
      </c>
      <c r="E358" s="213" t="s">
        <v>533</v>
      </c>
      <c r="F358" s="213" t="s">
        <v>534</v>
      </c>
      <c r="G358" s="213" t="s">
        <v>367</v>
      </c>
      <c r="H358" s="213" t="s">
        <v>381</v>
      </c>
      <c r="I358" s="213"/>
      <c r="J358" s="213" t="s">
        <v>542</v>
      </c>
      <c r="K358" s="213" t="s">
        <v>547</v>
      </c>
      <c r="L358" s="213" t="s">
        <v>382</v>
      </c>
      <c r="M358" s="213"/>
      <c r="N358" s="213"/>
      <c r="O358" s="213"/>
      <c r="P358" s="213"/>
      <c r="Q358" s="213"/>
      <c r="R358" s="213"/>
      <c r="S358" s="213" t="s">
        <v>579</v>
      </c>
      <c r="T358" s="213"/>
      <c r="U358" s="213" t="s">
        <v>538</v>
      </c>
      <c r="V358" s="213">
        <v>3</v>
      </c>
      <c r="W358" s="213" t="s">
        <v>545</v>
      </c>
      <c r="X358" s="213" t="s">
        <v>549</v>
      </c>
      <c r="Y358" s="213" t="s">
        <v>580</v>
      </c>
      <c r="Z358" s="212">
        <v>1207047</v>
      </c>
      <c r="AA358" s="212">
        <v>52673927</v>
      </c>
      <c r="AB358" s="217">
        <v>0.68145999999999995</v>
      </c>
      <c r="AC358" s="217">
        <v>1.096705</v>
      </c>
      <c r="AD358" s="212">
        <f t="shared" si="5"/>
        <v>35895174.293419994</v>
      </c>
    </row>
    <row r="359" spans="2:30" x14ac:dyDescent="0.15">
      <c r="B359" s="213">
        <v>17043003969</v>
      </c>
      <c r="C359" s="213">
        <v>17999021568</v>
      </c>
      <c r="D359" s="213">
        <v>17043000935</v>
      </c>
      <c r="E359" s="213" t="s">
        <v>533</v>
      </c>
      <c r="F359" s="213" t="s">
        <v>534</v>
      </c>
      <c r="G359" s="213" t="s">
        <v>367</v>
      </c>
      <c r="H359" s="213" t="s">
        <v>381</v>
      </c>
      <c r="I359" s="213"/>
      <c r="J359" s="213" t="s">
        <v>542</v>
      </c>
      <c r="K359" s="213" t="s">
        <v>578</v>
      </c>
      <c r="L359" s="213" t="s">
        <v>547</v>
      </c>
      <c r="M359" s="213" t="s">
        <v>382</v>
      </c>
      <c r="N359" s="213"/>
      <c r="O359" s="213"/>
      <c r="P359" s="213"/>
      <c r="Q359" s="213"/>
      <c r="R359" s="213"/>
      <c r="S359" s="213" t="s">
        <v>579</v>
      </c>
      <c r="T359" s="213" t="s">
        <v>694</v>
      </c>
      <c r="U359" s="213" t="s">
        <v>538</v>
      </c>
      <c r="V359" s="213">
        <v>3</v>
      </c>
      <c r="W359" s="213" t="s">
        <v>545</v>
      </c>
      <c r="X359" s="213" t="s">
        <v>540</v>
      </c>
      <c r="Y359" s="213" t="s">
        <v>575</v>
      </c>
      <c r="Z359" s="212">
        <v>1289946</v>
      </c>
      <c r="AA359" s="212">
        <v>62180706</v>
      </c>
      <c r="AB359" s="217">
        <v>0.93681000000000003</v>
      </c>
      <c r="AC359" s="217">
        <v>1.5076529999999999</v>
      </c>
      <c r="AD359" s="212">
        <f t="shared" si="5"/>
        <v>58251507.187860005</v>
      </c>
    </row>
    <row r="360" spans="2:30" x14ac:dyDescent="0.15">
      <c r="B360" s="213">
        <v>17043004083</v>
      </c>
      <c r="C360" s="213">
        <v>17043004767</v>
      </c>
      <c r="D360" s="213">
        <v>17043000584</v>
      </c>
      <c r="E360" s="213" t="s">
        <v>533</v>
      </c>
      <c r="F360" s="213" t="s">
        <v>534</v>
      </c>
      <c r="G360" s="213" t="s">
        <v>367</v>
      </c>
      <c r="H360" s="213" t="s">
        <v>535</v>
      </c>
      <c r="I360" s="213"/>
      <c r="J360" s="213"/>
      <c r="K360" s="213"/>
      <c r="L360" s="213"/>
      <c r="M360" s="213"/>
      <c r="N360" s="213"/>
      <c r="O360" s="213"/>
      <c r="P360" s="213"/>
      <c r="Q360" s="213"/>
      <c r="R360" s="213"/>
      <c r="S360" s="213" t="s">
        <v>624</v>
      </c>
      <c r="T360" s="213"/>
      <c r="U360" s="213" t="s">
        <v>538</v>
      </c>
      <c r="V360" s="213">
        <v>1</v>
      </c>
      <c r="W360" s="213" t="s">
        <v>582</v>
      </c>
      <c r="X360" s="213" t="s">
        <v>540</v>
      </c>
      <c r="Y360" s="213" t="s">
        <v>554</v>
      </c>
      <c r="Z360" s="212">
        <v>1960</v>
      </c>
      <c r="AA360" s="212">
        <v>160440</v>
      </c>
      <c r="AB360" s="217">
        <v>2.0170249999999998</v>
      </c>
      <c r="AC360" s="217">
        <v>3.2460930000000001</v>
      </c>
      <c r="AD360" s="212">
        <f t="shared" si="5"/>
        <v>323611.49099999998</v>
      </c>
    </row>
    <row r="361" spans="2:30" x14ac:dyDescent="0.15">
      <c r="B361" s="213">
        <v>17043004084</v>
      </c>
      <c r="C361" s="213">
        <v>17043000511</v>
      </c>
      <c r="D361" s="213">
        <v>17043004767</v>
      </c>
      <c r="E361" s="213" t="s">
        <v>533</v>
      </c>
      <c r="F361" s="213" t="s">
        <v>534</v>
      </c>
      <c r="G361" s="213" t="s">
        <v>367</v>
      </c>
      <c r="H361" s="213" t="s">
        <v>535</v>
      </c>
      <c r="I361" s="213"/>
      <c r="J361" s="213"/>
      <c r="K361" s="213"/>
      <c r="L361" s="213"/>
      <c r="M361" s="213"/>
      <c r="N361" s="213"/>
      <c r="O361" s="213"/>
      <c r="P361" s="213"/>
      <c r="Q361" s="213"/>
      <c r="R361" s="213"/>
      <c r="S361" s="213" t="s">
        <v>624</v>
      </c>
      <c r="T361" s="213"/>
      <c r="U361" s="213" t="s">
        <v>538</v>
      </c>
      <c r="V361" s="213">
        <v>1</v>
      </c>
      <c r="W361" s="213" t="s">
        <v>582</v>
      </c>
      <c r="X361" s="213" t="s">
        <v>540</v>
      </c>
      <c r="Y361" s="213" t="s">
        <v>554</v>
      </c>
      <c r="Z361" s="212">
        <v>1560</v>
      </c>
      <c r="AA361" s="212">
        <v>121120</v>
      </c>
      <c r="AB361" s="217">
        <v>1.158128</v>
      </c>
      <c r="AC361" s="217">
        <v>1.8638300000000001</v>
      </c>
      <c r="AD361" s="212">
        <f t="shared" si="5"/>
        <v>140272.46335999999</v>
      </c>
    </row>
    <row r="362" spans="2:30" x14ac:dyDescent="0.15">
      <c r="B362" s="213">
        <v>17043005745</v>
      </c>
      <c r="C362" s="213">
        <v>17043004782</v>
      </c>
      <c r="D362" s="213">
        <v>17043000593</v>
      </c>
      <c r="E362" s="213" t="s">
        <v>533</v>
      </c>
      <c r="F362" s="213" t="s">
        <v>534</v>
      </c>
      <c r="G362" s="213" t="s">
        <v>367</v>
      </c>
      <c r="H362" s="213" t="s">
        <v>382</v>
      </c>
      <c r="I362" s="213"/>
      <c r="J362" s="213"/>
      <c r="K362" s="213"/>
      <c r="L362" s="213"/>
      <c r="M362" s="213"/>
      <c r="N362" s="213"/>
      <c r="O362" s="213"/>
      <c r="P362" s="213"/>
      <c r="Q362" s="213"/>
      <c r="R362" s="213"/>
      <c r="S362" s="213" t="s">
        <v>635</v>
      </c>
      <c r="T362" s="213" t="s">
        <v>587</v>
      </c>
      <c r="U362" s="213" t="s">
        <v>559</v>
      </c>
      <c r="V362" s="213">
        <v>1</v>
      </c>
      <c r="W362" s="213" t="s">
        <v>560</v>
      </c>
      <c r="X362" s="213" t="s">
        <v>541</v>
      </c>
      <c r="Y362" s="213" t="s">
        <v>541</v>
      </c>
      <c r="Z362" s="212">
        <v>0</v>
      </c>
      <c r="AA362" s="212">
        <v>0</v>
      </c>
      <c r="AB362" s="217">
        <v>2.7451E-2</v>
      </c>
      <c r="AC362" s="217">
        <v>4.4178000000000002E-2</v>
      </c>
      <c r="AD362" s="212">
        <f t="shared" si="5"/>
        <v>0</v>
      </c>
    </row>
    <row r="363" spans="2:30" x14ac:dyDescent="0.15">
      <c r="B363" s="213">
        <v>17043005906</v>
      </c>
      <c r="C363" s="213">
        <v>17043004891</v>
      </c>
      <c r="D363" s="213">
        <v>17043000939</v>
      </c>
      <c r="E363" s="213" t="s">
        <v>533</v>
      </c>
      <c r="F363" s="213" t="s">
        <v>534</v>
      </c>
      <c r="G363" s="213" t="s">
        <v>367</v>
      </c>
      <c r="H363" s="213" t="s">
        <v>381</v>
      </c>
      <c r="I363" s="213"/>
      <c r="J363" s="213" t="s">
        <v>535</v>
      </c>
      <c r="K363" s="213" t="s">
        <v>536</v>
      </c>
      <c r="L363" s="213" t="s">
        <v>382</v>
      </c>
      <c r="M363" s="213"/>
      <c r="N363" s="213"/>
      <c r="O363" s="213"/>
      <c r="P363" s="213"/>
      <c r="Q363" s="213"/>
      <c r="R363" s="213"/>
      <c r="S363" s="213"/>
      <c r="T363" s="213" t="s">
        <v>694</v>
      </c>
      <c r="U363" s="213" t="s">
        <v>538</v>
      </c>
      <c r="V363" s="213">
        <v>1</v>
      </c>
      <c r="W363" s="213" t="s">
        <v>560</v>
      </c>
      <c r="X363" s="213" t="s">
        <v>541</v>
      </c>
      <c r="Y363" s="213" t="s">
        <v>541</v>
      </c>
      <c r="Z363" s="212">
        <v>0</v>
      </c>
      <c r="AA363" s="212">
        <v>0</v>
      </c>
      <c r="AB363" s="217">
        <v>0.107955</v>
      </c>
      <c r="AC363" s="217">
        <v>0.173737</v>
      </c>
      <c r="AD363" s="212">
        <f t="shared" si="5"/>
        <v>0</v>
      </c>
    </row>
    <row r="364" spans="2:30" x14ac:dyDescent="0.15">
      <c r="B364" s="213">
        <v>17043005913</v>
      </c>
      <c r="C364" s="213">
        <v>17043000390</v>
      </c>
      <c r="D364" s="213">
        <v>17043000396</v>
      </c>
      <c r="E364" s="213" t="s">
        <v>533</v>
      </c>
      <c r="F364" s="213" t="s">
        <v>534</v>
      </c>
      <c r="G364" s="213" t="s">
        <v>367</v>
      </c>
      <c r="H364" s="213" t="s">
        <v>638</v>
      </c>
      <c r="I364" s="213"/>
      <c r="J364" s="213"/>
      <c r="K364" s="213"/>
      <c r="L364" s="213"/>
      <c r="M364" s="213"/>
      <c r="N364" s="213"/>
      <c r="O364" s="213"/>
      <c r="P364" s="213"/>
      <c r="Q364" s="213"/>
      <c r="R364" s="213"/>
      <c r="S364" s="213"/>
      <c r="T364" s="213"/>
      <c r="U364" s="213" t="s">
        <v>559</v>
      </c>
      <c r="V364" s="213">
        <v>1</v>
      </c>
      <c r="W364" s="213" t="s">
        <v>560</v>
      </c>
      <c r="X364" s="213" t="s">
        <v>541</v>
      </c>
      <c r="Y364" s="213" t="s">
        <v>541</v>
      </c>
      <c r="Z364" s="212">
        <v>0</v>
      </c>
      <c r="AA364" s="212">
        <v>0</v>
      </c>
      <c r="AB364" s="217">
        <v>0.18471899999999999</v>
      </c>
      <c r="AC364" s="217">
        <v>0.29727799999999999</v>
      </c>
      <c r="AD364" s="212">
        <f t="shared" si="5"/>
        <v>0</v>
      </c>
    </row>
    <row r="365" spans="2:30" x14ac:dyDescent="0.15">
      <c r="B365" s="213">
        <v>17043006055</v>
      </c>
      <c r="C365" s="213">
        <v>17999099090</v>
      </c>
      <c r="D365" s="213">
        <v>17043000522</v>
      </c>
      <c r="E365" s="213" t="s">
        <v>533</v>
      </c>
      <c r="F365" s="213" t="s">
        <v>534</v>
      </c>
      <c r="G365" s="213" t="s">
        <v>367</v>
      </c>
      <c r="H365" s="213" t="s">
        <v>382</v>
      </c>
      <c r="I365" s="213"/>
      <c r="J365" s="213"/>
      <c r="K365" s="213"/>
      <c r="L365" s="213"/>
      <c r="M365" s="213"/>
      <c r="N365" s="213"/>
      <c r="O365" s="213"/>
      <c r="P365" s="213"/>
      <c r="Q365" s="213"/>
      <c r="R365" s="213"/>
      <c r="S365" s="213"/>
      <c r="T365" s="213" t="s">
        <v>626</v>
      </c>
      <c r="U365" s="213" t="s">
        <v>559</v>
      </c>
      <c r="V365" s="213">
        <v>1</v>
      </c>
      <c r="W365" s="213" t="s">
        <v>562</v>
      </c>
      <c r="X365" s="213" t="s">
        <v>541</v>
      </c>
      <c r="Y365" s="213" t="s">
        <v>541</v>
      </c>
      <c r="Z365" s="212">
        <v>341840</v>
      </c>
      <c r="AA365" s="212">
        <v>4933480</v>
      </c>
      <c r="AB365" s="217">
        <v>0.233903</v>
      </c>
      <c r="AC365" s="217">
        <v>0.37643100000000002</v>
      </c>
      <c r="AD365" s="212">
        <f t="shared" si="5"/>
        <v>1153955.77244</v>
      </c>
    </row>
    <row r="366" spans="2:30" x14ac:dyDescent="0.15">
      <c r="B366" s="213">
        <v>17043006231</v>
      </c>
      <c r="C366" s="213">
        <v>17043004881</v>
      </c>
      <c r="D366" s="213">
        <v>17043001186</v>
      </c>
      <c r="E366" s="213" t="s">
        <v>533</v>
      </c>
      <c r="F366" s="213" t="s">
        <v>534</v>
      </c>
      <c r="G366" s="213" t="s">
        <v>367</v>
      </c>
      <c r="H366" s="213" t="s">
        <v>381</v>
      </c>
      <c r="I366" s="213"/>
      <c r="J366" s="213"/>
      <c r="K366" s="213"/>
      <c r="L366" s="213"/>
      <c r="M366" s="213"/>
      <c r="N366" s="213"/>
      <c r="O366" s="213"/>
      <c r="P366" s="213"/>
      <c r="Q366" s="213"/>
      <c r="R366" s="213"/>
      <c r="S366" s="213"/>
      <c r="T366" s="213"/>
      <c r="U366" s="213" t="s">
        <v>559</v>
      </c>
      <c r="V366" s="213">
        <v>1</v>
      </c>
      <c r="W366" s="213" t="s">
        <v>560</v>
      </c>
      <c r="X366" s="213" t="s">
        <v>541</v>
      </c>
      <c r="Y366" s="213" t="s">
        <v>541</v>
      </c>
      <c r="Z366" s="212">
        <v>0</v>
      </c>
      <c r="AA366" s="212">
        <v>0</v>
      </c>
      <c r="AB366" s="217">
        <v>3.3726790000000002</v>
      </c>
      <c r="AC366" s="217">
        <v>5.4278120000000003</v>
      </c>
      <c r="AD366" s="212">
        <f t="shared" si="5"/>
        <v>0</v>
      </c>
    </row>
    <row r="367" spans="2:30" x14ac:dyDescent="0.15">
      <c r="B367" s="213">
        <v>17043006531</v>
      </c>
      <c r="C367" s="213">
        <v>17043004770</v>
      </c>
      <c r="D367" s="213">
        <v>17043000385</v>
      </c>
      <c r="E367" s="213" t="s">
        <v>533</v>
      </c>
      <c r="F367" s="213" t="s">
        <v>534</v>
      </c>
      <c r="G367" s="213" t="s">
        <v>367</v>
      </c>
      <c r="H367" s="213" t="s">
        <v>552</v>
      </c>
      <c r="I367" s="213"/>
      <c r="J367" s="213"/>
      <c r="K367" s="213"/>
      <c r="L367" s="213"/>
      <c r="M367" s="213"/>
      <c r="N367" s="213"/>
      <c r="O367" s="213"/>
      <c r="P367" s="213"/>
      <c r="Q367" s="213"/>
      <c r="R367" s="213"/>
      <c r="S367" s="213"/>
      <c r="T367" s="213"/>
      <c r="U367" s="213" t="s">
        <v>559</v>
      </c>
      <c r="V367" s="213">
        <v>1</v>
      </c>
      <c r="W367" s="213" t="s">
        <v>560</v>
      </c>
      <c r="X367" s="213" t="s">
        <v>541</v>
      </c>
      <c r="Y367" s="213" t="s">
        <v>541</v>
      </c>
      <c r="Z367" s="212">
        <v>0</v>
      </c>
      <c r="AA367" s="212">
        <v>0</v>
      </c>
      <c r="AB367" s="217">
        <v>9.1924000000000006E-2</v>
      </c>
      <c r="AC367" s="217">
        <v>0.14793700000000001</v>
      </c>
      <c r="AD367" s="212">
        <f t="shared" si="5"/>
        <v>0</v>
      </c>
    </row>
    <row r="368" spans="2:30" x14ac:dyDescent="0.15">
      <c r="B368" s="213">
        <v>17043008193</v>
      </c>
      <c r="C368" s="213">
        <v>17043004781</v>
      </c>
      <c r="D368" s="213">
        <v>17043006561</v>
      </c>
      <c r="E368" s="213" t="s">
        <v>533</v>
      </c>
      <c r="F368" s="213" t="s">
        <v>534</v>
      </c>
      <c r="G368" s="213" t="s">
        <v>367</v>
      </c>
      <c r="H368" s="213" t="s">
        <v>382</v>
      </c>
      <c r="I368" s="213"/>
      <c r="J368" s="213"/>
      <c r="K368" s="213"/>
      <c r="L368" s="213"/>
      <c r="M368" s="213"/>
      <c r="N368" s="213"/>
      <c r="O368" s="213"/>
      <c r="P368" s="213"/>
      <c r="Q368" s="213"/>
      <c r="R368" s="213"/>
      <c r="S368" s="213"/>
      <c r="T368" s="213"/>
      <c r="U368" s="213" t="s">
        <v>559</v>
      </c>
      <c r="V368" s="213">
        <v>1</v>
      </c>
      <c r="W368" s="213" t="s">
        <v>560</v>
      </c>
      <c r="X368" s="213" t="s">
        <v>541</v>
      </c>
      <c r="Y368" s="213" t="s">
        <v>541</v>
      </c>
      <c r="Z368" s="212">
        <v>0</v>
      </c>
      <c r="AA368" s="212">
        <v>0</v>
      </c>
      <c r="AB368" s="217">
        <v>8.5347000000000006E-2</v>
      </c>
      <c r="AC368" s="217">
        <v>0.137353</v>
      </c>
      <c r="AD368" s="212">
        <f t="shared" si="5"/>
        <v>0</v>
      </c>
    </row>
    <row r="369" spans="2:30" x14ac:dyDescent="0.15">
      <c r="B369" s="213">
        <v>17043008199</v>
      </c>
      <c r="C369" s="213">
        <v>17043000589</v>
      </c>
      <c r="D369" s="213">
        <v>17043006566</v>
      </c>
      <c r="E369" s="213" t="s">
        <v>533</v>
      </c>
      <c r="F369" s="213" t="s">
        <v>534</v>
      </c>
      <c r="G369" s="213" t="s">
        <v>367</v>
      </c>
      <c r="H369" s="213" t="s">
        <v>382</v>
      </c>
      <c r="I369" s="213"/>
      <c r="J369" s="213"/>
      <c r="K369" s="213"/>
      <c r="L369" s="213"/>
      <c r="M369" s="213"/>
      <c r="N369" s="213"/>
      <c r="O369" s="213"/>
      <c r="P369" s="213"/>
      <c r="Q369" s="213"/>
      <c r="R369" s="213"/>
      <c r="S369" s="213" t="s">
        <v>635</v>
      </c>
      <c r="T369" s="213" t="s">
        <v>587</v>
      </c>
      <c r="U369" s="213" t="s">
        <v>559</v>
      </c>
      <c r="V369" s="213">
        <v>1</v>
      </c>
      <c r="W369" s="213" t="s">
        <v>560</v>
      </c>
      <c r="X369" s="213" t="s">
        <v>541</v>
      </c>
      <c r="Y369" s="213" t="s">
        <v>541</v>
      </c>
      <c r="Z369" s="212">
        <v>0</v>
      </c>
      <c r="AA369" s="212">
        <v>0</v>
      </c>
      <c r="AB369" s="217">
        <v>4.6785E-2</v>
      </c>
      <c r="AC369" s="217">
        <v>7.5294E-2</v>
      </c>
      <c r="AD369" s="212">
        <f t="shared" si="5"/>
        <v>0</v>
      </c>
    </row>
    <row r="370" spans="2:30" x14ac:dyDescent="0.15">
      <c r="B370" s="213">
        <v>17043009085</v>
      </c>
      <c r="C370" s="213">
        <v>17043007293</v>
      </c>
      <c r="D370" s="213">
        <v>17043007296</v>
      </c>
      <c r="E370" s="213" t="s">
        <v>533</v>
      </c>
      <c r="F370" s="213" t="s">
        <v>534</v>
      </c>
      <c r="G370" s="213" t="s">
        <v>367</v>
      </c>
      <c r="H370" s="213" t="s">
        <v>382</v>
      </c>
      <c r="I370" s="213"/>
      <c r="J370" s="213"/>
      <c r="K370" s="213"/>
      <c r="L370" s="213"/>
      <c r="M370" s="213"/>
      <c r="N370" s="213"/>
      <c r="O370" s="213"/>
      <c r="P370" s="213"/>
      <c r="Q370" s="213"/>
      <c r="R370" s="213"/>
      <c r="S370" s="213"/>
      <c r="T370" s="213"/>
      <c r="U370" s="213" t="s">
        <v>559</v>
      </c>
      <c r="V370" s="213">
        <v>1</v>
      </c>
      <c r="W370" s="213" t="s">
        <v>560</v>
      </c>
      <c r="X370" s="213" t="s">
        <v>541</v>
      </c>
      <c r="Y370" s="213" t="s">
        <v>541</v>
      </c>
      <c r="Z370" s="212">
        <v>0</v>
      </c>
      <c r="AA370" s="212">
        <v>0</v>
      </c>
      <c r="AB370" s="217">
        <v>5.4470999999999999E-2</v>
      </c>
      <c r="AC370" s="217">
        <v>8.7662000000000004E-2</v>
      </c>
      <c r="AD370" s="212">
        <f t="shared" si="5"/>
        <v>0</v>
      </c>
    </row>
    <row r="371" spans="2:30" x14ac:dyDescent="0.15">
      <c r="B371" s="213">
        <v>17043009116</v>
      </c>
      <c r="C371" s="213">
        <v>17043000431</v>
      </c>
      <c r="D371" s="213">
        <v>17043007323</v>
      </c>
      <c r="E371" s="213" t="s">
        <v>533</v>
      </c>
      <c r="F371" s="213" t="s">
        <v>534</v>
      </c>
      <c r="G371" s="213" t="s">
        <v>367</v>
      </c>
      <c r="H371" s="213" t="s">
        <v>535</v>
      </c>
      <c r="I371" s="213"/>
      <c r="J371" s="213"/>
      <c r="K371" s="213"/>
      <c r="L371" s="213"/>
      <c r="M371" s="213"/>
      <c r="N371" s="213"/>
      <c r="O371" s="213"/>
      <c r="P371" s="213"/>
      <c r="Q371" s="213"/>
      <c r="R371" s="213"/>
      <c r="S371" s="213"/>
      <c r="T371" s="213"/>
      <c r="U371" s="213" t="s">
        <v>559</v>
      </c>
      <c r="V371" s="213">
        <v>1</v>
      </c>
      <c r="W371" s="213" t="s">
        <v>560</v>
      </c>
      <c r="X371" s="213" t="s">
        <v>541</v>
      </c>
      <c r="Y371" s="213" t="s">
        <v>541</v>
      </c>
      <c r="Z371" s="212">
        <v>0</v>
      </c>
      <c r="AA371" s="212">
        <v>0</v>
      </c>
      <c r="AB371" s="217">
        <v>0.60864300000000005</v>
      </c>
      <c r="AC371" s="217">
        <v>0.979518</v>
      </c>
      <c r="AD371" s="212">
        <f t="shared" si="5"/>
        <v>0</v>
      </c>
    </row>
    <row r="372" spans="2:30" x14ac:dyDescent="0.15">
      <c r="B372" s="213">
        <v>17043009126</v>
      </c>
      <c r="C372" s="213">
        <v>17043000487</v>
      </c>
      <c r="D372" s="213">
        <v>17043007333</v>
      </c>
      <c r="E372" s="213" t="s">
        <v>533</v>
      </c>
      <c r="F372" s="213" t="s">
        <v>534</v>
      </c>
      <c r="G372" s="213" t="s">
        <v>367</v>
      </c>
      <c r="H372" s="213" t="s">
        <v>535</v>
      </c>
      <c r="I372" s="213"/>
      <c r="J372" s="213"/>
      <c r="K372" s="213"/>
      <c r="L372" s="213"/>
      <c r="M372" s="213"/>
      <c r="N372" s="213"/>
      <c r="O372" s="213"/>
      <c r="P372" s="213"/>
      <c r="Q372" s="213"/>
      <c r="R372" s="213"/>
      <c r="S372" s="213"/>
      <c r="T372" s="213"/>
      <c r="U372" s="213" t="s">
        <v>559</v>
      </c>
      <c r="V372" s="213">
        <v>1</v>
      </c>
      <c r="W372" s="213" t="s">
        <v>560</v>
      </c>
      <c r="X372" s="213" t="s">
        <v>541</v>
      </c>
      <c r="Y372" s="213" t="s">
        <v>541</v>
      </c>
      <c r="Z372" s="212">
        <v>0</v>
      </c>
      <c r="AA372" s="212">
        <v>0</v>
      </c>
      <c r="AB372" s="217">
        <v>0.52532299999999998</v>
      </c>
      <c r="AC372" s="217">
        <v>0.84542600000000001</v>
      </c>
      <c r="AD372" s="212">
        <f t="shared" si="5"/>
        <v>0</v>
      </c>
    </row>
    <row r="373" spans="2:30" x14ac:dyDescent="0.15">
      <c r="B373" s="213">
        <v>17043009138</v>
      </c>
      <c r="C373" s="213">
        <v>17043007344</v>
      </c>
      <c r="D373" s="213">
        <v>17043004771</v>
      </c>
      <c r="E373" s="213" t="s">
        <v>533</v>
      </c>
      <c r="F373" s="213" t="s">
        <v>534</v>
      </c>
      <c r="G373" s="213" t="s">
        <v>367</v>
      </c>
      <c r="H373" s="213" t="s">
        <v>552</v>
      </c>
      <c r="I373" s="213"/>
      <c r="J373" s="213"/>
      <c r="K373" s="213"/>
      <c r="L373" s="213"/>
      <c r="M373" s="213"/>
      <c r="N373" s="213"/>
      <c r="O373" s="213"/>
      <c r="P373" s="213"/>
      <c r="Q373" s="213"/>
      <c r="R373" s="213"/>
      <c r="S373" s="213"/>
      <c r="T373" s="213"/>
      <c r="U373" s="213" t="s">
        <v>559</v>
      </c>
      <c r="V373" s="213">
        <v>1</v>
      </c>
      <c r="W373" s="213" t="s">
        <v>560</v>
      </c>
      <c r="X373" s="213" t="s">
        <v>541</v>
      </c>
      <c r="Y373" s="213" t="s">
        <v>541</v>
      </c>
      <c r="Z373" s="212">
        <v>0</v>
      </c>
      <c r="AA373" s="212">
        <v>0</v>
      </c>
      <c r="AB373" s="217">
        <v>6.4363000000000004E-2</v>
      </c>
      <c r="AC373" s="217">
        <v>0.10358199999999999</v>
      </c>
      <c r="AD373" s="212">
        <f t="shared" si="5"/>
        <v>0</v>
      </c>
    </row>
    <row r="374" spans="2:30" x14ac:dyDescent="0.15">
      <c r="B374" s="213">
        <v>17043009145</v>
      </c>
      <c r="C374" s="213">
        <v>17043007349</v>
      </c>
      <c r="D374" s="213">
        <v>17043007351</v>
      </c>
      <c r="E374" s="213" t="s">
        <v>533</v>
      </c>
      <c r="F374" s="213" t="s">
        <v>534</v>
      </c>
      <c r="G374" s="213" t="s">
        <v>367</v>
      </c>
      <c r="H374" s="213" t="s">
        <v>552</v>
      </c>
      <c r="I374" s="213"/>
      <c r="J374" s="213" t="s">
        <v>547</v>
      </c>
      <c r="K374" s="213"/>
      <c r="L374" s="213"/>
      <c r="M374" s="213"/>
      <c r="N374" s="213"/>
      <c r="O374" s="213"/>
      <c r="P374" s="213"/>
      <c r="Q374" s="213"/>
      <c r="R374" s="213"/>
      <c r="S374" s="213" t="s">
        <v>589</v>
      </c>
      <c r="T374" s="213"/>
      <c r="U374" s="213" t="s">
        <v>538</v>
      </c>
      <c r="V374" s="213">
        <v>2</v>
      </c>
      <c r="W374" s="213" t="s">
        <v>545</v>
      </c>
      <c r="X374" s="213" t="s">
        <v>549</v>
      </c>
      <c r="Y374" s="213" t="s">
        <v>540</v>
      </c>
      <c r="Z374" s="212">
        <v>38578</v>
      </c>
      <c r="AA374" s="212">
        <v>3630264</v>
      </c>
      <c r="AB374" s="217">
        <v>0.53495400000000004</v>
      </c>
      <c r="AC374" s="217">
        <v>0.86092599999999997</v>
      </c>
      <c r="AD374" s="212">
        <f t="shared" si="5"/>
        <v>1942024.2478560002</v>
      </c>
    </row>
    <row r="375" spans="2:30" x14ac:dyDescent="0.15">
      <c r="B375" s="213">
        <v>17043009156</v>
      </c>
      <c r="C375" s="213">
        <v>17043007362</v>
      </c>
      <c r="D375" s="213">
        <v>17043007360</v>
      </c>
      <c r="E375" s="213" t="s">
        <v>533</v>
      </c>
      <c r="F375" s="213" t="s">
        <v>534</v>
      </c>
      <c r="G375" s="213" t="s">
        <v>367</v>
      </c>
      <c r="H375" s="213" t="s">
        <v>382</v>
      </c>
      <c r="I375" s="213"/>
      <c r="J375" s="213"/>
      <c r="K375" s="213"/>
      <c r="L375" s="213"/>
      <c r="M375" s="213"/>
      <c r="N375" s="213"/>
      <c r="O375" s="213"/>
      <c r="P375" s="213"/>
      <c r="Q375" s="213"/>
      <c r="R375" s="213"/>
      <c r="S375" s="213" t="s">
        <v>561</v>
      </c>
      <c r="T375" s="213"/>
      <c r="U375" s="213" t="s">
        <v>538</v>
      </c>
      <c r="V375" s="213">
        <v>1</v>
      </c>
      <c r="W375" s="213" t="s">
        <v>562</v>
      </c>
      <c r="X375" s="213" t="s">
        <v>540</v>
      </c>
      <c r="Y375" s="213" t="s">
        <v>541</v>
      </c>
      <c r="Z375" s="212">
        <v>12200</v>
      </c>
      <c r="AA375" s="212">
        <v>287800</v>
      </c>
      <c r="AB375" s="217">
        <v>0.20141300000000001</v>
      </c>
      <c r="AC375" s="217">
        <v>0.32414300000000001</v>
      </c>
      <c r="AD375" s="212">
        <f t="shared" si="5"/>
        <v>57966.661400000005</v>
      </c>
    </row>
    <row r="376" spans="2:30" x14ac:dyDescent="0.15">
      <c r="B376" s="213">
        <v>17043009166</v>
      </c>
      <c r="C376" s="213">
        <v>17043004887</v>
      </c>
      <c r="D376" s="213">
        <v>17043007372</v>
      </c>
      <c r="E376" s="213" t="s">
        <v>533</v>
      </c>
      <c r="F376" s="213" t="s">
        <v>534</v>
      </c>
      <c r="G376" s="213" t="s">
        <v>367</v>
      </c>
      <c r="H376" s="213" t="s">
        <v>381</v>
      </c>
      <c r="I376" s="213"/>
      <c r="J376" s="213" t="s">
        <v>542</v>
      </c>
      <c r="K376" s="213" t="s">
        <v>547</v>
      </c>
      <c r="L376" s="213" t="s">
        <v>382</v>
      </c>
      <c r="M376" s="213"/>
      <c r="N376" s="213"/>
      <c r="O376" s="213"/>
      <c r="P376" s="213"/>
      <c r="Q376" s="213"/>
      <c r="R376" s="213"/>
      <c r="S376" s="213" t="s">
        <v>579</v>
      </c>
      <c r="T376" s="213"/>
      <c r="U376" s="213" t="s">
        <v>538</v>
      </c>
      <c r="V376" s="213">
        <v>3</v>
      </c>
      <c r="W376" s="213" t="s">
        <v>545</v>
      </c>
      <c r="X376" s="213" t="s">
        <v>549</v>
      </c>
      <c r="Y376" s="213" t="s">
        <v>580</v>
      </c>
      <c r="Z376" s="212">
        <v>1206767</v>
      </c>
      <c r="AA376" s="212">
        <v>52647247</v>
      </c>
      <c r="AB376" s="217">
        <v>0.32319399999999998</v>
      </c>
      <c r="AC376" s="217">
        <v>0.52013200000000004</v>
      </c>
      <c r="AD376" s="212">
        <f t="shared" si="5"/>
        <v>17015274.346917998</v>
      </c>
    </row>
    <row r="377" spans="2:30" x14ac:dyDescent="0.15">
      <c r="B377" s="213">
        <v>17043009168</v>
      </c>
      <c r="C377" s="213">
        <v>17043007373</v>
      </c>
      <c r="D377" s="213">
        <v>17043000872</v>
      </c>
      <c r="E377" s="213" t="s">
        <v>533</v>
      </c>
      <c r="F377" s="213" t="s">
        <v>534</v>
      </c>
      <c r="G377" s="213" t="s">
        <v>367</v>
      </c>
      <c r="H377" s="213" t="s">
        <v>381</v>
      </c>
      <c r="I377" s="213"/>
      <c r="J377" s="213" t="s">
        <v>542</v>
      </c>
      <c r="K377" s="213" t="s">
        <v>547</v>
      </c>
      <c r="L377" s="213" t="s">
        <v>382</v>
      </c>
      <c r="M377" s="213"/>
      <c r="N377" s="213"/>
      <c r="O377" s="213"/>
      <c r="P377" s="213"/>
      <c r="Q377" s="213"/>
      <c r="R377" s="213"/>
      <c r="S377" s="213" t="s">
        <v>579</v>
      </c>
      <c r="T377" s="213"/>
      <c r="U377" s="213" t="s">
        <v>538</v>
      </c>
      <c r="V377" s="213">
        <v>3</v>
      </c>
      <c r="W377" s="213" t="s">
        <v>545</v>
      </c>
      <c r="X377" s="213" t="s">
        <v>549</v>
      </c>
      <c r="Y377" s="213" t="s">
        <v>580</v>
      </c>
      <c r="Z377" s="212">
        <v>1206767</v>
      </c>
      <c r="AA377" s="212">
        <v>52647247</v>
      </c>
      <c r="AB377" s="217">
        <v>0.34250000000000003</v>
      </c>
      <c r="AC377" s="217">
        <v>0.55120100000000005</v>
      </c>
      <c r="AD377" s="212">
        <f t="shared" si="5"/>
        <v>18031682.0975</v>
      </c>
    </row>
    <row r="378" spans="2:30" x14ac:dyDescent="0.15">
      <c r="B378" s="213">
        <v>17043009169</v>
      </c>
      <c r="C378" s="213">
        <v>17043007313</v>
      </c>
      <c r="D378" s="213">
        <v>17043007379</v>
      </c>
      <c r="E378" s="213" t="s">
        <v>533</v>
      </c>
      <c r="F378" s="213" t="s">
        <v>534</v>
      </c>
      <c r="G378" s="213" t="s">
        <v>367</v>
      </c>
      <c r="H378" s="213" t="s">
        <v>535</v>
      </c>
      <c r="I378" s="213"/>
      <c r="J378" s="213"/>
      <c r="K378" s="213"/>
      <c r="L378" s="213"/>
      <c r="M378" s="213"/>
      <c r="N378" s="213"/>
      <c r="O378" s="213"/>
      <c r="P378" s="213"/>
      <c r="Q378" s="213"/>
      <c r="R378" s="213"/>
      <c r="S378" s="213" t="s">
        <v>624</v>
      </c>
      <c r="T378" s="213"/>
      <c r="U378" s="213" t="s">
        <v>538</v>
      </c>
      <c r="V378" s="213">
        <v>1</v>
      </c>
      <c r="W378" s="213" t="s">
        <v>582</v>
      </c>
      <c r="X378" s="213" t="s">
        <v>540</v>
      </c>
      <c r="Y378" s="213" t="s">
        <v>554</v>
      </c>
      <c r="Z378" s="212">
        <v>400</v>
      </c>
      <c r="AA378" s="212">
        <v>28360</v>
      </c>
      <c r="AB378" s="217">
        <v>0.43659199999999998</v>
      </c>
      <c r="AC378" s="217">
        <v>0.70262899999999995</v>
      </c>
      <c r="AD378" s="212">
        <f t="shared" si="5"/>
        <v>12381.749119999999</v>
      </c>
    </row>
    <row r="379" spans="2:30" x14ac:dyDescent="0.15">
      <c r="B379" s="213">
        <v>17089001808</v>
      </c>
      <c r="C379" s="213">
        <v>17999020464</v>
      </c>
      <c r="D379" s="213">
        <v>17089000477</v>
      </c>
      <c r="E379" s="213" t="s">
        <v>533</v>
      </c>
      <c r="F379" s="213" t="s">
        <v>534</v>
      </c>
      <c r="G379" s="213" t="s">
        <v>369</v>
      </c>
      <c r="H379" s="213" t="s">
        <v>382</v>
      </c>
      <c r="I379" s="213"/>
      <c r="J379" s="213"/>
      <c r="K379" s="213"/>
      <c r="L379" s="213"/>
      <c r="M379" s="213"/>
      <c r="N379" s="213"/>
      <c r="O379" s="213"/>
      <c r="P379" s="213"/>
      <c r="Q379" s="213"/>
      <c r="R379" s="213"/>
      <c r="S379" s="213" t="s">
        <v>635</v>
      </c>
      <c r="T379" s="213"/>
      <c r="U379" s="213" t="s">
        <v>559</v>
      </c>
      <c r="V379" s="213">
        <v>1</v>
      </c>
      <c r="W379" s="213" t="s">
        <v>560</v>
      </c>
      <c r="X379" s="213" t="s">
        <v>541</v>
      </c>
      <c r="Y379" s="213" t="s">
        <v>541</v>
      </c>
      <c r="Z379" s="212">
        <v>80</v>
      </c>
      <c r="AA379" s="212">
        <v>4720</v>
      </c>
      <c r="AB379" s="217">
        <v>2.931073</v>
      </c>
      <c r="AC379" s="217">
        <v>4.7171130000000003</v>
      </c>
      <c r="AD379" s="212">
        <f t="shared" si="5"/>
        <v>13834.664560000001</v>
      </c>
    </row>
    <row r="380" spans="2:30" x14ac:dyDescent="0.15">
      <c r="B380" s="213">
        <v>17089001831</v>
      </c>
      <c r="C380" s="213">
        <v>17089001000</v>
      </c>
      <c r="D380" s="213">
        <v>17089000989</v>
      </c>
      <c r="E380" s="213" t="s">
        <v>533</v>
      </c>
      <c r="F380" s="213" t="s">
        <v>534</v>
      </c>
      <c r="G380" s="213" t="s">
        <v>369</v>
      </c>
      <c r="H380" s="213" t="s">
        <v>381</v>
      </c>
      <c r="I380" s="213"/>
      <c r="J380" s="213"/>
      <c r="K380" s="213"/>
      <c r="L380" s="213"/>
      <c r="M380" s="213"/>
      <c r="N380" s="213"/>
      <c r="O380" s="213"/>
      <c r="P380" s="213"/>
      <c r="Q380" s="213"/>
      <c r="R380" s="213"/>
      <c r="S380" s="213" t="s">
        <v>595</v>
      </c>
      <c r="T380" s="213"/>
      <c r="U380" s="213" t="s">
        <v>538</v>
      </c>
      <c r="V380" s="213">
        <v>1</v>
      </c>
      <c r="W380" s="213" t="s">
        <v>545</v>
      </c>
      <c r="X380" s="213" t="s">
        <v>549</v>
      </c>
      <c r="Y380" s="213" t="s">
        <v>546</v>
      </c>
      <c r="Z380" s="212">
        <v>890011</v>
      </c>
      <c r="AA380" s="212">
        <v>24228461</v>
      </c>
      <c r="AB380" s="217">
        <v>1.485951</v>
      </c>
      <c r="AC380" s="217">
        <v>2.3914119999999999</v>
      </c>
      <c r="AD380" s="212">
        <f t="shared" si="5"/>
        <v>36002305.851411</v>
      </c>
    </row>
    <row r="381" spans="2:30" x14ac:dyDescent="0.15">
      <c r="B381" s="213">
        <v>17089001832</v>
      </c>
      <c r="C381" s="213">
        <v>17089001000</v>
      </c>
      <c r="D381" s="213">
        <v>17089001012</v>
      </c>
      <c r="E381" s="213" t="s">
        <v>533</v>
      </c>
      <c r="F381" s="213" t="s">
        <v>534</v>
      </c>
      <c r="G381" s="213" t="s">
        <v>369</v>
      </c>
      <c r="H381" s="213" t="s">
        <v>381</v>
      </c>
      <c r="I381" s="213"/>
      <c r="J381" s="213"/>
      <c r="K381" s="213"/>
      <c r="L381" s="213"/>
      <c r="M381" s="213"/>
      <c r="N381" s="213"/>
      <c r="O381" s="213"/>
      <c r="P381" s="213"/>
      <c r="Q381" s="213"/>
      <c r="R381" s="213"/>
      <c r="S381" s="213" t="s">
        <v>595</v>
      </c>
      <c r="T381" s="213"/>
      <c r="U381" s="213" t="s">
        <v>538</v>
      </c>
      <c r="V381" s="213">
        <v>1</v>
      </c>
      <c r="W381" s="213" t="s">
        <v>545</v>
      </c>
      <c r="X381" s="213" t="s">
        <v>549</v>
      </c>
      <c r="Y381" s="213" t="s">
        <v>546</v>
      </c>
      <c r="Z381" s="212">
        <v>890011</v>
      </c>
      <c r="AA381" s="212">
        <v>24228461</v>
      </c>
      <c r="AB381" s="217">
        <v>4.6961310000000003</v>
      </c>
      <c r="AC381" s="217">
        <v>7.5577050000000003</v>
      </c>
      <c r="AD381" s="212">
        <f t="shared" si="5"/>
        <v>113780026.784391</v>
      </c>
    </row>
    <row r="382" spans="2:30" x14ac:dyDescent="0.15">
      <c r="B382" s="213">
        <v>17089001999</v>
      </c>
      <c r="C382" s="213">
        <v>17089004858</v>
      </c>
      <c r="D382" s="213">
        <v>17089004857</v>
      </c>
      <c r="E382" s="213" t="s">
        <v>533</v>
      </c>
      <c r="F382" s="213" t="s">
        <v>534</v>
      </c>
      <c r="G382" s="213" t="s">
        <v>369</v>
      </c>
      <c r="H382" s="213" t="s">
        <v>381</v>
      </c>
      <c r="I382" s="213"/>
      <c r="J382" s="213"/>
      <c r="K382" s="213"/>
      <c r="L382" s="213"/>
      <c r="M382" s="213"/>
      <c r="N382" s="213"/>
      <c r="O382" s="213"/>
      <c r="P382" s="213"/>
      <c r="Q382" s="213"/>
      <c r="R382" s="213"/>
      <c r="S382" s="213" t="s">
        <v>585</v>
      </c>
      <c r="T382" s="213"/>
      <c r="U382" s="213" t="s">
        <v>559</v>
      </c>
      <c r="V382" s="213">
        <v>1</v>
      </c>
      <c r="W382" s="213" t="s">
        <v>560</v>
      </c>
      <c r="X382" s="213" t="s">
        <v>541</v>
      </c>
      <c r="Y382" s="213" t="s">
        <v>541</v>
      </c>
      <c r="Z382" s="212">
        <v>160</v>
      </c>
      <c r="AA382" s="212">
        <v>16120</v>
      </c>
      <c r="AB382" s="217">
        <v>0.15489600000000001</v>
      </c>
      <c r="AC382" s="217">
        <v>0.249282</v>
      </c>
      <c r="AD382" s="212">
        <f t="shared" si="5"/>
        <v>2496.9235200000003</v>
      </c>
    </row>
    <row r="383" spans="2:30" x14ac:dyDescent="0.15">
      <c r="B383" s="213">
        <v>17089002026</v>
      </c>
      <c r="C383" s="213">
        <v>17089000262</v>
      </c>
      <c r="D383" s="213">
        <v>17999019031</v>
      </c>
      <c r="E383" s="213" t="s">
        <v>533</v>
      </c>
      <c r="F383" s="213" t="s">
        <v>534</v>
      </c>
      <c r="G383" s="213" t="s">
        <v>369</v>
      </c>
      <c r="H383" s="213" t="s">
        <v>382</v>
      </c>
      <c r="I383" s="213"/>
      <c r="J383" s="213"/>
      <c r="K383" s="213"/>
      <c r="L383" s="213"/>
      <c r="M383" s="213"/>
      <c r="N383" s="213"/>
      <c r="O383" s="213"/>
      <c r="P383" s="213"/>
      <c r="Q383" s="213"/>
      <c r="R383" s="213"/>
      <c r="S383" s="213" t="s">
        <v>561</v>
      </c>
      <c r="T383" s="213"/>
      <c r="U383" s="213" t="s">
        <v>538</v>
      </c>
      <c r="V383" s="213">
        <v>1</v>
      </c>
      <c r="W383" s="213" t="s">
        <v>562</v>
      </c>
      <c r="X383" s="213" t="s">
        <v>540</v>
      </c>
      <c r="Y383" s="213" t="s">
        <v>541</v>
      </c>
      <c r="Z383" s="212">
        <v>12200</v>
      </c>
      <c r="AA383" s="212">
        <v>287800</v>
      </c>
      <c r="AB383" s="217">
        <v>3.4468670000000001</v>
      </c>
      <c r="AC383" s="217">
        <v>5.5472060000000001</v>
      </c>
      <c r="AD383" s="212">
        <f t="shared" si="5"/>
        <v>992008.32260000007</v>
      </c>
    </row>
    <row r="384" spans="2:30" x14ac:dyDescent="0.15">
      <c r="B384" s="213">
        <v>17089002029</v>
      </c>
      <c r="C384" s="213">
        <v>17089000288</v>
      </c>
      <c r="D384" s="213">
        <v>17089000287</v>
      </c>
      <c r="E384" s="213" t="s">
        <v>533</v>
      </c>
      <c r="F384" s="213" t="s">
        <v>534</v>
      </c>
      <c r="G384" s="213" t="s">
        <v>369</v>
      </c>
      <c r="H384" s="213" t="s">
        <v>552</v>
      </c>
      <c r="I384" s="213"/>
      <c r="J384" s="213" t="s">
        <v>547</v>
      </c>
      <c r="K384" s="213"/>
      <c r="L384" s="213"/>
      <c r="M384" s="213"/>
      <c r="N384" s="213"/>
      <c r="O384" s="213"/>
      <c r="P384" s="213"/>
      <c r="Q384" s="213"/>
      <c r="R384" s="213"/>
      <c r="S384" s="213" t="s">
        <v>589</v>
      </c>
      <c r="T384" s="213"/>
      <c r="U384" s="213" t="s">
        <v>538</v>
      </c>
      <c r="V384" s="213">
        <v>2</v>
      </c>
      <c r="W384" s="213" t="s">
        <v>545</v>
      </c>
      <c r="X384" s="213" t="s">
        <v>540</v>
      </c>
      <c r="Y384" s="213" t="s">
        <v>540</v>
      </c>
      <c r="Z384" s="212">
        <v>36089</v>
      </c>
      <c r="AA384" s="212">
        <v>3395595</v>
      </c>
      <c r="AB384" s="217">
        <v>2.058846</v>
      </c>
      <c r="AC384" s="217">
        <v>3.3133970000000001</v>
      </c>
      <c r="AD384" s="212">
        <f t="shared" si="5"/>
        <v>6991007.1833699998</v>
      </c>
    </row>
    <row r="385" spans="2:30" x14ac:dyDescent="0.15">
      <c r="B385" s="213">
        <v>17089002031</v>
      </c>
      <c r="C385" s="213">
        <v>17089000304</v>
      </c>
      <c r="D385" s="213">
        <v>17089004854</v>
      </c>
      <c r="E385" s="213" t="s">
        <v>533</v>
      </c>
      <c r="F385" s="213" t="s">
        <v>534</v>
      </c>
      <c r="G385" s="213" t="s">
        <v>369</v>
      </c>
      <c r="H385" s="213" t="s">
        <v>552</v>
      </c>
      <c r="I385" s="213"/>
      <c r="J385" s="213" t="s">
        <v>547</v>
      </c>
      <c r="K385" s="213"/>
      <c r="L385" s="213"/>
      <c r="M385" s="213"/>
      <c r="N385" s="213"/>
      <c r="O385" s="213"/>
      <c r="P385" s="213"/>
      <c r="Q385" s="213"/>
      <c r="R385" s="213"/>
      <c r="S385" s="213" t="s">
        <v>589</v>
      </c>
      <c r="T385" s="213"/>
      <c r="U385" s="213" t="s">
        <v>538</v>
      </c>
      <c r="V385" s="213">
        <v>2</v>
      </c>
      <c r="W385" s="213" t="s">
        <v>545</v>
      </c>
      <c r="X385" s="213" t="s">
        <v>540</v>
      </c>
      <c r="Y385" s="213" t="s">
        <v>540</v>
      </c>
      <c r="Z385" s="212">
        <v>36089</v>
      </c>
      <c r="AA385" s="212">
        <v>3395595</v>
      </c>
      <c r="AB385" s="217">
        <v>3.110439</v>
      </c>
      <c r="AC385" s="217">
        <v>5.0057770000000001</v>
      </c>
      <c r="AD385" s="212">
        <f t="shared" si="5"/>
        <v>10561791.116204999</v>
      </c>
    </row>
    <row r="386" spans="2:30" x14ac:dyDescent="0.15">
      <c r="B386" s="213">
        <v>17089002034</v>
      </c>
      <c r="C386" s="213">
        <v>17089004843</v>
      </c>
      <c r="D386" s="213">
        <v>17089000305</v>
      </c>
      <c r="E386" s="213" t="s">
        <v>533</v>
      </c>
      <c r="F386" s="213" t="s">
        <v>534</v>
      </c>
      <c r="G386" s="213" t="s">
        <v>369</v>
      </c>
      <c r="H386" s="213" t="s">
        <v>382</v>
      </c>
      <c r="I386" s="213"/>
      <c r="J386" s="213"/>
      <c r="K386" s="213"/>
      <c r="L386" s="213"/>
      <c r="M386" s="213"/>
      <c r="N386" s="213"/>
      <c r="O386" s="213"/>
      <c r="P386" s="213"/>
      <c r="Q386" s="213"/>
      <c r="R386" s="213"/>
      <c r="S386" s="213" t="s">
        <v>561</v>
      </c>
      <c r="T386" s="213"/>
      <c r="U386" s="213" t="s">
        <v>538</v>
      </c>
      <c r="V386" s="213">
        <v>1</v>
      </c>
      <c r="W386" s="213" t="s">
        <v>562</v>
      </c>
      <c r="X386" s="213" t="s">
        <v>540</v>
      </c>
      <c r="Y386" s="213" t="s">
        <v>541</v>
      </c>
      <c r="Z386" s="212">
        <v>12200</v>
      </c>
      <c r="AA386" s="212">
        <v>287800</v>
      </c>
      <c r="AB386" s="217">
        <v>2.5395880000000002</v>
      </c>
      <c r="AC386" s="217">
        <v>4.0870800000000003</v>
      </c>
      <c r="AD386" s="212">
        <f t="shared" si="5"/>
        <v>730893.4264</v>
      </c>
    </row>
    <row r="387" spans="2:30" x14ac:dyDescent="0.15">
      <c r="B387" s="213">
        <v>17089002041</v>
      </c>
      <c r="C387" s="213">
        <v>17999020037</v>
      </c>
      <c r="D387" s="213">
        <v>17089000379</v>
      </c>
      <c r="E387" s="213" t="s">
        <v>533</v>
      </c>
      <c r="F387" s="213" t="s">
        <v>534</v>
      </c>
      <c r="G387" s="213" t="s">
        <v>369</v>
      </c>
      <c r="H387" s="213" t="s">
        <v>535</v>
      </c>
      <c r="I387" s="213"/>
      <c r="J387" s="213"/>
      <c r="K387" s="213"/>
      <c r="L387" s="213"/>
      <c r="M387" s="213"/>
      <c r="N387" s="213"/>
      <c r="O387" s="213"/>
      <c r="P387" s="213"/>
      <c r="Q387" s="213"/>
      <c r="R387" s="213"/>
      <c r="S387" s="213" t="s">
        <v>624</v>
      </c>
      <c r="T387" s="213"/>
      <c r="U387" s="213" t="s">
        <v>538</v>
      </c>
      <c r="V387" s="213">
        <v>1</v>
      </c>
      <c r="W387" s="213" t="s">
        <v>582</v>
      </c>
      <c r="X387" s="213" t="s">
        <v>549</v>
      </c>
      <c r="Y387" s="213" t="s">
        <v>554</v>
      </c>
      <c r="Z387" s="212">
        <v>42612</v>
      </c>
      <c r="AA387" s="212">
        <v>3996491</v>
      </c>
      <c r="AB387" s="217">
        <v>1.786743</v>
      </c>
      <c r="AC387" s="217">
        <v>2.875489</v>
      </c>
      <c r="AD387" s="212">
        <f t="shared" si="5"/>
        <v>7140702.3188129999</v>
      </c>
    </row>
    <row r="388" spans="2:30" x14ac:dyDescent="0.15">
      <c r="B388" s="213">
        <v>17089002042</v>
      </c>
      <c r="C388" s="213">
        <v>17089000509</v>
      </c>
      <c r="D388" s="213">
        <v>17999020485</v>
      </c>
      <c r="E388" s="213" t="s">
        <v>533</v>
      </c>
      <c r="F388" s="213" t="s">
        <v>534</v>
      </c>
      <c r="G388" s="213" t="s">
        <v>369</v>
      </c>
      <c r="H388" s="213" t="s">
        <v>382</v>
      </c>
      <c r="I388" s="213"/>
      <c r="J388" s="213"/>
      <c r="K388" s="213"/>
      <c r="L388" s="213"/>
      <c r="M388" s="213"/>
      <c r="N388" s="213"/>
      <c r="O388" s="213"/>
      <c r="P388" s="213"/>
      <c r="Q388" s="213"/>
      <c r="R388" s="213"/>
      <c r="S388" s="213" t="s">
        <v>583</v>
      </c>
      <c r="T388" s="213"/>
      <c r="U388" s="213" t="s">
        <v>538</v>
      </c>
      <c r="V388" s="213">
        <v>2</v>
      </c>
      <c r="W388" s="213" t="s">
        <v>588</v>
      </c>
      <c r="X388" s="213" t="s">
        <v>549</v>
      </c>
      <c r="Y388" s="213" t="s">
        <v>575</v>
      </c>
      <c r="Z388" s="212">
        <v>1875948</v>
      </c>
      <c r="AA388" s="212">
        <v>76055962</v>
      </c>
      <c r="AB388" s="217">
        <v>0.39302500000000001</v>
      </c>
      <c r="AC388" s="217">
        <v>0.63251400000000002</v>
      </c>
      <c r="AD388" s="212">
        <f t="shared" si="5"/>
        <v>29891894.465050001</v>
      </c>
    </row>
    <row r="389" spans="2:30" x14ac:dyDescent="0.15">
      <c r="B389" s="213">
        <v>17089002047</v>
      </c>
      <c r="C389" s="213">
        <v>17089004857</v>
      </c>
      <c r="D389" s="213">
        <v>17999020915</v>
      </c>
      <c r="E389" s="213" t="s">
        <v>533</v>
      </c>
      <c r="F389" s="213" t="s">
        <v>534</v>
      </c>
      <c r="G389" s="213" t="s">
        <v>369</v>
      </c>
      <c r="H389" s="213" t="s">
        <v>381</v>
      </c>
      <c r="I389" s="213"/>
      <c r="J389" s="213"/>
      <c r="K389" s="213"/>
      <c r="L389" s="213"/>
      <c r="M389" s="213"/>
      <c r="N389" s="213"/>
      <c r="O389" s="213"/>
      <c r="P389" s="213"/>
      <c r="Q389" s="213"/>
      <c r="R389" s="213"/>
      <c r="S389" s="213" t="s">
        <v>585</v>
      </c>
      <c r="T389" s="213"/>
      <c r="U389" s="213" t="s">
        <v>559</v>
      </c>
      <c r="V389" s="213">
        <v>1</v>
      </c>
      <c r="W389" s="213" t="s">
        <v>560</v>
      </c>
      <c r="X389" s="213" t="s">
        <v>541</v>
      </c>
      <c r="Y389" s="213" t="s">
        <v>541</v>
      </c>
      <c r="Z389" s="212">
        <v>160</v>
      </c>
      <c r="AA389" s="212">
        <v>16120</v>
      </c>
      <c r="AB389" s="217">
        <v>0.44746000000000002</v>
      </c>
      <c r="AC389" s="217">
        <v>0.72011899999999995</v>
      </c>
      <c r="AD389" s="212">
        <f t="shared" si="5"/>
        <v>7213.0552000000007</v>
      </c>
    </row>
    <row r="390" spans="2:30" x14ac:dyDescent="0.15">
      <c r="B390" s="213">
        <v>17089002059</v>
      </c>
      <c r="C390" s="213">
        <v>17089000284</v>
      </c>
      <c r="D390" s="213">
        <v>17089004855</v>
      </c>
      <c r="E390" s="213" t="s">
        <v>533</v>
      </c>
      <c r="F390" s="213" t="s">
        <v>534</v>
      </c>
      <c r="G390" s="213" t="s">
        <v>369</v>
      </c>
      <c r="H390" s="213" t="s">
        <v>552</v>
      </c>
      <c r="I390" s="213"/>
      <c r="J390" s="213"/>
      <c r="K390" s="213"/>
      <c r="L390" s="213"/>
      <c r="M390" s="213"/>
      <c r="N390" s="213"/>
      <c r="O390" s="213"/>
      <c r="P390" s="213"/>
      <c r="Q390" s="213"/>
      <c r="R390" s="213"/>
      <c r="S390" s="213" t="s">
        <v>607</v>
      </c>
      <c r="T390" s="213"/>
      <c r="U390" s="213" t="s">
        <v>538</v>
      </c>
      <c r="V390" s="213">
        <v>1</v>
      </c>
      <c r="W390" s="213" t="s">
        <v>582</v>
      </c>
      <c r="X390" s="213" t="s">
        <v>540</v>
      </c>
      <c r="Y390" s="213" t="s">
        <v>540</v>
      </c>
      <c r="Z390" s="212">
        <v>35969</v>
      </c>
      <c r="AA390" s="212">
        <v>3389195</v>
      </c>
      <c r="AB390" s="217">
        <v>6.3309290000000003</v>
      </c>
      <c r="AC390" s="217">
        <v>10.188663</v>
      </c>
      <c r="AD390" s="212">
        <f t="shared" ref="AD390:AD453" si="6">AA390*AB390</f>
        <v>21456752.912155002</v>
      </c>
    </row>
    <row r="391" spans="2:30" x14ac:dyDescent="0.15">
      <c r="B391" s="213">
        <v>17089002064</v>
      </c>
      <c r="C391" s="213">
        <v>17089000295</v>
      </c>
      <c r="D391" s="213">
        <v>17999019606</v>
      </c>
      <c r="E391" s="213" t="s">
        <v>533</v>
      </c>
      <c r="F391" s="213" t="s">
        <v>534</v>
      </c>
      <c r="G391" s="213" t="s">
        <v>369</v>
      </c>
      <c r="H391" s="213" t="s">
        <v>535</v>
      </c>
      <c r="I391" s="213"/>
      <c r="J391" s="213"/>
      <c r="K391" s="213"/>
      <c r="L391" s="213"/>
      <c r="M391" s="213"/>
      <c r="N391" s="213"/>
      <c r="O391" s="213"/>
      <c r="P391" s="213"/>
      <c r="Q391" s="213"/>
      <c r="R391" s="213"/>
      <c r="S391" s="213" t="s">
        <v>624</v>
      </c>
      <c r="T391" s="213"/>
      <c r="U391" s="213" t="s">
        <v>538</v>
      </c>
      <c r="V391" s="213">
        <v>1</v>
      </c>
      <c r="W391" s="213" t="s">
        <v>582</v>
      </c>
      <c r="X391" s="213" t="s">
        <v>549</v>
      </c>
      <c r="Y391" s="213" t="s">
        <v>554</v>
      </c>
      <c r="Z391" s="212">
        <v>42612</v>
      </c>
      <c r="AA391" s="212">
        <v>3996491</v>
      </c>
      <c r="AB391" s="217">
        <v>2.9901200000000001</v>
      </c>
      <c r="AC391" s="217">
        <v>4.8121409999999996</v>
      </c>
      <c r="AD391" s="212">
        <f t="shared" si="6"/>
        <v>11949987.668920001</v>
      </c>
    </row>
    <row r="392" spans="2:30" x14ac:dyDescent="0.15">
      <c r="B392" s="213">
        <v>17089003147</v>
      </c>
      <c r="C392" s="213">
        <v>17089001083</v>
      </c>
      <c r="D392" s="213">
        <v>17089001055</v>
      </c>
      <c r="E392" s="213" t="s">
        <v>533</v>
      </c>
      <c r="F392" s="213" t="s">
        <v>534</v>
      </c>
      <c r="G392" s="213" t="s">
        <v>369</v>
      </c>
      <c r="H392" s="213" t="s">
        <v>381</v>
      </c>
      <c r="I392" s="213"/>
      <c r="J392" s="213" t="s">
        <v>542</v>
      </c>
      <c r="K392" s="213" t="s">
        <v>578</v>
      </c>
      <c r="L392" s="213" t="s">
        <v>382</v>
      </c>
      <c r="M392" s="213"/>
      <c r="N392" s="213"/>
      <c r="O392" s="213"/>
      <c r="P392" s="213"/>
      <c r="Q392" s="213"/>
      <c r="R392" s="213"/>
      <c r="S392" s="213" t="s">
        <v>579</v>
      </c>
      <c r="T392" s="213"/>
      <c r="U392" s="213" t="s">
        <v>538</v>
      </c>
      <c r="V392" s="213">
        <v>2</v>
      </c>
      <c r="W392" s="213" t="s">
        <v>545</v>
      </c>
      <c r="X392" s="213" t="s">
        <v>549</v>
      </c>
      <c r="Y392" s="213" t="s">
        <v>580</v>
      </c>
      <c r="Z392" s="212">
        <v>409695</v>
      </c>
      <c r="AA392" s="212">
        <v>38878165</v>
      </c>
      <c r="AB392" s="217">
        <v>0.95799500000000004</v>
      </c>
      <c r="AC392" s="217">
        <v>1.5417460000000001</v>
      </c>
      <c r="AD392" s="212">
        <f t="shared" si="6"/>
        <v>37245087.679175004</v>
      </c>
    </row>
    <row r="393" spans="2:30" x14ac:dyDescent="0.15">
      <c r="B393" s="213">
        <v>17089005758</v>
      </c>
      <c r="C393" s="213">
        <v>17089000990</v>
      </c>
      <c r="D393" s="213">
        <v>17089000982</v>
      </c>
      <c r="E393" s="213" t="s">
        <v>533</v>
      </c>
      <c r="F393" s="213" t="s">
        <v>534</v>
      </c>
      <c r="G393" s="213" t="s">
        <v>369</v>
      </c>
      <c r="H393" s="213" t="s">
        <v>381</v>
      </c>
      <c r="I393" s="213"/>
      <c r="J393" s="213" t="s">
        <v>547</v>
      </c>
      <c r="K393" s="213"/>
      <c r="L393" s="213"/>
      <c r="M393" s="213"/>
      <c r="N393" s="213"/>
      <c r="O393" s="213"/>
      <c r="P393" s="213"/>
      <c r="Q393" s="213"/>
      <c r="R393" s="213"/>
      <c r="S393" s="213" t="s">
        <v>585</v>
      </c>
      <c r="T393" s="213"/>
      <c r="U393" s="213" t="s">
        <v>538</v>
      </c>
      <c r="V393" s="213">
        <v>2</v>
      </c>
      <c r="W393" s="213" t="s">
        <v>545</v>
      </c>
      <c r="X393" s="213" t="s">
        <v>554</v>
      </c>
      <c r="Y393" s="213" t="s">
        <v>541</v>
      </c>
      <c r="Z393" s="212">
        <v>1240</v>
      </c>
      <c r="AA393" s="212">
        <v>115920</v>
      </c>
      <c r="AB393" s="217">
        <v>0.93219799999999997</v>
      </c>
      <c r="AC393" s="217">
        <v>1.50023</v>
      </c>
      <c r="AD393" s="212">
        <f t="shared" si="6"/>
        <v>108060.39216</v>
      </c>
    </row>
    <row r="394" spans="2:30" x14ac:dyDescent="0.15">
      <c r="B394" s="213">
        <v>17089006567</v>
      </c>
      <c r="C394" s="213">
        <v>17089000709</v>
      </c>
      <c r="D394" s="213">
        <v>17089004859</v>
      </c>
      <c r="E394" s="213" t="s">
        <v>533</v>
      </c>
      <c r="F394" s="213" t="s">
        <v>534</v>
      </c>
      <c r="G394" s="213" t="s">
        <v>369</v>
      </c>
      <c r="H394" s="213" t="s">
        <v>381</v>
      </c>
      <c r="I394" s="213"/>
      <c r="J394" s="213"/>
      <c r="K394" s="213"/>
      <c r="L394" s="213"/>
      <c r="M394" s="213"/>
      <c r="N394" s="213"/>
      <c r="O394" s="213"/>
      <c r="P394" s="213"/>
      <c r="Q394" s="213"/>
      <c r="R394" s="213"/>
      <c r="S394" s="213" t="s">
        <v>585</v>
      </c>
      <c r="T394" s="213"/>
      <c r="U394" s="213" t="s">
        <v>559</v>
      </c>
      <c r="V394" s="213">
        <v>1</v>
      </c>
      <c r="W394" s="213" t="s">
        <v>560</v>
      </c>
      <c r="X394" s="213" t="s">
        <v>541</v>
      </c>
      <c r="Y394" s="213" t="s">
        <v>541</v>
      </c>
      <c r="Z394" s="212">
        <v>160</v>
      </c>
      <c r="AA394" s="212">
        <v>16120</v>
      </c>
      <c r="AB394" s="217">
        <v>0.26410800000000001</v>
      </c>
      <c r="AC394" s="217">
        <v>0.425041</v>
      </c>
      <c r="AD394" s="212">
        <f t="shared" si="6"/>
        <v>4257.4209600000004</v>
      </c>
    </row>
    <row r="395" spans="2:30" x14ac:dyDescent="0.15">
      <c r="B395" s="213">
        <v>17093001810</v>
      </c>
      <c r="C395" s="213">
        <v>17093008039</v>
      </c>
      <c r="D395" s="213">
        <v>17093008041</v>
      </c>
      <c r="E395" s="213" t="s">
        <v>533</v>
      </c>
      <c r="F395" s="213" t="s">
        <v>534</v>
      </c>
      <c r="G395" s="213" t="s">
        <v>371</v>
      </c>
      <c r="H395" s="213" t="s">
        <v>381</v>
      </c>
      <c r="I395" s="213"/>
      <c r="J395" s="213" t="s">
        <v>542</v>
      </c>
      <c r="K395" s="213" t="s">
        <v>382</v>
      </c>
      <c r="L395" s="213"/>
      <c r="M395" s="213"/>
      <c r="N395" s="213"/>
      <c r="O395" s="213"/>
      <c r="P395" s="213"/>
      <c r="Q395" s="213"/>
      <c r="R395" s="213"/>
      <c r="S395" s="213" t="s">
        <v>619</v>
      </c>
      <c r="T395" s="213"/>
      <c r="U395" s="213" t="s">
        <v>538</v>
      </c>
      <c r="V395" s="213">
        <v>2</v>
      </c>
      <c r="W395" s="213" t="s">
        <v>545</v>
      </c>
      <c r="X395" s="213" t="s">
        <v>549</v>
      </c>
      <c r="Y395" s="213" t="s">
        <v>580</v>
      </c>
      <c r="Z395" s="212">
        <v>413347</v>
      </c>
      <c r="AA395" s="212">
        <v>39205729</v>
      </c>
      <c r="AB395" s="217">
        <v>3.0830500000000001</v>
      </c>
      <c r="AC395" s="217">
        <v>4.9616980000000002</v>
      </c>
      <c r="AD395" s="212">
        <f t="shared" si="6"/>
        <v>120873222.79345</v>
      </c>
    </row>
    <row r="396" spans="2:30" x14ac:dyDescent="0.15">
      <c r="B396" s="213">
        <v>17093002020</v>
      </c>
      <c r="C396" s="213">
        <v>17093001210</v>
      </c>
      <c r="D396" s="213">
        <v>17093001126</v>
      </c>
      <c r="E396" s="213" t="s">
        <v>533</v>
      </c>
      <c r="F396" s="213" t="s">
        <v>534</v>
      </c>
      <c r="G396" s="213" t="s">
        <v>371</v>
      </c>
      <c r="H396" s="213" t="s">
        <v>381</v>
      </c>
      <c r="I396" s="213"/>
      <c r="J396" s="213" t="s">
        <v>542</v>
      </c>
      <c r="K396" s="213" t="s">
        <v>382</v>
      </c>
      <c r="L396" s="213"/>
      <c r="M396" s="213"/>
      <c r="N396" s="213"/>
      <c r="O396" s="213"/>
      <c r="P396" s="213"/>
      <c r="Q396" s="213"/>
      <c r="R396" s="213"/>
      <c r="S396" s="213" t="s">
        <v>619</v>
      </c>
      <c r="T396" s="213"/>
      <c r="U396" s="213" t="s">
        <v>538</v>
      </c>
      <c r="V396" s="213">
        <v>2</v>
      </c>
      <c r="W396" s="213" t="s">
        <v>545</v>
      </c>
      <c r="X396" s="213" t="s">
        <v>549</v>
      </c>
      <c r="Y396" s="213" t="s">
        <v>580</v>
      </c>
      <c r="Z396" s="212">
        <v>413307</v>
      </c>
      <c r="AA396" s="212">
        <v>39202049</v>
      </c>
      <c r="AB396" s="217">
        <v>3.7656399999999999</v>
      </c>
      <c r="AC396" s="217">
        <v>6.0602220000000004</v>
      </c>
      <c r="AD396" s="212">
        <f t="shared" si="6"/>
        <v>147620803.79635999</v>
      </c>
    </row>
    <row r="397" spans="2:30" x14ac:dyDescent="0.15">
      <c r="B397" s="213">
        <v>17093002076</v>
      </c>
      <c r="C397" s="213">
        <v>17999022662</v>
      </c>
      <c r="D397" s="213">
        <v>17093001283</v>
      </c>
      <c r="E397" s="213" t="s">
        <v>533</v>
      </c>
      <c r="F397" s="213" t="s">
        <v>534</v>
      </c>
      <c r="G397" s="213" t="s">
        <v>371</v>
      </c>
      <c r="H397" s="213" t="s">
        <v>381</v>
      </c>
      <c r="I397" s="213"/>
      <c r="J397" s="213" t="s">
        <v>542</v>
      </c>
      <c r="K397" s="213" t="s">
        <v>382</v>
      </c>
      <c r="L397" s="213"/>
      <c r="M397" s="213"/>
      <c r="N397" s="213"/>
      <c r="O397" s="213"/>
      <c r="P397" s="213"/>
      <c r="Q397" s="213"/>
      <c r="R397" s="213"/>
      <c r="S397" s="213" t="s">
        <v>619</v>
      </c>
      <c r="T397" s="213"/>
      <c r="U397" s="213" t="s">
        <v>538</v>
      </c>
      <c r="V397" s="213">
        <v>2</v>
      </c>
      <c r="W397" s="213" t="s">
        <v>545</v>
      </c>
      <c r="X397" s="213" t="s">
        <v>549</v>
      </c>
      <c r="Y397" s="213" t="s">
        <v>580</v>
      </c>
      <c r="Z397" s="212">
        <v>412467</v>
      </c>
      <c r="AA397" s="212">
        <v>39126329</v>
      </c>
      <c r="AB397" s="217">
        <v>0.184304</v>
      </c>
      <c r="AC397" s="217">
        <v>0.29660900000000001</v>
      </c>
      <c r="AD397" s="212">
        <f t="shared" si="6"/>
        <v>7211138.9400159996</v>
      </c>
    </row>
    <row r="398" spans="2:30" x14ac:dyDescent="0.15">
      <c r="B398" s="213">
        <v>17093002084</v>
      </c>
      <c r="C398" s="213">
        <v>17093001444</v>
      </c>
      <c r="D398" s="213">
        <v>17093001425</v>
      </c>
      <c r="E398" s="213" t="s">
        <v>533</v>
      </c>
      <c r="F398" s="213" t="s">
        <v>534</v>
      </c>
      <c r="G398" s="213" t="s">
        <v>371</v>
      </c>
      <c r="H398" s="213" t="s">
        <v>578</v>
      </c>
      <c r="I398" s="213"/>
      <c r="J398" s="213"/>
      <c r="K398" s="213"/>
      <c r="L398" s="213"/>
      <c r="M398" s="213"/>
      <c r="N398" s="213"/>
      <c r="O398" s="213"/>
      <c r="P398" s="213"/>
      <c r="Q398" s="213"/>
      <c r="R398" s="213"/>
      <c r="S398" s="213"/>
      <c r="T398" s="213"/>
      <c r="U398" s="213" t="s">
        <v>538</v>
      </c>
      <c r="V398" s="213">
        <v>1</v>
      </c>
      <c r="W398" s="213" t="s">
        <v>560</v>
      </c>
      <c r="X398" s="213" t="s">
        <v>541</v>
      </c>
      <c r="Y398" s="213" t="s">
        <v>541</v>
      </c>
      <c r="Z398" s="212">
        <v>15608</v>
      </c>
      <c r="AA398" s="212">
        <v>1529652</v>
      </c>
      <c r="AB398" s="217">
        <v>3.3162790000000002</v>
      </c>
      <c r="AC398" s="217">
        <v>5.3370449999999998</v>
      </c>
      <c r="AD398" s="212">
        <f t="shared" si="6"/>
        <v>5072752.8049079999</v>
      </c>
    </row>
    <row r="399" spans="2:30" x14ac:dyDescent="0.15">
      <c r="B399" s="213">
        <v>17097001927</v>
      </c>
      <c r="C399" s="213">
        <v>17097004542</v>
      </c>
      <c r="D399" s="213">
        <v>17097004528</v>
      </c>
      <c r="E399" s="213" t="s">
        <v>533</v>
      </c>
      <c r="F399" s="213" t="s">
        <v>534</v>
      </c>
      <c r="G399" s="213" t="s">
        <v>373</v>
      </c>
      <c r="H399" s="213" t="s">
        <v>382</v>
      </c>
      <c r="I399" s="213"/>
      <c r="J399" s="213"/>
      <c r="K399" s="213"/>
      <c r="L399" s="213"/>
      <c r="M399" s="213"/>
      <c r="N399" s="213"/>
      <c r="O399" s="213"/>
      <c r="P399" s="213"/>
      <c r="Q399" s="213"/>
      <c r="R399" s="213"/>
      <c r="S399" s="213" t="s">
        <v>586</v>
      </c>
      <c r="T399" s="213"/>
      <c r="U399" s="213" t="s">
        <v>538</v>
      </c>
      <c r="V399" s="213">
        <v>1</v>
      </c>
      <c r="W399" s="213" t="s">
        <v>582</v>
      </c>
      <c r="X399" s="213" t="s">
        <v>549</v>
      </c>
      <c r="Y399" s="213" t="s">
        <v>549</v>
      </c>
      <c r="Z399" s="212">
        <v>79676</v>
      </c>
      <c r="AA399" s="212">
        <v>8515511</v>
      </c>
      <c r="AB399" s="217">
        <v>0.73044900000000001</v>
      </c>
      <c r="AC399" s="217">
        <v>1.175546</v>
      </c>
      <c r="AD399" s="212">
        <f t="shared" si="6"/>
        <v>6220146.4944390003</v>
      </c>
    </row>
    <row r="400" spans="2:30" x14ac:dyDescent="0.15">
      <c r="B400" s="213">
        <v>17097001951</v>
      </c>
      <c r="C400" s="213">
        <v>17097004530</v>
      </c>
      <c r="D400" s="213">
        <v>17097000049</v>
      </c>
      <c r="E400" s="213" t="s">
        <v>533</v>
      </c>
      <c r="F400" s="213" t="s">
        <v>534</v>
      </c>
      <c r="G400" s="213" t="s">
        <v>373</v>
      </c>
      <c r="H400" s="213" t="s">
        <v>552</v>
      </c>
      <c r="I400" s="213"/>
      <c r="J400" s="213" t="s">
        <v>547</v>
      </c>
      <c r="K400" s="213" t="s">
        <v>563</v>
      </c>
      <c r="L400" s="213"/>
      <c r="M400" s="213"/>
      <c r="N400" s="213"/>
      <c r="O400" s="213"/>
      <c r="P400" s="213"/>
      <c r="Q400" s="213"/>
      <c r="R400" s="213"/>
      <c r="S400" s="213" t="s">
        <v>629</v>
      </c>
      <c r="T400" s="213"/>
      <c r="U400" s="213" t="s">
        <v>538</v>
      </c>
      <c r="V400" s="213">
        <v>1</v>
      </c>
      <c r="W400" s="213" t="s">
        <v>582</v>
      </c>
      <c r="X400" s="213" t="s">
        <v>540</v>
      </c>
      <c r="Y400" s="213" t="s">
        <v>554</v>
      </c>
      <c r="Z400" s="212">
        <v>21588</v>
      </c>
      <c r="AA400" s="212">
        <v>1927380</v>
      </c>
      <c r="AB400" s="217">
        <v>1.872641</v>
      </c>
      <c r="AC400" s="217">
        <v>3.0137290000000001</v>
      </c>
      <c r="AD400" s="212">
        <f t="shared" si="6"/>
        <v>3609290.8105799998</v>
      </c>
    </row>
    <row r="401" spans="2:30" x14ac:dyDescent="0.15">
      <c r="B401" s="213">
        <v>17097002098</v>
      </c>
      <c r="C401" s="213">
        <v>17999019040</v>
      </c>
      <c r="D401" s="213">
        <v>17097007520</v>
      </c>
      <c r="E401" s="213" t="s">
        <v>533</v>
      </c>
      <c r="F401" s="213" t="s">
        <v>534</v>
      </c>
      <c r="G401" s="213" t="s">
        <v>373</v>
      </c>
      <c r="H401" s="213" t="s">
        <v>535</v>
      </c>
      <c r="I401" s="213"/>
      <c r="J401" s="213" t="s">
        <v>547</v>
      </c>
      <c r="K401" s="213"/>
      <c r="L401" s="213"/>
      <c r="M401" s="213"/>
      <c r="N401" s="213"/>
      <c r="O401" s="213"/>
      <c r="P401" s="213"/>
      <c r="Q401" s="213"/>
      <c r="R401" s="213"/>
      <c r="S401" s="213" t="s">
        <v>548</v>
      </c>
      <c r="T401" s="213"/>
      <c r="U401" s="213" t="s">
        <v>538</v>
      </c>
      <c r="V401" s="213">
        <v>3</v>
      </c>
      <c r="W401" s="213" t="s">
        <v>545</v>
      </c>
      <c r="X401" s="213" t="s">
        <v>549</v>
      </c>
      <c r="Y401" s="213" t="s">
        <v>546</v>
      </c>
      <c r="Z401" s="212">
        <v>374009</v>
      </c>
      <c r="AA401" s="212">
        <v>22824039</v>
      </c>
      <c r="AB401" s="217">
        <v>0.95903700000000003</v>
      </c>
      <c r="AC401" s="217">
        <v>1.5434239999999999</v>
      </c>
      <c r="AD401" s="212">
        <f t="shared" si="6"/>
        <v>21889097.890443001</v>
      </c>
    </row>
    <row r="402" spans="2:30" x14ac:dyDescent="0.15">
      <c r="B402" s="213">
        <v>17097002112</v>
      </c>
      <c r="C402" s="213">
        <v>17097000066</v>
      </c>
      <c r="D402" s="213">
        <v>17097000061</v>
      </c>
      <c r="E402" s="213" t="s">
        <v>533</v>
      </c>
      <c r="F402" s="213" t="s">
        <v>534</v>
      </c>
      <c r="G402" s="213" t="s">
        <v>373</v>
      </c>
      <c r="H402" s="213" t="s">
        <v>535</v>
      </c>
      <c r="I402" s="213"/>
      <c r="J402" s="213" t="s">
        <v>547</v>
      </c>
      <c r="K402" s="213"/>
      <c r="L402" s="213"/>
      <c r="M402" s="213"/>
      <c r="N402" s="213"/>
      <c r="O402" s="213"/>
      <c r="P402" s="213"/>
      <c r="Q402" s="213"/>
      <c r="R402" s="213"/>
      <c r="S402" s="213" t="s">
        <v>548</v>
      </c>
      <c r="T402" s="213"/>
      <c r="U402" s="213" t="s">
        <v>538</v>
      </c>
      <c r="V402" s="213">
        <v>1</v>
      </c>
      <c r="W402" s="213" t="s">
        <v>545</v>
      </c>
      <c r="X402" s="213" t="s">
        <v>549</v>
      </c>
      <c r="Y402" s="213" t="s">
        <v>546</v>
      </c>
      <c r="Z402" s="212">
        <v>371672</v>
      </c>
      <c r="AA402" s="212">
        <v>23230333</v>
      </c>
      <c r="AB402" s="217">
        <v>0.68955100000000003</v>
      </c>
      <c r="AC402" s="217">
        <v>1.109728</v>
      </c>
      <c r="AD402" s="212">
        <f t="shared" si="6"/>
        <v>16018499.350483</v>
      </c>
    </row>
    <row r="403" spans="2:30" x14ac:dyDescent="0.15">
      <c r="B403" s="213">
        <v>17097002117</v>
      </c>
      <c r="C403" s="213">
        <v>17097000047</v>
      </c>
      <c r="D403" s="213">
        <v>17097000042</v>
      </c>
      <c r="E403" s="213" t="s">
        <v>533</v>
      </c>
      <c r="F403" s="213" t="s">
        <v>534</v>
      </c>
      <c r="G403" s="213" t="s">
        <v>373</v>
      </c>
      <c r="H403" s="213" t="s">
        <v>535</v>
      </c>
      <c r="I403" s="213"/>
      <c r="J403" s="213" t="s">
        <v>547</v>
      </c>
      <c r="K403" s="213"/>
      <c r="L403" s="213"/>
      <c r="M403" s="213"/>
      <c r="N403" s="213"/>
      <c r="O403" s="213"/>
      <c r="P403" s="213"/>
      <c r="Q403" s="213"/>
      <c r="R403" s="213"/>
      <c r="S403" s="213" t="s">
        <v>548</v>
      </c>
      <c r="T403" s="213"/>
      <c r="U403" s="213" t="s">
        <v>538</v>
      </c>
      <c r="V403" s="213">
        <v>2</v>
      </c>
      <c r="W403" s="213" t="s">
        <v>545</v>
      </c>
      <c r="X403" s="213" t="s">
        <v>549</v>
      </c>
      <c r="Y403" s="213" t="s">
        <v>546</v>
      </c>
      <c r="Z403" s="212">
        <v>374620</v>
      </c>
      <c r="AA403" s="212">
        <v>23516813</v>
      </c>
      <c r="AB403" s="217">
        <v>0.29409800000000003</v>
      </c>
      <c r="AC403" s="217">
        <v>0.47330499999999998</v>
      </c>
      <c r="AD403" s="212">
        <f t="shared" si="6"/>
        <v>6916247.6696740007</v>
      </c>
    </row>
    <row r="404" spans="2:30" x14ac:dyDescent="0.15">
      <c r="B404" s="213">
        <v>17097002137</v>
      </c>
      <c r="C404" s="213">
        <v>17097007543</v>
      </c>
      <c r="D404" s="213">
        <v>17097000059</v>
      </c>
      <c r="E404" s="213" t="s">
        <v>533</v>
      </c>
      <c r="F404" s="213" t="s">
        <v>534</v>
      </c>
      <c r="G404" s="213" t="s">
        <v>373</v>
      </c>
      <c r="H404" s="213" t="s">
        <v>382</v>
      </c>
      <c r="I404" s="213"/>
      <c r="J404" s="213"/>
      <c r="K404" s="213"/>
      <c r="L404" s="213"/>
      <c r="M404" s="213"/>
      <c r="N404" s="213"/>
      <c r="O404" s="213"/>
      <c r="P404" s="213"/>
      <c r="Q404" s="213"/>
      <c r="R404" s="213"/>
      <c r="S404" s="213" t="s">
        <v>586</v>
      </c>
      <c r="T404" s="213"/>
      <c r="U404" s="213" t="s">
        <v>538</v>
      </c>
      <c r="V404" s="213">
        <v>1</v>
      </c>
      <c r="W404" s="213" t="s">
        <v>582</v>
      </c>
      <c r="X404" s="213" t="s">
        <v>549</v>
      </c>
      <c r="Y404" s="213" t="s">
        <v>549</v>
      </c>
      <c r="Z404" s="212">
        <v>77408</v>
      </c>
      <c r="AA404" s="212">
        <v>8294727</v>
      </c>
      <c r="AB404" s="217">
        <v>3.034586</v>
      </c>
      <c r="AC404" s="217">
        <v>4.8837020000000004</v>
      </c>
      <c r="AD404" s="212">
        <f t="shared" si="6"/>
        <v>25171062.428022001</v>
      </c>
    </row>
    <row r="405" spans="2:30" x14ac:dyDescent="0.15">
      <c r="B405" s="213">
        <v>17097002138</v>
      </c>
      <c r="C405" s="213">
        <v>17097000079</v>
      </c>
      <c r="D405" s="213">
        <v>17097000067</v>
      </c>
      <c r="E405" s="213" t="s">
        <v>533</v>
      </c>
      <c r="F405" s="213" t="s">
        <v>534</v>
      </c>
      <c r="G405" s="213" t="s">
        <v>373</v>
      </c>
      <c r="H405" s="213" t="s">
        <v>535</v>
      </c>
      <c r="I405" s="213"/>
      <c r="J405" s="213" t="s">
        <v>382</v>
      </c>
      <c r="K405" s="213"/>
      <c r="L405" s="213"/>
      <c r="M405" s="213"/>
      <c r="N405" s="213"/>
      <c r="O405" s="213"/>
      <c r="P405" s="213"/>
      <c r="Q405" s="213"/>
      <c r="R405" s="213"/>
      <c r="S405" s="213" t="s">
        <v>550</v>
      </c>
      <c r="T405" s="213"/>
      <c r="U405" s="213" t="s">
        <v>538</v>
      </c>
      <c r="V405" s="213">
        <v>1</v>
      </c>
      <c r="W405" s="213" t="s">
        <v>560</v>
      </c>
      <c r="X405" s="213" t="s">
        <v>554</v>
      </c>
      <c r="Y405" s="213" t="s">
        <v>541</v>
      </c>
      <c r="Z405" s="212">
        <v>560</v>
      </c>
      <c r="AA405" s="212">
        <v>38520</v>
      </c>
      <c r="AB405" s="217">
        <v>3.8275769999999998</v>
      </c>
      <c r="AC405" s="217">
        <v>6.1599009999999996</v>
      </c>
      <c r="AD405" s="212">
        <f t="shared" si="6"/>
        <v>147438.26603999999</v>
      </c>
    </row>
    <row r="406" spans="2:30" x14ac:dyDescent="0.15">
      <c r="B406" s="213">
        <v>17097002141</v>
      </c>
      <c r="C406" s="213">
        <v>17097007529</v>
      </c>
      <c r="D406" s="213">
        <v>99999017007</v>
      </c>
      <c r="E406" s="213" t="s">
        <v>533</v>
      </c>
      <c r="F406" s="213" t="s">
        <v>534</v>
      </c>
      <c r="G406" s="213" t="s">
        <v>373</v>
      </c>
      <c r="H406" s="213" t="s">
        <v>382</v>
      </c>
      <c r="I406" s="213"/>
      <c r="J406" s="213"/>
      <c r="K406" s="213"/>
      <c r="L406" s="213"/>
      <c r="M406" s="213"/>
      <c r="N406" s="213"/>
      <c r="O406" s="213"/>
      <c r="P406" s="213"/>
      <c r="Q406" s="213"/>
      <c r="R406" s="213"/>
      <c r="S406" s="213" t="s">
        <v>586</v>
      </c>
      <c r="T406" s="213"/>
      <c r="U406" s="213" t="s">
        <v>538</v>
      </c>
      <c r="V406" s="213">
        <v>1</v>
      </c>
      <c r="W406" s="213" t="s">
        <v>582</v>
      </c>
      <c r="X406" s="213" t="s">
        <v>549</v>
      </c>
      <c r="Y406" s="213" t="s">
        <v>549</v>
      </c>
      <c r="Z406" s="212">
        <v>75128</v>
      </c>
      <c r="AA406" s="212">
        <v>8087367</v>
      </c>
      <c r="AB406" s="217">
        <v>6.8191300000000004</v>
      </c>
      <c r="AC406" s="217">
        <v>10.974348000000001</v>
      </c>
      <c r="AD406" s="212">
        <f t="shared" si="6"/>
        <v>55148806.930710003</v>
      </c>
    </row>
    <row r="407" spans="2:30" x14ac:dyDescent="0.15">
      <c r="B407" s="213">
        <v>17097002147</v>
      </c>
      <c r="C407" s="213">
        <v>17097004537</v>
      </c>
      <c r="D407" s="213">
        <v>17097000083</v>
      </c>
      <c r="E407" s="213" t="s">
        <v>533</v>
      </c>
      <c r="F407" s="213" t="s">
        <v>534</v>
      </c>
      <c r="G407" s="213" t="s">
        <v>373</v>
      </c>
      <c r="H407" s="213" t="s">
        <v>552</v>
      </c>
      <c r="I407" s="213"/>
      <c r="J407" s="213" t="s">
        <v>542</v>
      </c>
      <c r="K407" s="213" t="s">
        <v>547</v>
      </c>
      <c r="L407" s="213" t="s">
        <v>563</v>
      </c>
      <c r="M407" s="213"/>
      <c r="N407" s="213"/>
      <c r="O407" s="213"/>
      <c r="P407" s="213"/>
      <c r="Q407" s="213"/>
      <c r="R407" s="213"/>
      <c r="S407" s="213" t="s">
        <v>564</v>
      </c>
      <c r="T407" s="213"/>
      <c r="U407" s="213" t="s">
        <v>538</v>
      </c>
      <c r="V407" s="213">
        <v>2</v>
      </c>
      <c r="W407" s="213" t="s">
        <v>545</v>
      </c>
      <c r="X407" s="213" t="s">
        <v>540</v>
      </c>
      <c r="Y407" s="213" t="s">
        <v>549</v>
      </c>
      <c r="Z407" s="212">
        <v>444697</v>
      </c>
      <c r="AA407" s="212">
        <v>28179770</v>
      </c>
      <c r="AB407" s="217">
        <v>3.8560370000000002</v>
      </c>
      <c r="AC407" s="217">
        <v>6.2057029999999997</v>
      </c>
      <c r="AD407" s="212">
        <f t="shared" si="6"/>
        <v>108662235.77149001</v>
      </c>
    </row>
    <row r="408" spans="2:30" x14ac:dyDescent="0.15">
      <c r="B408" s="213">
        <v>17097002149</v>
      </c>
      <c r="C408" s="213">
        <v>17097000110</v>
      </c>
      <c r="D408" s="213">
        <v>17097000109</v>
      </c>
      <c r="E408" s="213" t="s">
        <v>533</v>
      </c>
      <c r="F408" s="213" t="s">
        <v>534</v>
      </c>
      <c r="G408" s="213" t="s">
        <v>373</v>
      </c>
      <c r="H408" s="213" t="s">
        <v>535</v>
      </c>
      <c r="I408" s="213"/>
      <c r="J408" s="213" t="s">
        <v>382</v>
      </c>
      <c r="K408" s="213"/>
      <c r="L408" s="213"/>
      <c r="M408" s="213"/>
      <c r="N408" s="213"/>
      <c r="O408" s="213"/>
      <c r="P408" s="213"/>
      <c r="Q408" s="213"/>
      <c r="R408" s="213"/>
      <c r="S408" s="213" t="s">
        <v>550</v>
      </c>
      <c r="T408" s="213"/>
      <c r="U408" s="213" t="s">
        <v>538</v>
      </c>
      <c r="V408" s="213">
        <v>1</v>
      </c>
      <c r="W408" s="213" t="s">
        <v>545</v>
      </c>
      <c r="X408" s="213" t="s">
        <v>541</v>
      </c>
      <c r="Y408" s="213" t="s">
        <v>540</v>
      </c>
      <c r="Z408" s="212">
        <v>67099</v>
      </c>
      <c r="AA408" s="212">
        <v>6879112</v>
      </c>
      <c r="AB408" s="217">
        <v>0.190831</v>
      </c>
      <c r="AC408" s="217">
        <v>0.307114</v>
      </c>
      <c r="AD408" s="212">
        <f t="shared" si="6"/>
        <v>1312747.822072</v>
      </c>
    </row>
    <row r="409" spans="2:30" x14ac:dyDescent="0.15">
      <c r="B409" s="213">
        <v>17097002151</v>
      </c>
      <c r="C409" s="213">
        <v>17097007469</v>
      </c>
      <c r="D409" s="213">
        <v>17097000181</v>
      </c>
      <c r="E409" s="213" t="s">
        <v>533</v>
      </c>
      <c r="F409" s="213" t="s">
        <v>534</v>
      </c>
      <c r="G409" s="213" t="s">
        <v>373</v>
      </c>
      <c r="H409" s="213" t="s">
        <v>535</v>
      </c>
      <c r="I409" s="213"/>
      <c r="J409" s="213" t="s">
        <v>382</v>
      </c>
      <c r="K409" s="213" t="s">
        <v>536</v>
      </c>
      <c r="L409" s="213"/>
      <c r="M409" s="213"/>
      <c r="N409" s="213"/>
      <c r="O409" s="213"/>
      <c r="P409" s="213"/>
      <c r="Q409" s="213"/>
      <c r="R409" s="213"/>
      <c r="S409" s="213" t="s">
        <v>550</v>
      </c>
      <c r="T409" s="213"/>
      <c r="U409" s="213" t="s">
        <v>538</v>
      </c>
      <c r="V409" s="213">
        <v>1</v>
      </c>
      <c r="W409" s="213" t="s">
        <v>545</v>
      </c>
      <c r="X409" s="213" t="s">
        <v>549</v>
      </c>
      <c r="Y409" s="213" t="s">
        <v>540</v>
      </c>
      <c r="Z409" s="212">
        <v>65183</v>
      </c>
      <c r="AA409" s="212">
        <v>6709796</v>
      </c>
      <c r="AB409" s="217">
        <v>2.7456049999999999</v>
      </c>
      <c r="AC409" s="217">
        <v>4.4186310000000004</v>
      </c>
      <c r="AD409" s="212">
        <f t="shared" si="6"/>
        <v>18422449.44658</v>
      </c>
    </row>
    <row r="410" spans="2:30" x14ac:dyDescent="0.15">
      <c r="B410" s="213">
        <v>17097002152</v>
      </c>
      <c r="C410" s="213">
        <v>17097004541</v>
      </c>
      <c r="D410" s="213">
        <v>99999017006</v>
      </c>
      <c r="E410" s="213" t="s">
        <v>533</v>
      </c>
      <c r="F410" s="213" t="s">
        <v>534</v>
      </c>
      <c r="G410" s="213" t="s">
        <v>373</v>
      </c>
      <c r="H410" s="213" t="s">
        <v>552</v>
      </c>
      <c r="I410" s="213"/>
      <c r="J410" s="213" t="s">
        <v>542</v>
      </c>
      <c r="K410" s="213"/>
      <c r="L410" s="213"/>
      <c r="M410" s="213"/>
      <c r="N410" s="213"/>
      <c r="O410" s="213"/>
      <c r="P410" s="213"/>
      <c r="Q410" s="213"/>
      <c r="R410" s="213"/>
      <c r="S410" s="213" t="s">
        <v>564</v>
      </c>
      <c r="T410" s="213"/>
      <c r="U410" s="213" t="s">
        <v>538</v>
      </c>
      <c r="V410" s="213">
        <v>2</v>
      </c>
      <c r="W410" s="213" t="s">
        <v>545</v>
      </c>
      <c r="X410" s="213" t="s">
        <v>549</v>
      </c>
      <c r="Y410" s="213" t="s">
        <v>549</v>
      </c>
      <c r="Z410" s="212">
        <v>423217</v>
      </c>
      <c r="AA410" s="212">
        <v>26259270</v>
      </c>
      <c r="AB410" s="217">
        <v>0.275619</v>
      </c>
      <c r="AC410" s="217">
        <v>0.44356600000000002</v>
      </c>
      <c r="AD410" s="212">
        <f t="shared" si="6"/>
        <v>7237553.7381300004</v>
      </c>
    </row>
    <row r="411" spans="2:30" x14ac:dyDescent="0.15">
      <c r="B411" s="213">
        <v>17097002155</v>
      </c>
      <c r="C411" s="213">
        <v>17097004570</v>
      </c>
      <c r="D411" s="213">
        <v>17097000196</v>
      </c>
      <c r="E411" s="213" t="s">
        <v>533</v>
      </c>
      <c r="F411" s="213" t="s">
        <v>534</v>
      </c>
      <c r="G411" s="213" t="s">
        <v>373</v>
      </c>
      <c r="H411" s="213" t="s">
        <v>382</v>
      </c>
      <c r="I411" s="213"/>
      <c r="J411" s="213" t="s">
        <v>547</v>
      </c>
      <c r="K411" s="213"/>
      <c r="L411" s="213"/>
      <c r="M411" s="213"/>
      <c r="N411" s="213"/>
      <c r="O411" s="213"/>
      <c r="P411" s="213"/>
      <c r="Q411" s="213"/>
      <c r="R411" s="213"/>
      <c r="S411" s="213" t="s">
        <v>565</v>
      </c>
      <c r="T411" s="213"/>
      <c r="U411" s="213" t="s">
        <v>538</v>
      </c>
      <c r="V411" s="213">
        <v>2</v>
      </c>
      <c r="W411" s="213" t="s">
        <v>566</v>
      </c>
      <c r="X411" s="213" t="s">
        <v>549</v>
      </c>
      <c r="Y411" s="213" t="s">
        <v>541</v>
      </c>
      <c r="Z411" s="212">
        <v>0</v>
      </c>
      <c r="AA411" s="212">
        <v>0</v>
      </c>
      <c r="AB411" s="217">
        <v>1.552341</v>
      </c>
      <c r="AC411" s="217">
        <v>2.498256</v>
      </c>
      <c r="AD411" s="212">
        <f t="shared" si="6"/>
        <v>0</v>
      </c>
    </row>
    <row r="412" spans="2:30" x14ac:dyDescent="0.15">
      <c r="B412" s="213">
        <v>17097002156</v>
      </c>
      <c r="C412" s="213">
        <v>17097004571</v>
      </c>
      <c r="D412" s="213">
        <v>17097004570</v>
      </c>
      <c r="E412" s="213" t="s">
        <v>533</v>
      </c>
      <c r="F412" s="213" t="s">
        <v>534</v>
      </c>
      <c r="G412" s="213" t="s">
        <v>373</v>
      </c>
      <c r="H412" s="213" t="s">
        <v>382</v>
      </c>
      <c r="I412" s="213"/>
      <c r="J412" s="213" t="s">
        <v>547</v>
      </c>
      <c r="K412" s="213"/>
      <c r="L412" s="213"/>
      <c r="M412" s="213"/>
      <c r="N412" s="213"/>
      <c r="O412" s="213"/>
      <c r="P412" s="213"/>
      <c r="Q412" s="213"/>
      <c r="R412" s="213"/>
      <c r="S412" s="213" t="s">
        <v>565</v>
      </c>
      <c r="T412" s="213"/>
      <c r="U412" s="213" t="s">
        <v>538</v>
      </c>
      <c r="V412" s="213">
        <v>2</v>
      </c>
      <c r="W412" s="213" t="s">
        <v>566</v>
      </c>
      <c r="X412" s="213" t="s">
        <v>549</v>
      </c>
      <c r="Y412" s="213" t="s">
        <v>541</v>
      </c>
      <c r="Z412" s="212">
        <v>0</v>
      </c>
      <c r="AA412" s="212">
        <v>0</v>
      </c>
      <c r="AB412" s="217">
        <v>1.4639629999999999</v>
      </c>
      <c r="AC412" s="217">
        <v>2.3560249999999998</v>
      </c>
      <c r="AD412" s="212">
        <f t="shared" si="6"/>
        <v>0</v>
      </c>
    </row>
    <row r="413" spans="2:30" x14ac:dyDescent="0.15">
      <c r="B413" s="213">
        <v>17097002193</v>
      </c>
      <c r="C413" s="213">
        <v>17097000238</v>
      </c>
      <c r="D413" s="213">
        <v>17097004546</v>
      </c>
      <c r="E413" s="213" t="s">
        <v>533</v>
      </c>
      <c r="F413" s="213" t="s">
        <v>534</v>
      </c>
      <c r="G413" s="213" t="s">
        <v>373</v>
      </c>
      <c r="H413" s="213" t="s">
        <v>535</v>
      </c>
      <c r="I413" s="213"/>
      <c r="J413" s="213" t="s">
        <v>382</v>
      </c>
      <c r="K413" s="213" t="s">
        <v>536</v>
      </c>
      <c r="L413" s="213"/>
      <c r="M413" s="213"/>
      <c r="N413" s="213"/>
      <c r="O413" s="213"/>
      <c r="P413" s="213"/>
      <c r="Q413" s="213"/>
      <c r="R413" s="213"/>
      <c r="S413" s="213" t="s">
        <v>550</v>
      </c>
      <c r="T413" s="213"/>
      <c r="U413" s="213" t="s">
        <v>538</v>
      </c>
      <c r="V413" s="213">
        <v>1</v>
      </c>
      <c r="W413" s="213" t="s">
        <v>545</v>
      </c>
      <c r="X413" s="213" t="s">
        <v>549</v>
      </c>
      <c r="Y413" s="213" t="s">
        <v>540</v>
      </c>
      <c r="Z413" s="212">
        <v>65103</v>
      </c>
      <c r="AA413" s="212">
        <v>6702236</v>
      </c>
      <c r="AB413" s="217">
        <v>4.0381270000000002</v>
      </c>
      <c r="AC413" s="217">
        <v>6.4987490000000001</v>
      </c>
      <c r="AD413" s="212">
        <f t="shared" si="6"/>
        <v>27064480.151972003</v>
      </c>
    </row>
    <row r="414" spans="2:30" x14ac:dyDescent="0.15">
      <c r="B414" s="213">
        <v>17097002260</v>
      </c>
      <c r="C414" s="213">
        <v>17097004565</v>
      </c>
      <c r="D414" s="213">
        <v>17097004550</v>
      </c>
      <c r="E414" s="213" t="s">
        <v>533</v>
      </c>
      <c r="F414" s="213" t="s">
        <v>534</v>
      </c>
      <c r="G414" s="213" t="s">
        <v>373</v>
      </c>
      <c r="H414" s="213" t="s">
        <v>382</v>
      </c>
      <c r="I414" s="213"/>
      <c r="J414" s="213" t="s">
        <v>535</v>
      </c>
      <c r="K414" s="213" t="s">
        <v>547</v>
      </c>
      <c r="L414" s="213"/>
      <c r="M414" s="213"/>
      <c r="N414" s="213"/>
      <c r="O414" s="213"/>
      <c r="P414" s="213"/>
      <c r="Q414" s="213"/>
      <c r="R414" s="213"/>
      <c r="S414" s="213" t="s">
        <v>565</v>
      </c>
      <c r="T414" s="213"/>
      <c r="U414" s="213" t="s">
        <v>538</v>
      </c>
      <c r="V414" s="213">
        <v>2</v>
      </c>
      <c r="W414" s="213" t="s">
        <v>566</v>
      </c>
      <c r="X414" s="213" t="s">
        <v>549</v>
      </c>
      <c r="Y414" s="213" t="s">
        <v>540</v>
      </c>
      <c r="Z414" s="212">
        <v>3468</v>
      </c>
      <c r="AA414" s="212">
        <v>323344</v>
      </c>
      <c r="AB414" s="217">
        <v>0.49994300000000003</v>
      </c>
      <c r="AC414" s="217">
        <v>0.80458200000000002</v>
      </c>
      <c r="AD414" s="212">
        <f t="shared" si="6"/>
        <v>161653.569392</v>
      </c>
    </row>
    <row r="415" spans="2:30" x14ac:dyDescent="0.15">
      <c r="B415" s="213">
        <v>17097002284</v>
      </c>
      <c r="C415" s="213">
        <v>17097007479</v>
      </c>
      <c r="D415" s="213">
        <v>17097007487</v>
      </c>
      <c r="E415" s="213" t="s">
        <v>533</v>
      </c>
      <c r="F415" s="213" t="s">
        <v>534</v>
      </c>
      <c r="G415" s="213" t="s">
        <v>373</v>
      </c>
      <c r="H415" s="213" t="s">
        <v>382</v>
      </c>
      <c r="I415" s="213"/>
      <c r="J415" s="213" t="s">
        <v>535</v>
      </c>
      <c r="K415" s="213" t="s">
        <v>547</v>
      </c>
      <c r="L415" s="213"/>
      <c r="M415" s="213"/>
      <c r="N415" s="213"/>
      <c r="O415" s="213"/>
      <c r="P415" s="213"/>
      <c r="Q415" s="213"/>
      <c r="R415" s="213"/>
      <c r="S415" s="213" t="s">
        <v>565</v>
      </c>
      <c r="T415" s="213"/>
      <c r="U415" s="213" t="s">
        <v>538</v>
      </c>
      <c r="V415" s="213">
        <v>2</v>
      </c>
      <c r="W415" s="213" t="s">
        <v>566</v>
      </c>
      <c r="X415" s="213" t="s">
        <v>549</v>
      </c>
      <c r="Y415" s="213" t="s">
        <v>549</v>
      </c>
      <c r="Z415" s="212">
        <v>23812</v>
      </c>
      <c r="AA415" s="212">
        <v>2759904</v>
      </c>
      <c r="AB415" s="217">
        <v>1.5163660000000001</v>
      </c>
      <c r="AC415" s="217">
        <v>2.4403600000000001</v>
      </c>
      <c r="AD415" s="212">
        <f t="shared" si="6"/>
        <v>4185024.5888640005</v>
      </c>
    </row>
    <row r="416" spans="2:30" x14ac:dyDescent="0.15">
      <c r="B416" s="213">
        <v>17097002314</v>
      </c>
      <c r="C416" s="213">
        <v>17999019043</v>
      </c>
      <c r="D416" s="213">
        <v>17097004544</v>
      </c>
      <c r="E416" s="213" t="s">
        <v>533</v>
      </c>
      <c r="F416" s="213" t="s">
        <v>534</v>
      </c>
      <c r="G416" s="213" t="s">
        <v>373</v>
      </c>
      <c r="H416" s="213" t="s">
        <v>382</v>
      </c>
      <c r="I416" s="213"/>
      <c r="J416" s="213" t="s">
        <v>535</v>
      </c>
      <c r="K416" s="213"/>
      <c r="L416" s="213"/>
      <c r="M416" s="213"/>
      <c r="N416" s="213"/>
      <c r="O416" s="213"/>
      <c r="P416" s="213"/>
      <c r="Q416" s="213"/>
      <c r="R416" s="213"/>
      <c r="S416" s="213" t="s">
        <v>586</v>
      </c>
      <c r="T416" s="213"/>
      <c r="U416" s="213" t="s">
        <v>538</v>
      </c>
      <c r="V416" s="213">
        <v>2</v>
      </c>
      <c r="W416" s="213" t="s">
        <v>582</v>
      </c>
      <c r="X416" s="213" t="s">
        <v>549</v>
      </c>
      <c r="Y416" s="213" t="s">
        <v>549</v>
      </c>
      <c r="Z416" s="212">
        <v>98392</v>
      </c>
      <c r="AA416" s="212">
        <v>10782047</v>
      </c>
      <c r="AB416" s="217">
        <v>1.947257</v>
      </c>
      <c r="AC416" s="217">
        <v>3.133813</v>
      </c>
      <c r="AD416" s="212">
        <f t="shared" si="6"/>
        <v>20995416.495079</v>
      </c>
    </row>
    <row r="417" spans="2:30" x14ac:dyDescent="0.15">
      <c r="B417" s="213">
        <v>17097002580</v>
      </c>
      <c r="C417" s="213">
        <v>17097004572</v>
      </c>
      <c r="D417" s="213">
        <v>17097004571</v>
      </c>
      <c r="E417" s="213" t="s">
        <v>533</v>
      </c>
      <c r="F417" s="213" t="s">
        <v>534</v>
      </c>
      <c r="G417" s="213" t="s">
        <v>373</v>
      </c>
      <c r="H417" s="213" t="s">
        <v>382</v>
      </c>
      <c r="I417" s="213"/>
      <c r="J417" s="213" t="s">
        <v>547</v>
      </c>
      <c r="K417" s="213"/>
      <c r="L417" s="213"/>
      <c r="M417" s="213"/>
      <c r="N417" s="213"/>
      <c r="O417" s="213"/>
      <c r="P417" s="213"/>
      <c r="Q417" s="213"/>
      <c r="R417" s="213"/>
      <c r="S417" s="213" t="s">
        <v>565</v>
      </c>
      <c r="T417" s="213"/>
      <c r="U417" s="213" t="s">
        <v>538</v>
      </c>
      <c r="V417" s="213">
        <v>2</v>
      </c>
      <c r="W417" s="213" t="s">
        <v>566</v>
      </c>
      <c r="X417" s="213" t="s">
        <v>549</v>
      </c>
      <c r="Y417" s="213" t="s">
        <v>541</v>
      </c>
      <c r="Z417" s="212">
        <v>0</v>
      </c>
      <c r="AA417" s="212">
        <v>0</v>
      </c>
      <c r="AB417" s="217">
        <v>0.56928299999999998</v>
      </c>
      <c r="AC417" s="217">
        <v>0.91617400000000004</v>
      </c>
      <c r="AD417" s="212">
        <f t="shared" si="6"/>
        <v>0</v>
      </c>
    </row>
    <row r="418" spans="2:30" x14ac:dyDescent="0.15">
      <c r="B418" s="213">
        <v>17097003149</v>
      </c>
      <c r="C418" s="213">
        <v>17097004535</v>
      </c>
      <c r="D418" s="213">
        <v>17097004534</v>
      </c>
      <c r="E418" s="213" t="s">
        <v>533</v>
      </c>
      <c r="F418" s="213" t="s">
        <v>534</v>
      </c>
      <c r="G418" s="213" t="s">
        <v>373</v>
      </c>
      <c r="H418" s="213" t="s">
        <v>552</v>
      </c>
      <c r="I418" s="213"/>
      <c r="J418" s="213" t="s">
        <v>547</v>
      </c>
      <c r="K418" s="213" t="s">
        <v>563</v>
      </c>
      <c r="L418" s="213"/>
      <c r="M418" s="213"/>
      <c r="N418" s="213"/>
      <c r="O418" s="213"/>
      <c r="P418" s="213"/>
      <c r="Q418" s="213"/>
      <c r="R418" s="213"/>
      <c r="S418" s="213" t="s">
        <v>629</v>
      </c>
      <c r="T418" s="213"/>
      <c r="U418" s="213" t="s">
        <v>538</v>
      </c>
      <c r="V418" s="213">
        <v>1</v>
      </c>
      <c r="W418" s="213" t="s">
        <v>582</v>
      </c>
      <c r="X418" s="213" t="s">
        <v>540</v>
      </c>
      <c r="Y418" s="213" t="s">
        <v>554</v>
      </c>
      <c r="Z418" s="212">
        <v>21588</v>
      </c>
      <c r="AA418" s="212">
        <v>1927380</v>
      </c>
      <c r="AB418" s="217">
        <v>0.53178499999999995</v>
      </c>
      <c r="AC418" s="217">
        <v>0.855827</v>
      </c>
      <c r="AD418" s="212">
        <f t="shared" si="6"/>
        <v>1024951.7732999999</v>
      </c>
    </row>
    <row r="419" spans="2:30" x14ac:dyDescent="0.15">
      <c r="B419" s="213">
        <v>17097006322</v>
      </c>
      <c r="C419" s="213">
        <v>17097004550</v>
      </c>
      <c r="D419" s="213">
        <v>17097004548</v>
      </c>
      <c r="E419" s="213" t="s">
        <v>533</v>
      </c>
      <c r="F419" s="213" t="s">
        <v>534</v>
      </c>
      <c r="G419" s="213" t="s">
        <v>373</v>
      </c>
      <c r="H419" s="213" t="s">
        <v>382</v>
      </c>
      <c r="I419" s="213"/>
      <c r="J419" s="213" t="s">
        <v>535</v>
      </c>
      <c r="K419" s="213"/>
      <c r="L419" s="213"/>
      <c r="M419" s="213"/>
      <c r="N419" s="213"/>
      <c r="O419" s="213"/>
      <c r="P419" s="213"/>
      <c r="Q419" s="213"/>
      <c r="R419" s="213"/>
      <c r="S419" s="213"/>
      <c r="T419" s="213"/>
      <c r="U419" s="213" t="s">
        <v>559</v>
      </c>
      <c r="V419" s="213">
        <v>1</v>
      </c>
      <c r="W419" s="213" t="s">
        <v>560</v>
      </c>
      <c r="X419" s="213" t="s">
        <v>541</v>
      </c>
      <c r="Y419" s="213" t="s">
        <v>541</v>
      </c>
      <c r="Z419" s="212">
        <v>80</v>
      </c>
      <c r="AA419" s="212">
        <v>6400</v>
      </c>
      <c r="AB419" s="217">
        <v>0.35782000000000003</v>
      </c>
      <c r="AC419" s="217">
        <v>0.57585699999999995</v>
      </c>
      <c r="AD419" s="212">
        <f t="shared" si="6"/>
        <v>2290.0480000000002</v>
      </c>
    </row>
    <row r="420" spans="2:30" x14ac:dyDescent="0.15">
      <c r="B420" s="213">
        <v>17097006327</v>
      </c>
      <c r="C420" s="213">
        <v>17097000030</v>
      </c>
      <c r="D420" s="213">
        <v>17097004564</v>
      </c>
      <c r="E420" s="213" t="s">
        <v>533</v>
      </c>
      <c r="F420" s="213" t="s">
        <v>534</v>
      </c>
      <c r="G420" s="213" t="s">
        <v>373</v>
      </c>
      <c r="H420" s="213" t="s">
        <v>382</v>
      </c>
      <c r="I420" s="213"/>
      <c r="J420" s="213" t="s">
        <v>535</v>
      </c>
      <c r="K420" s="213" t="s">
        <v>547</v>
      </c>
      <c r="L420" s="213"/>
      <c r="M420" s="213"/>
      <c r="N420" s="213"/>
      <c r="O420" s="213"/>
      <c r="P420" s="213"/>
      <c r="Q420" s="213"/>
      <c r="R420" s="213"/>
      <c r="S420" s="213" t="s">
        <v>565</v>
      </c>
      <c r="T420" s="213"/>
      <c r="U420" s="213" t="s">
        <v>538</v>
      </c>
      <c r="V420" s="213">
        <v>2</v>
      </c>
      <c r="W420" s="213" t="s">
        <v>566</v>
      </c>
      <c r="X420" s="213" t="s">
        <v>549</v>
      </c>
      <c r="Y420" s="213" t="s">
        <v>540</v>
      </c>
      <c r="Z420" s="212">
        <v>3388</v>
      </c>
      <c r="AA420" s="212">
        <v>316944</v>
      </c>
      <c r="AB420" s="217">
        <v>0.105075</v>
      </c>
      <c r="AC420" s="217">
        <v>0.169103</v>
      </c>
      <c r="AD420" s="212">
        <f t="shared" si="6"/>
        <v>33302.890800000001</v>
      </c>
    </row>
    <row r="421" spans="2:30" x14ac:dyDescent="0.15">
      <c r="B421" s="213">
        <v>17097006330</v>
      </c>
      <c r="C421" s="213">
        <v>17097004573</v>
      </c>
      <c r="D421" s="213">
        <v>17097004572</v>
      </c>
      <c r="E421" s="213" t="s">
        <v>533</v>
      </c>
      <c r="F421" s="213" t="s">
        <v>534</v>
      </c>
      <c r="G421" s="213" t="s">
        <v>373</v>
      </c>
      <c r="H421" s="213" t="s">
        <v>382</v>
      </c>
      <c r="I421" s="213"/>
      <c r="J421" s="213" t="s">
        <v>547</v>
      </c>
      <c r="K421" s="213"/>
      <c r="L421" s="213"/>
      <c r="M421" s="213"/>
      <c r="N421" s="213"/>
      <c r="O421" s="213"/>
      <c r="P421" s="213"/>
      <c r="Q421" s="213"/>
      <c r="R421" s="213"/>
      <c r="S421" s="213" t="s">
        <v>565</v>
      </c>
      <c r="T421" s="213"/>
      <c r="U421" s="213" t="s">
        <v>538</v>
      </c>
      <c r="V421" s="213">
        <v>2</v>
      </c>
      <c r="W421" s="213" t="s">
        <v>566</v>
      </c>
      <c r="X421" s="213" t="s">
        <v>549</v>
      </c>
      <c r="Y421" s="213" t="s">
        <v>541</v>
      </c>
      <c r="Z421" s="212">
        <v>0</v>
      </c>
      <c r="AA421" s="212">
        <v>0</v>
      </c>
      <c r="AB421" s="217">
        <v>0.41313299999999997</v>
      </c>
      <c r="AC421" s="217">
        <v>0.66487499999999999</v>
      </c>
      <c r="AD421" s="212">
        <f t="shared" si="6"/>
        <v>0</v>
      </c>
    </row>
    <row r="422" spans="2:30" x14ac:dyDescent="0.15">
      <c r="B422" s="213">
        <v>17097006331</v>
      </c>
      <c r="C422" s="213">
        <v>17999019044</v>
      </c>
      <c r="D422" s="213">
        <v>17097004573</v>
      </c>
      <c r="E422" s="213" t="s">
        <v>533</v>
      </c>
      <c r="F422" s="213" t="s">
        <v>534</v>
      </c>
      <c r="G422" s="213" t="s">
        <v>373</v>
      </c>
      <c r="H422" s="213" t="s">
        <v>382</v>
      </c>
      <c r="I422" s="213"/>
      <c r="J422" s="213" t="s">
        <v>547</v>
      </c>
      <c r="K422" s="213"/>
      <c r="L422" s="213"/>
      <c r="M422" s="213"/>
      <c r="N422" s="213"/>
      <c r="O422" s="213"/>
      <c r="P422" s="213"/>
      <c r="Q422" s="213"/>
      <c r="R422" s="213"/>
      <c r="S422" s="213" t="s">
        <v>565</v>
      </c>
      <c r="T422" s="213"/>
      <c r="U422" s="213" t="s">
        <v>538</v>
      </c>
      <c r="V422" s="213">
        <v>2</v>
      </c>
      <c r="W422" s="213" t="s">
        <v>566</v>
      </c>
      <c r="X422" s="213" t="s">
        <v>549</v>
      </c>
      <c r="Y422" s="213" t="s">
        <v>541</v>
      </c>
      <c r="Z422" s="212">
        <v>0</v>
      </c>
      <c r="AA422" s="212">
        <v>0</v>
      </c>
      <c r="AB422" s="217">
        <v>3.9132E-2</v>
      </c>
      <c r="AC422" s="217">
        <v>6.2977000000000005E-2</v>
      </c>
      <c r="AD422" s="212">
        <f t="shared" si="6"/>
        <v>0</v>
      </c>
    </row>
    <row r="423" spans="2:30" x14ac:dyDescent="0.15">
      <c r="B423" s="213">
        <v>17097009344</v>
      </c>
      <c r="C423" s="213">
        <v>17097007468</v>
      </c>
      <c r="D423" s="213">
        <v>17097007465</v>
      </c>
      <c r="E423" s="213" t="s">
        <v>533</v>
      </c>
      <c r="F423" s="213" t="s">
        <v>534</v>
      </c>
      <c r="G423" s="213" t="s">
        <v>373</v>
      </c>
      <c r="H423" s="213" t="s">
        <v>382</v>
      </c>
      <c r="I423" s="213"/>
      <c r="J423" s="213" t="s">
        <v>547</v>
      </c>
      <c r="K423" s="213"/>
      <c r="L423" s="213"/>
      <c r="M423" s="213"/>
      <c r="N423" s="213"/>
      <c r="O423" s="213"/>
      <c r="P423" s="213"/>
      <c r="Q423" s="213"/>
      <c r="R423" s="213"/>
      <c r="S423" s="213" t="s">
        <v>608</v>
      </c>
      <c r="T423" s="213"/>
      <c r="U423" s="213" t="s">
        <v>538</v>
      </c>
      <c r="V423" s="213">
        <v>2</v>
      </c>
      <c r="W423" s="213" t="s">
        <v>566</v>
      </c>
      <c r="X423" s="213" t="s">
        <v>549</v>
      </c>
      <c r="Y423" s="213" t="s">
        <v>549</v>
      </c>
      <c r="Z423" s="212">
        <v>10671</v>
      </c>
      <c r="AA423" s="212">
        <v>940168</v>
      </c>
      <c r="AB423" s="217">
        <v>0.39132800000000001</v>
      </c>
      <c r="AC423" s="217">
        <v>0.62978299999999998</v>
      </c>
      <c r="AD423" s="212">
        <f t="shared" si="6"/>
        <v>367914.063104</v>
      </c>
    </row>
    <row r="424" spans="2:30" x14ac:dyDescent="0.15">
      <c r="B424" s="213">
        <v>17097009349</v>
      </c>
      <c r="C424" s="213">
        <v>17097004520</v>
      </c>
      <c r="D424" s="213">
        <v>17097007468</v>
      </c>
      <c r="E424" s="213" t="s">
        <v>533</v>
      </c>
      <c r="F424" s="213" t="s">
        <v>534</v>
      </c>
      <c r="G424" s="213" t="s">
        <v>373</v>
      </c>
      <c r="H424" s="213" t="s">
        <v>382</v>
      </c>
      <c r="I424" s="213"/>
      <c r="J424" s="213" t="s">
        <v>547</v>
      </c>
      <c r="K424" s="213"/>
      <c r="L424" s="213"/>
      <c r="M424" s="213"/>
      <c r="N424" s="213"/>
      <c r="O424" s="213"/>
      <c r="P424" s="213"/>
      <c r="Q424" s="213"/>
      <c r="R424" s="213"/>
      <c r="S424" s="213" t="s">
        <v>608</v>
      </c>
      <c r="T424" s="213"/>
      <c r="U424" s="213" t="s">
        <v>538</v>
      </c>
      <c r="V424" s="213">
        <v>2</v>
      </c>
      <c r="W424" s="213" t="s">
        <v>566</v>
      </c>
      <c r="X424" s="213" t="s">
        <v>549</v>
      </c>
      <c r="Y424" s="213" t="s">
        <v>549</v>
      </c>
      <c r="Z424" s="212">
        <v>10671</v>
      </c>
      <c r="AA424" s="212">
        <v>940168</v>
      </c>
      <c r="AB424" s="217">
        <v>0.170735</v>
      </c>
      <c r="AC424" s="217">
        <v>0.27477099999999999</v>
      </c>
      <c r="AD424" s="212">
        <f t="shared" si="6"/>
        <v>160519.58348</v>
      </c>
    </row>
    <row r="425" spans="2:30" x14ac:dyDescent="0.15">
      <c r="B425" s="213">
        <v>17097009356</v>
      </c>
      <c r="C425" s="213">
        <v>17097004549</v>
      </c>
      <c r="D425" s="213">
        <v>17097007475</v>
      </c>
      <c r="E425" s="213" t="s">
        <v>533</v>
      </c>
      <c r="F425" s="213" t="s">
        <v>534</v>
      </c>
      <c r="G425" s="213" t="s">
        <v>373</v>
      </c>
      <c r="H425" s="213" t="s">
        <v>382</v>
      </c>
      <c r="I425" s="213"/>
      <c r="J425" s="213" t="s">
        <v>535</v>
      </c>
      <c r="K425" s="213"/>
      <c r="L425" s="213"/>
      <c r="M425" s="213"/>
      <c r="N425" s="213"/>
      <c r="O425" s="213"/>
      <c r="P425" s="213"/>
      <c r="Q425" s="213"/>
      <c r="R425" s="213"/>
      <c r="S425" s="213"/>
      <c r="T425" s="213"/>
      <c r="U425" s="213" t="s">
        <v>559</v>
      </c>
      <c r="V425" s="213">
        <v>1</v>
      </c>
      <c r="W425" s="213" t="s">
        <v>560</v>
      </c>
      <c r="X425" s="213" t="s">
        <v>541</v>
      </c>
      <c r="Y425" s="213" t="s">
        <v>541</v>
      </c>
      <c r="Z425" s="212">
        <v>0</v>
      </c>
      <c r="AA425" s="212">
        <v>0</v>
      </c>
      <c r="AB425" s="217">
        <v>0.122694</v>
      </c>
      <c r="AC425" s="217">
        <v>0.19745699999999999</v>
      </c>
      <c r="AD425" s="212">
        <f t="shared" si="6"/>
        <v>0</v>
      </c>
    </row>
    <row r="426" spans="2:30" x14ac:dyDescent="0.15">
      <c r="B426" s="213">
        <v>17097009393</v>
      </c>
      <c r="C426" s="213">
        <v>17097004534</v>
      </c>
      <c r="D426" s="213">
        <v>17097007506</v>
      </c>
      <c r="E426" s="213" t="s">
        <v>533</v>
      </c>
      <c r="F426" s="213" t="s">
        <v>534</v>
      </c>
      <c r="G426" s="213" t="s">
        <v>373</v>
      </c>
      <c r="H426" s="213" t="s">
        <v>552</v>
      </c>
      <c r="I426" s="213"/>
      <c r="J426" s="213" t="s">
        <v>547</v>
      </c>
      <c r="K426" s="213" t="s">
        <v>563</v>
      </c>
      <c r="L426" s="213"/>
      <c r="M426" s="213"/>
      <c r="N426" s="213"/>
      <c r="O426" s="213"/>
      <c r="P426" s="213"/>
      <c r="Q426" s="213"/>
      <c r="R426" s="213"/>
      <c r="S426" s="213" t="s">
        <v>629</v>
      </c>
      <c r="T426" s="213"/>
      <c r="U426" s="213" t="s">
        <v>538</v>
      </c>
      <c r="V426" s="213">
        <v>1</v>
      </c>
      <c r="W426" s="213" t="s">
        <v>582</v>
      </c>
      <c r="X426" s="213" t="s">
        <v>540</v>
      </c>
      <c r="Y426" s="213" t="s">
        <v>554</v>
      </c>
      <c r="Z426" s="212">
        <v>21588</v>
      </c>
      <c r="AA426" s="212">
        <v>1927380</v>
      </c>
      <c r="AB426" s="217">
        <v>0.30332999999999999</v>
      </c>
      <c r="AC426" s="217">
        <v>0.48816300000000001</v>
      </c>
      <c r="AD426" s="212">
        <f t="shared" si="6"/>
        <v>584632.17539999995</v>
      </c>
    </row>
    <row r="427" spans="2:30" x14ac:dyDescent="0.15">
      <c r="B427" s="213">
        <v>17097009400</v>
      </c>
      <c r="C427" s="213">
        <v>17097004557</v>
      </c>
      <c r="D427" s="213">
        <v>17097007511</v>
      </c>
      <c r="E427" s="213" t="s">
        <v>533</v>
      </c>
      <c r="F427" s="213" t="s">
        <v>534</v>
      </c>
      <c r="G427" s="213" t="s">
        <v>373</v>
      </c>
      <c r="H427" s="213" t="s">
        <v>535</v>
      </c>
      <c r="I427" s="213"/>
      <c r="J427" s="213" t="s">
        <v>547</v>
      </c>
      <c r="K427" s="213"/>
      <c r="L427" s="213"/>
      <c r="M427" s="213"/>
      <c r="N427" s="213"/>
      <c r="O427" s="213"/>
      <c r="P427" s="213"/>
      <c r="Q427" s="213"/>
      <c r="R427" s="213"/>
      <c r="S427" s="213" t="s">
        <v>548</v>
      </c>
      <c r="T427" s="213"/>
      <c r="U427" s="213" t="s">
        <v>538</v>
      </c>
      <c r="V427" s="213">
        <v>1</v>
      </c>
      <c r="W427" s="213" t="s">
        <v>545</v>
      </c>
      <c r="X427" s="213" t="s">
        <v>549</v>
      </c>
      <c r="Y427" s="213" t="s">
        <v>546</v>
      </c>
      <c r="Z427" s="212">
        <v>371672</v>
      </c>
      <c r="AA427" s="212">
        <v>23230333</v>
      </c>
      <c r="AB427" s="217">
        <v>1.3640239999999999</v>
      </c>
      <c r="AC427" s="217">
        <v>2.1951890000000001</v>
      </c>
      <c r="AD427" s="212">
        <f t="shared" si="6"/>
        <v>31686731.739991996</v>
      </c>
    </row>
    <row r="428" spans="2:30" x14ac:dyDescent="0.15">
      <c r="B428" s="213">
        <v>17097009409</v>
      </c>
      <c r="C428" s="213">
        <v>17097007520</v>
      </c>
      <c r="D428" s="213">
        <v>17097004562</v>
      </c>
      <c r="E428" s="213" t="s">
        <v>533</v>
      </c>
      <c r="F428" s="213" t="s">
        <v>534</v>
      </c>
      <c r="G428" s="213" t="s">
        <v>373</v>
      </c>
      <c r="H428" s="213" t="s">
        <v>535</v>
      </c>
      <c r="I428" s="213"/>
      <c r="J428" s="213" t="s">
        <v>547</v>
      </c>
      <c r="K428" s="213"/>
      <c r="L428" s="213"/>
      <c r="M428" s="213"/>
      <c r="N428" s="213"/>
      <c r="O428" s="213"/>
      <c r="P428" s="213"/>
      <c r="Q428" s="213"/>
      <c r="R428" s="213"/>
      <c r="S428" s="213" t="s">
        <v>548</v>
      </c>
      <c r="T428" s="213"/>
      <c r="U428" s="213" t="s">
        <v>538</v>
      </c>
      <c r="V428" s="213">
        <v>3</v>
      </c>
      <c r="W428" s="213" t="s">
        <v>545</v>
      </c>
      <c r="X428" s="213" t="s">
        <v>549</v>
      </c>
      <c r="Y428" s="213" t="s">
        <v>546</v>
      </c>
      <c r="Z428" s="212">
        <v>374009</v>
      </c>
      <c r="AA428" s="212">
        <v>22824039</v>
      </c>
      <c r="AB428" s="217">
        <v>0.18542400000000001</v>
      </c>
      <c r="AC428" s="217">
        <v>0.29841200000000001</v>
      </c>
      <c r="AD428" s="212">
        <f t="shared" si="6"/>
        <v>4232124.6075360002</v>
      </c>
    </row>
    <row r="429" spans="2:30" x14ac:dyDescent="0.15">
      <c r="B429" s="213">
        <v>17097009411</v>
      </c>
      <c r="C429" s="213">
        <v>17097004540</v>
      </c>
      <c r="D429" s="213">
        <v>17097007522</v>
      </c>
      <c r="E429" s="213" t="s">
        <v>533</v>
      </c>
      <c r="F429" s="213" t="s">
        <v>534</v>
      </c>
      <c r="G429" s="213" t="s">
        <v>373</v>
      </c>
      <c r="H429" s="213" t="s">
        <v>552</v>
      </c>
      <c r="I429" s="213"/>
      <c r="J429" s="213" t="s">
        <v>542</v>
      </c>
      <c r="K429" s="213"/>
      <c r="L429" s="213"/>
      <c r="M429" s="213"/>
      <c r="N429" s="213"/>
      <c r="O429" s="213"/>
      <c r="P429" s="213"/>
      <c r="Q429" s="213"/>
      <c r="R429" s="213"/>
      <c r="S429" s="213" t="s">
        <v>564</v>
      </c>
      <c r="T429" s="213"/>
      <c r="U429" s="213" t="s">
        <v>538</v>
      </c>
      <c r="V429" s="213">
        <v>2</v>
      </c>
      <c r="W429" s="213" t="s">
        <v>545</v>
      </c>
      <c r="X429" s="213" t="s">
        <v>549</v>
      </c>
      <c r="Y429" s="213" t="s">
        <v>549</v>
      </c>
      <c r="Z429" s="212">
        <v>423217</v>
      </c>
      <c r="AA429" s="212">
        <v>26259270</v>
      </c>
      <c r="AB429" s="217">
        <v>1.454879</v>
      </c>
      <c r="AC429" s="217">
        <v>2.341405</v>
      </c>
      <c r="AD429" s="212">
        <f t="shared" si="6"/>
        <v>38204060.478330001</v>
      </c>
    </row>
    <row r="430" spans="2:30" x14ac:dyDescent="0.15">
      <c r="B430" s="213">
        <v>17097009434</v>
      </c>
      <c r="C430" s="213">
        <v>17097007541</v>
      </c>
      <c r="D430" s="213">
        <v>17097004545</v>
      </c>
      <c r="E430" s="213" t="s">
        <v>533</v>
      </c>
      <c r="F430" s="213" t="s">
        <v>534</v>
      </c>
      <c r="G430" s="213" t="s">
        <v>373</v>
      </c>
      <c r="H430" s="213" t="s">
        <v>382</v>
      </c>
      <c r="I430" s="213"/>
      <c r="J430" s="213"/>
      <c r="K430" s="213"/>
      <c r="L430" s="213"/>
      <c r="M430" s="213"/>
      <c r="N430" s="213"/>
      <c r="O430" s="213"/>
      <c r="P430" s="213"/>
      <c r="Q430" s="213"/>
      <c r="R430" s="213"/>
      <c r="S430" s="213" t="s">
        <v>586</v>
      </c>
      <c r="T430" s="213"/>
      <c r="U430" s="213" t="s">
        <v>538</v>
      </c>
      <c r="V430" s="213">
        <v>2</v>
      </c>
      <c r="W430" s="213" t="s">
        <v>582</v>
      </c>
      <c r="X430" s="213" t="s">
        <v>549</v>
      </c>
      <c r="Y430" s="213" t="s">
        <v>549</v>
      </c>
      <c r="Z430" s="212">
        <v>75128</v>
      </c>
      <c r="AA430" s="212">
        <v>8087367</v>
      </c>
      <c r="AB430" s="217">
        <v>0.42982399999999998</v>
      </c>
      <c r="AC430" s="217">
        <v>0.69173600000000002</v>
      </c>
      <c r="AD430" s="212">
        <f t="shared" si="6"/>
        <v>3476144.433408</v>
      </c>
    </row>
    <row r="431" spans="2:30" x14ac:dyDescent="0.15">
      <c r="B431" s="213">
        <v>17111001978</v>
      </c>
      <c r="C431" s="213">
        <v>17111000112</v>
      </c>
      <c r="D431" s="213">
        <v>17111000081</v>
      </c>
      <c r="E431" s="213" t="s">
        <v>533</v>
      </c>
      <c r="F431" s="213" t="s">
        <v>534</v>
      </c>
      <c r="G431" s="213" t="s">
        <v>375</v>
      </c>
      <c r="H431" s="213" t="s">
        <v>382</v>
      </c>
      <c r="I431" s="213"/>
      <c r="J431" s="213" t="s">
        <v>547</v>
      </c>
      <c r="K431" s="213"/>
      <c r="L431" s="213"/>
      <c r="M431" s="213"/>
      <c r="N431" s="213"/>
      <c r="O431" s="213"/>
      <c r="P431" s="213"/>
      <c r="Q431" s="213"/>
      <c r="R431" s="213"/>
      <c r="S431" s="213" t="s">
        <v>376</v>
      </c>
      <c r="T431" s="213"/>
      <c r="U431" s="213" t="s">
        <v>538</v>
      </c>
      <c r="V431" s="213">
        <v>1</v>
      </c>
      <c r="W431" s="213" t="s">
        <v>562</v>
      </c>
      <c r="X431" s="213" t="s">
        <v>540</v>
      </c>
      <c r="Y431" s="213" t="s">
        <v>541</v>
      </c>
      <c r="Z431" s="212">
        <v>0</v>
      </c>
      <c r="AA431" s="212">
        <v>0</v>
      </c>
      <c r="AB431" s="217">
        <v>2.5746950000000002</v>
      </c>
      <c r="AC431" s="217">
        <v>4.1435779999999998</v>
      </c>
      <c r="AD431" s="212">
        <f t="shared" si="6"/>
        <v>0</v>
      </c>
    </row>
    <row r="432" spans="2:30" x14ac:dyDescent="0.15">
      <c r="B432" s="213">
        <v>17111001980</v>
      </c>
      <c r="C432" s="213">
        <v>17111000058</v>
      </c>
      <c r="D432" s="213">
        <v>17111000050</v>
      </c>
      <c r="E432" s="213" t="s">
        <v>533</v>
      </c>
      <c r="F432" s="213" t="s">
        <v>534</v>
      </c>
      <c r="G432" s="213" t="s">
        <v>375</v>
      </c>
      <c r="H432" s="213" t="s">
        <v>382</v>
      </c>
      <c r="I432" s="213"/>
      <c r="J432" s="213"/>
      <c r="K432" s="213"/>
      <c r="L432" s="213"/>
      <c r="M432" s="213"/>
      <c r="N432" s="213"/>
      <c r="O432" s="213"/>
      <c r="P432" s="213"/>
      <c r="Q432" s="213"/>
      <c r="R432" s="213"/>
      <c r="S432" s="213" t="s">
        <v>376</v>
      </c>
      <c r="T432" s="213"/>
      <c r="U432" s="213" t="s">
        <v>538</v>
      </c>
      <c r="V432" s="213">
        <v>1</v>
      </c>
      <c r="W432" s="213" t="s">
        <v>539</v>
      </c>
      <c r="X432" s="213" t="s">
        <v>541</v>
      </c>
      <c r="Y432" s="213" t="s">
        <v>541</v>
      </c>
      <c r="Z432" s="212">
        <v>0</v>
      </c>
      <c r="AA432" s="212">
        <v>0</v>
      </c>
      <c r="AB432" s="217">
        <v>3.4319920000000002</v>
      </c>
      <c r="AC432" s="217">
        <v>5.5232669999999997</v>
      </c>
      <c r="AD432" s="212">
        <f t="shared" si="6"/>
        <v>0</v>
      </c>
    </row>
    <row r="433" spans="2:30" x14ac:dyDescent="0.15">
      <c r="B433" s="213">
        <v>17111002163</v>
      </c>
      <c r="C433" s="213">
        <v>17111000120</v>
      </c>
      <c r="D433" s="213">
        <v>17111000114</v>
      </c>
      <c r="E433" s="213" t="s">
        <v>533</v>
      </c>
      <c r="F433" s="213" t="s">
        <v>534</v>
      </c>
      <c r="G433" s="213" t="s">
        <v>375</v>
      </c>
      <c r="H433" s="213" t="s">
        <v>382</v>
      </c>
      <c r="I433" s="213"/>
      <c r="J433" s="213" t="s">
        <v>547</v>
      </c>
      <c r="K433" s="213"/>
      <c r="L433" s="213"/>
      <c r="M433" s="213"/>
      <c r="N433" s="213"/>
      <c r="O433" s="213"/>
      <c r="P433" s="213"/>
      <c r="Q433" s="213"/>
      <c r="R433" s="213"/>
      <c r="S433" s="213" t="s">
        <v>608</v>
      </c>
      <c r="T433" s="213"/>
      <c r="U433" s="213" t="s">
        <v>538</v>
      </c>
      <c r="V433" s="213">
        <v>2</v>
      </c>
      <c r="W433" s="213" t="s">
        <v>566</v>
      </c>
      <c r="X433" s="213" t="s">
        <v>549</v>
      </c>
      <c r="Y433" s="213" t="s">
        <v>549</v>
      </c>
      <c r="Z433" s="212">
        <v>10671</v>
      </c>
      <c r="AA433" s="212">
        <v>940168</v>
      </c>
      <c r="AB433" s="217">
        <v>0.38755600000000001</v>
      </c>
      <c r="AC433" s="217">
        <v>0.62371200000000004</v>
      </c>
      <c r="AD433" s="212">
        <f t="shared" si="6"/>
        <v>364367.74940800003</v>
      </c>
    </row>
    <row r="434" spans="2:30" x14ac:dyDescent="0.15">
      <c r="B434" s="213">
        <v>17111002545</v>
      </c>
      <c r="C434" s="213">
        <v>17111004829</v>
      </c>
      <c r="D434" s="213">
        <v>17111000032</v>
      </c>
      <c r="E434" s="213" t="s">
        <v>533</v>
      </c>
      <c r="F434" s="213" t="s">
        <v>534</v>
      </c>
      <c r="G434" s="213" t="s">
        <v>375</v>
      </c>
      <c r="H434" s="213" t="s">
        <v>563</v>
      </c>
      <c r="I434" s="213"/>
      <c r="J434" s="213"/>
      <c r="K434" s="213"/>
      <c r="L434" s="213"/>
      <c r="M434" s="213"/>
      <c r="N434" s="213"/>
      <c r="O434" s="213"/>
      <c r="P434" s="213"/>
      <c r="Q434" s="213"/>
      <c r="R434" s="213"/>
      <c r="S434" s="213" t="s">
        <v>629</v>
      </c>
      <c r="T434" s="213"/>
      <c r="U434" s="213" t="s">
        <v>538</v>
      </c>
      <c r="V434" s="213">
        <v>1</v>
      </c>
      <c r="W434" s="213" t="s">
        <v>562</v>
      </c>
      <c r="X434" s="213" t="s">
        <v>554</v>
      </c>
      <c r="Y434" s="213" t="s">
        <v>554</v>
      </c>
      <c r="Z434" s="212">
        <v>21068</v>
      </c>
      <c r="AA434" s="212">
        <v>1878340</v>
      </c>
      <c r="AB434" s="217">
        <v>1.6306719999999999</v>
      </c>
      <c r="AC434" s="217">
        <v>2.624317</v>
      </c>
      <c r="AD434" s="212">
        <f t="shared" si="6"/>
        <v>3062956.4444799996</v>
      </c>
    </row>
    <row r="435" spans="2:30" x14ac:dyDescent="0.15">
      <c r="B435" s="213">
        <v>17111002547</v>
      </c>
      <c r="C435" s="213">
        <v>17111000081</v>
      </c>
      <c r="D435" s="213">
        <v>17111000058</v>
      </c>
      <c r="E435" s="213" t="s">
        <v>533</v>
      </c>
      <c r="F435" s="213" t="s">
        <v>534</v>
      </c>
      <c r="G435" s="213" t="s">
        <v>375</v>
      </c>
      <c r="H435" s="213" t="s">
        <v>382</v>
      </c>
      <c r="I435" s="213"/>
      <c r="J435" s="213" t="s">
        <v>547</v>
      </c>
      <c r="K435" s="213"/>
      <c r="L435" s="213"/>
      <c r="M435" s="213"/>
      <c r="N435" s="213"/>
      <c r="O435" s="213"/>
      <c r="P435" s="213"/>
      <c r="Q435" s="213"/>
      <c r="R435" s="213"/>
      <c r="S435" s="213" t="s">
        <v>376</v>
      </c>
      <c r="T435" s="213"/>
      <c r="U435" s="213" t="s">
        <v>538</v>
      </c>
      <c r="V435" s="213">
        <v>1</v>
      </c>
      <c r="W435" s="213" t="s">
        <v>562</v>
      </c>
      <c r="X435" s="213" t="s">
        <v>540</v>
      </c>
      <c r="Y435" s="213" t="s">
        <v>541</v>
      </c>
      <c r="Z435" s="212">
        <v>0</v>
      </c>
      <c r="AA435" s="212">
        <v>0</v>
      </c>
      <c r="AB435" s="217">
        <v>4.6153230000000001</v>
      </c>
      <c r="AC435" s="217">
        <v>7.4276580000000001</v>
      </c>
      <c r="AD435" s="212">
        <f t="shared" si="6"/>
        <v>0</v>
      </c>
    </row>
    <row r="436" spans="2:30" x14ac:dyDescent="0.15">
      <c r="B436" s="213">
        <v>17111002554</v>
      </c>
      <c r="C436" s="213">
        <v>17111000114</v>
      </c>
      <c r="D436" s="213">
        <v>17111000115</v>
      </c>
      <c r="E436" s="213" t="s">
        <v>533</v>
      </c>
      <c r="F436" s="213" t="s">
        <v>534</v>
      </c>
      <c r="G436" s="213" t="s">
        <v>375</v>
      </c>
      <c r="H436" s="213" t="s">
        <v>382</v>
      </c>
      <c r="I436" s="213"/>
      <c r="J436" s="213" t="s">
        <v>547</v>
      </c>
      <c r="K436" s="213"/>
      <c r="L436" s="213"/>
      <c r="M436" s="213"/>
      <c r="N436" s="213"/>
      <c r="O436" s="213"/>
      <c r="P436" s="213"/>
      <c r="Q436" s="213"/>
      <c r="R436" s="213"/>
      <c r="S436" s="213" t="s">
        <v>608</v>
      </c>
      <c r="T436" s="213"/>
      <c r="U436" s="213" t="s">
        <v>538</v>
      </c>
      <c r="V436" s="213">
        <v>2</v>
      </c>
      <c r="W436" s="213" t="s">
        <v>566</v>
      </c>
      <c r="X436" s="213" t="s">
        <v>549</v>
      </c>
      <c r="Y436" s="213" t="s">
        <v>549</v>
      </c>
      <c r="Z436" s="212">
        <v>10111</v>
      </c>
      <c r="AA436" s="212">
        <v>889728</v>
      </c>
      <c r="AB436" s="217">
        <v>7.0084999999999995E-2</v>
      </c>
      <c r="AC436" s="217">
        <v>0.112791</v>
      </c>
      <c r="AD436" s="212">
        <f t="shared" si="6"/>
        <v>62356.586879999995</v>
      </c>
    </row>
    <row r="437" spans="2:30" x14ac:dyDescent="0.15">
      <c r="B437" s="213">
        <v>17111002567</v>
      </c>
      <c r="C437" s="213">
        <v>17111004833</v>
      </c>
      <c r="D437" s="213">
        <v>17111000187</v>
      </c>
      <c r="E437" s="213" t="s">
        <v>533</v>
      </c>
      <c r="F437" s="213" t="s">
        <v>534</v>
      </c>
      <c r="G437" s="213" t="s">
        <v>375</v>
      </c>
      <c r="H437" s="213" t="s">
        <v>382</v>
      </c>
      <c r="I437" s="213"/>
      <c r="J437" s="213" t="s">
        <v>547</v>
      </c>
      <c r="K437" s="213"/>
      <c r="L437" s="213"/>
      <c r="M437" s="213"/>
      <c r="N437" s="213"/>
      <c r="O437" s="213"/>
      <c r="P437" s="213"/>
      <c r="Q437" s="213"/>
      <c r="R437" s="213"/>
      <c r="S437" s="213" t="s">
        <v>608</v>
      </c>
      <c r="T437" s="213"/>
      <c r="U437" s="213" t="s">
        <v>538</v>
      </c>
      <c r="V437" s="213">
        <v>2</v>
      </c>
      <c r="W437" s="213" t="s">
        <v>566</v>
      </c>
      <c r="X437" s="213" t="s">
        <v>549</v>
      </c>
      <c r="Y437" s="213" t="s">
        <v>549</v>
      </c>
      <c r="Z437" s="212">
        <v>10671</v>
      </c>
      <c r="AA437" s="212">
        <v>940168</v>
      </c>
      <c r="AB437" s="217">
        <v>1.357677</v>
      </c>
      <c r="AC437" s="217">
        <v>2.1849729999999998</v>
      </c>
      <c r="AD437" s="212">
        <f t="shared" si="6"/>
        <v>1276444.4697360001</v>
      </c>
    </row>
    <row r="438" spans="2:30" x14ac:dyDescent="0.15">
      <c r="B438" s="213">
        <v>17111002568</v>
      </c>
      <c r="C438" s="213">
        <v>17111004840</v>
      </c>
      <c r="D438" s="213">
        <v>17111000236</v>
      </c>
      <c r="E438" s="213" t="s">
        <v>533</v>
      </c>
      <c r="F438" s="213" t="s">
        <v>534</v>
      </c>
      <c r="G438" s="213" t="s">
        <v>375</v>
      </c>
      <c r="H438" s="213" t="s">
        <v>382</v>
      </c>
      <c r="I438" s="213"/>
      <c r="J438" s="213"/>
      <c r="K438" s="213"/>
      <c r="L438" s="213"/>
      <c r="M438" s="213"/>
      <c r="N438" s="213"/>
      <c r="O438" s="213"/>
      <c r="P438" s="213"/>
      <c r="Q438" s="213"/>
      <c r="R438" s="213"/>
      <c r="S438" s="213" t="s">
        <v>561</v>
      </c>
      <c r="T438" s="213"/>
      <c r="U438" s="213" t="s">
        <v>538</v>
      </c>
      <c r="V438" s="213">
        <v>1</v>
      </c>
      <c r="W438" s="213" t="s">
        <v>562</v>
      </c>
      <c r="X438" s="213" t="s">
        <v>540</v>
      </c>
      <c r="Y438" s="213" t="s">
        <v>541</v>
      </c>
      <c r="Z438" s="212">
        <v>12200</v>
      </c>
      <c r="AA438" s="212">
        <v>287800</v>
      </c>
      <c r="AB438" s="217">
        <v>0.96944600000000003</v>
      </c>
      <c r="AC438" s="217">
        <v>1.560176</v>
      </c>
      <c r="AD438" s="212">
        <f t="shared" si="6"/>
        <v>279006.5588</v>
      </c>
    </row>
    <row r="439" spans="2:30" x14ac:dyDescent="0.15">
      <c r="B439" s="213">
        <v>17111002576</v>
      </c>
      <c r="C439" s="213">
        <v>17111000187</v>
      </c>
      <c r="D439" s="213">
        <v>17111004835</v>
      </c>
      <c r="E439" s="213" t="s">
        <v>533</v>
      </c>
      <c r="F439" s="213" t="s">
        <v>534</v>
      </c>
      <c r="G439" s="213" t="s">
        <v>375</v>
      </c>
      <c r="H439" s="213" t="s">
        <v>382</v>
      </c>
      <c r="I439" s="213"/>
      <c r="J439" s="213" t="s">
        <v>547</v>
      </c>
      <c r="K439" s="213"/>
      <c r="L439" s="213"/>
      <c r="M439" s="213"/>
      <c r="N439" s="213"/>
      <c r="O439" s="213"/>
      <c r="P439" s="213"/>
      <c r="Q439" s="213"/>
      <c r="R439" s="213"/>
      <c r="S439" s="213" t="s">
        <v>608</v>
      </c>
      <c r="T439" s="213"/>
      <c r="U439" s="213" t="s">
        <v>538</v>
      </c>
      <c r="V439" s="213">
        <v>2</v>
      </c>
      <c r="W439" s="213" t="s">
        <v>566</v>
      </c>
      <c r="X439" s="213" t="s">
        <v>549</v>
      </c>
      <c r="Y439" s="213" t="s">
        <v>549</v>
      </c>
      <c r="Z439" s="212">
        <v>10671</v>
      </c>
      <c r="AA439" s="212">
        <v>940168</v>
      </c>
      <c r="AB439" s="217">
        <v>3.3840409999999999</v>
      </c>
      <c r="AC439" s="217">
        <v>5.446097</v>
      </c>
      <c r="AD439" s="212">
        <f t="shared" si="6"/>
        <v>3181567.058888</v>
      </c>
    </row>
    <row r="440" spans="2:30" x14ac:dyDescent="0.15">
      <c r="B440" s="213">
        <v>17111002619</v>
      </c>
      <c r="C440" s="213">
        <v>17111000138</v>
      </c>
      <c r="D440" s="213">
        <v>17111000120</v>
      </c>
      <c r="E440" s="213" t="s">
        <v>533</v>
      </c>
      <c r="F440" s="213" t="s">
        <v>534</v>
      </c>
      <c r="G440" s="213" t="s">
        <v>375</v>
      </c>
      <c r="H440" s="213" t="s">
        <v>382</v>
      </c>
      <c r="I440" s="213"/>
      <c r="J440" s="213" t="s">
        <v>547</v>
      </c>
      <c r="K440" s="213"/>
      <c r="L440" s="213"/>
      <c r="M440" s="213"/>
      <c r="N440" s="213"/>
      <c r="O440" s="213"/>
      <c r="P440" s="213"/>
      <c r="Q440" s="213"/>
      <c r="R440" s="213"/>
      <c r="S440" s="213" t="s">
        <v>608</v>
      </c>
      <c r="T440" s="213"/>
      <c r="U440" s="213" t="s">
        <v>538</v>
      </c>
      <c r="V440" s="213">
        <v>2</v>
      </c>
      <c r="W440" s="213" t="s">
        <v>566</v>
      </c>
      <c r="X440" s="213" t="s">
        <v>549</v>
      </c>
      <c r="Y440" s="213" t="s">
        <v>549</v>
      </c>
      <c r="Z440" s="212">
        <v>10671</v>
      </c>
      <c r="AA440" s="212">
        <v>940168</v>
      </c>
      <c r="AB440" s="217">
        <v>0.58086099999999996</v>
      </c>
      <c r="AC440" s="217">
        <v>0.93480700000000005</v>
      </c>
      <c r="AD440" s="212">
        <f t="shared" si="6"/>
        <v>546106.92464799993</v>
      </c>
    </row>
    <row r="441" spans="2:30" x14ac:dyDescent="0.15">
      <c r="B441" s="213">
        <v>17111005952</v>
      </c>
      <c r="C441" s="213">
        <v>17111004831</v>
      </c>
      <c r="D441" s="213">
        <v>17111000138</v>
      </c>
      <c r="E441" s="213" t="s">
        <v>533</v>
      </c>
      <c r="F441" s="213" t="s">
        <v>534</v>
      </c>
      <c r="G441" s="213" t="s">
        <v>375</v>
      </c>
      <c r="H441" s="213" t="s">
        <v>382</v>
      </c>
      <c r="I441" s="213"/>
      <c r="J441" s="213"/>
      <c r="K441" s="213"/>
      <c r="L441" s="213"/>
      <c r="M441" s="213"/>
      <c r="N441" s="213"/>
      <c r="O441" s="213"/>
      <c r="P441" s="213"/>
      <c r="Q441" s="213"/>
      <c r="R441" s="213"/>
      <c r="S441" s="213" t="s">
        <v>620</v>
      </c>
      <c r="T441" s="213"/>
      <c r="U441" s="213" t="s">
        <v>559</v>
      </c>
      <c r="V441" s="213">
        <v>1</v>
      </c>
      <c r="W441" s="213" t="s">
        <v>560</v>
      </c>
      <c r="X441" s="213" t="s">
        <v>541</v>
      </c>
      <c r="Y441" s="213" t="s">
        <v>541</v>
      </c>
      <c r="Z441" s="212">
        <v>0</v>
      </c>
      <c r="AA441" s="212">
        <v>0</v>
      </c>
      <c r="AB441" s="217">
        <v>0.68539700000000003</v>
      </c>
      <c r="AC441" s="217">
        <v>1.1030420000000001</v>
      </c>
      <c r="AD441" s="212">
        <f t="shared" si="6"/>
        <v>0</v>
      </c>
    </row>
    <row r="442" spans="2:30" x14ac:dyDescent="0.15">
      <c r="B442" s="213">
        <v>17197002052</v>
      </c>
      <c r="C442" s="213">
        <v>17197001700</v>
      </c>
      <c r="D442" s="213">
        <v>17197001626</v>
      </c>
      <c r="E442" s="213" t="s">
        <v>533</v>
      </c>
      <c r="F442" s="213" t="s">
        <v>534</v>
      </c>
      <c r="G442" s="213" t="s">
        <v>377</v>
      </c>
      <c r="H442" s="213" t="s">
        <v>535</v>
      </c>
      <c r="I442" s="213"/>
      <c r="J442" s="213" t="s">
        <v>542</v>
      </c>
      <c r="K442" s="213" t="s">
        <v>543</v>
      </c>
      <c r="L442" s="213"/>
      <c r="M442" s="213"/>
      <c r="N442" s="213"/>
      <c r="O442" s="213"/>
      <c r="P442" s="213"/>
      <c r="Q442" s="213"/>
      <c r="R442" s="213"/>
      <c r="S442" s="213" t="s">
        <v>544</v>
      </c>
      <c r="T442" s="213"/>
      <c r="U442" s="213" t="s">
        <v>538</v>
      </c>
      <c r="V442" s="213">
        <v>1</v>
      </c>
      <c r="W442" s="213" t="s">
        <v>545</v>
      </c>
      <c r="X442" s="213" t="s">
        <v>549</v>
      </c>
      <c r="Y442" s="213" t="s">
        <v>546</v>
      </c>
      <c r="Z442" s="212">
        <v>340397</v>
      </c>
      <c r="AA442" s="212">
        <v>20018462</v>
      </c>
      <c r="AB442" s="217">
        <v>6.7242449999999998</v>
      </c>
      <c r="AC442" s="217">
        <v>10.821645</v>
      </c>
      <c r="AD442" s="212">
        <f t="shared" si="6"/>
        <v>134609043.01119</v>
      </c>
    </row>
    <row r="443" spans="2:30" x14ac:dyDescent="0.15">
      <c r="B443" s="213">
        <v>17197002053</v>
      </c>
      <c r="C443" s="213">
        <v>17999025841</v>
      </c>
      <c r="D443" s="213">
        <v>17197001700</v>
      </c>
      <c r="E443" s="213" t="s">
        <v>533</v>
      </c>
      <c r="F443" s="213" t="s">
        <v>534</v>
      </c>
      <c r="G443" s="213" t="s">
        <v>377</v>
      </c>
      <c r="H443" s="213" t="s">
        <v>535</v>
      </c>
      <c r="I443" s="213"/>
      <c r="J443" s="213" t="s">
        <v>542</v>
      </c>
      <c r="K443" s="213" t="s">
        <v>543</v>
      </c>
      <c r="L443" s="213"/>
      <c r="M443" s="213"/>
      <c r="N443" s="213"/>
      <c r="O443" s="213"/>
      <c r="P443" s="213"/>
      <c r="Q443" s="213"/>
      <c r="R443" s="213"/>
      <c r="S443" s="213" t="s">
        <v>544</v>
      </c>
      <c r="T443" s="213"/>
      <c r="U443" s="213" t="s">
        <v>538</v>
      </c>
      <c r="V443" s="213">
        <v>1</v>
      </c>
      <c r="W443" s="213" t="s">
        <v>545</v>
      </c>
      <c r="X443" s="213" t="s">
        <v>549</v>
      </c>
      <c r="Y443" s="213" t="s">
        <v>546</v>
      </c>
      <c r="Z443" s="212">
        <v>340397</v>
      </c>
      <c r="AA443" s="212">
        <v>20018462</v>
      </c>
      <c r="AB443" s="217">
        <v>3.4634149999999999</v>
      </c>
      <c r="AC443" s="217">
        <v>5.5738370000000002</v>
      </c>
      <c r="AD443" s="212">
        <f t="shared" si="6"/>
        <v>69332241.567729995</v>
      </c>
    </row>
    <row r="444" spans="2:30" x14ac:dyDescent="0.15">
      <c r="B444" s="213">
        <v>17197002054</v>
      </c>
      <c r="C444" s="213">
        <v>17999025721</v>
      </c>
      <c r="D444" s="213">
        <v>17197001702</v>
      </c>
      <c r="E444" s="213" t="s">
        <v>533</v>
      </c>
      <c r="F444" s="213" t="s">
        <v>534</v>
      </c>
      <c r="G444" s="213" t="s">
        <v>377</v>
      </c>
      <c r="H444" s="213" t="s">
        <v>381</v>
      </c>
      <c r="I444" s="213"/>
      <c r="J444" s="213" t="s">
        <v>382</v>
      </c>
      <c r="K444" s="213"/>
      <c r="L444" s="213"/>
      <c r="M444" s="213"/>
      <c r="N444" s="213"/>
      <c r="O444" s="213"/>
      <c r="P444" s="213"/>
      <c r="Q444" s="213"/>
      <c r="R444" s="213"/>
      <c r="S444" s="213" t="s">
        <v>647</v>
      </c>
      <c r="T444" s="213"/>
      <c r="U444" s="213" t="s">
        <v>538</v>
      </c>
      <c r="V444" s="213">
        <v>1</v>
      </c>
      <c r="W444" s="213" t="s">
        <v>582</v>
      </c>
      <c r="X444" s="213" t="s">
        <v>549</v>
      </c>
      <c r="Y444" s="213" t="s">
        <v>580</v>
      </c>
      <c r="Z444" s="212">
        <v>2060539</v>
      </c>
      <c r="AA444" s="212">
        <v>51737805</v>
      </c>
      <c r="AB444" s="217">
        <v>2.1939679999999999</v>
      </c>
      <c r="AC444" s="217">
        <v>3.530856</v>
      </c>
      <c r="AD444" s="212">
        <f t="shared" si="6"/>
        <v>113511088.56024</v>
      </c>
    </row>
    <row r="445" spans="2:30" x14ac:dyDescent="0.15">
      <c r="B445" s="213">
        <v>17197002068</v>
      </c>
      <c r="C445" s="213">
        <v>17197001638</v>
      </c>
      <c r="D445" s="213">
        <v>17197001606</v>
      </c>
      <c r="E445" s="213" t="s">
        <v>533</v>
      </c>
      <c r="F445" s="213" t="s">
        <v>534</v>
      </c>
      <c r="G445" s="213" t="s">
        <v>377</v>
      </c>
      <c r="H445" s="213" t="s">
        <v>382</v>
      </c>
      <c r="I445" s="213"/>
      <c r="J445" s="213" t="s">
        <v>551</v>
      </c>
      <c r="K445" s="213" t="s">
        <v>555</v>
      </c>
      <c r="L445" s="213"/>
      <c r="M445" s="213"/>
      <c r="N445" s="213"/>
      <c r="O445" s="213"/>
      <c r="P445" s="213"/>
      <c r="Q445" s="213"/>
      <c r="R445" s="213"/>
      <c r="S445" s="213" t="s">
        <v>556</v>
      </c>
      <c r="T445" s="213"/>
      <c r="U445" s="213" t="s">
        <v>538</v>
      </c>
      <c r="V445" s="213">
        <v>2</v>
      </c>
      <c r="W445" s="213" t="s">
        <v>545</v>
      </c>
      <c r="X445" s="213" t="s">
        <v>540</v>
      </c>
      <c r="Y445" s="213" t="s">
        <v>580</v>
      </c>
      <c r="Z445" s="212">
        <v>687866</v>
      </c>
      <c r="AA445" s="212">
        <v>29191196</v>
      </c>
      <c r="AB445" s="217">
        <v>3.7811849999999998</v>
      </c>
      <c r="AC445" s="217">
        <v>6.0852399999999998</v>
      </c>
      <c r="AD445" s="212">
        <f t="shared" si="6"/>
        <v>110377312.44725999</v>
      </c>
    </row>
    <row r="446" spans="2:30" x14ac:dyDescent="0.15">
      <c r="B446" s="213">
        <v>17197002264</v>
      </c>
      <c r="C446" s="213">
        <v>17197001399</v>
      </c>
      <c r="D446" s="213">
        <v>17197007173</v>
      </c>
      <c r="E446" s="213" t="s">
        <v>533</v>
      </c>
      <c r="F446" s="213" t="s">
        <v>534</v>
      </c>
      <c r="G446" s="213" t="s">
        <v>377</v>
      </c>
      <c r="H446" s="213" t="s">
        <v>381</v>
      </c>
      <c r="I446" s="213"/>
      <c r="J446" s="213" t="s">
        <v>382</v>
      </c>
      <c r="K446" s="213"/>
      <c r="L446" s="213"/>
      <c r="M446" s="213"/>
      <c r="N446" s="213"/>
      <c r="O446" s="213"/>
      <c r="P446" s="213"/>
      <c r="Q446" s="213"/>
      <c r="R446" s="213"/>
      <c r="S446" s="213" t="s">
        <v>647</v>
      </c>
      <c r="T446" s="213"/>
      <c r="U446" s="213" t="s">
        <v>538</v>
      </c>
      <c r="V446" s="213">
        <v>2</v>
      </c>
      <c r="W446" s="213" t="s">
        <v>545</v>
      </c>
      <c r="X446" s="213" t="s">
        <v>549</v>
      </c>
      <c r="Y446" s="213" t="s">
        <v>580</v>
      </c>
      <c r="Z446" s="212">
        <v>1669317</v>
      </c>
      <c r="AA446" s="212">
        <v>43895235</v>
      </c>
      <c r="AB446" s="217">
        <v>1.5285899999999999</v>
      </c>
      <c r="AC446" s="217">
        <v>2.4600309999999999</v>
      </c>
      <c r="AD446" s="212">
        <f t="shared" si="6"/>
        <v>67097817.268649995</v>
      </c>
    </row>
    <row r="447" spans="2:30" x14ac:dyDescent="0.15">
      <c r="B447" s="213">
        <v>17197002266</v>
      </c>
      <c r="C447" s="213">
        <v>17197001463</v>
      </c>
      <c r="D447" s="213">
        <v>17197001440</v>
      </c>
      <c r="E447" s="213" t="s">
        <v>533</v>
      </c>
      <c r="F447" s="213" t="s">
        <v>534</v>
      </c>
      <c r="G447" s="213" t="s">
        <v>377</v>
      </c>
      <c r="H447" s="213" t="s">
        <v>381</v>
      </c>
      <c r="I447" s="213"/>
      <c r="J447" s="213" t="s">
        <v>382</v>
      </c>
      <c r="K447" s="213"/>
      <c r="L447" s="213"/>
      <c r="M447" s="213"/>
      <c r="N447" s="213"/>
      <c r="O447" s="213"/>
      <c r="P447" s="213"/>
      <c r="Q447" s="213"/>
      <c r="R447" s="213"/>
      <c r="S447" s="213" t="s">
        <v>647</v>
      </c>
      <c r="T447" s="213"/>
      <c r="U447" s="213" t="s">
        <v>538</v>
      </c>
      <c r="V447" s="213">
        <v>2</v>
      </c>
      <c r="W447" s="213" t="s">
        <v>545</v>
      </c>
      <c r="X447" s="213" t="s">
        <v>549</v>
      </c>
      <c r="Y447" s="213" t="s">
        <v>580</v>
      </c>
      <c r="Z447" s="212">
        <v>1669237</v>
      </c>
      <c r="AA447" s="212">
        <v>43886595</v>
      </c>
      <c r="AB447" s="217">
        <v>2.8776079999999999</v>
      </c>
      <c r="AC447" s="217">
        <v>4.6310700000000002</v>
      </c>
      <c r="AD447" s="212">
        <f t="shared" si="6"/>
        <v>126288416.86476</v>
      </c>
    </row>
    <row r="448" spans="2:30" x14ac:dyDescent="0.15">
      <c r="B448" s="213">
        <v>17197002269</v>
      </c>
      <c r="C448" s="213">
        <v>17197006595</v>
      </c>
      <c r="D448" s="213">
        <v>17197004806</v>
      </c>
      <c r="E448" s="213" t="s">
        <v>533</v>
      </c>
      <c r="F448" s="213" t="s">
        <v>534</v>
      </c>
      <c r="G448" s="213" t="s">
        <v>377</v>
      </c>
      <c r="H448" s="213" t="s">
        <v>381</v>
      </c>
      <c r="I448" s="213"/>
      <c r="J448" s="213" t="s">
        <v>382</v>
      </c>
      <c r="K448" s="213"/>
      <c r="L448" s="213"/>
      <c r="M448" s="213"/>
      <c r="N448" s="213"/>
      <c r="O448" s="213"/>
      <c r="P448" s="213"/>
      <c r="Q448" s="213"/>
      <c r="R448" s="213"/>
      <c r="S448" s="213" t="s">
        <v>647</v>
      </c>
      <c r="T448" s="213" t="s">
        <v>705</v>
      </c>
      <c r="U448" s="213" t="s">
        <v>538</v>
      </c>
      <c r="V448" s="213">
        <v>2</v>
      </c>
      <c r="W448" s="213" t="s">
        <v>545</v>
      </c>
      <c r="X448" s="213" t="s">
        <v>540</v>
      </c>
      <c r="Y448" s="213" t="s">
        <v>580</v>
      </c>
      <c r="Z448" s="212">
        <v>1669393</v>
      </c>
      <c r="AA448" s="212">
        <v>43906463</v>
      </c>
      <c r="AB448" s="217">
        <v>0.28116000000000002</v>
      </c>
      <c r="AC448" s="217">
        <v>0.452484</v>
      </c>
      <c r="AD448" s="212">
        <f t="shared" si="6"/>
        <v>12344741.137080001</v>
      </c>
    </row>
    <row r="449" spans="2:30" x14ac:dyDescent="0.15">
      <c r="B449" s="213">
        <v>17197002270</v>
      </c>
      <c r="C449" s="213">
        <v>17197001492</v>
      </c>
      <c r="D449" s="213">
        <v>17197001481</v>
      </c>
      <c r="E449" s="213" t="s">
        <v>533</v>
      </c>
      <c r="F449" s="213" t="s">
        <v>534</v>
      </c>
      <c r="G449" s="213" t="s">
        <v>377</v>
      </c>
      <c r="H449" s="213" t="s">
        <v>535</v>
      </c>
      <c r="I449" s="213"/>
      <c r="J449" s="213" t="s">
        <v>382</v>
      </c>
      <c r="K449" s="213" t="s">
        <v>536</v>
      </c>
      <c r="L449" s="213"/>
      <c r="M449" s="213"/>
      <c r="N449" s="213"/>
      <c r="O449" s="213"/>
      <c r="P449" s="213"/>
      <c r="Q449" s="213"/>
      <c r="R449" s="213"/>
      <c r="S449" s="213" t="s">
        <v>537</v>
      </c>
      <c r="T449" s="213"/>
      <c r="U449" s="213" t="s">
        <v>538</v>
      </c>
      <c r="V449" s="213">
        <v>2</v>
      </c>
      <c r="W449" s="213" t="s">
        <v>545</v>
      </c>
      <c r="X449" s="213" t="s">
        <v>541</v>
      </c>
      <c r="Y449" s="213" t="s">
        <v>540</v>
      </c>
      <c r="Z449" s="212">
        <v>37528</v>
      </c>
      <c r="AA449" s="212">
        <v>3746654</v>
      </c>
      <c r="AB449" s="217">
        <v>0.33838099999999999</v>
      </c>
      <c r="AC449" s="217">
        <v>0.54457299999999997</v>
      </c>
      <c r="AD449" s="212">
        <f t="shared" si="6"/>
        <v>1267796.5271739999</v>
      </c>
    </row>
    <row r="450" spans="2:30" x14ac:dyDescent="0.15">
      <c r="B450" s="213">
        <v>17197002272</v>
      </c>
      <c r="C450" s="213">
        <v>17197001473</v>
      </c>
      <c r="D450" s="213">
        <v>17197001471</v>
      </c>
      <c r="E450" s="213" t="s">
        <v>533</v>
      </c>
      <c r="F450" s="213" t="s">
        <v>534</v>
      </c>
      <c r="G450" s="213" t="s">
        <v>377</v>
      </c>
      <c r="H450" s="213" t="s">
        <v>535</v>
      </c>
      <c r="I450" s="213"/>
      <c r="J450" s="213"/>
      <c r="K450" s="213"/>
      <c r="L450" s="213"/>
      <c r="M450" s="213"/>
      <c r="N450" s="213"/>
      <c r="O450" s="213"/>
      <c r="P450" s="213"/>
      <c r="Q450" s="213"/>
      <c r="R450" s="213"/>
      <c r="S450" s="213"/>
      <c r="T450" s="213"/>
      <c r="U450" s="213" t="s">
        <v>559</v>
      </c>
      <c r="V450" s="213">
        <v>1</v>
      </c>
      <c r="W450" s="213" t="s">
        <v>560</v>
      </c>
      <c r="X450" s="213" t="s">
        <v>541</v>
      </c>
      <c r="Y450" s="213" t="s">
        <v>541</v>
      </c>
      <c r="Z450" s="212">
        <v>4844</v>
      </c>
      <c r="AA450" s="212">
        <v>446984</v>
      </c>
      <c r="AB450" s="217">
        <v>0.56336200000000003</v>
      </c>
      <c r="AC450" s="217">
        <v>0.90664400000000001</v>
      </c>
      <c r="AD450" s="212">
        <f t="shared" si="6"/>
        <v>251813.800208</v>
      </c>
    </row>
    <row r="451" spans="2:30" x14ac:dyDescent="0.15">
      <c r="B451" s="213">
        <v>17197002273</v>
      </c>
      <c r="C451" s="213">
        <v>17197004804</v>
      </c>
      <c r="D451" s="213">
        <v>17197001473</v>
      </c>
      <c r="E451" s="213" t="s">
        <v>533</v>
      </c>
      <c r="F451" s="213" t="s">
        <v>534</v>
      </c>
      <c r="G451" s="213" t="s">
        <v>377</v>
      </c>
      <c r="H451" s="213" t="s">
        <v>535</v>
      </c>
      <c r="I451" s="213"/>
      <c r="J451" s="213" t="s">
        <v>542</v>
      </c>
      <c r="K451" s="213" t="s">
        <v>547</v>
      </c>
      <c r="L451" s="213" t="s">
        <v>382</v>
      </c>
      <c r="M451" s="213"/>
      <c r="N451" s="213"/>
      <c r="O451" s="213"/>
      <c r="P451" s="213"/>
      <c r="Q451" s="213"/>
      <c r="R451" s="213"/>
      <c r="S451" s="213" t="s">
        <v>601</v>
      </c>
      <c r="T451" s="213"/>
      <c r="U451" s="213" t="s">
        <v>538</v>
      </c>
      <c r="V451" s="213">
        <v>2</v>
      </c>
      <c r="W451" s="213" t="s">
        <v>539</v>
      </c>
      <c r="X451" s="213" t="s">
        <v>554</v>
      </c>
      <c r="Y451" s="213" t="s">
        <v>540</v>
      </c>
      <c r="Z451" s="212">
        <v>161797</v>
      </c>
      <c r="AA451" s="212">
        <v>7209171</v>
      </c>
      <c r="AB451" s="217">
        <v>0.25960499999999997</v>
      </c>
      <c r="AC451" s="217">
        <v>0.41779500000000003</v>
      </c>
      <c r="AD451" s="212">
        <f t="shared" si="6"/>
        <v>1871536.8374549998</v>
      </c>
    </row>
    <row r="452" spans="2:30" x14ac:dyDescent="0.15">
      <c r="B452" s="213">
        <v>17197002274</v>
      </c>
      <c r="C452" s="213">
        <v>17197004807</v>
      </c>
      <c r="D452" s="213">
        <v>17197001488</v>
      </c>
      <c r="E452" s="213" t="s">
        <v>533</v>
      </c>
      <c r="F452" s="213" t="s">
        <v>534</v>
      </c>
      <c r="G452" s="213" t="s">
        <v>377</v>
      </c>
      <c r="H452" s="213" t="s">
        <v>381</v>
      </c>
      <c r="I452" s="213"/>
      <c r="J452" s="213" t="s">
        <v>382</v>
      </c>
      <c r="K452" s="213"/>
      <c r="L452" s="213"/>
      <c r="M452" s="213"/>
      <c r="N452" s="213"/>
      <c r="O452" s="213"/>
      <c r="P452" s="213"/>
      <c r="Q452" s="213"/>
      <c r="R452" s="213"/>
      <c r="S452" s="213" t="s">
        <v>647</v>
      </c>
      <c r="T452" s="213"/>
      <c r="U452" s="213" t="s">
        <v>538</v>
      </c>
      <c r="V452" s="213">
        <v>2</v>
      </c>
      <c r="W452" s="213" t="s">
        <v>545</v>
      </c>
      <c r="X452" s="213" t="s">
        <v>549</v>
      </c>
      <c r="Y452" s="213" t="s">
        <v>580</v>
      </c>
      <c r="Z452" s="212">
        <v>1677930</v>
      </c>
      <c r="AA452" s="212">
        <v>44682702</v>
      </c>
      <c r="AB452" s="217">
        <v>3.387667</v>
      </c>
      <c r="AC452" s="217">
        <v>5.4519330000000004</v>
      </c>
      <c r="AD452" s="212">
        <f t="shared" si="6"/>
        <v>151370115.03623399</v>
      </c>
    </row>
    <row r="453" spans="2:30" x14ac:dyDescent="0.15">
      <c r="B453" s="213">
        <v>17197002280</v>
      </c>
      <c r="C453" s="213">
        <v>17197004510</v>
      </c>
      <c r="D453" s="213">
        <v>17197004511</v>
      </c>
      <c r="E453" s="213" t="s">
        <v>533</v>
      </c>
      <c r="F453" s="213" t="s">
        <v>534</v>
      </c>
      <c r="G453" s="213" t="s">
        <v>377</v>
      </c>
      <c r="H453" s="213" t="s">
        <v>381</v>
      </c>
      <c r="I453" s="213"/>
      <c r="J453" s="213" t="s">
        <v>382</v>
      </c>
      <c r="K453" s="213"/>
      <c r="L453" s="213"/>
      <c r="M453" s="213"/>
      <c r="N453" s="213"/>
      <c r="O453" s="213"/>
      <c r="P453" s="213"/>
      <c r="Q453" s="213"/>
      <c r="R453" s="213"/>
      <c r="S453" s="213" t="s">
        <v>647</v>
      </c>
      <c r="T453" s="213"/>
      <c r="U453" s="213" t="s">
        <v>538</v>
      </c>
      <c r="V453" s="213">
        <v>1</v>
      </c>
      <c r="W453" s="213" t="s">
        <v>582</v>
      </c>
      <c r="X453" s="213" t="s">
        <v>549</v>
      </c>
      <c r="Y453" s="213" t="s">
        <v>580</v>
      </c>
      <c r="Z453" s="212">
        <v>500</v>
      </c>
      <c r="AA453" s="212">
        <v>40160</v>
      </c>
      <c r="AB453" s="217">
        <v>0.61973299999999998</v>
      </c>
      <c r="AC453" s="217">
        <v>0.99736599999999997</v>
      </c>
      <c r="AD453" s="212">
        <f t="shared" si="6"/>
        <v>24888.477279999999</v>
      </c>
    </row>
    <row r="454" spans="2:30" x14ac:dyDescent="0.15">
      <c r="B454" s="213">
        <v>17197002309</v>
      </c>
      <c r="C454" s="213">
        <v>17197004795</v>
      </c>
      <c r="D454" s="213">
        <v>17197001412</v>
      </c>
      <c r="E454" s="213" t="s">
        <v>533</v>
      </c>
      <c r="F454" s="213" t="s">
        <v>534</v>
      </c>
      <c r="G454" s="213" t="s">
        <v>377</v>
      </c>
      <c r="H454" s="213" t="s">
        <v>535</v>
      </c>
      <c r="I454" s="213"/>
      <c r="J454" s="213"/>
      <c r="K454" s="213"/>
      <c r="L454" s="213"/>
      <c r="M454" s="213"/>
      <c r="N454" s="213"/>
      <c r="O454" s="213"/>
      <c r="P454" s="213"/>
      <c r="Q454" s="213"/>
      <c r="R454" s="213"/>
      <c r="S454" s="213" t="s">
        <v>673</v>
      </c>
      <c r="T454" s="213"/>
      <c r="U454" s="213" t="s">
        <v>538</v>
      </c>
      <c r="V454" s="213">
        <v>1</v>
      </c>
      <c r="W454" s="213" t="s">
        <v>560</v>
      </c>
      <c r="X454" s="213" t="s">
        <v>554</v>
      </c>
      <c r="Y454" s="213" t="s">
        <v>541</v>
      </c>
      <c r="Z454" s="212">
        <v>19076</v>
      </c>
      <c r="AA454" s="212">
        <v>1685976</v>
      </c>
      <c r="AB454" s="217">
        <v>4.2999460000000003</v>
      </c>
      <c r="AC454" s="217">
        <v>6.9201059999999996</v>
      </c>
      <c r="AD454" s="212">
        <f t="shared" ref="AD454:AD517" si="7">AA454*AB454</f>
        <v>7249605.7572960006</v>
      </c>
    </row>
    <row r="455" spans="2:30" x14ac:dyDescent="0.15">
      <c r="B455" s="213">
        <v>17197002416</v>
      </c>
      <c r="C455" s="213">
        <v>17197006613</v>
      </c>
      <c r="D455" s="213">
        <v>17197006615</v>
      </c>
      <c r="E455" s="213" t="s">
        <v>533</v>
      </c>
      <c r="F455" s="213" t="s">
        <v>534</v>
      </c>
      <c r="G455" s="213" t="s">
        <v>377</v>
      </c>
      <c r="H455" s="213" t="s">
        <v>535</v>
      </c>
      <c r="I455" s="213"/>
      <c r="J455" s="213" t="s">
        <v>382</v>
      </c>
      <c r="K455" s="213" t="s">
        <v>536</v>
      </c>
      <c r="L455" s="213"/>
      <c r="M455" s="213"/>
      <c r="N455" s="213"/>
      <c r="O455" s="213"/>
      <c r="P455" s="213"/>
      <c r="Q455" s="213"/>
      <c r="R455" s="213"/>
      <c r="S455" s="213" t="s">
        <v>537</v>
      </c>
      <c r="T455" s="213" t="s">
        <v>596</v>
      </c>
      <c r="U455" s="213" t="s">
        <v>538</v>
      </c>
      <c r="V455" s="213">
        <v>2</v>
      </c>
      <c r="W455" s="213" t="s">
        <v>539</v>
      </c>
      <c r="X455" s="213" t="s">
        <v>541</v>
      </c>
      <c r="Y455" s="213" t="s">
        <v>540</v>
      </c>
      <c r="Z455" s="212">
        <v>36008</v>
      </c>
      <c r="AA455" s="212">
        <v>3614334</v>
      </c>
      <c r="AB455" s="217">
        <v>0.84625600000000001</v>
      </c>
      <c r="AC455" s="217">
        <v>1.3619190000000001</v>
      </c>
      <c r="AD455" s="212">
        <f t="shared" si="7"/>
        <v>3058651.8335040002</v>
      </c>
    </row>
    <row r="456" spans="2:30" x14ac:dyDescent="0.15">
      <c r="B456" s="213">
        <v>17197002592</v>
      </c>
      <c r="C456" s="213">
        <v>17197008298</v>
      </c>
      <c r="D456" s="213">
        <v>17197001447</v>
      </c>
      <c r="E456" s="213" t="s">
        <v>533</v>
      </c>
      <c r="F456" s="213" t="s">
        <v>534</v>
      </c>
      <c r="G456" s="213" t="s">
        <v>377</v>
      </c>
      <c r="H456" s="213" t="s">
        <v>535</v>
      </c>
      <c r="I456" s="213"/>
      <c r="J456" s="213" t="s">
        <v>382</v>
      </c>
      <c r="K456" s="213" t="s">
        <v>536</v>
      </c>
      <c r="L456" s="213"/>
      <c r="M456" s="213"/>
      <c r="N456" s="213"/>
      <c r="O456" s="213"/>
      <c r="P456" s="213"/>
      <c r="Q456" s="213"/>
      <c r="R456" s="213"/>
      <c r="S456" s="213" t="s">
        <v>550</v>
      </c>
      <c r="T456" s="213"/>
      <c r="U456" s="213" t="s">
        <v>538</v>
      </c>
      <c r="V456" s="213">
        <v>2</v>
      </c>
      <c r="W456" s="213" t="s">
        <v>545</v>
      </c>
      <c r="X456" s="213" t="s">
        <v>541</v>
      </c>
      <c r="Y456" s="213" t="s">
        <v>540</v>
      </c>
      <c r="Z456" s="212">
        <v>89616</v>
      </c>
      <c r="AA456" s="212">
        <v>9950908</v>
      </c>
      <c r="AB456" s="217">
        <v>1.01607</v>
      </c>
      <c r="AC456" s="217">
        <v>1.6352089999999999</v>
      </c>
      <c r="AD456" s="212">
        <f t="shared" si="7"/>
        <v>10110819.091560001</v>
      </c>
    </row>
    <row r="457" spans="2:30" x14ac:dyDescent="0.15">
      <c r="B457" s="213">
        <v>17197002593</v>
      </c>
      <c r="C457" s="213">
        <v>17197001462</v>
      </c>
      <c r="D457" s="213">
        <v>17197004797</v>
      </c>
      <c r="E457" s="213" t="s">
        <v>533</v>
      </c>
      <c r="F457" s="213" t="s">
        <v>534</v>
      </c>
      <c r="G457" s="213" t="s">
        <v>377</v>
      </c>
      <c r="H457" s="213" t="s">
        <v>535</v>
      </c>
      <c r="I457" s="213"/>
      <c r="J457" s="213" t="s">
        <v>382</v>
      </c>
      <c r="K457" s="213" t="s">
        <v>536</v>
      </c>
      <c r="L457" s="213"/>
      <c r="M457" s="213"/>
      <c r="N457" s="213"/>
      <c r="O457" s="213"/>
      <c r="P457" s="213"/>
      <c r="Q457" s="213"/>
      <c r="R457" s="213"/>
      <c r="S457" s="213" t="s">
        <v>550</v>
      </c>
      <c r="T457" s="213"/>
      <c r="U457" s="213" t="s">
        <v>538</v>
      </c>
      <c r="V457" s="213">
        <v>1</v>
      </c>
      <c r="W457" s="213" t="s">
        <v>545</v>
      </c>
      <c r="X457" s="213" t="s">
        <v>541</v>
      </c>
      <c r="Y457" s="213" t="s">
        <v>540</v>
      </c>
      <c r="Z457" s="212">
        <v>42016</v>
      </c>
      <c r="AA457" s="212">
        <v>4189050</v>
      </c>
      <c r="AB457" s="217">
        <v>0.25097999999999998</v>
      </c>
      <c r="AC457" s="217">
        <v>0.40391300000000002</v>
      </c>
      <c r="AD457" s="212">
        <f t="shared" si="7"/>
        <v>1051367.7689999999</v>
      </c>
    </row>
    <row r="458" spans="2:30" x14ac:dyDescent="0.15">
      <c r="B458" s="213">
        <v>17197002594</v>
      </c>
      <c r="C458" s="213">
        <v>17197001479</v>
      </c>
      <c r="D458" s="213">
        <v>17197004800</v>
      </c>
      <c r="E458" s="213" t="s">
        <v>533</v>
      </c>
      <c r="F458" s="213" t="s">
        <v>534</v>
      </c>
      <c r="G458" s="213" t="s">
        <v>377</v>
      </c>
      <c r="H458" s="213" t="s">
        <v>535</v>
      </c>
      <c r="I458" s="213"/>
      <c r="J458" s="213"/>
      <c r="K458" s="213"/>
      <c r="L458" s="213"/>
      <c r="M458" s="213"/>
      <c r="N458" s="213"/>
      <c r="O458" s="213"/>
      <c r="P458" s="213"/>
      <c r="Q458" s="213"/>
      <c r="R458" s="213"/>
      <c r="S458" s="213"/>
      <c r="T458" s="213" t="s">
        <v>596</v>
      </c>
      <c r="U458" s="213" t="s">
        <v>559</v>
      </c>
      <c r="V458" s="213">
        <v>1</v>
      </c>
      <c r="W458" s="213" t="s">
        <v>560</v>
      </c>
      <c r="X458" s="213" t="s">
        <v>541</v>
      </c>
      <c r="Y458" s="213" t="s">
        <v>541</v>
      </c>
      <c r="Z458" s="212">
        <v>1840</v>
      </c>
      <c r="AA458" s="212">
        <v>161320</v>
      </c>
      <c r="AB458" s="217">
        <v>0.70780600000000005</v>
      </c>
      <c r="AC458" s="217">
        <v>1.139106</v>
      </c>
      <c r="AD458" s="212">
        <f t="shared" si="7"/>
        <v>114183.26392000001</v>
      </c>
    </row>
    <row r="459" spans="2:30" x14ac:dyDescent="0.15">
      <c r="B459" s="213">
        <v>17197002648</v>
      </c>
      <c r="C459" s="213">
        <v>17197001447</v>
      </c>
      <c r="D459" s="213">
        <v>17197004796</v>
      </c>
      <c r="E459" s="213" t="s">
        <v>533</v>
      </c>
      <c r="F459" s="213" t="s">
        <v>534</v>
      </c>
      <c r="G459" s="213" t="s">
        <v>377</v>
      </c>
      <c r="H459" s="213" t="s">
        <v>535</v>
      </c>
      <c r="I459" s="213"/>
      <c r="J459" s="213" t="s">
        <v>382</v>
      </c>
      <c r="K459" s="213" t="s">
        <v>536</v>
      </c>
      <c r="L459" s="213"/>
      <c r="M459" s="213"/>
      <c r="N459" s="213"/>
      <c r="O459" s="213"/>
      <c r="P459" s="213"/>
      <c r="Q459" s="213"/>
      <c r="R459" s="213"/>
      <c r="S459" s="213" t="s">
        <v>550</v>
      </c>
      <c r="T459" s="213"/>
      <c r="U459" s="213" t="s">
        <v>538</v>
      </c>
      <c r="V459" s="213">
        <v>2</v>
      </c>
      <c r="W459" s="213" t="s">
        <v>545</v>
      </c>
      <c r="X459" s="213" t="s">
        <v>541</v>
      </c>
      <c r="Y459" s="213" t="s">
        <v>540</v>
      </c>
      <c r="Z459" s="212">
        <v>89616</v>
      </c>
      <c r="AA459" s="212">
        <v>9950908</v>
      </c>
      <c r="AB459" s="217">
        <v>2.084444</v>
      </c>
      <c r="AC459" s="217">
        <v>3.3545940000000001</v>
      </c>
      <c r="AD459" s="212">
        <f t="shared" si="7"/>
        <v>20742110.475152001</v>
      </c>
    </row>
    <row r="460" spans="2:30" x14ac:dyDescent="0.15">
      <c r="B460" s="213">
        <v>17197002649</v>
      </c>
      <c r="C460" s="213">
        <v>17197004797</v>
      </c>
      <c r="D460" s="213">
        <v>17197001452</v>
      </c>
      <c r="E460" s="213" t="s">
        <v>533</v>
      </c>
      <c r="F460" s="213" t="s">
        <v>534</v>
      </c>
      <c r="G460" s="213" t="s">
        <v>377</v>
      </c>
      <c r="H460" s="213" t="s">
        <v>535</v>
      </c>
      <c r="I460" s="213"/>
      <c r="J460" s="213" t="s">
        <v>382</v>
      </c>
      <c r="K460" s="213" t="s">
        <v>536</v>
      </c>
      <c r="L460" s="213"/>
      <c r="M460" s="213"/>
      <c r="N460" s="213"/>
      <c r="O460" s="213"/>
      <c r="P460" s="213"/>
      <c r="Q460" s="213"/>
      <c r="R460" s="213"/>
      <c r="S460" s="213" t="s">
        <v>550</v>
      </c>
      <c r="T460" s="213"/>
      <c r="U460" s="213" t="s">
        <v>538</v>
      </c>
      <c r="V460" s="213">
        <v>2</v>
      </c>
      <c r="W460" s="213" t="s">
        <v>545</v>
      </c>
      <c r="X460" s="213" t="s">
        <v>541</v>
      </c>
      <c r="Y460" s="213" t="s">
        <v>540</v>
      </c>
      <c r="Z460" s="212">
        <v>42016</v>
      </c>
      <c r="AA460" s="212">
        <v>4189050</v>
      </c>
      <c r="AB460" s="217">
        <v>0.18140500000000001</v>
      </c>
      <c r="AC460" s="217">
        <v>0.29194399999999998</v>
      </c>
      <c r="AD460" s="212">
        <f t="shared" si="7"/>
        <v>759914.61525000003</v>
      </c>
    </row>
    <row r="461" spans="2:30" x14ac:dyDescent="0.15">
      <c r="B461" s="213">
        <v>17197003218</v>
      </c>
      <c r="C461" s="213">
        <v>17197001484</v>
      </c>
      <c r="D461" s="213">
        <v>17197001485</v>
      </c>
      <c r="E461" s="213" t="s">
        <v>533</v>
      </c>
      <c r="F461" s="213" t="s">
        <v>534</v>
      </c>
      <c r="G461" s="213" t="s">
        <v>377</v>
      </c>
      <c r="H461" s="213" t="s">
        <v>547</v>
      </c>
      <c r="I461" s="213"/>
      <c r="J461" s="213" t="s">
        <v>551</v>
      </c>
      <c r="K461" s="213" t="s">
        <v>615</v>
      </c>
      <c r="L461" s="213"/>
      <c r="M461" s="213"/>
      <c r="N461" s="213"/>
      <c r="O461" s="213"/>
      <c r="P461" s="213"/>
      <c r="Q461" s="213"/>
      <c r="R461" s="213"/>
      <c r="S461" s="213" t="s">
        <v>581</v>
      </c>
      <c r="T461" s="213"/>
      <c r="U461" s="213" t="s">
        <v>538</v>
      </c>
      <c r="V461" s="213">
        <v>1</v>
      </c>
      <c r="W461" s="213" t="s">
        <v>582</v>
      </c>
      <c r="X461" s="213" t="s">
        <v>554</v>
      </c>
      <c r="Y461" s="213" t="s">
        <v>540</v>
      </c>
      <c r="Z461" s="212">
        <v>35140</v>
      </c>
      <c r="AA461" s="212">
        <v>3383461</v>
      </c>
      <c r="AB461" s="217">
        <v>0.17091899999999999</v>
      </c>
      <c r="AC461" s="217">
        <v>0.27506900000000001</v>
      </c>
      <c r="AD461" s="212">
        <f t="shared" si="7"/>
        <v>578297.77065899991</v>
      </c>
    </row>
    <row r="462" spans="2:30" x14ac:dyDescent="0.15">
      <c r="B462" s="213">
        <v>17197003245</v>
      </c>
      <c r="C462" s="213">
        <v>17999024513</v>
      </c>
      <c r="D462" s="213">
        <v>17197001591</v>
      </c>
      <c r="E462" s="213" t="s">
        <v>533</v>
      </c>
      <c r="F462" s="213" t="s">
        <v>534</v>
      </c>
      <c r="G462" s="213" t="s">
        <v>377</v>
      </c>
      <c r="H462" s="213" t="s">
        <v>551</v>
      </c>
      <c r="I462" s="213"/>
      <c r="J462" s="213" t="s">
        <v>535</v>
      </c>
      <c r="K462" s="213" t="s">
        <v>615</v>
      </c>
      <c r="L462" s="213"/>
      <c r="M462" s="213"/>
      <c r="N462" s="213"/>
      <c r="O462" s="213"/>
      <c r="P462" s="213"/>
      <c r="Q462" s="213"/>
      <c r="R462" s="213"/>
      <c r="S462" s="213" t="s">
        <v>663</v>
      </c>
      <c r="T462" s="213"/>
      <c r="U462" s="213" t="s">
        <v>538</v>
      </c>
      <c r="V462" s="213">
        <v>1</v>
      </c>
      <c r="W462" s="213" t="s">
        <v>562</v>
      </c>
      <c r="X462" s="213" t="s">
        <v>540</v>
      </c>
      <c r="Y462" s="213" t="s">
        <v>540</v>
      </c>
      <c r="Z462" s="212">
        <v>30540</v>
      </c>
      <c r="AA462" s="212">
        <v>2934621</v>
      </c>
      <c r="AB462" s="217">
        <v>4.4336890000000002</v>
      </c>
      <c r="AC462" s="217">
        <v>7.135345</v>
      </c>
      <c r="AD462" s="212">
        <f t="shared" si="7"/>
        <v>13011196.846869001</v>
      </c>
    </row>
    <row r="463" spans="2:30" x14ac:dyDescent="0.15">
      <c r="B463" s="213">
        <v>17197003273</v>
      </c>
      <c r="C463" s="213">
        <v>17197001698</v>
      </c>
      <c r="D463" s="213">
        <v>17197001670</v>
      </c>
      <c r="E463" s="213" t="s">
        <v>533</v>
      </c>
      <c r="F463" s="213" t="s">
        <v>534</v>
      </c>
      <c r="G463" s="213" t="s">
        <v>377</v>
      </c>
      <c r="H463" s="213" t="s">
        <v>381</v>
      </c>
      <c r="I463" s="213"/>
      <c r="J463" s="213" t="s">
        <v>382</v>
      </c>
      <c r="K463" s="213"/>
      <c r="L463" s="213"/>
      <c r="M463" s="213"/>
      <c r="N463" s="213"/>
      <c r="O463" s="213"/>
      <c r="P463" s="213"/>
      <c r="Q463" s="213"/>
      <c r="R463" s="213"/>
      <c r="S463" s="213" t="s">
        <v>647</v>
      </c>
      <c r="T463" s="213"/>
      <c r="U463" s="213" t="s">
        <v>538</v>
      </c>
      <c r="V463" s="213">
        <v>1</v>
      </c>
      <c r="W463" s="213" t="s">
        <v>582</v>
      </c>
      <c r="X463" s="213" t="s">
        <v>549</v>
      </c>
      <c r="Y463" s="213" t="s">
        <v>580</v>
      </c>
      <c r="Z463" s="212">
        <v>2063059</v>
      </c>
      <c r="AA463" s="212">
        <v>51935765</v>
      </c>
      <c r="AB463" s="217">
        <v>1.3323970000000001</v>
      </c>
      <c r="AC463" s="217">
        <v>2.1442899999999998</v>
      </c>
      <c r="AD463" s="212">
        <f t="shared" si="7"/>
        <v>69199057.478705004</v>
      </c>
    </row>
    <row r="464" spans="2:30" x14ac:dyDescent="0.15">
      <c r="B464" s="213">
        <v>17197003491</v>
      </c>
      <c r="C464" s="213">
        <v>17197007254</v>
      </c>
      <c r="D464" s="213">
        <v>17197004807</v>
      </c>
      <c r="E464" s="213" t="s">
        <v>533</v>
      </c>
      <c r="F464" s="213" t="s">
        <v>534</v>
      </c>
      <c r="G464" s="213" t="s">
        <v>377</v>
      </c>
      <c r="H464" s="213" t="s">
        <v>381</v>
      </c>
      <c r="I464" s="213"/>
      <c r="J464" s="213" t="s">
        <v>382</v>
      </c>
      <c r="K464" s="213"/>
      <c r="L464" s="213"/>
      <c r="M464" s="213"/>
      <c r="N464" s="213"/>
      <c r="O464" s="213"/>
      <c r="P464" s="213"/>
      <c r="Q464" s="213"/>
      <c r="R464" s="213"/>
      <c r="S464" s="213" t="s">
        <v>647</v>
      </c>
      <c r="T464" s="213"/>
      <c r="U464" s="213" t="s">
        <v>538</v>
      </c>
      <c r="V464" s="213">
        <v>1</v>
      </c>
      <c r="W464" s="213" t="s">
        <v>545</v>
      </c>
      <c r="X464" s="213" t="s">
        <v>549</v>
      </c>
      <c r="Y464" s="213" t="s">
        <v>580</v>
      </c>
      <c r="Z464" s="212">
        <v>1458390</v>
      </c>
      <c r="AA464" s="212">
        <v>41728422</v>
      </c>
      <c r="AB464" s="217">
        <v>6.5898560000000002</v>
      </c>
      <c r="AC464" s="217">
        <v>10.605366</v>
      </c>
      <c r="AD464" s="212">
        <f t="shared" si="7"/>
        <v>274984292.08723199</v>
      </c>
    </row>
    <row r="465" spans="2:30" x14ac:dyDescent="0.15">
      <c r="B465" s="213">
        <v>17197004121</v>
      </c>
      <c r="C465" s="213">
        <v>17197001440</v>
      </c>
      <c r="D465" s="213">
        <v>17197001399</v>
      </c>
      <c r="E465" s="213" t="s">
        <v>533</v>
      </c>
      <c r="F465" s="213" t="s">
        <v>534</v>
      </c>
      <c r="G465" s="213" t="s">
        <v>377</v>
      </c>
      <c r="H465" s="213" t="s">
        <v>381</v>
      </c>
      <c r="I465" s="213"/>
      <c r="J465" s="213" t="s">
        <v>382</v>
      </c>
      <c r="K465" s="213"/>
      <c r="L465" s="213"/>
      <c r="M465" s="213"/>
      <c r="N465" s="213"/>
      <c r="O465" s="213"/>
      <c r="P465" s="213"/>
      <c r="Q465" s="213"/>
      <c r="R465" s="213"/>
      <c r="S465" s="213" t="s">
        <v>647</v>
      </c>
      <c r="T465" s="213"/>
      <c r="U465" s="213" t="s">
        <v>538</v>
      </c>
      <c r="V465" s="213">
        <v>2</v>
      </c>
      <c r="W465" s="213" t="s">
        <v>545</v>
      </c>
      <c r="X465" s="213" t="s">
        <v>549</v>
      </c>
      <c r="Y465" s="213" t="s">
        <v>580</v>
      </c>
      <c r="Z465" s="212">
        <v>1669317</v>
      </c>
      <c r="AA465" s="212">
        <v>43895235</v>
      </c>
      <c r="AB465" s="217">
        <v>3.0524550000000001</v>
      </c>
      <c r="AC465" s="217">
        <v>4.9124600000000003</v>
      </c>
      <c r="AD465" s="212">
        <f t="shared" si="7"/>
        <v>133988229.551925</v>
      </c>
    </row>
    <row r="466" spans="2:30" x14ac:dyDescent="0.15">
      <c r="B466" s="213">
        <v>17197004122</v>
      </c>
      <c r="C466" s="213">
        <v>17197004809</v>
      </c>
      <c r="D466" s="213">
        <v>17197001588</v>
      </c>
      <c r="E466" s="213" t="s">
        <v>533</v>
      </c>
      <c r="F466" s="213" t="s">
        <v>534</v>
      </c>
      <c r="G466" s="213" t="s">
        <v>377</v>
      </c>
      <c r="H466" s="213" t="s">
        <v>381</v>
      </c>
      <c r="I466" s="213"/>
      <c r="J466" s="213" t="s">
        <v>535</v>
      </c>
      <c r="K466" s="213" t="s">
        <v>382</v>
      </c>
      <c r="L466" s="213"/>
      <c r="M466" s="213"/>
      <c r="N466" s="213"/>
      <c r="O466" s="213"/>
      <c r="P466" s="213"/>
      <c r="Q466" s="213"/>
      <c r="R466" s="213"/>
      <c r="S466" s="213" t="s">
        <v>647</v>
      </c>
      <c r="T466" s="213"/>
      <c r="U466" s="213" t="s">
        <v>538</v>
      </c>
      <c r="V466" s="213">
        <v>1</v>
      </c>
      <c r="W466" s="213" t="s">
        <v>545</v>
      </c>
      <c r="X466" s="213" t="s">
        <v>549</v>
      </c>
      <c r="Y466" s="213" t="s">
        <v>580</v>
      </c>
      <c r="Z466" s="212">
        <v>222620</v>
      </c>
      <c r="AA466" s="212">
        <v>3232480</v>
      </c>
      <c r="AB466" s="217">
        <v>3.5950519999999999</v>
      </c>
      <c r="AC466" s="217">
        <v>5.7856880000000004</v>
      </c>
      <c r="AD466" s="212">
        <f t="shared" si="7"/>
        <v>11620933.688959999</v>
      </c>
    </row>
    <row r="467" spans="2:30" x14ac:dyDescent="0.15">
      <c r="B467" s="213">
        <v>17197004193</v>
      </c>
      <c r="C467" s="213">
        <v>17197001469</v>
      </c>
      <c r="D467" s="213">
        <v>17197004800</v>
      </c>
      <c r="E467" s="213" t="s">
        <v>533</v>
      </c>
      <c r="F467" s="213" t="s">
        <v>534</v>
      </c>
      <c r="G467" s="213" t="s">
        <v>377</v>
      </c>
      <c r="H467" s="213" t="s">
        <v>535</v>
      </c>
      <c r="I467" s="213"/>
      <c r="J467" s="213"/>
      <c r="K467" s="213"/>
      <c r="L467" s="213"/>
      <c r="M467" s="213"/>
      <c r="N467" s="213"/>
      <c r="O467" s="213"/>
      <c r="P467" s="213"/>
      <c r="Q467" s="213"/>
      <c r="R467" s="213"/>
      <c r="S467" s="213"/>
      <c r="T467" s="213"/>
      <c r="U467" s="213" t="s">
        <v>559</v>
      </c>
      <c r="V467" s="213">
        <v>1</v>
      </c>
      <c r="W467" s="213" t="s">
        <v>560</v>
      </c>
      <c r="X467" s="213" t="s">
        <v>541</v>
      </c>
      <c r="Y467" s="213" t="s">
        <v>541</v>
      </c>
      <c r="Z467" s="212">
        <v>1840</v>
      </c>
      <c r="AA467" s="212">
        <v>161320</v>
      </c>
      <c r="AB467" s="217">
        <v>0.13714699999999999</v>
      </c>
      <c r="AC467" s="217">
        <v>0.220717</v>
      </c>
      <c r="AD467" s="212">
        <f t="shared" si="7"/>
        <v>22124.554039999999</v>
      </c>
    </row>
    <row r="468" spans="2:30" x14ac:dyDescent="0.15">
      <c r="B468" s="213">
        <v>17197004699</v>
      </c>
      <c r="C468" s="213">
        <v>17197004798</v>
      </c>
      <c r="D468" s="213">
        <v>17197007163</v>
      </c>
      <c r="E468" s="213" t="s">
        <v>533</v>
      </c>
      <c r="F468" s="213" t="s">
        <v>534</v>
      </c>
      <c r="G468" s="213" t="s">
        <v>377</v>
      </c>
      <c r="H468" s="213" t="s">
        <v>535</v>
      </c>
      <c r="I468" s="213"/>
      <c r="J468" s="213"/>
      <c r="K468" s="213"/>
      <c r="L468" s="213"/>
      <c r="M468" s="213"/>
      <c r="N468" s="213"/>
      <c r="O468" s="213"/>
      <c r="P468" s="213"/>
      <c r="Q468" s="213"/>
      <c r="R468" s="213"/>
      <c r="S468" s="213" t="s">
        <v>681</v>
      </c>
      <c r="T468" s="213"/>
      <c r="U468" s="213" t="s">
        <v>559</v>
      </c>
      <c r="V468" s="213">
        <v>1</v>
      </c>
      <c r="W468" s="213" t="s">
        <v>560</v>
      </c>
      <c r="X468" s="213" t="s">
        <v>541</v>
      </c>
      <c r="Y468" s="213" t="s">
        <v>541</v>
      </c>
      <c r="Z468" s="212">
        <v>0</v>
      </c>
      <c r="AA468" s="212">
        <v>0</v>
      </c>
      <c r="AB468" s="217">
        <v>2.9039380000000001</v>
      </c>
      <c r="AC468" s="217">
        <v>4.6734439999999999</v>
      </c>
      <c r="AD468" s="212">
        <f t="shared" si="7"/>
        <v>0</v>
      </c>
    </row>
    <row r="469" spans="2:30" x14ac:dyDescent="0.15">
      <c r="B469" s="213">
        <v>17197005327</v>
      </c>
      <c r="C469" s="213">
        <v>17197007388</v>
      </c>
      <c r="D469" s="213">
        <v>17197001617</v>
      </c>
      <c r="E469" s="213" t="s">
        <v>533</v>
      </c>
      <c r="F469" s="213" t="s">
        <v>534</v>
      </c>
      <c r="G469" s="213" t="s">
        <v>377</v>
      </c>
      <c r="H469" s="213" t="s">
        <v>535</v>
      </c>
      <c r="I469" s="213"/>
      <c r="J469" s="213" t="s">
        <v>382</v>
      </c>
      <c r="K469" s="213"/>
      <c r="L469" s="213"/>
      <c r="M469" s="213"/>
      <c r="N469" s="213"/>
      <c r="O469" s="213"/>
      <c r="P469" s="213"/>
      <c r="Q469" s="213"/>
      <c r="R469" s="213"/>
      <c r="S469" s="213"/>
      <c r="T469" s="213"/>
      <c r="U469" s="213" t="s">
        <v>559</v>
      </c>
      <c r="V469" s="213">
        <v>1</v>
      </c>
      <c r="W469" s="213" t="s">
        <v>560</v>
      </c>
      <c r="X469" s="213" t="s">
        <v>541</v>
      </c>
      <c r="Y469" s="213" t="s">
        <v>541</v>
      </c>
      <c r="Z469" s="212">
        <v>0</v>
      </c>
      <c r="AA469" s="212">
        <v>0</v>
      </c>
      <c r="AB469" s="217">
        <v>0.38840400000000003</v>
      </c>
      <c r="AC469" s="217">
        <v>0.62507699999999999</v>
      </c>
      <c r="AD469" s="212">
        <f t="shared" si="7"/>
        <v>0</v>
      </c>
    </row>
    <row r="470" spans="2:30" x14ac:dyDescent="0.15">
      <c r="B470" s="213">
        <v>17197005460</v>
      </c>
      <c r="C470" s="213">
        <v>17197001480</v>
      </c>
      <c r="D470" s="213">
        <v>17197007394</v>
      </c>
      <c r="E470" s="213" t="s">
        <v>533</v>
      </c>
      <c r="F470" s="213" t="s">
        <v>534</v>
      </c>
      <c r="G470" s="213" t="s">
        <v>377</v>
      </c>
      <c r="H470" s="213" t="s">
        <v>547</v>
      </c>
      <c r="I470" s="213"/>
      <c r="J470" s="213" t="s">
        <v>577</v>
      </c>
      <c r="K470" s="213" t="s">
        <v>551</v>
      </c>
      <c r="L470" s="213" t="s">
        <v>615</v>
      </c>
      <c r="M470" s="213"/>
      <c r="N470" s="213"/>
      <c r="O470" s="213"/>
      <c r="P470" s="213"/>
      <c r="Q470" s="213"/>
      <c r="R470" s="213"/>
      <c r="S470" s="213" t="s">
        <v>581</v>
      </c>
      <c r="T470" s="213"/>
      <c r="U470" s="213" t="s">
        <v>538</v>
      </c>
      <c r="V470" s="213">
        <v>2</v>
      </c>
      <c r="W470" s="213" t="s">
        <v>582</v>
      </c>
      <c r="X470" s="213" t="s">
        <v>540</v>
      </c>
      <c r="Y470" s="213" t="s">
        <v>540</v>
      </c>
      <c r="Z470" s="212">
        <v>34796</v>
      </c>
      <c r="AA470" s="212">
        <v>3311897</v>
      </c>
      <c r="AB470" s="217">
        <v>1.5551950000000001</v>
      </c>
      <c r="AC470" s="217">
        <v>2.5028489999999999</v>
      </c>
      <c r="AD470" s="212">
        <f t="shared" si="7"/>
        <v>5150645.6549150003</v>
      </c>
    </row>
    <row r="471" spans="2:30" x14ac:dyDescent="0.15">
      <c r="B471" s="213">
        <v>17197005461</v>
      </c>
      <c r="C471" s="213">
        <v>17197004790</v>
      </c>
      <c r="D471" s="213">
        <v>17999023625</v>
      </c>
      <c r="E471" s="213" t="s">
        <v>533</v>
      </c>
      <c r="F471" s="213" t="s">
        <v>534</v>
      </c>
      <c r="G471" s="213" t="s">
        <v>377</v>
      </c>
      <c r="H471" s="213" t="s">
        <v>547</v>
      </c>
      <c r="I471" s="213"/>
      <c r="J471" s="213" t="s">
        <v>577</v>
      </c>
      <c r="K471" s="213" t="s">
        <v>551</v>
      </c>
      <c r="L471" s="213" t="s">
        <v>615</v>
      </c>
      <c r="M471" s="213"/>
      <c r="N471" s="213"/>
      <c r="O471" s="213"/>
      <c r="P471" s="213"/>
      <c r="Q471" s="213"/>
      <c r="R471" s="213"/>
      <c r="S471" s="213" t="s">
        <v>581</v>
      </c>
      <c r="T471" s="213"/>
      <c r="U471" s="213" t="s">
        <v>538</v>
      </c>
      <c r="V471" s="213">
        <v>2</v>
      </c>
      <c r="W471" s="213" t="s">
        <v>582</v>
      </c>
      <c r="X471" s="213" t="s">
        <v>540</v>
      </c>
      <c r="Y471" s="213" t="s">
        <v>540</v>
      </c>
      <c r="Z471" s="212">
        <v>34796</v>
      </c>
      <c r="AA471" s="212">
        <v>3311897</v>
      </c>
      <c r="AB471" s="217">
        <v>1.111345</v>
      </c>
      <c r="AC471" s="217">
        <v>1.78854</v>
      </c>
      <c r="AD471" s="212">
        <f t="shared" si="7"/>
        <v>3680660.1714650001</v>
      </c>
    </row>
    <row r="472" spans="2:30" x14ac:dyDescent="0.15">
      <c r="B472" s="213">
        <v>17197005681</v>
      </c>
      <c r="C472" s="213">
        <v>17197001483</v>
      </c>
      <c r="D472" s="213">
        <v>17197001481</v>
      </c>
      <c r="E472" s="213" t="s">
        <v>533</v>
      </c>
      <c r="F472" s="213" t="s">
        <v>534</v>
      </c>
      <c r="G472" s="213" t="s">
        <v>377</v>
      </c>
      <c r="H472" s="213" t="s">
        <v>615</v>
      </c>
      <c r="I472" s="213"/>
      <c r="J472" s="213"/>
      <c r="K472" s="213"/>
      <c r="L472" s="213"/>
      <c r="M472" s="213"/>
      <c r="N472" s="213"/>
      <c r="O472" s="213"/>
      <c r="P472" s="213"/>
      <c r="Q472" s="213"/>
      <c r="R472" s="213"/>
      <c r="S472" s="213"/>
      <c r="T472" s="213"/>
      <c r="U472" s="213" t="s">
        <v>538</v>
      </c>
      <c r="V472" s="213">
        <v>1</v>
      </c>
      <c r="W472" s="213" t="s">
        <v>560</v>
      </c>
      <c r="X472" s="213" t="s">
        <v>541</v>
      </c>
      <c r="Y472" s="213" t="s">
        <v>541</v>
      </c>
      <c r="Z472" s="212">
        <v>720</v>
      </c>
      <c r="AA472" s="212">
        <v>64280</v>
      </c>
      <c r="AB472" s="217">
        <v>0.24277299999999999</v>
      </c>
      <c r="AC472" s="217">
        <v>0.390706</v>
      </c>
      <c r="AD472" s="212">
        <f t="shared" si="7"/>
        <v>15605.44844</v>
      </c>
    </row>
    <row r="473" spans="2:30" x14ac:dyDescent="0.15">
      <c r="B473" s="213">
        <v>17197005682</v>
      </c>
      <c r="C473" s="213">
        <v>17197001493</v>
      </c>
      <c r="D473" s="213">
        <v>17197001485</v>
      </c>
      <c r="E473" s="213" t="s">
        <v>533</v>
      </c>
      <c r="F473" s="213" t="s">
        <v>534</v>
      </c>
      <c r="G473" s="213" t="s">
        <v>377</v>
      </c>
      <c r="H473" s="213" t="s">
        <v>535</v>
      </c>
      <c r="I473" s="213"/>
      <c r="J473" s="213" t="s">
        <v>547</v>
      </c>
      <c r="K473" s="213"/>
      <c r="L473" s="213"/>
      <c r="M473" s="213"/>
      <c r="N473" s="213"/>
      <c r="O473" s="213"/>
      <c r="P473" s="213"/>
      <c r="Q473" s="213"/>
      <c r="R473" s="213"/>
      <c r="S473" s="213" t="s">
        <v>601</v>
      </c>
      <c r="T473" s="213"/>
      <c r="U473" s="213" t="s">
        <v>538</v>
      </c>
      <c r="V473" s="213">
        <v>1</v>
      </c>
      <c r="W473" s="213" t="s">
        <v>560</v>
      </c>
      <c r="X473" s="213" t="s">
        <v>541</v>
      </c>
      <c r="Y473" s="213" t="s">
        <v>541</v>
      </c>
      <c r="Z473" s="212">
        <v>0</v>
      </c>
      <c r="AA473" s="212">
        <v>0</v>
      </c>
      <c r="AB473" s="217">
        <v>0.14303199999999999</v>
      </c>
      <c r="AC473" s="217">
        <v>0.230188</v>
      </c>
      <c r="AD473" s="212">
        <f t="shared" si="7"/>
        <v>0</v>
      </c>
    </row>
    <row r="474" spans="2:30" x14ac:dyDescent="0.15">
      <c r="B474" s="213">
        <v>17197006062</v>
      </c>
      <c r="C474" s="213">
        <v>17197001657</v>
      </c>
      <c r="D474" s="213">
        <v>17197004810</v>
      </c>
      <c r="E474" s="213" t="s">
        <v>533</v>
      </c>
      <c r="F474" s="213" t="s">
        <v>534</v>
      </c>
      <c r="G474" s="213" t="s">
        <v>377</v>
      </c>
      <c r="H474" s="213" t="s">
        <v>381</v>
      </c>
      <c r="I474" s="213"/>
      <c r="J474" s="213" t="s">
        <v>382</v>
      </c>
      <c r="K474" s="213"/>
      <c r="L474" s="213"/>
      <c r="M474" s="213"/>
      <c r="N474" s="213"/>
      <c r="O474" s="213"/>
      <c r="P474" s="213"/>
      <c r="Q474" s="213"/>
      <c r="R474" s="213"/>
      <c r="S474" s="213" t="s">
        <v>647</v>
      </c>
      <c r="T474" s="213"/>
      <c r="U474" s="213" t="s">
        <v>538</v>
      </c>
      <c r="V474" s="213">
        <v>1</v>
      </c>
      <c r="W474" s="213" t="s">
        <v>582</v>
      </c>
      <c r="X474" s="213" t="s">
        <v>549</v>
      </c>
      <c r="Y474" s="213" t="s">
        <v>580</v>
      </c>
      <c r="Z474" s="212">
        <v>6371</v>
      </c>
      <c r="AA474" s="212">
        <v>630937</v>
      </c>
      <c r="AB474" s="217">
        <v>0.32499899999999998</v>
      </c>
      <c r="AC474" s="217">
        <v>0.52303599999999995</v>
      </c>
      <c r="AD474" s="212">
        <f t="shared" si="7"/>
        <v>205053.89406299999</v>
      </c>
    </row>
    <row r="475" spans="2:30" x14ac:dyDescent="0.15">
      <c r="B475" s="213">
        <v>17197006206</v>
      </c>
      <c r="C475" s="213">
        <v>17197001630</v>
      </c>
      <c r="D475" s="213">
        <v>17197001622</v>
      </c>
      <c r="E475" s="213" t="s">
        <v>533</v>
      </c>
      <c r="F475" s="213" t="s">
        <v>534</v>
      </c>
      <c r="G475" s="213" t="s">
        <v>377</v>
      </c>
      <c r="H475" s="213" t="s">
        <v>547</v>
      </c>
      <c r="I475" s="213"/>
      <c r="J475" s="213"/>
      <c r="K475" s="213"/>
      <c r="L475" s="213"/>
      <c r="M475" s="213"/>
      <c r="N475" s="213"/>
      <c r="O475" s="213"/>
      <c r="P475" s="213"/>
      <c r="Q475" s="213"/>
      <c r="R475" s="213"/>
      <c r="S475" s="213"/>
      <c r="T475" s="213"/>
      <c r="U475" s="213" t="s">
        <v>559</v>
      </c>
      <c r="V475" s="213">
        <v>1</v>
      </c>
      <c r="W475" s="213" t="s">
        <v>560</v>
      </c>
      <c r="X475" s="213" t="s">
        <v>541</v>
      </c>
      <c r="Y475" s="213" t="s">
        <v>541</v>
      </c>
      <c r="Z475" s="212">
        <v>0</v>
      </c>
      <c r="AA475" s="212">
        <v>0</v>
      </c>
      <c r="AB475" s="217">
        <v>0.46252500000000002</v>
      </c>
      <c r="AC475" s="217">
        <v>0.74436400000000003</v>
      </c>
      <c r="AD475" s="212">
        <f t="shared" si="7"/>
        <v>0</v>
      </c>
    </row>
    <row r="476" spans="2:30" x14ac:dyDescent="0.15">
      <c r="B476" s="213">
        <v>17197006247</v>
      </c>
      <c r="C476" s="213">
        <v>17197004806</v>
      </c>
      <c r="D476" s="213">
        <v>17197001462</v>
      </c>
      <c r="E476" s="213" t="s">
        <v>533</v>
      </c>
      <c r="F476" s="213" t="s">
        <v>534</v>
      </c>
      <c r="G476" s="213" t="s">
        <v>377</v>
      </c>
      <c r="H476" s="213" t="s">
        <v>535</v>
      </c>
      <c r="I476" s="213"/>
      <c r="J476" s="213" t="s">
        <v>382</v>
      </c>
      <c r="K476" s="213"/>
      <c r="L476" s="213"/>
      <c r="M476" s="213"/>
      <c r="N476" s="213"/>
      <c r="O476" s="213"/>
      <c r="P476" s="213"/>
      <c r="Q476" s="213"/>
      <c r="R476" s="213"/>
      <c r="S476" s="213"/>
      <c r="T476" s="213"/>
      <c r="U476" s="213" t="s">
        <v>538</v>
      </c>
      <c r="V476" s="213">
        <v>1</v>
      </c>
      <c r="W476" s="213" t="s">
        <v>560</v>
      </c>
      <c r="X476" s="213" t="s">
        <v>541</v>
      </c>
      <c r="Y476" s="213" t="s">
        <v>541</v>
      </c>
      <c r="Z476" s="212">
        <v>156</v>
      </c>
      <c r="AA476" s="212">
        <v>15308</v>
      </c>
      <c r="AB476" s="217">
        <v>0.65845799999999999</v>
      </c>
      <c r="AC476" s="217">
        <v>1.059687</v>
      </c>
      <c r="AD476" s="212">
        <f t="shared" si="7"/>
        <v>10079.675063999999</v>
      </c>
    </row>
    <row r="477" spans="2:30" x14ac:dyDescent="0.15">
      <c r="B477" s="213">
        <v>17197006302</v>
      </c>
      <c r="C477" s="213">
        <v>17197005594</v>
      </c>
      <c r="D477" s="213">
        <v>17197007193</v>
      </c>
      <c r="E477" s="213" t="s">
        <v>533</v>
      </c>
      <c r="F477" s="213" t="s">
        <v>534</v>
      </c>
      <c r="G477" s="213" t="s">
        <v>377</v>
      </c>
      <c r="H477" s="213" t="s">
        <v>382</v>
      </c>
      <c r="I477" s="213"/>
      <c r="J477" s="213" t="s">
        <v>542</v>
      </c>
      <c r="K477" s="213"/>
      <c r="L477" s="213"/>
      <c r="M477" s="213"/>
      <c r="N477" s="213"/>
      <c r="O477" s="213"/>
      <c r="P477" s="213"/>
      <c r="Q477" s="213"/>
      <c r="R477" s="213"/>
      <c r="S477" s="213" t="s">
        <v>606</v>
      </c>
      <c r="T477" s="213"/>
      <c r="U477" s="213" t="s">
        <v>538</v>
      </c>
      <c r="V477" s="213">
        <v>1</v>
      </c>
      <c r="W477" s="213" t="s">
        <v>545</v>
      </c>
      <c r="X477" s="213" t="s">
        <v>549</v>
      </c>
      <c r="Y477" s="213" t="s">
        <v>541</v>
      </c>
      <c r="Z477" s="212">
        <v>360</v>
      </c>
      <c r="AA477" s="212">
        <v>34680</v>
      </c>
      <c r="AB477" s="217">
        <v>3.782724</v>
      </c>
      <c r="AC477" s="217">
        <v>6.0877160000000003</v>
      </c>
      <c r="AD477" s="212">
        <f t="shared" si="7"/>
        <v>131184.86832000001</v>
      </c>
    </row>
    <row r="478" spans="2:30" x14ac:dyDescent="0.15">
      <c r="B478" s="213">
        <v>17197006306</v>
      </c>
      <c r="C478" s="213">
        <v>17197001632</v>
      </c>
      <c r="D478" s="213">
        <v>17197004811</v>
      </c>
      <c r="E478" s="213" t="s">
        <v>533</v>
      </c>
      <c r="F478" s="213" t="s">
        <v>534</v>
      </c>
      <c r="G478" s="213" t="s">
        <v>377</v>
      </c>
      <c r="H478" s="213" t="s">
        <v>381</v>
      </c>
      <c r="I478" s="213"/>
      <c r="J478" s="213" t="s">
        <v>382</v>
      </c>
      <c r="K478" s="213"/>
      <c r="L478" s="213"/>
      <c r="M478" s="213"/>
      <c r="N478" s="213"/>
      <c r="O478" s="213"/>
      <c r="P478" s="213"/>
      <c r="Q478" s="213"/>
      <c r="R478" s="213"/>
      <c r="S478" s="213" t="s">
        <v>647</v>
      </c>
      <c r="T478" s="213"/>
      <c r="U478" s="213" t="s">
        <v>538</v>
      </c>
      <c r="V478" s="213">
        <v>1</v>
      </c>
      <c r="W478" s="213" t="s">
        <v>582</v>
      </c>
      <c r="X478" s="213" t="s">
        <v>549</v>
      </c>
      <c r="Y478" s="213" t="s">
        <v>580</v>
      </c>
      <c r="Z478" s="212">
        <v>611040</v>
      </c>
      <c r="AA478" s="212">
        <v>10838280</v>
      </c>
      <c r="AB478" s="217">
        <v>0.228853</v>
      </c>
      <c r="AC478" s="217">
        <v>0.36830499999999999</v>
      </c>
      <c r="AD478" s="212">
        <f t="shared" si="7"/>
        <v>2480372.8928399999</v>
      </c>
    </row>
    <row r="479" spans="2:30" x14ac:dyDescent="0.15">
      <c r="B479" s="213">
        <v>17197006539</v>
      </c>
      <c r="C479" s="213">
        <v>17197001485</v>
      </c>
      <c r="D479" s="213">
        <v>17197001486</v>
      </c>
      <c r="E479" s="213" t="s">
        <v>533</v>
      </c>
      <c r="F479" s="213" t="s">
        <v>534</v>
      </c>
      <c r="G479" s="213" t="s">
        <v>377</v>
      </c>
      <c r="H479" s="213" t="s">
        <v>547</v>
      </c>
      <c r="I479" s="213"/>
      <c r="J479" s="213" t="s">
        <v>551</v>
      </c>
      <c r="K479" s="213" t="s">
        <v>615</v>
      </c>
      <c r="L479" s="213" t="s">
        <v>535</v>
      </c>
      <c r="M479" s="213"/>
      <c r="N479" s="213"/>
      <c r="O479" s="213"/>
      <c r="P479" s="213"/>
      <c r="Q479" s="213"/>
      <c r="R479" s="213"/>
      <c r="S479" s="213" t="s">
        <v>581</v>
      </c>
      <c r="T479" s="213"/>
      <c r="U479" s="213" t="s">
        <v>538</v>
      </c>
      <c r="V479" s="213">
        <v>1</v>
      </c>
      <c r="W479" s="213" t="s">
        <v>582</v>
      </c>
      <c r="X479" s="213" t="s">
        <v>554</v>
      </c>
      <c r="Y479" s="213" t="s">
        <v>540</v>
      </c>
      <c r="Z479" s="212">
        <v>35140</v>
      </c>
      <c r="AA479" s="212">
        <v>3383461</v>
      </c>
      <c r="AB479" s="217">
        <v>0.16173000000000001</v>
      </c>
      <c r="AC479" s="217">
        <v>0.26028000000000001</v>
      </c>
      <c r="AD479" s="212">
        <f t="shared" si="7"/>
        <v>547207.14753000007</v>
      </c>
    </row>
    <row r="480" spans="2:30" x14ac:dyDescent="0.15">
      <c r="B480" s="213">
        <v>17197006543</v>
      </c>
      <c r="C480" s="213">
        <v>17197004793</v>
      </c>
      <c r="D480" s="213">
        <v>17197004792</v>
      </c>
      <c r="E480" s="213" t="s">
        <v>533</v>
      </c>
      <c r="F480" s="213" t="s">
        <v>534</v>
      </c>
      <c r="G480" s="213" t="s">
        <v>377</v>
      </c>
      <c r="H480" s="213" t="s">
        <v>535</v>
      </c>
      <c r="I480" s="213"/>
      <c r="J480" s="213" t="s">
        <v>382</v>
      </c>
      <c r="K480" s="213" t="s">
        <v>536</v>
      </c>
      <c r="L480" s="213"/>
      <c r="M480" s="213"/>
      <c r="N480" s="213"/>
      <c r="O480" s="213"/>
      <c r="P480" s="213"/>
      <c r="Q480" s="213"/>
      <c r="R480" s="213"/>
      <c r="S480" s="213" t="s">
        <v>537</v>
      </c>
      <c r="T480" s="213"/>
      <c r="U480" s="213" t="s">
        <v>538</v>
      </c>
      <c r="V480" s="213">
        <v>2</v>
      </c>
      <c r="W480" s="213" t="s">
        <v>545</v>
      </c>
      <c r="X480" s="213" t="s">
        <v>549</v>
      </c>
      <c r="Y480" s="213" t="s">
        <v>540</v>
      </c>
      <c r="Z480" s="212">
        <v>39128</v>
      </c>
      <c r="AA480" s="212">
        <v>3874614</v>
      </c>
      <c r="AB480" s="217">
        <v>0.15270500000000001</v>
      </c>
      <c r="AC480" s="217">
        <v>0.245756</v>
      </c>
      <c r="AD480" s="212">
        <f t="shared" si="7"/>
        <v>591672.93087000004</v>
      </c>
    </row>
    <row r="481" spans="2:30" x14ac:dyDescent="0.15">
      <c r="B481" s="213">
        <v>17197006546</v>
      </c>
      <c r="C481" s="213">
        <v>17197004800</v>
      </c>
      <c r="D481" s="213">
        <v>17197001468</v>
      </c>
      <c r="E481" s="213" t="s">
        <v>533</v>
      </c>
      <c r="F481" s="213" t="s">
        <v>534</v>
      </c>
      <c r="G481" s="213" t="s">
        <v>377</v>
      </c>
      <c r="H481" s="213" t="s">
        <v>535</v>
      </c>
      <c r="I481" s="213"/>
      <c r="J481" s="213"/>
      <c r="K481" s="213"/>
      <c r="L481" s="213"/>
      <c r="M481" s="213"/>
      <c r="N481" s="213"/>
      <c r="O481" s="213"/>
      <c r="P481" s="213"/>
      <c r="Q481" s="213"/>
      <c r="R481" s="213"/>
      <c r="S481" s="213"/>
      <c r="T481" s="213" t="s">
        <v>596</v>
      </c>
      <c r="U481" s="213" t="s">
        <v>559</v>
      </c>
      <c r="V481" s="213">
        <v>1</v>
      </c>
      <c r="W481" s="213" t="s">
        <v>560</v>
      </c>
      <c r="X481" s="213" t="s">
        <v>541</v>
      </c>
      <c r="Y481" s="213" t="s">
        <v>541</v>
      </c>
      <c r="Z481" s="212">
        <v>0</v>
      </c>
      <c r="AA481" s="212">
        <v>0</v>
      </c>
      <c r="AB481" s="217">
        <v>0.18116399999999999</v>
      </c>
      <c r="AC481" s="217">
        <v>0.29155599999999998</v>
      </c>
      <c r="AD481" s="212">
        <f t="shared" si="7"/>
        <v>0</v>
      </c>
    </row>
    <row r="482" spans="2:30" x14ac:dyDescent="0.15">
      <c r="B482" s="213">
        <v>17197006549</v>
      </c>
      <c r="C482" s="213">
        <v>17197004811</v>
      </c>
      <c r="D482" s="213">
        <v>17197004510</v>
      </c>
      <c r="E482" s="213" t="s">
        <v>533</v>
      </c>
      <c r="F482" s="213" t="s">
        <v>534</v>
      </c>
      <c r="G482" s="213" t="s">
        <v>377</v>
      </c>
      <c r="H482" s="213" t="s">
        <v>381</v>
      </c>
      <c r="I482" s="213"/>
      <c r="J482" s="213" t="s">
        <v>382</v>
      </c>
      <c r="K482" s="213"/>
      <c r="L482" s="213"/>
      <c r="M482" s="213"/>
      <c r="N482" s="213"/>
      <c r="O482" s="213"/>
      <c r="P482" s="213"/>
      <c r="Q482" s="213"/>
      <c r="R482" s="213"/>
      <c r="S482" s="213" t="s">
        <v>647</v>
      </c>
      <c r="T482" s="213"/>
      <c r="U482" s="213" t="s">
        <v>538</v>
      </c>
      <c r="V482" s="213">
        <v>1</v>
      </c>
      <c r="W482" s="213" t="s">
        <v>582</v>
      </c>
      <c r="X482" s="213" t="s">
        <v>549</v>
      </c>
      <c r="Y482" s="213" t="s">
        <v>580</v>
      </c>
      <c r="Z482" s="212">
        <v>611540</v>
      </c>
      <c r="AA482" s="212">
        <v>10878440</v>
      </c>
      <c r="AB482" s="217">
        <v>5.7116E-2</v>
      </c>
      <c r="AC482" s="217">
        <v>9.1919000000000001E-2</v>
      </c>
      <c r="AD482" s="212">
        <f t="shared" si="7"/>
        <v>621332.97904000001</v>
      </c>
    </row>
    <row r="483" spans="2:30" x14ac:dyDescent="0.15">
      <c r="B483" s="213">
        <v>17197006551</v>
      </c>
      <c r="C483" s="213">
        <v>17197004512</v>
      </c>
      <c r="D483" s="213">
        <v>17197004513</v>
      </c>
      <c r="E483" s="213" t="s">
        <v>533</v>
      </c>
      <c r="F483" s="213" t="s">
        <v>534</v>
      </c>
      <c r="G483" s="213" t="s">
        <v>377</v>
      </c>
      <c r="H483" s="213" t="s">
        <v>381</v>
      </c>
      <c r="I483" s="213"/>
      <c r="J483" s="213" t="s">
        <v>382</v>
      </c>
      <c r="K483" s="213"/>
      <c r="L483" s="213"/>
      <c r="M483" s="213"/>
      <c r="N483" s="213"/>
      <c r="O483" s="213"/>
      <c r="P483" s="213"/>
      <c r="Q483" s="213"/>
      <c r="R483" s="213"/>
      <c r="S483" s="213" t="s">
        <v>651</v>
      </c>
      <c r="T483" s="213"/>
      <c r="U483" s="213" t="s">
        <v>559</v>
      </c>
      <c r="V483" s="213">
        <v>1</v>
      </c>
      <c r="W483" s="213" t="s">
        <v>539</v>
      </c>
      <c r="X483" s="213" t="s">
        <v>541</v>
      </c>
      <c r="Y483" s="213" t="s">
        <v>541</v>
      </c>
      <c r="Z483" s="212">
        <v>830080</v>
      </c>
      <c r="AA483" s="212">
        <v>13752400</v>
      </c>
      <c r="AB483" s="217">
        <v>0.22836999999999999</v>
      </c>
      <c r="AC483" s="217">
        <v>0.36752600000000002</v>
      </c>
      <c r="AD483" s="212">
        <f t="shared" si="7"/>
        <v>3140635.588</v>
      </c>
    </row>
    <row r="484" spans="2:30" x14ac:dyDescent="0.15">
      <c r="B484" s="213">
        <v>17197006552</v>
      </c>
      <c r="C484" s="213">
        <v>17197004513</v>
      </c>
      <c r="D484" s="213">
        <v>17197004812</v>
      </c>
      <c r="E484" s="213" t="s">
        <v>533</v>
      </c>
      <c r="F484" s="213" t="s">
        <v>534</v>
      </c>
      <c r="G484" s="213" t="s">
        <v>377</v>
      </c>
      <c r="H484" s="213" t="s">
        <v>381</v>
      </c>
      <c r="I484" s="213"/>
      <c r="J484" s="213" t="s">
        <v>382</v>
      </c>
      <c r="K484" s="213"/>
      <c r="L484" s="213"/>
      <c r="M484" s="213"/>
      <c r="N484" s="213"/>
      <c r="O484" s="213"/>
      <c r="P484" s="213"/>
      <c r="Q484" s="213"/>
      <c r="R484" s="213"/>
      <c r="S484" s="213" t="s">
        <v>651</v>
      </c>
      <c r="T484" s="213"/>
      <c r="U484" s="213" t="s">
        <v>559</v>
      </c>
      <c r="V484" s="213">
        <v>1</v>
      </c>
      <c r="W484" s="213" t="s">
        <v>539</v>
      </c>
      <c r="X484" s="213" t="s">
        <v>541</v>
      </c>
      <c r="Y484" s="213" t="s">
        <v>541</v>
      </c>
      <c r="Z484" s="212">
        <v>0</v>
      </c>
      <c r="AA484" s="212">
        <v>0</v>
      </c>
      <c r="AB484" s="217">
        <v>1.3027629999999999</v>
      </c>
      <c r="AC484" s="217">
        <v>2.0965989999999999</v>
      </c>
      <c r="AD484" s="212">
        <f t="shared" si="7"/>
        <v>0</v>
      </c>
    </row>
    <row r="485" spans="2:30" x14ac:dyDescent="0.15">
      <c r="B485" s="213">
        <v>17197006555</v>
      </c>
      <c r="C485" s="213">
        <v>17197006581</v>
      </c>
      <c r="D485" s="213">
        <v>17197004514</v>
      </c>
      <c r="E485" s="213" t="s">
        <v>533</v>
      </c>
      <c r="F485" s="213" t="s">
        <v>534</v>
      </c>
      <c r="G485" s="213" t="s">
        <v>377</v>
      </c>
      <c r="H485" s="213" t="s">
        <v>381</v>
      </c>
      <c r="I485" s="213"/>
      <c r="J485" s="213" t="s">
        <v>382</v>
      </c>
      <c r="K485" s="213"/>
      <c r="L485" s="213"/>
      <c r="M485" s="213"/>
      <c r="N485" s="213"/>
      <c r="O485" s="213"/>
      <c r="P485" s="213"/>
      <c r="Q485" s="213"/>
      <c r="R485" s="213"/>
      <c r="S485" s="213" t="s">
        <v>651</v>
      </c>
      <c r="T485" s="213" t="s">
        <v>651</v>
      </c>
      <c r="U485" s="213" t="s">
        <v>559</v>
      </c>
      <c r="V485" s="213">
        <v>1</v>
      </c>
      <c r="W485" s="213" t="s">
        <v>539</v>
      </c>
      <c r="X485" s="213" t="s">
        <v>541</v>
      </c>
      <c r="Y485" s="213" t="s">
        <v>541</v>
      </c>
      <c r="Z485" s="212">
        <v>0</v>
      </c>
      <c r="AA485" s="212">
        <v>0</v>
      </c>
      <c r="AB485" s="217">
        <v>1.069526</v>
      </c>
      <c r="AC485" s="217">
        <v>1.721239</v>
      </c>
      <c r="AD485" s="212">
        <f t="shared" si="7"/>
        <v>0</v>
      </c>
    </row>
    <row r="486" spans="2:30" x14ac:dyDescent="0.15">
      <c r="B486" s="213">
        <v>17197007035</v>
      </c>
      <c r="C486" s="213">
        <v>17197005588</v>
      </c>
      <c r="D486" s="213">
        <v>17197005589</v>
      </c>
      <c r="E486" s="213" t="s">
        <v>533</v>
      </c>
      <c r="F486" s="213" t="s">
        <v>534</v>
      </c>
      <c r="G486" s="213" t="s">
        <v>377</v>
      </c>
      <c r="H486" s="213" t="s">
        <v>382</v>
      </c>
      <c r="I486" s="213"/>
      <c r="J486" s="213"/>
      <c r="K486" s="213"/>
      <c r="L486" s="213"/>
      <c r="M486" s="213"/>
      <c r="N486" s="213"/>
      <c r="O486" s="213"/>
      <c r="P486" s="213"/>
      <c r="Q486" s="213"/>
      <c r="R486" s="213"/>
      <c r="S486" s="213" t="s">
        <v>592</v>
      </c>
      <c r="T486" s="213" t="s">
        <v>593</v>
      </c>
      <c r="U486" s="213" t="s">
        <v>559</v>
      </c>
      <c r="V486" s="213">
        <v>1</v>
      </c>
      <c r="W486" s="213" t="s">
        <v>539</v>
      </c>
      <c r="X486" s="213" t="s">
        <v>541</v>
      </c>
      <c r="Y486" s="213" t="s">
        <v>541</v>
      </c>
      <c r="Z486" s="212">
        <v>0</v>
      </c>
      <c r="AA486" s="212">
        <v>0</v>
      </c>
      <c r="AB486" s="217">
        <v>0.13303100000000001</v>
      </c>
      <c r="AC486" s="217">
        <v>0.21409400000000001</v>
      </c>
      <c r="AD486" s="212">
        <f t="shared" si="7"/>
        <v>0</v>
      </c>
    </row>
    <row r="487" spans="2:30" x14ac:dyDescent="0.15">
      <c r="B487" s="213">
        <v>17197007036</v>
      </c>
      <c r="C487" s="213">
        <v>17197005589</v>
      </c>
      <c r="D487" s="213">
        <v>17197005590</v>
      </c>
      <c r="E487" s="213" t="s">
        <v>533</v>
      </c>
      <c r="F487" s="213" t="s">
        <v>534</v>
      </c>
      <c r="G487" s="213" t="s">
        <v>377</v>
      </c>
      <c r="H487" s="213" t="s">
        <v>382</v>
      </c>
      <c r="I487" s="213"/>
      <c r="J487" s="213"/>
      <c r="K487" s="213"/>
      <c r="L487" s="213"/>
      <c r="M487" s="213"/>
      <c r="N487" s="213"/>
      <c r="O487" s="213"/>
      <c r="P487" s="213"/>
      <c r="Q487" s="213"/>
      <c r="R487" s="213"/>
      <c r="S487" s="213" t="s">
        <v>592</v>
      </c>
      <c r="T487" s="213" t="s">
        <v>593</v>
      </c>
      <c r="U487" s="213" t="s">
        <v>559</v>
      </c>
      <c r="V487" s="213">
        <v>1</v>
      </c>
      <c r="W487" s="213" t="s">
        <v>539</v>
      </c>
      <c r="X487" s="213" t="s">
        <v>541</v>
      </c>
      <c r="Y487" s="213" t="s">
        <v>541</v>
      </c>
      <c r="Z487" s="212">
        <v>0</v>
      </c>
      <c r="AA487" s="212">
        <v>0</v>
      </c>
      <c r="AB487" s="217">
        <v>0.265177</v>
      </c>
      <c r="AC487" s="217">
        <v>0.42676199999999997</v>
      </c>
      <c r="AD487" s="212">
        <f t="shared" si="7"/>
        <v>0</v>
      </c>
    </row>
    <row r="488" spans="2:30" x14ac:dyDescent="0.15">
      <c r="B488" s="213">
        <v>17197007044</v>
      </c>
      <c r="C488" s="213">
        <v>17197001537</v>
      </c>
      <c r="D488" s="213">
        <v>17197005596</v>
      </c>
      <c r="E488" s="213" t="s">
        <v>533</v>
      </c>
      <c r="F488" s="213" t="s">
        <v>534</v>
      </c>
      <c r="G488" s="213" t="s">
        <v>377</v>
      </c>
      <c r="H488" s="213" t="s">
        <v>382</v>
      </c>
      <c r="I488" s="213"/>
      <c r="J488" s="213" t="s">
        <v>542</v>
      </c>
      <c r="K488" s="213"/>
      <c r="L488" s="213"/>
      <c r="M488" s="213"/>
      <c r="N488" s="213"/>
      <c r="O488" s="213"/>
      <c r="P488" s="213"/>
      <c r="Q488" s="213"/>
      <c r="R488" s="213"/>
      <c r="S488" s="213" t="s">
        <v>606</v>
      </c>
      <c r="T488" s="213"/>
      <c r="U488" s="213" t="s">
        <v>538</v>
      </c>
      <c r="V488" s="213">
        <v>1</v>
      </c>
      <c r="W488" s="213" t="s">
        <v>545</v>
      </c>
      <c r="X488" s="213" t="s">
        <v>549</v>
      </c>
      <c r="Y488" s="213" t="s">
        <v>541</v>
      </c>
      <c r="Z488" s="212">
        <v>111080</v>
      </c>
      <c r="AA488" s="212">
        <v>1461920</v>
      </c>
      <c r="AB488" s="217">
        <v>1.7902750000000001</v>
      </c>
      <c r="AC488" s="217">
        <v>2.881173</v>
      </c>
      <c r="AD488" s="212">
        <f t="shared" si="7"/>
        <v>2617238.8280000002</v>
      </c>
    </row>
    <row r="489" spans="2:30" x14ac:dyDescent="0.15">
      <c r="B489" s="213">
        <v>17197007048</v>
      </c>
      <c r="C489" s="213">
        <v>17197005596</v>
      </c>
      <c r="D489" s="213">
        <v>17197005594</v>
      </c>
      <c r="E489" s="213" t="s">
        <v>533</v>
      </c>
      <c r="F489" s="213" t="s">
        <v>534</v>
      </c>
      <c r="G489" s="213" t="s">
        <v>377</v>
      </c>
      <c r="H489" s="213" t="s">
        <v>382</v>
      </c>
      <c r="I489" s="213"/>
      <c r="J489" s="213" t="s">
        <v>542</v>
      </c>
      <c r="K489" s="213"/>
      <c r="L489" s="213"/>
      <c r="M489" s="213"/>
      <c r="N489" s="213"/>
      <c r="O489" s="213"/>
      <c r="P489" s="213"/>
      <c r="Q489" s="213"/>
      <c r="R489" s="213"/>
      <c r="S489" s="213" t="s">
        <v>606</v>
      </c>
      <c r="T489" s="213"/>
      <c r="U489" s="213" t="s">
        <v>538</v>
      </c>
      <c r="V489" s="213">
        <v>1</v>
      </c>
      <c r="W489" s="213" t="s">
        <v>545</v>
      </c>
      <c r="X489" s="213" t="s">
        <v>549</v>
      </c>
      <c r="Y489" s="213" t="s">
        <v>541</v>
      </c>
      <c r="Z489" s="212">
        <v>360</v>
      </c>
      <c r="AA489" s="212">
        <v>34680</v>
      </c>
      <c r="AB489" s="217">
        <v>1.1318889999999999</v>
      </c>
      <c r="AC489" s="217">
        <v>1.8216019999999999</v>
      </c>
      <c r="AD489" s="212">
        <f t="shared" si="7"/>
        <v>39253.910519999998</v>
      </c>
    </row>
    <row r="490" spans="2:30" x14ac:dyDescent="0.15">
      <c r="B490" s="213">
        <v>17197008210</v>
      </c>
      <c r="C490" s="213">
        <v>17197004813</v>
      </c>
      <c r="D490" s="213">
        <v>17197006574</v>
      </c>
      <c r="E490" s="213" t="s">
        <v>533</v>
      </c>
      <c r="F490" s="213" t="s">
        <v>534</v>
      </c>
      <c r="G490" s="213" t="s">
        <v>377</v>
      </c>
      <c r="H490" s="213" t="s">
        <v>381</v>
      </c>
      <c r="I490" s="213"/>
      <c r="J490" s="213" t="s">
        <v>382</v>
      </c>
      <c r="K490" s="213"/>
      <c r="L490" s="213"/>
      <c r="M490" s="213"/>
      <c r="N490" s="213"/>
      <c r="O490" s="213"/>
      <c r="P490" s="213"/>
      <c r="Q490" s="213"/>
      <c r="R490" s="213"/>
      <c r="S490" s="213" t="s">
        <v>651</v>
      </c>
      <c r="T490" s="213" t="s">
        <v>651</v>
      </c>
      <c r="U490" s="213" t="s">
        <v>559</v>
      </c>
      <c r="V490" s="213">
        <v>1</v>
      </c>
      <c r="W490" s="213" t="s">
        <v>539</v>
      </c>
      <c r="X490" s="213" t="s">
        <v>554</v>
      </c>
      <c r="Y490" s="213" t="s">
        <v>540</v>
      </c>
      <c r="Z490" s="212">
        <v>0</v>
      </c>
      <c r="AA490" s="212">
        <v>0</v>
      </c>
      <c r="AB490" s="217">
        <v>9.4731999999999997E-2</v>
      </c>
      <c r="AC490" s="217">
        <v>0.15245700000000001</v>
      </c>
      <c r="AD490" s="212">
        <f t="shared" si="7"/>
        <v>0</v>
      </c>
    </row>
    <row r="491" spans="2:30" x14ac:dyDescent="0.15">
      <c r="B491" s="213">
        <v>17197008238</v>
      </c>
      <c r="C491" s="213">
        <v>17197001467</v>
      </c>
      <c r="D491" s="213">
        <v>17197006595</v>
      </c>
      <c r="E491" s="213" t="s">
        <v>533</v>
      </c>
      <c r="F491" s="213" t="s">
        <v>534</v>
      </c>
      <c r="G491" s="213" t="s">
        <v>377</v>
      </c>
      <c r="H491" s="213" t="s">
        <v>381</v>
      </c>
      <c r="I491" s="213"/>
      <c r="J491" s="213" t="s">
        <v>382</v>
      </c>
      <c r="K491" s="213"/>
      <c r="L491" s="213"/>
      <c r="M491" s="213"/>
      <c r="N491" s="213"/>
      <c r="O491" s="213"/>
      <c r="P491" s="213"/>
      <c r="Q491" s="213"/>
      <c r="R491" s="213"/>
      <c r="S491" s="213" t="s">
        <v>647</v>
      </c>
      <c r="T491" s="213" t="s">
        <v>705</v>
      </c>
      <c r="U491" s="213" t="s">
        <v>538</v>
      </c>
      <c r="V491" s="213">
        <v>2</v>
      </c>
      <c r="W491" s="213" t="s">
        <v>545</v>
      </c>
      <c r="X491" s="213" t="s">
        <v>540</v>
      </c>
      <c r="Y491" s="213" t="s">
        <v>580</v>
      </c>
      <c r="Z491" s="212">
        <v>1669393</v>
      </c>
      <c r="AA491" s="212">
        <v>43906463</v>
      </c>
      <c r="AB491" s="217">
        <v>9.8602999999999996E-2</v>
      </c>
      <c r="AC491" s="217">
        <v>0.15868599999999999</v>
      </c>
      <c r="AD491" s="212">
        <f t="shared" si="7"/>
        <v>4329308.9711889997</v>
      </c>
    </row>
    <row r="492" spans="2:30" x14ac:dyDescent="0.15">
      <c r="B492" s="213">
        <v>17197008287</v>
      </c>
      <c r="C492" s="213">
        <v>17197001468</v>
      </c>
      <c r="D492" s="213">
        <v>17197006628</v>
      </c>
      <c r="E492" s="213" t="s">
        <v>533</v>
      </c>
      <c r="F492" s="213" t="s">
        <v>534</v>
      </c>
      <c r="G492" s="213" t="s">
        <v>377</v>
      </c>
      <c r="H492" s="213" t="s">
        <v>535</v>
      </c>
      <c r="I492" s="213"/>
      <c r="J492" s="213"/>
      <c r="K492" s="213"/>
      <c r="L492" s="213"/>
      <c r="M492" s="213"/>
      <c r="N492" s="213"/>
      <c r="O492" s="213"/>
      <c r="P492" s="213"/>
      <c r="Q492" s="213"/>
      <c r="R492" s="213"/>
      <c r="S492" s="213"/>
      <c r="T492" s="213" t="s">
        <v>596</v>
      </c>
      <c r="U492" s="213" t="s">
        <v>559</v>
      </c>
      <c r="V492" s="213">
        <v>1</v>
      </c>
      <c r="W492" s="213" t="s">
        <v>560</v>
      </c>
      <c r="X492" s="213" t="s">
        <v>541</v>
      </c>
      <c r="Y492" s="213" t="s">
        <v>541</v>
      </c>
      <c r="Z492" s="212">
        <v>3004</v>
      </c>
      <c r="AA492" s="212">
        <v>285664</v>
      </c>
      <c r="AB492" s="217">
        <v>0.21437100000000001</v>
      </c>
      <c r="AC492" s="217">
        <v>0.344997</v>
      </c>
      <c r="AD492" s="212">
        <f t="shared" si="7"/>
        <v>61238.077344000005</v>
      </c>
    </row>
    <row r="493" spans="2:30" x14ac:dyDescent="0.15">
      <c r="B493" s="213">
        <v>17197008952</v>
      </c>
      <c r="C493" s="213">
        <v>17197007173</v>
      </c>
      <c r="D493" s="213">
        <v>17197007172</v>
      </c>
      <c r="E493" s="213" t="s">
        <v>533</v>
      </c>
      <c r="F493" s="213" t="s">
        <v>534</v>
      </c>
      <c r="G493" s="213" t="s">
        <v>377</v>
      </c>
      <c r="H493" s="213" t="s">
        <v>381</v>
      </c>
      <c r="I493" s="213"/>
      <c r="J493" s="213" t="s">
        <v>382</v>
      </c>
      <c r="K493" s="213"/>
      <c r="L493" s="213"/>
      <c r="M493" s="213"/>
      <c r="N493" s="213"/>
      <c r="O493" s="213"/>
      <c r="P493" s="213"/>
      <c r="Q493" s="213"/>
      <c r="R493" s="213"/>
      <c r="S493" s="213" t="s">
        <v>647</v>
      </c>
      <c r="T493" s="213"/>
      <c r="U493" s="213" t="s">
        <v>538</v>
      </c>
      <c r="V493" s="213">
        <v>2</v>
      </c>
      <c r="W493" s="213" t="s">
        <v>545</v>
      </c>
      <c r="X493" s="213" t="s">
        <v>549</v>
      </c>
      <c r="Y493" s="213" t="s">
        <v>580</v>
      </c>
      <c r="Z493" s="212">
        <v>1669317</v>
      </c>
      <c r="AA493" s="212">
        <v>43895235</v>
      </c>
      <c r="AB493" s="217">
        <v>0.13239400000000001</v>
      </c>
      <c r="AC493" s="217">
        <v>0.21306900000000001</v>
      </c>
      <c r="AD493" s="212">
        <f t="shared" si="7"/>
        <v>5811465.7425900009</v>
      </c>
    </row>
    <row r="494" spans="2:30" x14ac:dyDescent="0.15">
      <c r="B494" s="213">
        <v>17197008968</v>
      </c>
      <c r="C494" s="213">
        <v>17197007190</v>
      </c>
      <c r="D494" s="213">
        <v>17999022163</v>
      </c>
      <c r="E494" s="213" t="s">
        <v>533</v>
      </c>
      <c r="F494" s="213" t="s">
        <v>534</v>
      </c>
      <c r="G494" s="213" t="s">
        <v>377</v>
      </c>
      <c r="H494" s="213" t="s">
        <v>381</v>
      </c>
      <c r="I494" s="213"/>
      <c r="J494" s="213"/>
      <c r="K494" s="213"/>
      <c r="L494" s="213"/>
      <c r="M494" s="213"/>
      <c r="N494" s="213"/>
      <c r="O494" s="213"/>
      <c r="P494" s="213"/>
      <c r="Q494" s="213"/>
      <c r="R494" s="213"/>
      <c r="S494" s="213"/>
      <c r="T494" s="213"/>
      <c r="U494" s="213" t="s">
        <v>559</v>
      </c>
      <c r="V494" s="213">
        <v>1</v>
      </c>
      <c r="W494" s="213" t="s">
        <v>560</v>
      </c>
      <c r="X494" s="213" t="s">
        <v>541</v>
      </c>
      <c r="Y494" s="213" t="s">
        <v>541</v>
      </c>
      <c r="Z494" s="212">
        <v>0</v>
      </c>
      <c r="AA494" s="212">
        <v>0</v>
      </c>
      <c r="AB494" s="217">
        <v>0.76834100000000005</v>
      </c>
      <c r="AC494" s="217">
        <v>1.2365280000000001</v>
      </c>
      <c r="AD494" s="212">
        <f t="shared" si="7"/>
        <v>0</v>
      </c>
    </row>
    <row r="495" spans="2:30" x14ac:dyDescent="0.15">
      <c r="B495" s="213">
        <v>17197008971</v>
      </c>
      <c r="C495" s="213">
        <v>17197007187</v>
      </c>
      <c r="D495" s="213">
        <v>17197007190</v>
      </c>
      <c r="E495" s="213" t="s">
        <v>533</v>
      </c>
      <c r="F495" s="213" t="s">
        <v>534</v>
      </c>
      <c r="G495" s="213" t="s">
        <v>377</v>
      </c>
      <c r="H495" s="213" t="s">
        <v>381</v>
      </c>
      <c r="I495" s="213"/>
      <c r="J495" s="213"/>
      <c r="K495" s="213"/>
      <c r="L495" s="213"/>
      <c r="M495" s="213"/>
      <c r="N495" s="213"/>
      <c r="O495" s="213"/>
      <c r="P495" s="213"/>
      <c r="Q495" s="213"/>
      <c r="R495" s="213"/>
      <c r="S495" s="213"/>
      <c r="T495" s="213"/>
      <c r="U495" s="213" t="s">
        <v>559</v>
      </c>
      <c r="V495" s="213">
        <v>1</v>
      </c>
      <c r="W495" s="213" t="s">
        <v>560</v>
      </c>
      <c r="X495" s="213" t="s">
        <v>541</v>
      </c>
      <c r="Y495" s="213" t="s">
        <v>541</v>
      </c>
      <c r="Z495" s="212">
        <v>0</v>
      </c>
      <c r="AA495" s="212">
        <v>0</v>
      </c>
      <c r="AB495" s="217">
        <v>6.4431000000000002E-2</v>
      </c>
      <c r="AC495" s="217">
        <v>0.10369200000000001</v>
      </c>
      <c r="AD495" s="212">
        <f t="shared" si="7"/>
        <v>0</v>
      </c>
    </row>
    <row r="496" spans="2:30" x14ac:dyDescent="0.15">
      <c r="B496" s="213">
        <v>17197008972</v>
      </c>
      <c r="C496" s="213">
        <v>17197007191</v>
      </c>
      <c r="D496" s="213">
        <v>17197001821</v>
      </c>
      <c r="E496" s="213" t="s">
        <v>533</v>
      </c>
      <c r="F496" s="213" t="s">
        <v>534</v>
      </c>
      <c r="G496" s="213" t="s">
        <v>377</v>
      </c>
      <c r="H496" s="213" t="s">
        <v>687</v>
      </c>
      <c r="I496" s="213"/>
      <c r="J496" s="213" t="s">
        <v>382</v>
      </c>
      <c r="K496" s="213"/>
      <c r="L496" s="213"/>
      <c r="M496" s="213"/>
      <c r="N496" s="213"/>
      <c r="O496" s="213"/>
      <c r="P496" s="213"/>
      <c r="Q496" s="213"/>
      <c r="R496" s="213"/>
      <c r="S496" s="213"/>
      <c r="T496" s="213"/>
      <c r="U496" s="213" t="s">
        <v>559</v>
      </c>
      <c r="V496" s="213">
        <v>1</v>
      </c>
      <c r="W496" s="213" t="s">
        <v>560</v>
      </c>
      <c r="X496" s="213" t="s">
        <v>541</v>
      </c>
      <c r="Y496" s="213" t="s">
        <v>541</v>
      </c>
      <c r="Z496" s="212">
        <v>0</v>
      </c>
      <c r="AA496" s="212">
        <v>0</v>
      </c>
      <c r="AB496" s="217">
        <v>0.18357200000000001</v>
      </c>
      <c r="AC496" s="217">
        <v>0.295431</v>
      </c>
      <c r="AD496" s="212">
        <f t="shared" si="7"/>
        <v>0</v>
      </c>
    </row>
    <row r="497" spans="2:30" x14ac:dyDescent="0.15">
      <c r="B497" s="213">
        <v>17197008997</v>
      </c>
      <c r="C497" s="213">
        <v>17197007213</v>
      </c>
      <c r="D497" s="213">
        <v>17197001670</v>
      </c>
      <c r="E497" s="213" t="s">
        <v>533</v>
      </c>
      <c r="F497" s="213" t="s">
        <v>534</v>
      </c>
      <c r="G497" s="213" t="s">
        <v>377</v>
      </c>
      <c r="H497" s="213" t="s">
        <v>381</v>
      </c>
      <c r="I497" s="213"/>
      <c r="J497" s="213"/>
      <c r="K497" s="213"/>
      <c r="L497" s="213"/>
      <c r="M497" s="213"/>
      <c r="N497" s="213"/>
      <c r="O497" s="213"/>
      <c r="P497" s="213"/>
      <c r="Q497" s="213"/>
      <c r="R497" s="213"/>
      <c r="S497" s="213" t="s">
        <v>591</v>
      </c>
      <c r="T497" s="213"/>
      <c r="U497" s="213" t="s">
        <v>559</v>
      </c>
      <c r="V497" s="213">
        <v>1</v>
      </c>
      <c r="W497" s="213" t="s">
        <v>560</v>
      </c>
      <c r="X497" s="213" t="s">
        <v>541</v>
      </c>
      <c r="Y497" s="213" t="s">
        <v>541</v>
      </c>
      <c r="Z497" s="212">
        <v>0</v>
      </c>
      <c r="AA497" s="212">
        <v>0</v>
      </c>
      <c r="AB497" s="217">
        <v>1.5016179999999999</v>
      </c>
      <c r="AC497" s="217">
        <v>2.4166249999999998</v>
      </c>
      <c r="AD497" s="212">
        <f t="shared" si="7"/>
        <v>0</v>
      </c>
    </row>
    <row r="498" spans="2:30" x14ac:dyDescent="0.15">
      <c r="B498" s="213">
        <v>17197009002</v>
      </c>
      <c r="C498" s="213">
        <v>17197007217</v>
      </c>
      <c r="D498" s="213">
        <v>17197007213</v>
      </c>
      <c r="E498" s="213" t="s">
        <v>533</v>
      </c>
      <c r="F498" s="213" t="s">
        <v>534</v>
      </c>
      <c r="G498" s="213" t="s">
        <v>377</v>
      </c>
      <c r="H498" s="213" t="s">
        <v>381</v>
      </c>
      <c r="I498" s="213"/>
      <c r="J498" s="213"/>
      <c r="K498" s="213"/>
      <c r="L498" s="213"/>
      <c r="M498" s="213"/>
      <c r="N498" s="213"/>
      <c r="O498" s="213"/>
      <c r="P498" s="213"/>
      <c r="Q498" s="213"/>
      <c r="R498" s="213"/>
      <c r="S498" s="213" t="s">
        <v>591</v>
      </c>
      <c r="T498" s="213"/>
      <c r="U498" s="213" t="s">
        <v>559</v>
      </c>
      <c r="V498" s="213">
        <v>1</v>
      </c>
      <c r="W498" s="213" t="s">
        <v>560</v>
      </c>
      <c r="X498" s="213" t="s">
        <v>541</v>
      </c>
      <c r="Y498" s="213" t="s">
        <v>541</v>
      </c>
      <c r="Z498" s="212">
        <v>0</v>
      </c>
      <c r="AA498" s="212">
        <v>0</v>
      </c>
      <c r="AB498" s="217">
        <v>0.619232</v>
      </c>
      <c r="AC498" s="217">
        <v>0.99655899999999997</v>
      </c>
      <c r="AD498" s="212">
        <f t="shared" si="7"/>
        <v>0</v>
      </c>
    </row>
    <row r="499" spans="2:30" x14ac:dyDescent="0.15">
      <c r="B499" s="213">
        <v>17197009011</v>
      </c>
      <c r="C499" s="213">
        <v>17197001625</v>
      </c>
      <c r="D499" s="213">
        <v>17197007229</v>
      </c>
      <c r="E499" s="213" t="s">
        <v>533</v>
      </c>
      <c r="F499" s="213" t="s">
        <v>534</v>
      </c>
      <c r="G499" s="213" t="s">
        <v>377</v>
      </c>
      <c r="H499" s="213" t="s">
        <v>381</v>
      </c>
      <c r="I499" s="213"/>
      <c r="J499" s="213"/>
      <c r="K499" s="213"/>
      <c r="L499" s="213"/>
      <c r="M499" s="213"/>
      <c r="N499" s="213"/>
      <c r="O499" s="213"/>
      <c r="P499" s="213"/>
      <c r="Q499" s="213"/>
      <c r="R499" s="213"/>
      <c r="S499" s="213" t="s">
        <v>591</v>
      </c>
      <c r="T499" s="213"/>
      <c r="U499" s="213" t="s">
        <v>559</v>
      </c>
      <c r="V499" s="213">
        <v>1</v>
      </c>
      <c r="W499" s="213" t="s">
        <v>560</v>
      </c>
      <c r="X499" s="213" t="s">
        <v>541</v>
      </c>
      <c r="Y499" s="213" t="s">
        <v>541</v>
      </c>
      <c r="Z499" s="212">
        <v>0</v>
      </c>
      <c r="AA499" s="212">
        <v>0</v>
      </c>
      <c r="AB499" s="217">
        <v>0.125112</v>
      </c>
      <c r="AC499" s="217">
        <v>0.201348</v>
      </c>
      <c r="AD499" s="212">
        <f t="shared" si="7"/>
        <v>0</v>
      </c>
    </row>
    <row r="500" spans="2:30" x14ac:dyDescent="0.15">
      <c r="B500" s="213">
        <v>17197009271</v>
      </c>
      <c r="C500" s="213">
        <v>17197007398</v>
      </c>
      <c r="D500" s="213">
        <v>17197007397</v>
      </c>
      <c r="E500" s="213" t="s">
        <v>533</v>
      </c>
      <c r="F500" s="213" t="s">
        <v>534</v>
      </c>
      <c r="G500" s="213" t="s">
        <v>377</v>
      </c>
      <c r="H500" s="213" t="s">
        <v>547</v>
      </c>
      <c r="I500" s="213"/>
      <c r="J500" s="213" t="s">
        <v>551</v>
      </c>
      <c r="K500" s="213" t="s">
        <v>615</v>
      </c>
      <c r="L500" s="213" t="s">
        <v>535</v>
      </c>
      <c r="M500" s="213"/>
      <c r="N500" s="213"/>
      <c r="O500" s="213"/>
      <c r="P500" s="213"/>
      <c r="Q500" s="213"/>
      <c r="R500" s="213"/>
      <c r="S500" s="213" t="s">
        <v>581</v>
      </c>
      <c r="T500" s="213"/>
      <c r="U500" s="213" t="s">
        <v>538</v>
      </c>
      <c r="V500" s="213">
        <v>2</v>
      </c>
      <c r="W500" s="213" t="s">
        <v>582</v>
      </c>
      <c r="X500" s="213" t="s">
        <v>540</v>
      </c>
      <c r="Y500" s="213" t="s">
        <v>540</v>
      </c>
      <c r="Z500" s="212">
        <v>35140</v>
      </c>
      <c r="AA500" s="212">
        <v>3383461</v>
      </c>
      <c r="AB500" s="217">
        <v>0.14177600000000001</v>
      </c>
      <c r="AC500" s="217">
        <v>0.22816600000000001</v>
      </c>
      <c r="AD500" s="212">
        <f t="shared" si="7"/>
        <v>479693.56673600007</v>
      </c>
    </row>
    <row r="501" spans="2:30" x14ac:dyDescent="0.15">
      <c r="B501" s="213">
        <v>17197009294</v>
      </c>
      <c r="C501" s="213">
        <v>17197007420</v>
      </c>
      <c r="D501" s="213">
        <v>17197007418</v>
      </c>
      <c r="E501" s="213" t="s">
        <v>533</v>
      </c>
      <c r="F501" s="213" t="s">
        <v>534</v>
      </c>
      <c r="G501" s="213" t="s">
        <v>377</v>
      </c>
      <c r="H501" s="213" t="s">
        <v>551</v>
      </c>
      <c r="I501" s="213"/>
      <c r="J501" s="213" t="s">
        <v>535</v>
      </c>
      <c r="K501" s="213"/>
      <c r="L501" s="213"/>
      <c r="M501" s="213"/>
      <c r="N501" s="213"/>
      <c r="O501" s="213"/>
      <c r="P501" s="213"/>
      <c r="Q501" s="213"/>
      <c r="R501" s="213"/>
      <c r="S501" s="213" t="s">
        <v>594</v>
      </c>
      <c r="T501" s="213"/>
      <c r="U501" s="213" t="s">
        <v>559</v>
      </c>
      <c r="V501" s="213">
        <v>1</v>
      </c>
      <c r="W501" s="213" t="s">
        <v>560</v>
      </c>
      <c r="X501" s="213" t="s">
        <v>541</v>
      </c>
      <c r="Y501" s="213" t="s">
        <v>541</v>
      </c>
      <c r="Z501" s="212">
        <v>0</v>
      </c>
      <c r="AA501" s="212">
        <v>0</v>
      </c>
      <c r="AB501" s="217">
        <v>0.22359000000000001</v>
      </c>
      <c r="AC501" s="217">
        <v>0.35983399999999999</v>
      </c>
      <c r="AD501" s="212">
        <f t="shared" si="7"/>
        <v>0</v>
      </c>
    </row>
    <row r="502" spans="2:30" x14ac:dyDescent="0.15">
      <c r="B502" s="213">
        <v>17197009296</v>
      </c>
      <c r="C502" s="213">
        <v>17197007406</v>
      </c>
      <c r="D502" s="213">
        <v>17197007420</v>
      </c>
      <c r="E502" s="213" t="s">
        <v>533</v>
      </c>
      <c r="F502" s="213" t="s">
        <v>534</v>
      </c>
      <c r="G502" s="213" t="s">
        <v>377</v>
      </c>
      <c r="H502" s="213" t="s">
        <v>551</v>
      </c>
      <c r="I502" s="213"/>
      <c r="J502" s="213" t="s">
        <v>535</v>
      </c>
      <c r="K502" s="213"/>
      <c r="L502" s="213"/>
      <c r="M502" s="213"/>
      <c r="N502" s="213"/>
      <c r="O502" s="213"/>
      <c r="P502" s="213"/>
      <c r="Q502" s="213"/>
      <c r="R502" s="213"/>
      <c r="S502" s="213" t="s">
        <v>594</v>
      </c>
      <c r="T502" s="213"/>
      <c r="U502" s="213" t="s">
        <v>559</v>
      </c>
      <c r="V502" s="213">
        <v>1</v>
      </c>
      <c r="W502" s="213" t="s">
        <v>560</v>
      </c>
      <c r="X502" s="213" t="s">
        <v>541</v>
      </c>
      <c r="Y502" s="213" t="s">
        <v>541</v>
      </c>
      <c r="Z502" s="212">
        <v>0</v>
      </c>
      <c r="AA502" s="212">
        <v>0</v>
      </c>
      <c r="AB502" s="217">
        <v>2.2428E-2</v>
      </c>
      <c r="AC502" s="217">
        <v>3.6094000000000001E-2</v>
      </c>
      <c r="AD502" s="212">
        <f t="shared" si="7"/>
        <v>0</v>
      </c>
    </row>
    <row r="503" spans="2:30" x14ac:dyDescent="0.15">
      <c r="B503" s="213">
        <v>17197009298</v>
      </c>
      <c r="C503" s="213">
        <v>17197007418</v>
      </c>
      <c r="D503" s="213">
        <v>17197007421</v>
      </c>
      <c r="E503" s="213" t="s">
        <v>533</v>
      </c>
      <c r="F503" s="213" t="s">
        <v>534</v>
      </c>
      <c r="G503" s="213" t="s">
        <v>377</v>
      </c>
      <c r="H503" s="213" t="s">
        <v>551</v>
      </c>
      <c r="I503" s="213"/>
      <c r="J503" s="213" t="s">
        <v>535</v>
      </c>
      <c r="K503" s="213"/>
      <c r="L503" s="213"/>
      <c r="M503" s="213"/>
      <c r="N503" s="213"/>
      <c r="O503" s="213"/>
      <c r="P503" s="213"/>
      <c r="Q503" s="213"/>
      <c r="R503" s="213"/>
      <c r="S503" s="213" t="s">
        <v>594</v>
      </c>
      <c r="T503" s="213"/>
      <c r="U503" s="213" t="s">
        <v>559</v>
      </c>
      <c r="V503" s="213">
        <v>1</v>
      </c>
      <c r="W503" s="213" t="s">
        <v>560</v>
      </c>
      <c r="X503" s="213" t="s">
        <v>541</v>
      </c>
      <c r="Y503" s="213" t="s">
        <v>541</v>
      </c>
      <c r="Z503" s="212">
        <v>0</v>
      </c>
      <c r="AA503" s="212">
        <v>0</v>
      </c>
      <c r="AB503" s="217">
        <v>0.276337</v>
      </c>
      <c r="AC503" s="217">
        <v>0.44472200000000001</v>
      </c>
      <c r="AD503" s="212">
        <f t="shared" si="7"/>
        <v>0</v>
      </c>
    </row>
    <row r="504" spans="2:30" x14ac:dyDescent="0.15">
      <c r="B504" s="213">
        <v>17197009317</v>
      </c>
      <c r="C504" s="213">
        <v>17197007439</v>
      </c>
      <c r="D504" s="213">
        <v>17197001545</v>
      </c>
      <c r="E504" s="213" t="s">
        <v>533</v>
      </c>
      <c r="F504" s="213" t="s">
        <v>534</v>
      </c>
      <c r="G504" s="213" t="s">
        <v>377</v>
      </c>
      <c r="H504" s="213" t="s">
        <v>535</v>
      </c>
      <c r="I504" s="213"/>
      <c r="J504" s="213" t="s">
        <v>382</v>
      </c>
      <c r="K504" s="213" t="s">
        <v>536</v>
      </c>
      <c r="L504" s="213"/>
      <c r="M504" s="213"/>
      <c r="N504" s="213"/>
      <c r="O504" s="213"/>
      <c r="P504" s="213"/>
      <c r="Q504" s="213"/>
      <c r="R504" s="213"/>
      <c r="S504" s="213" t="s">
        <v>537</v>
      </c>
      <c r="T504" s="213"/>
      <c r="U504" s="213" t="s">
        <v>538</v>
      </c>
      <c r="V504" s="213">
        <v>2</v>
      </c>
      <c r="W504" s="213" t="s">
        <v>545</v>
      </c>
      <c r="X504" s="213" t="s">
        <v>549</v>
      </c>
      <c r="Y504" s="213" t="s">
        <v>540</v>
      </c>
      <c r="Z504" s="212">
        <v>37528</v>
      </c>
      <c r="AA504" s="212">
        <v>3746654</v>
      </c>
      <c r="AB504" s="217">
        <v>3.1976390000000001</v>
      </c>
      <c r="AC504" s="217">
        <v>5.1461110000000003</v>
      </c>
      <c r="AD504" s="212">
        <f t="shared" si="7"/>
        <v>11980446.949906001</v>
      </c>
    </row>
    <row r="505" spans="2:30" x14ac:dyDescent="0.15">
      <c r="B505" s="213">
        <v>17197010207</v>
      </c>
      <c r="C505" s="213">
        <v>17197001452</v>
      </c>
      <c r="D505" s="213">
        <v>17197008298</v>
      </c>
      <c r="E505" s="213" t="s">
        <v>533</v>
      </c>
      <c r="F505" s="213" t="s">
        <v>534</v>
      </c>
      <c r="G505" s="213" t="s">
        <v>377</v>
      </c>
      <c r="H505" s="213" t="s">
        <v>535</v>
      </c>
      <c r="I505" s="213"/>
      <c r="J505" s="213" t="s">
        <v>382</v>
      </c>
      <c r="K505" s="213" t="s">
        <v>536</v>
      </c>
      <c r="L505" s="213"/>
      <c r="M505" s="213"/>
      <c r="N505" s="213"/>
      <c r="O505" s="213"/>
      <c r="P505" s="213"/>
      <c r="Q505" s="213"/>
      <c r="R505" s="213"/>
      <c r="S505" s="213" t="s">
        <v>550</v>
      </c>
      <c r="T505" s="213"/>
      <c r="U505" s="213" t="s">
        <v>538</v>
      </c>
      <c r="V505" s="213">
        <v>2</v>
      </c>
      <c r="W505" s="213" t="s">
        <v>545</v>
      </c>
      <c r="X505" s="213" t="s">
        <v>541</v>
      </c>
      <c r="Y505" s="213" t="s">
        <v>540</v>
      </c>
      <c r="Z505" s="212">
        <v>89616</v>
      </c>
      <c r="AA505" s="212">
        <v>9950908</v>
      </c>
      <c r="AB505" s="217">
        <v>0.35574299999999998</v>
      </c>
      <c r="AC505" s="217">
        <v>0.57251300000000005</v>
      </c>
      <c r="AD505" s="212">
        <f t="shared" si="7"/>
        <v>3539965.8646439998</v>
      </c>
    </row>
    <row r="506" spans="2:30" x14ac:dyDescent="0.15">
      <c r="B506" s="213">
        <v>17031000052</v>
      </c>
      <c r="C506" s="213">
        <v>17031001391</v>
      </c>
      <c r="D506" s="213">
        <v>17031004747</v>
      </c>
      <c r="E506" s="213" t="s">
        <v>533</v>
      </c>
      <c r="F506" s="213" t="s">
        <v>534</v>
      </c>
      <c r="G506" s="213" t="s">
        <v>365</v>
      </c>
      <c r="H506" s="213" t="s">
        <v>557</v>
      </c>
      <c r="I506" s="213"/>
      <c r="J506" s="213" t="s">
        <v>552</v>
      </c>
      <c r="K506" s="213"/>
      <c r="L506" s="213"/>
      <c r="M506" s="213"/>
      <c r="N506" s="213"/>
      <c r="O506" s="213"/>
      <c r="P506" s="213"/>
      <c r="Q506" s="213"/>
      <c r="R506" s="213"/>
      <c r="S506" s="213" t="s">
        <v>634</v>
      </c>
      <c r="T506" s="213"/>
      <c r="U506" s="213" t="s">
        <v>559</v>
      </c>
      <c r="V506" s="213">
        <v>1</v>
      </c>
      <c r="W506" s="213" t="s">
        <v>560</v>
      </c>
      <c r="X506" s="213" t="s">
        <v>541</v>
      </c>
      <c r="Y506" s="213" t="s">
        <v>541</v>
      </c>
      <c r="Z506" s="212">
        <v>120</v>
      </c>
      <c r="AA506" s="212">
        <v>10120</v>
      </c>
      <c r="AB506" s="217">
        <v>0.177458</v>
      </c>
      <c r="AC506" s="217">
        <v>0.28559099999999998</v>
      </c>
      <c r="AD506" s="212">
        <f t="shared" si="7"/>
        <v>1795.8749600000001</v>
      </c>
    </row>
    <row r="507" spans="2:30" x14ac:dyDescent="0.15">
      <c r="B507" s="213">
        <v>17031000106</v>
      </c>
      <c r="C507" s="213">
        <v>17031000811</v>
      </c>
      <c r="D507" s="213">
        <v>17031000815</v>
      </c>
      <c r="E507" s="213" t="s">
        <v>533</v>
      </c>
      <c r="F507" s="213" t="s">
        <v>534</v>
      </c>
      <c r="G507" s="213" t="s">
        <v>365</v>
      </c>
      <c r="H507" s="213" t="s">
        <v>381</v>
      </c>
      <c r="I507" s="213"/>
      <c r="J507" s="213"/>
      <c r="K507" s="213"/>
      <c r="L507" s="213"/>
      <c r="M507" s="213"/>
      <c r="N507" s="213"/>
      <c r="O507" s="213"/>
      <c r="P507" s="213"/>
      <c r="Q507" s="213"/>
      <c r="R507" s="213"/>
      <c r="S507" s="213"/>
      <c r="T507" s="213"/>
      <c r="U507" s="213" t="s">
        <v>538</v>
      </c>
      <c r="V507" s="213">
        <v>1</v>
      </c>
      <c r="W507" s="213" t="s">
        <v>560</v>
      </c>
      <c r="X507" s="213" t="s">
        <v>541</v>
      </c>
      <c r="Y507" s="213" t="s">
        <v>541</v>
      </c>
      <c r="Z507" s="212">
        <v>256</v>
      </c>
      <c r="AA507" s="212">
        <v>24216</v>
      </c>
      <c r="AB507" s="217">
        <v>0.69487200000000005</v>
      </c>
      <c r="AC507" s="217">
        <v>1.1182909999999999</v>
      </c>
      <c r="AD507" s="212">
        <f t="shared" si="7"/>
        <v>16827.020352</v>
      </c>
    </row>
    <row r="508" spans="2:30" x14ac:dyDescent="0.15">
      <c r="B508" s="213">
        <v>17031000932</v>
      </c>
      <c r="C508" s="213">
        <v>17031001072</v>
      </c>
      <c r="D508" s="213">
        <v>17031001099</v>
      </c>
      <c r="E508" s="213" t="s">
        <v>533</v>
      </c>
      <c r="F508" s="213" t="s">
        <v>534</v>
      </c>
      <c r="G508" s="213" t="s">
        <v>365</v>
      </c>
      <c r="H508" s="213" t="s">
        <v>571</v>
      </c>
      <c r="I508" s="213"/>
      <c r="J508" s="213" t="s">
        <v>552</v>
      </c>
      <c r="K508" s="213" t="s">
        <v>572</v>
      </c>
      <c r="L508" s="213" t="s">
        <v>543</v>
      </c>
      <c r="M508" s="213"/>
      <c r="N508" s="213"/>
      <c r="O508" s="213"/>
      <c r="P508" s="213"/>
      <c r="Q508" s="213"/>
      <c r="R508" s="213"/>
      <c r="S508" s="213" t="s">
        <v>573</v>
      </c>
      <c r="T508" s="213"/>
      <c r="U508" s="213" t="s">
        <v>538</v>
      </c>
      <c r="V508" s="213">
        <v>2</v>
      </c>
      <c r="W508" s="213" t="s">
        <v>545</v>
      </c>
      <c r="X508" s="213" t="s">
        <v>554</v>
      </c>
      <c r="Y508" s="213" t="s">
        <v>546</v>
      </c>
      <c r="Z508" s="212">
        <v>185912</v>
      </c>
      <c r="AA508" s="212">
        <v>5170089</v>
      </c>
      <c r="AB508" s="217">
        <v>1.703451</v>
      </c>
      <c r="AC508" s="217">
        <v>2.741444</v>
      </c>
      <c r="AD508" s="212">
        <f t="shared" si="7"/>
        <v>8806993.2771390006</v>
      </c>
    </row>
    <row r="509" spans="2:30" x14ac:dyDescent="0.15">
      <c r="B509" s="213">
        <v>17031001727</v>
      </c>
      <c r="C509" s="213">
        <v>17031004690</v>
      </c>
      <c r="D509" s="213">
        <v>17031001028</v>
      </c>
      <c r="E509" s="213" t="s">
        <v>533</v>
      </c>
      <c r="F509" s="213" t="s">
        <v>534</v>
      </c>
      <c r="G509" s="213" t="s">
        <v>365</v>
      </c>
      <c r="H509" s="213" t="s">
        <v>547</v>
      </c>
      <c r="I509" s="213"/>
      <c r="J509" s="213" t="s">
        <v>543</v>
      </c>
      <c r="K509" s="213"/>
      <c r="L509" s="213"/>
      <c r="M509" s="213"/>
      <c r="N509" s="213"/>
      <c r="O509" s="213"/>
      <c r="P509" s="213"/>
      <c r="Q509" s="213"/>
      <c r="R509" s="213"/>
      <c r="S509" s="213" t="s">
        <v>602</v>
      </c>
      <c r="T509" s="213"/>
      <c r="U509" s="213" t="s">
        <v>538</v>
      </c>
      <c r="V509" s="213">
        <v>1</v>
      </c>
      <c r="W509" s="213" t="s">
        <v>582</v>
      </c>
      <c r="X509" s="213" t="s">
        <v>540</v>
      </c>
      <c r="Y509" s="213" t="s">
        <v>540</v>
      </c>
      <c r="Z509" s="212">
        <v>0</v>
      </c>
      <c r="AA509" s="212">
        <v>0</v>
      </c>
      <c r="AB509" s="217">
        <v>1.1469720000000001</v>
      </c>
      <c r="AC509" s="217">
        <v>1.8458760000000001</v>
      </c>
      <c r="AD509" s="212">
        <f t="shared" si="7"/>
        <v>0</v>
      </c>
    </row>
    <row r="510" spans="2:30" x14ac:dyDescent="0.15">
      <c r="B510" s="213">
        <v>17031001786</v>
      </c>
      <c r="C510" s="213">
        <v>17031004509</v>
      </c>
      <c r="D510" s="213">
        <v>17031004508</v>
      </c>
      <c r="E510" s="213" t="s">
        <v>533</v>
      </c>
      <c r="F510" s="213" t="s">
        <v>534</v>
      </c>
      <c r="G510" s="213" t="s">
        <v>365</v>
      </c>
      <c r="H510" s="213" t="s">
        <v>535</v>
      </c>
      <c r="I510" s="213"/>
      <c r="J510" s="213" t="s">
        <v>552</v>
      </c>
      <c r="K510" s="213"/>
      <c r="L510" s="213"/>
      <c r="M510" s="213"/>
      <c r="N510" s="213"/>
      <c r="O510" s="213"/>
      <c r="P510" s="213"/>
      <c r="Q510" s="213"/>
      <c r="R510" s="213"/>
      <c r="S510" s="213" t="s">
        <v>553</v>
      </c>
      <c r="T510" s="213"/>
      <c r="U510" s="213" t="s">
        <v>538</v>
      </c>
      <c r="V510" s="213">
        <v>1</v>
      </c>
      <c r="W510" s="213" t="s">
        <v>545</v>
      </c>
      <c r="X510" s="213" t="s">
        <v>554</v>
      </c>
      <c r="Y510" s="213" t="s">
        <v>546</v>
      </c>
      <c r="Z510" s="212">
        <v>465135</v>
      </c>
      <c r="AA510" s="212">
        <v>25891251</v>
      </c>
      <c r="AB510" s="217">
        <v>0.65259500000000004</v>
      </c>
      <c r="AC510" s="217">
        <v>1.050252</v>
      </c>
      <c r="AD510" s="212">
        <f t="shared" si="7"/>
        <v>16896500.946345001</v>
      </c>
    </row>
    <row r="511" spans="2:30" x14ac:dyDescent="0.15">
      <c r="B511" s="213">
        <v>17031001818</v>
      </c>
      <c r="C511" s="213">
        <v>17031000520</v>
      </c>
      <c r="D511" s="213">
        <v>17031000521</v>
      </c>
      <c r="E511" s="213" t="s">
        <v>533</v>
      </c>
      <c r="F511" s="213" t="s">
        <v>534</v>
      </c>
      <c r="G511" s="213" t="s">
        <v>365</v>
      </c>
      <c r="H511" s="213" t="s">
        <v>382</v>
      </c>
      <c r="I511" s="213"/>
      <c r="J511" s="213"/>
      <c r="K511" s="213"/>
      <c r="L511" s="213"/>
      <c r="M511" s="213"/>
      <c r="N511" s="213"/>
      <c r="O511" s="213"/>
      <c r="P511" s="213"/>
      <c r="Q511" s="213"/>
      <c r="R511" s="213"/>
      <c r="S511" s="213"/>
      <c r="T511" s="213"/>
      <c r="U511" s="213" t="s">
        <v>559</v>
      </c>
      <c r="V511" s="213">
        <v>1</v>
      </c>
      <c r="W511" s="213" t="s">
        <v>560</v>
      </c>
      <c r="X511" s="213" t="s">
        <v>541</v>
      </c>
      <c r="Y511" s="213" t="s">
        <v>541</v>
      </c>
      <c r="Z511" s="212">
        <v>0</v>
      </c>
      <c r="AA511" s="212">
        <v>0</v>
      </c>
      <c r="AB511" s="217">
        <v>0.35178599999999999</v>
      </c>
      <c r="AC511" s="217">
        <v>0.56614500000000001</v>
      </c>
      <c r="AD511" s="212">
        <f t="shared" si="7"/>
        <v>0</v>
      </c>
    </row>
    <row r="512" spans="2:30" x14ac:dyDescent="0.15">
      <c r="B512" s="213">
        <v>17031001937</v>
      </c>
      <c r="C512" s="213">
        <v>17031004658</v>
      </c>
      <c r="D512" s="213">
        <v>17031000815</v>
      </c>
      <c r="E512" s="213" t="s">
        <v>533</v>
      </c>
      <c r="F512" s="213" t="s">
        <v>534</v>
      </c>
      <c r="G512" s="213" t="s">
        <v>365</v>
      </c>
      <c r="H512" s="213" t="s">
        <v>381</v>
      </c>
      <c r="I512" s="213"/>
      <c r="J512" s="213" t="s">
        <v>542</v>
      </c>
      <c r="K512" s="213" t="s">
        <v>547</v>
      </c>
      <c r="L512" s="213" t="s">
        <v>382</v>
      </c>
      <c r="M512" s="213"/>
      <c r="N512" s="213"/>
      <c r="O512" s="213"/>
      <c r="P512" s="213"/>
      <c r="Q512" s="213"/>
      <c r="R512" s="213"/>
      <c r="S512" s="213" t="s">
        <v>579</v>
      </c>
      <c r="T512" s="213"/>
      <c r="U512" s="213" t="s">
        <v>538</v>
      </c>
      <c r="V512" s="213">
        <v>3</v>
      </c>
      <c r="W512" s="213" t="s">
        <v>545</v>
      </c>
      <c r="X512" s="213" t="s">
        <v>549</v>
      </c>
      <c r="Y512" s="213" t="s">
        <v>580</v>
      </c>
      <c r="Z512" s="212">
        <v>1206807</v>
      </c>
      <c r="AA512" s="212">
        <v>52650967</v>
      </c>
      <c r="AB512" s="217">
        <v>0.27646900000000002</v>
      </c>
      <c r="AC512" s="217">
        <v>0.444934</v>
      </c>
      <c r="AD512" s="212">
        <f t="shared" si="7"/>
        <v>14556360.195523001</v>
      </c>
    </row>
    <row r="513" spans="2:30" x14ac:dyDescent="0.15">
      <c r="B513" s="213">
        <v>17031001947</v>
      </c>
      <c r="C513" s="213">
        <v>17031000929</v>
      </c>
      <c r="D513" s="213">
        <v>17031000917</v>
      </c>
      <c r="E513" s="213" t="s">
        <v>533</v>
      </c>
      <c r="F513" s="213" t="s">
        <v>534</v>
      </c>
      <c r="G513" s="213" t="s">
        <v>365</v>
      </c>
      <c r="H513" s="213" t="s">
        <v>557</v>
      </c>
      <c r="I513" s="213"/>
      <c r="J513" s="213" t="s">
        <v>381</v>
      </c>
      <c r="K513" s="213" t="s">
        <v>535</v>
      </c>
      <c r="L513" s="213" t="s">
        <v>552</v>
      </c>
      <c r="M513" s="213" t="s">
        <v>551</v>
      </c>
      <c r="N513" s="213" t="s">
        <v>543</v>
      </c>
      <c r="O513" s="213" t="s">
        <v>382</v>
      </c>
      <c r="P513" s="213"/>
      <c r="Q513" s="213"/>
      <c r="R513" s="213"/>
      <c r="S513" s="213" t="s">
        <v>570</v>
      </c>
      <c r="T513" s="213" t="s">
        <v>690</v>
      </c>
      <c r="U513" s="213" t="s">
        <v>538</v>
      </c>
      <c r="V513" s="213">
        <v>2</v>
      </c>
      <c r="W513" s="213" t="s">
        <v>545</v>
      </c>
      <c r="X513" s="213" t="s">
        <v>554</v>
      </c>
      <c r="Y513" s="213" t="s">
        <v>575</v>
      </c>
      <c r="Z513" s="212">
        <v>1085190</v>
      </c>
      <c r="AA513" s="212">
        <v>71418537</v>
      </c>
      <c r="AB513" s="217">
        <v>0.41084999999999999</v>
      </c>
      <c r="AC513" s="217">
        <v>0.66120100000000004</v>
      </c>
      <c r="AD513" s="212">
        <f t="shared" si="7"/>
        <v>29342305.926449999</v>
      </c>
    </row>
    <row r="514" spans="2:30" x14ac:dyDescent="0.15">
      <c r="B514" s="213">
        <v>17031001953</v>
      </c>
      <c r="C514" s="213">
        <v>17031000783</v>
      </c>
      <c r="D514" s="213">
        <v>17031000779</v>
      </c>
      <c r="E514" s="213" t="s">
        <v>533</v>
      </c>
      <c r="F514" s="213" t="s">
        <v>534</v>
      </c>
      <c r="G514" s="213" t="s">
        <v>365</v>
      </c>
      <c r="H514" s="213" t="s">
        <v>381</v>
      </c>
      <c r="I514" s="213"/>
      <c r="J514" s="213" t="s">
        <v>382</v>
      </c>
      <c r="K514" s="213"/>
      <c r="L514" s="213"/>
      <c r="M514" s="213"/>
      <c r="N514" s="213"/>
      <c r="O514" s="213"/>
      <c r="P514" s="213"/>
      <c r="Q514" s="213"/>
      <c r="R514" s="213"/>
      <c r="S514" s="213" t="s">
        <v>647</v>
      </c>
      <c r="T514" s="213"/>
      <c r="U514" s="213" t="s">
        <v>538</v>
      </c>
      <c r="V514" s="213">
        <v>2</v>
      </c>
      <c r="W514" s="213" t="s">
        <v>545</v>
      </c>
      <c r="X514" s="213" t="s">
        <v>541</v>
      </c>
      <c r="Y514" s="213" t="s">
        <v>580</v>
      </c>
      <c r="Z514" s="212">
        <v>2039889</v>
      </c>
      <c r="AA514" s="212">
        <v>59054535</v>
      </c>
      <c r="AB514" s="217">
        <v>0.300016</v>
      </c>
      <c r="AC514" s="217">
        <v>0.48282999999999998</v>
      </c>
      <c r="AD514" s="212">
        <f t="shared" si="7"/>
        <v>17717305.372560002</v>
      </c>
    </row>
    <row r="515" spans="2:30" x14ac:dyDescent="0.15">
      <c r="B515" s="213">
        <v>17031001955</v>
      </c>
      <c r="C515" s="213">
        <v>17031001373</v>
      </c>
      <c r="D515" s="213">
        <v>17031001356</v>
      </c>
      <c r="E515" s="213" t="s">
        <v>533</v>
      </c>
      <c r="F515" s="213" t="s">
        <v>534</v>
      </c>
      <c r="G515" s="213" t="s">
        <v>365</v>
      </c>
      <c r="H515" s="213" t="s">
        <v>557</v>
      </c>
      <c r="I515" s="213"/>
      <c r="J515" s="213" t="s">
        <v>381</v>
      </c>
      <c r="K515" s="213" t="s">
        <v>535</v>
      </c>
      <c r="L515" s="213" t="s">
        <v>552</v>
      </c>
      <c r="M515" s="213" t="s">
        <v>551</v>
      </c>
      <c r="N515" s="213" t="s">
        <v>615</v>
      </c>
      <c r="O515" s="213" t="s">
        <v>543</v>
      </c>
      <c r="P515" s="213" t="s">
        <v>382</v>
      </c>
      <c r="Q515" s="213"/>
      <c r="R515" s="213"/>
      <c r="S515" s="213" t="s">
        <v>570</v>
      </c>
      <c r="T515" s="213" t="s">
        <v>600</v>
      </c>
      <c r="U515" s="213" t="s">
        <v>538</v>
      </c>
      <c r="V515" s="213">
        <v>2</v>
      </c>
      <c r="W515" s="213" t="s">
        <v>545</v>
      </c>
      <c r="X515" s="213" t="s">
        <v>554</v>
      </c>
      <c r="Y515" s="213" t="s">
        <v>546</v>
      </c>
      <c r="Z515" s="212">
        <v>399829</v>
      </c>
      <c r="AA515" s="212">
        <v>28328153</v>
      </c>
      <c r="AB515" s="217">
        <v>0.435666</v>
      </c>
      <c r="AC515" s="217">
        <v>0.70113800000000004</v>
      </c>
      <c r="AD515" s="212">
        <f t="shared" si="7"/>
        <v>12341613.104898</v>
      </c>
    </row>
    <row r="516" spans="2:30" x14ac:dyDescent="0.15">
      <c r="B516" s="213">
        <v>17031001958</v>
      </c>
      <c r="C516" s="213">
        <v>17031004725</v>
      </c>
      <c r="D516" s="213">
        <v>17031004726</v>
      </c>
      <c r="E516" s="213" t="s">
        <v>533</v>
      </c>
      <c r="F516" s="213" t="s">
        <v>534</v>
      </c>
      <c r="G516" s="213" t="s">
        <v>365</v>
      </c>
      <c r="H516" s="213" t="s">
        <v>547</v>
      </c>
      <c r="I516" s="213"/>
      <c r="J516" s="213"/>
      <c r="K516" s="213"/>
      <c r="L516" s="213"/>
      <c r="M516" s="213"/>
      <c r="N516" s="213"/>
      <c r="O516" s="213"/>
      <c r="P516" s="213"/>
      <c r="Q516" s="213"/>
      <c r="R516" s="213"/>
      <c r="S516" s="213"/>
      <c r="T516" s="213"/>
      <c r="U516" s="213" t="s">
        <v>538</v>
      </c>
      <c r="V516" s="213">
        <v>1</v>
      </c>
      <c r="W516" s="213" t="s">
        <v>582</v>
      </c>
      <c r="X516" s="213" t="s">
        <v>541</v>
      </c>
      <c r="Y516" s="213" t="s">
        <v>541</v>
      </c>
      <c r="Z516" s="212">
        <v>0</v>
      </c>
      <c r="AA516" s="212">
        <v>0</v>
      </c>
      <c r="AB516" s="217">
        <v>0.50941999999999998</v>
      </c>
      <c r="AC516" s="217">
        <v>0.81983399999999995</v>
      </c>
      <c r="AD516" s="212">
        <f t="shared" si="7"/>
        <v>0</v>
      </c>
    </row>
    <row r="517" spans="2:30" x14ac:dyDescent="0.15">
      <c r="B517" s="213">
        <v>17031001960</v>
      </c>
      <c r="C517" s="213">
        <v>17031004723</v>
      </c>
      <c r="D517" s="213">
        <v>17031001250</v>
      </c>
      <c r="E517" s="213" t="s">
        <v>533</v>
      </c>
      <c r="F517" s="213" t="s">
        <v>534</v>
      </c>
      <c r="G517" s="213" t="s">
        <v>365</v>
      </c>
      <c r="H517" s="213" t="s">
        <v>547</v>
      </c>
      <c r="I517" s="213"/>
      <c r="J517" s="213"/>
      <c r="K517" s="213"/>
      <c r="L517" s="213"/>
      <c r="M517" s="213"/>
      <c r="N517" s="213"/>
      <c r="O517" s="213"/>
      <c r="P517" s="213"/>
      <c r="Q517" s="213"/>
      <c r="R517" s="213"/>
      <c r="S517" s="213"/>
      <c r="T517" s="213"/>
      <c r="U517" s="213" t="s">
        <v>538</v>
      </c>
      <c r="V517" s="213">
        <v>1</v>
      </c>
      <c r="W517" s="213" t="s">
        <v>582</v>
      </c>
      <c r="X517" s="213" t="s">
        <v>541</v>
      </c>
      <c r="Y517" s="213" t="s">
        <v>541</v>
      </c>
      <c r="Z517" s="212">
        <v>0</v>
      </c>
      <c r="AA517" s="212">
        <v>0</v>
      </c>
      <c r="AB517" s="217">
        <v>8.9464000000000002E-2</v>
      </c>
      <c r="AC517" s="217">
        <v>0.14397799999999999</v>
      </c>
      <c r="AD517" s="212">
        <f t="shared" si="7"/>
        <v>0</v>
      </c>
    </row>
    <row r="518" spans="2:30" x14ac:dyDescent="0.15">
      <c r="B518" s="213">
        <v>17031001966</v>
      </c>
      <c r="C518" s="213">
        <v>17031001057</v>
      </c>
      <c r="D518" s="213">
        <v>17031001045</v>
      </c>
      <c r="E518" s="213" t="s">
        <v>533</v>
      </c>
      <c r="F518" s="213" t="s">
        <v>534</v>
      </c>
      <c r="G518" s="213" t="s">
        <v>365</v>
      </c>
      <c r="H518" s="213" t="s">
        <v>547</v>
      </c>
      <c r="I518" s="213"/>
      <c r="J518" s="213" t="s">
        <v>543</v>
      </c>
      <c r="K518" s="213"/>
      <c r="L518" s="213"/>
      <c r="M518" s="213"/>
      <c r="N518" s="213"/>
      <c r="O518" s="213"/>
      <c r="P518" s="213"/>
      <c r="Q518" s="213"/>
      <c r="R518" s="213"/>
      <c r="S518" s="213" t="s">
        <v>602</v>
      </c>
      <c r="T518" s="213"/>
      <c r="U518" s="213" t="s">
        <v>538</v>
      </c>
      <c r="V518" s="213">
        <v>2</v>
      </c>
      <c r="W518" s="213" t="s">
        <v>582</v>
      </c>
      <c r="X518" s="213" t="s">
        <v>540</v>
      </c>
      <c r="Y518" s="213" t="s">
        <v>541</v>
      </c>
      <c r="Z518" s="212">
        <v>0</v>
      </c>
      <c r="AA518" s="212">
        <v>0</v>
      </c>
      <c r="AB518" s="217">
        <v>0.67236099999999999</v>
      </c>
      <c r="AC518" s="217">
        <v>1.082063</v>
      </c>
      <c r="AD518" s="212">
        <f t="shared" ref="AD518:AD581" si="8">AA518*AB518</f>
        <v>0</v>
      </c>
    </row>
    <row r="519" spans="2:30" x14ac:dyDescent="0.15">
      <c r="B519" s="213">
        <v>17031001967</v>
      </c>
      <c r="C519" s="213">
        <v>17031000944</v>
      </c>
      <c r="D519" s="213">
        <v>17031000963</v>
      </c>
      <c r="E519" s="213" t="s">
        <v>533</v>
      </c>
      <c r="F519" s="213" t="s">
        <v>534</v>
      </c>
      <c r="G519" s="213" t="s">
        <v>365</v>
      </c>
      <c r="H519" s="213" t="s">
        <v>571</v>
      </c>
      <c r="I519" s="213"/>
      <c r="J519" s="213" t="s">
        <v>381</v>
      </c>
      <c r="K519" s="213" t="s">
        <v>535</v>
      </c>
      <c r="L519" s="213" t="s">
        <v>552</v>
      </c>
      <c r="M519" s="213" t="s">
        <v>551</v>
      </c>
      <c r="N519" s="213" t="s">
        <v>557</v>
      </c>
      <c r="O519" s="213" t="s">
        <v>543</v>
      </c>
      <c r="P519" s="213" t="s">
        <v>382</v>
      </c>
      <c r="Q519" s="213" t="s">
        <v>563</v>
      </c>
      <c r="R519" s="213"/>
      <c r="S519" s="213" t="s">
        <v>605</v>
      </c>
      <c r="T519" s="213"/>
      <c r="U519" s="213" t="s">
        <v>538</v>
      </c>
      <c r="V519" s="213">
        <v>1</v>
      </c>
      <c r="W519" s="213" t="s">
        <v>545</v>
      </c>
      <c r="X519" s="213" t="s">
        <v>554</v>
      </c>
      <c r="Y519" s="213" t="s">
        <v>549</v>
      </c>
      <c r="Z519" s="212">
        <v>344751</v>
      </c>
      <c r="AA519" s="212">
        <v>22387022</v>
      </c>
      <c r="AB519" s="217">
        <v>0.48548599999999997</v>
      </c>
      <c r="AC519" s="217">
        <v>0.78131499999999998</v>
      </c>
      <c r="AD519" s="212">
        <f t="shared" si="8"/>
        <v>10868585.762691999</v>
      </c>
    </row>
    <row r="520" spans="2:30" x14ac:dyDescent="0.15">
      <c r="B520" s="213">
        <v>17031001968</v>
      </c>
      <c r="C520" s="213">
        <v>17031000963</v>
      </c>
      <c r="D520" s="213">
        <v>17031000959</v>
      </c>
      <c r="E520" s="213" t="s">
        <v>533</v>
      </c>
      <c r="F520" s="213" t="s">
        <v>534</v>
      </c>
      <c r="G520" s="213" t="s">
        <v>365</v>
      </c>
      <c r="H520" s="213" t="s">
        <v>571</v>
      </c>
      <c r="I520" s="213"/>
      <c r="J520" s="213" t="s">
        <v>381</v>
      </c>
      <c r="K520" s="213" t="s">
        <v>535</v>
      </c>
      <c r="L520" s="213" t="s">
        <v>552</v>
      </c>
      <c r="M520" s="213" t="s">
        <v>551</v>
      </c>
      <c r="N520" s="213" t="s">
        <v>557</v>
      </c>
      <c r="O520" s="213" t="s">
        <v>543</v>
      </c>
      <c r="P520" s="213" t="s">
        <v>382</v>
      </c>
      <c r="Q520" s="213" t="s">
        <v>563</v>
      </c>
      <c r="R520" s="213"/>
      <c r="S520" s="213" t="s">
        <v>605</v>
      </c>
      <c r="T520" s="213"/>
      <c r="U520" s="213" t="s">
        <v>538</v>
      </c>
      <c r="V520" s="213">
        <v>1</v>
      </c>
      <c r="W520" s="213" t="s">
        <v>545</v>
      </c>
      <c r="X520" s="213" t="s">
        <v>554</v>
      </c>
      <c r="Y520" s="213" t="s">
        <v>546</v>
      </c>
      <c r="Z520" s="212">
        <v>489947</v>
      </c>
      <c r="AA520" s="212">
        <v>29653124</v>
      </c>
      <c r="AB520" s="217">
        <v>5.7967999999999999E-2</v>
      </c>
      <c r="AC520" s="217">
        <v>9.3290999999999999E-2</v>
      </c>
      <c r="AD520" s="212">
        <f t="shared" si="8"/>
        <v>1718932.2920319999</v>
      </c>
    </row>
    <row r="521" spans="2:30" x14ac:dyDescent="0.15">
      <c r="B521" s="213">
        <v>17031001972</v>
      </c>
      <c r="C521" s="213">
        <v>17031001058</v>
      </c>
      <c r="D521" s="213">
        <v>17031000991</v>
      </c>
      <c r="E521" s="213" t="s">
        <v>533</v>
      </c>
      <c r="F521" s="213" t="s">
        <v>534</v>
      </c>
      <c r="G521" s="213" t="s">
        <v>365</v>
      </c>
      <c r="H521" s="213" t="s">
        <v>547</v>
      </c>
      <c r="I521" s="213"/>
      <c r="J521" s="213"/>
      <c r="K521" s="213"/>
      <c r="L521" s="213"/>
      <c r="M521" s="213"/>
      <c r="N521" s="213"/>
      <c r="O521" s="213"/>
      <c r="P521" s="213"/>
      <c r="Q521" s="213"/>
      <c r="R521" s="213"/>
      <c r="S521" s="213"/>
      <c r="T521" s="213"/>
      <c r="U521" s="213" t="s">
        <v>538</v>
      </c>
      <c r="V521" s="213">
        <v>2</v>
      </c>
      <c r="W521" s="213" t="s">
        <v>545</v>
      </c>
      <c r="X521" s="213" t="s">
        <v>540</v>
      </c>
      <c r="Y521" s="213" t="s">
        <v>541</v>
      </c>
      <c r="Z521" s="212">
        <v>0</v>
      </c>
      <c r="AA521" s="212">
        <v>0</v>
      </c>
      <c r="AB521" s="217">
        <v>2.185654</v>
      </c>
      <c r="AC521" s="217">
        <v>3.5174759999999998</v>
      </c>
      <c r="AD521" s="212">
        <f t="shared" si="8"/>
        <v>0</v>
      </c>
    </row>
    <row r="522" spans="2:30" x14ac:dyDescent="0.15">
      <c r="B522" s="213">
        <v>17031002050</v>
      </c>
      <c r="C522" s="213">
        <v>17031004643</v>
      </c>
      <c r="D522" s="213">
        <v>17031000486</v>
      </c>
      <c r="E522" s="213" t="s">
        <v>533</v>
      </c>
      <c r="F522" s="213" t="s">
        <v>534</v>
      </c>
      <c r="G522" s="213" t="s">
        <v>365</v>
      </c>
      <c r="H522" s="213" t="s">
        <v>552</v>
      </c>
      <c r="I522" s="213"/>
      <c r="J522" s="213" t="s">
        <v>551</v>
      </c>
      <c r="K522" s="213" t="s">
        <v>547</v>
      </c>
      <c r="L522" s="213" t="s">
        <v>382</v>
      </c>
      <c r="M522" s="213" t="s">
        <v>563</v>
      </c>
      <c r="N522" s="213"/>
      <c r="O522" s="213"/>
      <c r="P522" s="213"/>
      <c r="Q522" s="213"/>
      <c r="R522" s="213"/>
      <c r="S522" s="213" t="s">
        <v>589</v>
      </c>
      <c r="T522" s="213"/>
      <c r="U522" s="213" t="s">
        <v>538</v>
      </c>
      <c r="V522" s="213">
        <v>3</v>
      </c>
      <c r="W522" s="213" t="s">
        <v>545</v>
      </c>
      <c r="X522" s="213" t="s">
        <v>549</v>
      </c>
      <c r="Y522" s="213" t="s">
        <v>541</v>
      </c>
      <c r="Z522" s="212">
        <v>302031</v>
      </c>
      <c r="AA522" s="212">
        <v>22750528</v>
      </c>
      <c r="AB522" s="217">
        <v>0.66915400000000003</v>
      </c>
      <c r="AC522" s="217">
        <v>1.0769</v>
      </c>
      <c r="AD522" s="212">
        <f t="shared" si="8"/>
        <v>15223606.813312002</v>
      </c>
    </row>
    <row r="523" spans="2:30" x14ac:dyDescent="0.15">
      <c r="B523" s="213">
        <v>17031002070</v>
      </c>
      <c r="C523" s="213">
        <v>17031000661</v>
      </c>
      <c r="D523" s="213">
        <v>17031000666</v>
      </c>
      <c r="E523" s="213" t="s">
        <v>533</v>
      </c>
      <c r="F523" s="213" t="s">
        <v>534</v>
      </c>
      <c r="G523" s="213" t="s">
        <v>365</v>
      </c>
      <c r="H523" s="213" t="s">
        <v>535</v>
      </c>
      <c r="I523" s="213"/>
      <c r="J523" s="213" t="s">
        <v>542</v>
      </c>
      <c r="K523" s="213" t="s">
        <v>572</v>
      </c>
      <c r="L523" s="213"/>
      <c r="M523" s="213"/>
      <c r="N523" s="213"/>
      <c r="O523" s="213"/>
      <c r="P523" s="213"/>
      <c r="Q523" s="213"/>
      <c r="R523" s="213"/>
      <c r="S523" s="213" t="s">
        <v>544</v>
      </c>
      <c r="T523" s="213"/>
      <c r="U523" s="213" t="s">
        <v>538</v>
      </c>
      <c r="V523" s="213">
        <v>2</v>
      </c>
      <c r="W523" s="213" t="s">
        <v>545</v>
      </c>
      <c r="X523" s="213" t="s">
        <v>541</v>
      </c>
      <c r="Y523" s="213" t="s">
        <v>549</v>
      </c>
      <c r="Z523" s="212">
        <v>13802</v>
      </c>
      <c r="AA523" s="212">
        <v>1450100</v>
      </c>
      <c r="AB523" s="217">
        <v>0.50986500000000001</v>
      </c>
      <c r="AC523" s="217">
        <v>0.82054899999999997</v>
      </c>
      <c r="AD523" s="212">
        <f t="shared" si="8"/>
        <v>739355.2365</v>
      </c>
    </row>
    <row r="524" spans="2:30" x14ac:dyDescent="0.15">
      <c r="B524" s="213">
        <v>17031002090</v>
      </c>
      <c r="C524" s="213">
        <v>17031004626</v>
      </c>
      <c r="D524" s="213">
        <v>17031004625</v>
      </c>
      <c r="E524" s="213" t="s">
        <v>533</v>
      </c>
      <c r="F524" s="213" t="s">
        <v>534</v>
      </c>
      <c r="G524" s="213" t="s">
        <v>365</v>
      </c>
      <c r="H524" s="213" t="s">
        <v>535</v>
      </c>
      <c r="I524" s="213"/>
      <c r="J524" s="213" t="s">
        <v>547</v>
      </c>
      <c r="K524" s="213"/>
      <c r="L524" s="213"/>
      <c r="M524" s="213"/>
      <c r="N524" s="213"/>
      <c r="O524" s="213"/>
      <c r="P524" s="213"/>
      <c r="Q524" s="213"/>
      <c r="R524" s="213"/>
      <c r="S524" s="213" t="s">
        <v>548</v>
      </c>
      <c r="T524" s="213"/>
      <c r="U524" s="213" t="s">
        <v>538</v>
      </c>
      <c r="V524" s="213">
        <v>2</v>
      </c>
      <c r="W524" s="213" t="s">
        <v>545</v>
      </c>
      <c r="X524" s="213" t="s">
        <v>549</v>
      </c>
      <c r="Y524" s="213" t="s">
        <v>546</v>
      </c>
      <c r="Z524" s="212">
        <v>374329</v>
      </c>
      <c r="AA524" s="212">
        <v>22852279</v>
      </c>
      <c r="AB524" s="217">
        <v>1.954083</v>
      </c>
      <c r="AC524" s="217">
        <v>3.1447970000000001</v>
      </c>
      <c r="AD524" s="212">
        <f t="shared" si="8"/>
        <v>44655249.905157</v>
      </c>
    </row>
    <row r="525" spans="2:30" x14ac:dyDescent="0.15">
      <c r="B525" s="213">
        <v>17031002094</v>
      </c>
      <c r="C525" s="213">
        <v>17031000565</v>
      </c>
      <c r="D525" s="213">
        <v>17031000556</v>
      </c>
      <c r="E525" s="213" t="s">
        <v>533</v>
      </c>
      <c r="F525" s="213" t="s">
        <v>534</v>
      </c>
      <c r="G525" s="213" t="s">
        <v>365</v>
      </c>
      <c r="H525" s="213" t="s">
        <v>382</v>
      </c>
      <c r="I525" s="213"/>
      <c r="J525" s="213" t="s">
        <v>547</v>
      </c>
      <c r="K525" s="213"/>
      <c r="L525" s="213"/>
      <c r="M525" s="213"/>
      <c r="N525" s="213"/>
      <c r="O525" s="213"/>
      <c r="P525" s="213"/>
      <c r="Q525" s="213"/>
      <c r="R525" s="213"/>
      <c r="S525" s="213" t="s">
        <v>583</v>
      </c>
      <c r="T525" s="213"/>
      <c r="U525" s="213" t="s">
        <v>538</v>
      </c>
      <c r="V525" s="213">
        <v>4</v>
      </c>
      <c r="W525" s="213" t="s">
        <v>545</v>
      </c>
      <c r="X525" s="213" t="s">
        <v>554</v>
      </c>
      <c r="Y525" s="213" t="s">
        <v>541</v>
      </c>
      <c r="Z525" s="212">
        <v>0</v>
      </c>
      <c r="AA525" s="212">
        <v>0</v>
      </c>
      <c r="AB525" s="217">
        <v>0.80212099999999997</v>
      </c>
      <c r="AC525" s="217">
        <v>1.290891</v>
      </c>
      <c r="AD525" s="212">
        <f t="shared" si="8"/>
        <v>0</v>
      </c>
    </row>
    <row r="526" spans="2:30" x14ac:dyDescent="0.15">
      <c r="B526" s="213">
        <v>17031002102</v>
      </c>
      <c r="C526" s="213">
        <v>17031004630</v>
      </c>
      <c r="D526" s="213">
        <v>17031000407</v>
      </c>
      <c r="E526" s="213" t="s">
        <v>533</v>
      </c>
      <c r="F526" s="213" t="s">
        <v>534</v>
      </c>
      <c r="G526" s="213" t="s">
        <v>365</v>
      </c>
      <c r="H526" s="213" t="s">
        <v>535</v>
      </c>
      <c r="I526" s="213"/>
      <c r="J526" s="213" t="s">
        <v>552</v>
      </c>
      <c r="K526" s="213" t="s">
        <v>547</v>
      </c>
      <c r="L526" s="213" t="s">
        <v>551</v>
      </c>
      <c r="M526" s="213"/>
      <c r="N526" s="213"/>
      <c r="O526" s="213"/>
      <c r="P526" s="213"/>
      <c r="Q526" s="213"/>
      <c r="R526" s="213"/>
      <c r="S526" s="213" t="s">
        <v>548</v>
      </c>
      <c r="T526" s="213"/>
      <c r="U526" s="213" t="s">
        <v>538</v>
      </c>
      <c r="V526" s="213">
        <v>3</v>
      </c>
      <c r="W526" s="213" t="s">
        <v>545</v>
      </c>
      <c r="X526" s="213" t="s">
        <v>554</v>
      </c>
      <c r="Y526" s="213" t="s">
        <v>546</v>
      </c>
      <c r="Z526" s="212">
        <v>456609</v>
      </c>
      <c r="AA526" s="212">
        <v>23964799</v>
      </c>
      <c r="AB526" s="217">
        <v>1.1101319999999999</v>
      </c>
      <c r="AC526" s="217">
        <v>1.7865880000000001</v>
      </c>
      <c r="AD526" s="212">
        <f t="shared" si="8"/>
        <v>26604090.243467998</v>
      </c>
    </row>
    <row r="527" spans="2:30" x14ac:dyDescent="0.15">
      <c r="B527" s="213">
        <v>17031002127</v>
      </c>
      <c r="C527" s="213">
        <v>17031004575</v>
      </c>
      <c r="D527" s="213">
        <v>17031004574</v>
      </c>
      <c r="E527" s="213" t="s">
        <v>533</v>
      </c>
      <c r="F527" s="213" t="s">
        <v>534</v>
      </c>
      <c r="G527" s="213" t="s">
        <v>365</v>
      </c>
      <c r="H527" s="213" t="s">
        <v>382</v>
      </c>
      <c r="I527" s="213"/>
      <c r="J527" s="213" t="s">
        <v>547</v>
      </c>
      <c r="K527" s="213"/>
      <c r="L527" s="213"/>
      <c r="M527" s="213"/>
      <c r="N527" s="213"/>
      <c r="O527" s="213"/>
      <c r="P527" s="213"/>
      <c r="Q527" s="213"/>
      <c r="R527" s="213"/>
      <c r="S527" s="213" t="s">
        <v>565</v>
      </c>
      <c r="T527" s="213"/>
      <c r="U527" s="213" t="s">
        <v>538</v>
      </c>
      <c r="V527" s="213">
        <v>2</v>
      </c>
      <c r="W527" s="213" t="s">
        <v>566</v>
      </c>
      <c r="X527" s="213" t="s">
        <v>549</v>
      </c>
      <c r="Y527" s="213" t="s">
        <v>541</v>
      </c>
      <c r="Z527" s="212">
        <v>0</v>
      </c>
      <c r="AA527" s="212">
        <v>0</v>
      </c>
      <c r="AB527" s="217">
        <v>1.3316380000000001</v>
      </c>
      <c r="AC527" s="217">
        <v>2.1430669999999998</v>
      </c>
      <c r="AD527" s="212">
        <f t="shared" si="8"/>
        <v>0</v>
      </c>
    </row>
    <row r="528" spans="2:30" x14ac:dyDescent="0.15">
      <c r="B528" s="213">
        <v>17031002157</v>
      </c>
      <c r="C528" s="213">
        <v>17031000249</v>
      </c>
      <c r="D528" s="213">
        <v>17999019043</v>
      </c>
      <c r="E528" s="213" t="s">
        <v>533</v>
      </c>
      <c r="F528" s="213" t="s">
        <v>534</v>
      </c>
      <c r="G528" s="213" t="s">
        <v>365</v>
      </c>
      <c r="H528" s="213" t="s">
        <v>382</v>
      </c>
      <c r="I528" s="213"/>
      <c r="J528" s="213" t="s">
        <v>535</v>
      </c>
      <c r="K528" s="213"/>
      <c r="L528" s="213"/>
      <c r="M528" s="213"/>
      <c r="N528" s="213"/>
      <c r="O528" s="213"/>
      <c r="P528" s="213"/>
      <c r="Q528" s="213"/>
      <c r="R528" s="213"/>
      <c r="S528" s="213" t="s">
        <v>586</v>
      </c>
      <c r="T528" s="213"/>
      <c r="U528" s="213" t="s">
        <v>538</v>
      </c>
      <c r="V528" s="213">
        <v>2</v>
      </c>
      <c r="W528" s="213" t="s">
        <v>582</v>
      </c>
      <c r="X528" s="213" t="s">
        <v>549</v>
      </c>
      <c r="Y528" s="213" t="s">
        <v>549</v>
      </c>
      <c r="Z528" s="212">
        <v>98392</v>
      </c>
      <c r="AA528" s="212">
        <v>10782047</v>
      </c>
      <c r="AB528" s="217">
        <v>0.51006799999999997</v>
      </c>
      <c r="AC528" s="217">
        <v>0.82087600000000005</v>
      </c>
      <c r="AD528" s="212">
        <f t="shared" si="8"/>
        <v>5499577.1491959998</v>
      </c>
    </row>
    <row r="529" spans="2:30" x14ac:dyDescent="0.15">
      <c r="B529" s="213">
        <v>17031002159</v>
      </c>
      <c r="C529" s="213">
        <v>17031004588</v>
      </c>
      <c r="D529" s="213">
        <v>17031000249</v>
      </c>
      <c r="E529" s="213" t="s">
        <v>533</v>
      </c>
      <c r="F529" s="213" t="s">
        <v>534</v>
      </c>
      <c r="G529" s="213" t="s">
        <v>365</v>
      </c>
      <c r="H529" s="213" t="s">
        <v>382</v>
      </c>
      <c r="I529" s="213"/>
      <c r="J529" s="213" t="s">
        <v>535</v>
      </c>
      <c r="K529" s="213"/>
      <c r="L529" s="213"/>
      <c r="M529" s="213"/>
      <c r="N529" s="213"/>
      <c r="O529" s="213"/>
      <c r="P529" s="213"/>
      <c r="Q529" s="213"/>
      <c r="R529" s="213"/>
      <c r="S529" s="213" t="s">
        <v>586</v>
      </c>
      <c r="T529" s="213"/>
      <c r="U529" s="213" t="s">
        <v>538</v>
      </c>
      <c r="V529" s="213">
        <v>2</v>
      </c>
      <c r="W529" s="213" t="s">
        <v>582</v>
      </c>
      <c r="X529" s="213" t="s">
        <v>549</v>
      </c>
      <c r="Y529" s="213" t="s">
        <v>549</v>
      </c>
      <c r="Z529" s="212">
        <v>98392</v>
      </c>
      <c r="AA529" s="212">
        <v>10782047</v>
      </c>
      <c r="AB529" s="217">
        <v>2.0334889999999999</v>
      </c>
      <c r="AC529" s="217">
        <v>3.2725900000000001</v>
      </c>
      <c r="AD529" s="212">
        <f t="shared" si="8"/>
        <v>21925173.971982997</v>
      </c>
    </row>
    <row r="530" spans="2:30" x14ac:dyDescent="0.15">
      <c r="B530" s="213">
        <v>17031002166</v>
      </c>
      <c r="C530" s="213">
        <v>17031001286</v>
      </c>
      <c r="D530" s="213">
        <v>17031004722</v>
      </c>
      <c r="E530" s="213" t="s">
        <v>533</v>
      </c>
      <c r="F530" s="213" t="s">
        <v>534</v>
      </c>
      <c r="G530" s="213" t="s">
        <v>365</v>
      </c>
      <c r="H530" s="213" t="s">
        <v>547</v>
      </c>
      <c r="I530" s="213"/>
      <c r="J530" s="213"/>
      <c r="K530" s="213"/>
      <c r="L530" s="213"/>
      <c r="M530" s="213"/>
      <c r="N530" s="213"/>
      <c r="O530" s="213"/>
      <c r="P530" s="213"/>
      <c r="Q530" s="213"/>
      <c r="R530" s="213"/>
      <c r="S530" s="213"/>
      <c r="T530" s="213"/>
      <c r="U530" s="213" t="s">
        <v>538</v>
      </c>
      <c r="V530" s="213">
        <v>1</v>
      </c>
      <c r="W530" s="213" t="s">
        <v>582</v>
      </c>
      <c r="X530" s="213" t="s">
        <v>541</v>
      </c>
      <c r="Y530" s="213" t="s">
        <v>541</v>
      </c>
      <c r="Z530" s="212">
        <v>0</v>
      </c>
      <c r="AA530" s="212">
        <v>0</v>
      </c>
      <c r="AB530" s="217">
        <v>0.47956700000000002</v>
      </c>
      <c r="AC530" s="217">
        <v>0.77178999999999998</v>
      </c>
      <c r="AD530" s="212">
        <f t="shared" si="8"/>
        <v>0</v>
      </c>
    </row>
    <row r="531" spans="2:30" x14ac:dyDescent="0.15">
      <c r="B531" s="213">
        <v>17031002169</v>
      </c>
      <c r="C531" s="213">
        <v>17031001299</v>
      </c>
      <c r="D531" s="213">
        <v>17031001296</v>
      </c>
      <c r="E531" s="213" t="s">
        <v>533</v>
      </c>
      <c r="F531" s="213" t="s">
        <v>534</v>
      </c>
      <c r="G531" s="213" t="s">
        <v>365</v>
      </c>
      <c r="H531" s="213" t="s">
        <v>535</v>
      </c>
      <c r="I531" s="213"/>
      <c r="J531" s="213"/>
      <c r="K531" s="213"/>
      <c r="L531" s="213"/>
      <c r="M531" s="213"/>
      <c r="N531" s="213"/>
      <c r="O531" s="213"/>
      <c r="P531" s="213"/>
      <c r="Q531" s="213"/>
      <c r="R531" s="213"/>
      <c r="S531" s="213"/>
      <c r="T531" s="213"/>
      <c r="U531" s="213" t="s">
        <v>538</v>
      </c>
      <c r="V531" s="213">
        <v>1</v>
      </c>
      <c r="W531" s="213" t="s">
        <v>560</v>
      </c>
      <c r="X531" s="213" t="s">
        <v>541</v>
      </c>
      <c r="Y531" s="213" t="s">
        <v>549</v>
      </c>
      <c r="Z531" s="212">
        <v>353092</v>
      </c>
      <c r="AA531" s="212">
        <v>16479500</v>
      </c>
      <c r="AB531" s="217">
        <v>0.121821</v>
      </c>
      <c r="AC531" s="217">
        <v>0.196052</v>
      </c>
      <c r="AD531" s="212">
        <f t="shared" si="8"/>
        <v>2007549.1695000001</v>
      </c>
    </row>
    <row r="532" spans="2:30" x14ac:dyDescent="0.15">
      <c r="B532" s="213">
        <v>17031002178</v>
      </c>
      <c r="C532" s="213">
        <v>17031001367</v>
      </c>
      <c r="D532" s="213">
        <v>17031001374</v>
      </c>
      <c r="E532" s="213" t="s">
        <v>533</v>
      </c>
      <c r="F532" s="213" t="s">
        <v>534</v>
      </c>
      <c r="G532" s="213" t="s">
        <v>365</v>
      </c>
      <c r="H532" s="213" t="s">
        <v>557</v>
      </c>
      <c r="I532" s="213"/>
      <c r="J532" s="213" t="s">
        <v>382</v>
      </c>
      <c r="K532" s="213" t="s">
        <v>552</v>
      </c>
      <c r="L532" s="213"/>
      <c r="M532" s="213"/>
      <c r="N532" s="213"/>
      <c r="O532" s="213"/>
      <c r="P532" s="213"/>
      <c r="Q532" s="213"/>
      <c r="R532" s="213"/>
      <c r="S532" s="213"/>
      <c r="T532" s="213"/>
      <c r="U532" s="213" t="s">
        <v>538</v>
      </c>
      <c r="V532" s="213">
        <v>1</v>
      </c>
      <c r="W532" s="213" t="s">
        <v>560</v>
      </c>
      <c r="X532" s="213" t="s">
        <v>541</v>
      </c>
      <c r="Y532" s="213" t="s">
        <v>541</v>
      </c>
      <c r="Z532" s="212">
        <v>0</v>
      </c>
      <c r="AA532" s="212">
        <v>0</v>
      </c>
      <c r="AB532" s="217">
        <v>0.176981</v>
      </c>
      <c r="AC532" s="217">
        <v>0.28482400000000002</v>
      </c>
      <c r="AD532" s="212">
        <f t="shared" si="8"/>
        <v>0</v>
      </c>
    </row>
    <row r="533" spans="2:30" x14ac:dyDescent="0.15">
      <c r="B533" s="213">
        <v>17031002180</v>
      </c>
      <c r="C533" s="213">
        <v>17031000629</v>
      </c>
      <c r="D533" s="213">
        <v>17031000582</v>
      </c>
      <c r="E533" s="213" t="s">
        <v>533</v>
      </c>
      <c r="F533" s="213" t="s">
        <v>534</v>
      </c>
      <c r="G533" s="213" t="s">
        <v>365</v>
      </c>
      <c r="H533" s="213" t="s">
        <v>382</v>
      </c>
      <c r="I533" s="213"/>
      <c r="J533" s="213" t="s">
        <v>572</v>
      </c>
      <c r="K533" s="213" t="s">
        <v>543</v>
      </c>
      <c r="L533" s="213"/>
      <c r="M533" s="213"/>
      <c r="N533" s="213"/>
      <c r="O533" s="213"/>
      <c r="P533" s="213"/>
      <c r="Q533" s="213"/>
      <c r="R533" s="213"/>
      <c r="S533" s="213" t="s">
        <v>609</v>
      </c>
      <c r="T533" s="213"/>
      <c r="U533" s="213" t="s">
        <v>538</v>
      </c>
      <c r="V533" s="213">
        <v>2</v>
      </c>
      <c r="W533" s="213" t="s">
        <v>539</v>
      </c>
      <c r="X533" s="213" t="s">
        <v>554</v>
      </c>
      <c r="Y533" s="213" t="s">
        <v>580</v>
      </c>
      <c r="Z533" s="212">
        <v>999857</v>
      </c>
      <c r="AA533" s="212">
        <v>33304864</v>
      </c>
      <c r="AB533" s="217">
        <v>1.187775</v>
      </c>
      <c r="AC533" s="217">
        <v>1.9115420000000001</v>
      </c>
      <c r="AD533" s="212">
        <f t="shared" si="8"/>
        <v>39558684.8376</v>
      </c>
    </row>
    <row r="534" spans="2:30" x14ac:dyDescent="0.15">
      <c r="B534" s="213">
        <v>17031002181</v>
      </c>
      <c r="C534" s="213">
        <v>17031000739</v>
      </c>
      <c r="D534" s="213">
        <v>17031000737</v>
      </c>
      <c r="E534" s="213" t="s">
        <v>533</v>
      </c>
      <c r="F534" s="213" t="s">
        <v>534</v>
      </c>
      <c r="G534" s="213" t="s">
        <v>365</v>
      </c>
      <c r="H534" s="213" t="s">
        <v>535</v>
      </c>
      <c r="I534" s="213"/>
      <c r="J534" s="213"/>
      <c r="K534" s="213"/>
      <c r="L534" s="213"/>
      <c r="M534" s="213"/>
      <c r="N534" s="213"/>
      <c r="O534" s="213"/>
      <c r="P534" s="213"/>
      <c r="Q534" s="213"/>
      <c r="R534" s="213"/>
      <c r="S534" s="213" t="s">
        <v>624</v>
      </c>
      <c r="T534" s="213"/>
      <c r="U534" s="213" t="s">
        <v>538</v>
      </c>
      <c r="V534" s="213">
        <v>2</v>
      </c>
      <c r="W534" s="213" t="s">
        <v>582</v>
      </c>
      <c r="X534" s="213" t="s">
        <v>554</v>
      </c>
      <c r="Y534" s="213" t="s">
        <v>554</v>
      </c>
      <c r="Z534" s="212">
        <v>0</v>
      </c>
      <c r="AA534" s="212">
        <v>0</v>
      </c>
      <c r="AB534" s="217">
        <v>6.4994999999999997E-2</v>
      </c>
      <c r="AC534" s="217">
        <v>0.104599</v>
      </c>
      <c r="AD534" s="212">
        <f t="shared" si="8"/>
        <v>0</v>
      </c>
    </row>
    <row r="535" spans="2:30" x14ac:dyDescent="0.15">
      <c r="B535" s="213">
        <v>17031002182</v>
      </c>
      <c r="C535" s="213">
        <v>17031000804</v>
      </c>
      <c r="D535" s="213">
        <v>17031000705</v>
      </c>
      <c r="E535" s="213" t="s">
        <v>533</v>
      </c>
      <c r="F535" s="213" t="s">
        <v>534</v>
      </c>
      <c r="G535" s="213" t="s">
        <v>365</v>
      </c>
      <c r="H535" s="213" t="s">
        <v>543</v>
      </c>
      <c r="I535" s="213"/>
      <c r="J535" s="213" t="s">
        <v>542</v>
      </c>
      <c r="K535" s="213" t="s">
        <v>547</v>
      </c>
      <c r="L535" s="213"/>
      <c r="M535" s="213"/>
      <c r="N535" s="213"/>
      <c r="O535" s="213"/>
      <c r="P535" s="213"/>
      <c r="Q535" s="213"/>
      <c r="R535" s="213"/>
      <c r="S535" s="213" t="s">
        <v>630</v>
      </c>
      <c r="T535" s="213"/>
      <c r="U535" s="213" t="s">
        <v>538</v>
      </c>
      <c r="V535" s="213">
        <v>2</v>
      </c>
      <c r="W535" s="213" t="s">
        <v>545</v>
      </c>
      <c r="X535" s="213" t="s">
        <v>540</v>
      </c>
      <c r="Y535" s="213" t="s">
        <v>549</v>
      </c>
      <c r="Z535" s="212">
        <v>141680</v>
      </c>
      <c r="AA535" s="212">
        <v>9584979</v>
      </c>
      <c r="AB535" s="217">
        <v>2.1875819999999999</v>
      </c>
      <c r="AC535" s="217">
        <v>3.5205790000000001</v>
      </c>
      <c r="AD535" s="212">
        <f t="shared" si="8"/>
        <v>20967927.530777998</v>
      </c>
    </row>
    <row r="536" spans="2:30" x14ac:dyDescent="0.15">
      <c r="B536" s="213">
        <v>17031002183</v>
      </c>
      <c r="C536" s="213">
        <v>17031001200</v>
      </c>
      <c r="D536" s="213">
        <v>17031001154</v>
      </c>
      <c r="E536" s="213" t="s">
        <v>533</v>
      </c>
      <c r="F536" s="213" t="s">
        <v>534</v>
      </c>
      <c r="G536" s="213" t="s">
        <v>365</v>
      </c>
      <c r="H536" s="213" t="s">
        <v>557</v>
      </c>
      <c r="I536" s="213"/>
      <c r="J536" s="213" t="s">
        <v>381</v>
      </c>
      <c r="K536" s="213" t="s">
        <v>535</v>
      </c>
      <c r="L536" s="213" t="s">
        <v>552</v>
      </c>
      <c r="M536" s="213" t="s">
        <v>551</v>
      </c>
      <c r="N536" s="213" t="s">
        <v>543</v>
      </c>
      <c r="O536" s="213" t="s">
        <v>382</v>
      </c>
      <c r="P536" s="213"/>
      <c r="Q536" s="213"/>
      <c r="R536" s="213"/>
      <c r="S536" s="213" t="s">
        <v>570</v>
      </c>
      <c r="T536" s="213"/>
      <c r="U536" s="213" t="s">
        <v>538</v>
      </c>
      <c r="V536" s="213">
        <v>2</v>
      </c>
      <c r="W536" s="213" t="s">
        <v>545</v>
      </c>
      <c r="X536" s="213" t="s">
        <v>540</v>
      </c>
      <c r="Y536" s="213" t="s">
        <v>575</v>
      </c>
      <c r="Z536" s="212">
        <v>883924</v>
      </c>
      <c r="AA536" s="212">
        <v>56583247</v>
      </c>
      <c r="AB536" s="217">
        <v>1.9883</v>
      </c>
      <c r="AC536" s="217">
        <v>3.1998660000000001</v>
      </c>
      <c r="AD536" s="212">
        <f t="shared" si="8"/>
        <v>112504470.01009999</v>
      </c>
    </row>
    <row r="537" spans="2:30" x14ac:dyDescent="0.15">
      <c r="B537" s="213">
        <v>17031002186</v>
      </c>
      <c r="C537" s="213">
        <v>17031001025</v>
      </c>
      <c r="D537" s="213">
        <v>17031004754</v>
      </c>
      <c r="E537" s="213" t="s">
        <v>533</v>
      </c>
      <c r="F537" s="213" t="s">
        <v>534</v>
      </c>
      <c r="G537" s="213" t="s">
        <v>365</v>
      </c>
      <c r="H537" s="213" t="s">
        <v>535</v>
      </c>
      <c r="I537" s="213"/>
      <c r="J537" s="213" t="s">
        <v>542</v>
      </c>
      <c r="K537" s="213" t="s">
        <v>572</v>
      </c>
      <c r="L537" s="213"/>
      <c r="M537" s="213"/>
      <c r="N537" s="213"/>
      <c r="O537" s="213"/>
      <c r="P537" s="213"/>
      <c r="Q537" s="213"/>
      <c r="R537" s="213"/>
      <c r="S537" s="213" t="s">
        <v>544</v>
      </c>
      <c r="T537" s="213"/>
      <c r="U537" s="213" t="s">
        <v>538</v>
      </c>
      <c r="V537" s="213">
        <v>2</v>
      </c>
      <c r="W537" s="213" t="s">
        <v>545</v>
      </c>
      <c r="X537" s="213" t="s">
        <v>549</v>
      </c>
      <c r="Y537" s="213" t="s">
        <v>549</v>
      </c>
      <c r="Z537" s="212">
        <v>13802</v>
      </c>
      <c r="AA537" s="212">
        <v>1450100</v>
      </c>
      <c r="AB537" s="217">
        <v>1.0918490000000001</v>
      </c>
      <c r="AC537" s="217">
        <v>1.757163</v>
      </c>
      <c r="AD537" s="212">
        <f t="shared" si="8"/>
        <v>1583290.2349</v>
      </c>
    </row>
    <row r="538" spans="2:30" x14ac:dyDescent="0.15">
      <c r="B538" s="213">
        <v>17031002211</v>
      </c>
      <c r="C538" s="213">
        <v>17031000296</v>
      </c>
      <c r="D538" s="213">
        <v>17031004589</v>
      </c>
      <c r="E538" s="213" t="s">
        <v>533</v>
      </c>
      <c r="F538" s="213" t="s">
        <v>534</v>
      </c>
      <c r="G538" s="213" t="s">
        <v>365</v>
      </c>
      <c r="H538" s="213" t="s">
        <v>382</v>
      </c>
      <c r="I538" s="213"/>
      <c r="J538" s="213" t="s">
        <v>535</v>
      </c>
      <c r="K538" s="213" t="s">
        <v>552</v>
      </c>
      <c r="L538" s="213"/>
      <c r="M538" s="213"/>
      <c r="N538" s="213"/>
      <c r="O538" s="213"/>
      <c r="P538" s="213"/>
      <c r="Q538" s="213"/>
      <c r="R538" s="213"/>
      <c r="S538" s="213" t="s">
        <v>586</v>
      </c>
      <c r="T538" s="213"/>
      <c r="U538" s="213" t="s">
        <v>538</v>
      </c>
      <c r="V538" s="213">
        <v>2</v>
      </c>
      <c r="W538" s="213" t="s">
        <v>582</v>
      </c>
      <c r="X538" s="213" t="s">
        <v>549</v>
      </c>
      <c r="Y538" s="213" t="s">
        <v>580</v>
      </c>
      <c r="Z538" s="212">
        <v>521381</v>
      </c>
      <c r="AA538" s="212">
        <v>37021077</v>
      </c>
      <c r="AB538" s="217">
        <v>3.2552789999999998</v>
      </c>
      <c r="AC538" s="217">
        <v>5.2388729999999999</v>
      </c>
      <c r="AD538" s="212">
        <f t="shared" si="8"/>
        <v>120513934.51548299</v>
      </c>
    </row>
    <row r="539" spans="2:30" x14ac:dyDescent="0.15">
      <c r="B539" s="213">
        <v>17031002212</v>
      </c>
      <c r="C539" s="213">
        <v>17031004599</v>
      </c>
      <c r="D539" s="213">
        <v>17031004598</v>
      </c>
      <c r="E539" s="213" t="s">
        <v>533</v>
      </c>
      <c r="F539" s="213" t="s">
        <v>534</v>
      </c>
      <c r="G539" s="213" t="s">
        <v>365</v>
      </c>
      <c r="H539" s="213" t="s">
        <v>382</v>
      </c>
      <c r="I539" s="213"/>
      <c r="J539" s="213" t="s">
        <v>535</v>
      </c>
      <c r="K539" s="213" t="s">
        <v>547</v>
      </c>
      <c r="L539" s="213"/>
      <c r="M539" s="213"/>
      <c r="N539" s="213"/>
      <c r="O539" s="213"/>
      <c r="P539" s="213"/>
      <c r="Q539" s="213"/>
      <c r="R539" s="213"/>
      <c r="S539" s="213" t="s">
        <v>608</v>
      </c>
      <c r="T539" s="213"/>
      <c r="U539" s="213" t="s">
        <v>538</v>
      </c>
      <c r="V539" s="213">
        <v>3</v>
      </c>
      <c r="W539" s="213" t="s">
        <v>566</v>
      </c>
      <c r="X539" s="213" t="s">
        <v>549</v>
      </c>
      <c r="Y539" s="213" t="s">
        <v>549</v>
      </c>
      <c r="Z539" s="212">
        <v>10751</v>
      </c>
      <c r="AA539" s="212">
        <v>946568</v>
      </c>
      <c r="AB539" s="217">
        <v>1.117022</v>
      </c>
      <c r="AC539" s="217">
        <v>1.7976760000000001</v>
      </c>
      <c r="AD539" s="212">
        <f t="shared" si="8"/>
        <v>1057337.2804959998</v>
      </c>
    </row>
    <row r="540" spans="2:30" x14ac:dyDescent="0.15">
      <c r="B540" s="213">
        <v>17031002213</v>
      </c>
      <c r="C540" s="213">
        <v>17031004600</v>
      </c>
      <c r="D540" s="213">
        <v>17031004599</v>
      </c>
      <c r="E540" s="213" t="s">
        <v>533</v>
      </c>
      <c r="F540" s="213" t="s">
        <v>534</v>
      </c>
      <c r="G540" s="213" t="s">
        <v>365</v>
      </c>
      <c r="H540" s="213" t="s">
        <v>382</v>
      </c>
      <c r="I540" s="213"/>
      <c r="J540" s="213" t="s">
        <v>535</v>
      </c>
      <c r="K540" s="213" t="s">
        <v>547</v>
      </c>
      <c r="L540" s="213"/>
      <c r="M540" s="213"/>
      <c r="N540" s="213"/>
      <c r="O540" s="213"/>
      <c r="P540" s="213"/>
      <c r="Q540" s="213"/>
      <c r="R540" s="213"/>
      <c r="S540" s="213" t="s">
        <v>608</v>
      </c>
      <c r="T540" s="213"/>
      <c r="U540" s="213" t="s">
        <v>538</v>
      </c>
      <c r="V540" s="213">
        <v>3</v>
      </c>
      <c r="W540" s="213" t="s">
        <v>566</v>
      </c>
      <c r="X540" s="213" t="s">
        <v>549</v>
      </c>
      <c r="Y540" s="213" t="s">
        <v>549</v>
      </c>
      <c r="Z540" s="212">
        <v>10791</v>
      </c>
      <c r="AA540" s="212">
        <v>950208</v>
      </c>
      <c r="AB540" s="217">
        <v>1.248596</v>
      </c>
      <c r="AC540" s="217">
        <v>2.0094249999999998</v>
      </c>
      <c r="AD540" s="212">
        <f t="shared" si="8"/>
        <v>1186425.907968</v>
      </c>
    </row>
    <row r="541" spans="2:30" x14ac:dyDescent="0.15">
      <c r="B541" s="213">
        <v>17031002222</v>
      </c>
      <c r="C541" s="213">
        <v>17031000558</v>
      </c>
      <c r="D541" s="213">
        <v>17031000540</v>
      </c>
      <c r="E541" s="213" t="s">
        <v>533</v>
      </c>
      <c r="F541" s="213" t="s">
        <v>534</v>
      </c>
      <c r="G541" s="213" t="s">
        <v>365</v>
      </c>
      <c r="H541" s="213" t="s">
        <v>557</v>
      </c>
      <c r="I541" s="213"/>
      <c r="J541" s="213" t="s">
        <v>535</v>
      </c>
      <c r="K541" s="213" t="s">
        <v>552</v>
      </c>
      <c r="L541" s="213" t="s">
        <v>543</v>
      </c>
      <c r="M541" s="213" t="s">
        <v>382</v>
      </c>
      <c r="N541" s="213"/>
      <c r="O541" s="213"/>
      <c r="P541" s="213"/>
      <c r="Q541" s="213"/>
      <c r="R541" s="213"/>
      <c r="S541" s="213" t="s">
        <v>570</v>
      </c>
      <c r="T541" s="213"/>
      <c r="U541" s="213" t="s">
        <v>538</v>
      </c>
      <c r="V541" s="213">
        <v>2</v>
      </c>
      <c r="W541" s="213" t="s">
        <v>545</v>
      </c>
      <c r="X541" s="213" t="s">
        <v>540</v>
      </c>
      <c r="Y541" s="213" t="s">
        <v>580</v>
      </c>
      <c r="Z541" s="212">
        <v>551853</v>
      </c>
      <c r="AA541" s="212">
        <v>35994262</v>
      </c>
      <c r="AB541" s="217">
        <v>0.25243500000000002</v>
      </c>
      <c r="AC541" s="217">
        <v>0.40625499999999998</v>
      </c>
      <c r="AD541" s="212">
        <f t="shared" si="8"/>
        <v>9086211.5279700011</v>
      </c>
    </row>
    <row r="542" spans="2:30" x14ac:dyDescent="0.15">
      <c r="B542" s="213">
        <v>17031002235</v>
      </c>
      <c r="C542" s="213">
        <v>17031004609</v>
      </c>
      <c r="D542" s="213">
        <v>17031004608</v>
      </c>
      <c r="E542" s="213" t="s">
        <v>533</v>
      </c>
      <c r="F542" s="213" t="s">
        <v>534</v>
      </c>
      <c r="G542" s="213" t="s">
        <v>365</v>
      </c>
      <c r="H542" s="213" t="s">
        <v>382</v>
      </c>
      <c r="I542" s="213"/>
      <c r="J542" s="213" t="s">
        <v>547</v>
      </c>
      <c r="K542" s="213"/>
      <c r="L542" s="213"/>
      <c r="M542" s="213"/>
      <c r="N542" s="213"/>
      <c r="O542" s="213"/>
      <c r="P542" s="213"/>
      <c r="Q542" s="213"/>
      <c r="R542" s="213"/>
      <c r="S542" s="213" t="s">
        <v>608</v>
      </c>
      <c r="T542" s="213"/>
      <c r="U542" s="213" t="s">
        <v>538</v>
      </c>
      <c r="V542" s="213">
        <v>3</v>
      </c>
      <c r="W542" s="213" t="s">
        <v>566</v>
      </c>
      <c r="X542" s="213" t="s">
        <v>549</v>
      </c>
      <c r="Y542" s="213" t="s">
        <v>554</v>
      </c>
      <c r="Z542" s="212">
        <v>0</v>
      </c>
      <c r="AA542" s="212">
        <v>0</v>
      </c>
      <c r="AB542" s="217">
        <v>1.3600719999999999</v>
      </c>
      <c r="AC542" s="217">
        <v>2.1888269999999999</v>
      </c>
      <c r="AD542" s="212">
        <f t="shared" si="8"/>
        <v>0</v>
      </c>
    </row>
    <row r="543" spans="2:30" x14ac:dyDescent="0.15">
      <c r="B543" s="213">
        <v>17031002237</v>
      </c>
      <c r="C543" s="213">
        <v>17031000436</v>
      </c>
      <c r="D543" s="213">
        <v>17031000434</v>
      </c>
      <c r="E543" s="213" t="s">
        <v>533</v>
      </c>
      <c r="F543" s="213" t="s">
        <v>534</v>
      </c>
      <c r="G543" s="213" t="s">
        <v>365</v>
      </c>
      <c r="H543" s="213" t="s">
        <v>552</v>
      </c>
      <c r="I543" s="213"/>
      <c r="J543" s="213" t="s">
        <v>551</v>
      </c>
      <c r="K543" s="213" t="s">
        <v>547</v>
      </c>
      <c r="L543" s="213" t="s">
        <v>382</v>
      </c>
      <c r="M543" s="213" t="s">
        <v>563</v>
      </c>
      <c r="N543" s="213"/>
      <c r="O543" s="213"/>
      <c r="P543" s="213"/>
      <c r="Q543" s="213"/>
      <c r="R543" s="213"/>
      <c r="S543" s="213" t="s">
        <v>589</v>
      </c>
      <c r="T543" s="213"/>
      <c r="U543" s="213" t="s">
        <v>538</v>
      </c>
      <c r="V543" s="213">
        <v>3</v>
      </c>
      <c r="W543" s="213" t="s">
        <v>545</v>
      </c>
      <c r="X543" s="213" t="s">
        <v>549</v>
      </c>
      <c r="Y543" s="213" t="s">
        <v>549</v>
      </c>
      <c r="Z543" s="212">
        <v>248873</v>
      </c>
      <c r="AA543" s="212">
        <v>19196782</v>
      </c>
      <c r="AB543" s="217">
        <v>0.52212000000000003</v>
      </c>
      <c r="AC543" s="217">
        <v>0.84027200000000002</v>
      </c>
      <c r="AD543" s="212">
        <f t="shared" si="8"/>
        <v>10023023.817840001</v>
      </c>
    </row>
    <row r="544" spans="2:30" x14ac:dyDescent="0.15">
      <c r="B544" s="213">
        <v>17031002238</v>
      </c>
      <c r="C544" s="213">
        <v>17031004637</v>
      </c>
      <c r="D544" s="213">
        <v>17031000436</v>
      </c>
      <c r="E544" s="213" t="s">
        <v>533</v>
      </c>
      <c r="F544" s="213" t="s">
        <v>534</v>
      </c>
      <c r="G544" s="213" t="s">
        <v>365</v>
      </c>
      <c r="H544" s="213" t="s">
        <v>552</v>
      </c>
      <c r="I544" s="213"/>
      <c r="J544" s="213" t="s">
        <v>551</v>
      </c>
      <c r="K544" s="213" t="s">
        <v>547</v>
      </c>
      <c r="L544" s="213" t="s">
        <v>382</v>
      </c>
      <c r="M544" s="213" t="s">
        <v>563</v>
      </c>
      <c r="N544" s="213"/>
      <c r="O544" s="213"/>
      <c r="P544" s="213"/>
      <c r="Q544" s="213"/>
      <c r="R544" s="213"/>
      <c r="S544" s="213" t="s">
        <v>589</v>
      </c>
      <c r="T544" s="213"/>
      <c r="U544" s="213" t="s">
        <v>538</v>
      </c>
      <c r="V544" s="213">
        <v>3</v>
      </c>
      <c r="W544" s="213" t="s">
        <v>545</v>
      </c>
      <c r="X544" s="213" t="s">
        <v>549</v>
      </c>
      <c r="Y544" s="213" t="s">
        <v>549</v>
      </c>
      <c r="Z544" s="212">
        <v>320753</v>
      </c>
      <c r="AA544" s="212">
        <v>20266582</v>
      </c>
      <c r="AB544" s="217">
        <v>1.0225379999999999</v>
      </c>
      <c r="AC544" s="217">
        <v>1.6456189999999999</v>
      </c>
      <c r="AD544" s="212">
        <f t="shared" si="8"/>
        <v>20723350.225116</v>
      </c>
    </row>
    <row r="545" spans="2:30" x14ac:dyDescent="0.15">
      <c r="B545" s="213">
        <v>17031002241</v>
      </c>
      <c r="C545" s="213">
        <v>17031004639</v>
      </c>
      <c r="D545" s="213">
        <v>17031004638</v>
      </c>
      <c r="E545" s="213" t="s">
        <v>533</v>
      </c>
      <c r="F545" s="213" t="s">
        <v>534</v>
      </c>
      <c r="G545" s="213" t="s">
        <v>365</v>
      </c>
      <c r="H545" s="213" t="s">
        <v>552</v>
      </c>
      <c r="I545" s="213"/>
      <c r="J545" s="213" t="s">
        <v>551</v>
      </c>
      <c r="K545" s="213" t="s">
        <v>547</v>
      </c>
      <c r="L545" s="213" t="s">
        <v>382</v>
      </c>
      <c r="M545" s="213" t="s">
        <v>563</v>
      </c>
      <c r="N545" s="213"/>
      <c r="O545" s="213"/>
      <c r="P545" s="213"/>
      <c r="Q545" s="213"/>
      <c r="R545" s="213"/>
      <c r="S545" s="213" t="s">
        <v>589</v>
      </c>
      <c r="T545" s="213"/>
      <c r="U545" s="213" t="s">
        <v>538</v>
      </c>
      <c r="V545" s="213">
        <v>3</v>
      </c>
      <c r="W545" s="213" t="s">
        <v>545</v>
      </c>
      <c r="X545" s="213" t="s">
        <v>549</v>
      </c>
      <c r="Y545" s="213" t="s">
        <v>549</v>
      </c>
      <c r="Z545" s="212">
        <v>320753</v>
      </c>
      <c r="AA545" s="212">
        <v>20266582</v>
      </c>
      <c r="AB545" s="217">
        <v>0.41120299999999999</v>
      </c>
      <c r="AC545" s="217">
        <v>0.66176800000000002</v>
      </c>
      <c r="AD545" s="212">
        <f t="shared" si="8"/>
        <v>8333679.3181459997</v>
      </c>
    </row>
    <row r="546" spans="2:30" x14ac:dyDescent="0.15">
      <c r="B546" s="213">
        <v>17031002242</v>
      </c>
      <c r="C546" s="213">
        <v>17031000493</v>
      </c>
      <c r="D546" s="213">
        <v>17031000465</v>
      </c>
      <c r="E546" s="213" t="s">
        <v>533</v>
      </c>
      <c r="F546" s="213" t="s">
        <v>534</v>
      </c>
      <c r="G546" s="213" t="s">
        <v>365</v>
      </c>
      <c r="H546" s="213" t="s">
        <v>557</v>
      </c>
      <c r="I546" s="213"/>
      <c r="J546" s="213" t="s">
        <v>535</v>
      </c>
      <c r="K546" s="213" t="s">
        <v>552</v>
      </c>
      <c r="L546" s="213" t="s">
        <v>543</v>
      </c>
      <c r="M546" s="213" t="s">
        <v>382</v>
      </c>
      <c r="N546" s="213"/>
      <c r="O546" s="213"/>
      <c r="P546" s="213"/>
      <c r="Q546" s="213"/>
      <c r="R546" s="213"/>
      <c r="S546" s="213" t="s">
        <v>570</v>
      </c>
      <c r="T546" s="213" t="s">
        <v>676</v>
      </c>
      <c r="U546" s="213" t="s">
        <v>538</v>
      </c>
      <c r="V546" s="213">
        <v>2</v>
      </c>
      <c r="W546" s="213" t="s">
        <v>545</v>
      </c>
      <c r="X546" s="213" t="s">
        <v>554</v>
      </c>
      <c r="Y546" s="213" t="s">
        <v>546</v>
      </c>
      <c r="Z546" s="212">
        <v>550913</v>
      </c>
      <c r="AA546" s="212">
        <v>35918062</v>
      </c>
      <c r="AB546" s="217">
        <v>0.74494199999999999</v>
      </c>
      <c r="AC546" s="217">
        <v>1.1988700000000001</v>
      </c>
      <c r="AD546" s="212">
        <f t="shared" si="8"/>
        <v>26756872.942403998</v>
      </c>
    </row>
    <row r="547" spans="2:30" x14ac:dyDescent="0.15">
      <c r="B547" s="213">
        <v>17031002245</v>
      </c>
      <c r="C547" s="213">
        <v>17031000500</v>
      </c>
      <c r="D547" s="213">
        <v>17031000493</v>
      </c>
      <c r="E547" s="213" t="s">
        <v>533</v>
      </c>
      <c r="F547" s="213" t="s">
        <v>534</v>
      </c>
      <c r="G547" s="213" t="s">
        <v>365</v>
      </c>
      <c r="H547" s="213" t="s">
        <v>557</v>
      </c>
      <c r="I547" s="213"/>
      <c r="J547" s="213" t="s">
        <v>535</v>
      </c>
      <c r="K547" s="213" t="s">
        <v>552</v>
      </c>
      <c r="L547" s="213" t="s">
        <v>543</v>
      </c>
      <c r="M547" s="213" t="s">
        <v>382</v>
      </c>
      <c r="N547" s="213"/>
      <c r="O547" s="213"/>
      <c r="P547" s="213"/>
      <c r="Q547" s="213"/>
      <c r="R547" s="213"/>
      <c r="S547" s="213" t="s">
        <v>570</v>
      </c>
      <c r="T547" s="213" t="s">
        <v>676</v>
      </c>
      <c r="U547" s="213" t="s">
        <v>538</v>
      </c>
      <c r="V547" s="213">
        <v>2</v>
      </c>
      <c r="W547" s="213" t="s">
        <v>545</v>
      </c>
      <c r="X547" s="213" t="s">
        <v>554</v>
      </c>
      <c r="Y547" s="213" t="s">
        <v>546</v>
      </c>
      <c r="Z547" s="212">
        <v>550913</v>
      </c>
      <c r="AA547" s="212">
        <v>35918062</v>
      </c>
      <c r="AB547" s="217">
        <v>0.13173000000000001</v>
      </c>
      <c r="AC547" s="217">
        <v>0.21199999999999999</v>
      </c>
      <c r="AD547" s="212">
        <f t="shared" si="8"/>
        <v>4731486.3072600001</v>
      </c>
    </row>
    <row r="548" spans="2:30" x14ac:dyDescent="0.15">
      <c r="B548" s="213">
        <v>17031002247</v>
      </c>
      <c r="C548" s="213">
        <v>17031000555</v>
      </c>
      <c r="D548" s="213">
        <v>17031000545</v>
      </c>
      <c r="E548" s="213" t="s">
        <v>533</v>
      </c>
      <c r="F548" s="213" t="s">
        <v>534</v>
      </c>
      <c r="G548" s="213" t="s">
        <v>365</v>
      </c>
      <c r="H548" s="213" t="s">
        <v>382</v>
      </c>
      <c r="I548" s="213"/>
      <c r="J548" s="213" t="s">
        <v>572</v>
      </c>
      <c r="K548" s="213" t="s">
        <v>547</v>
      </c>
      <c r="L548" s="213"/>
      <c r="M548" s="213"/>
      <c r="N548" s="213"/>
      <c r="O548" s="213"/>
      <c r="P548" s="213"/>
      <c r="Q548" s="213"/>
      <c r="R548" s="213"/>
      <c r="S548" s="213" t="s">
        <v>583</v>
      </c>
      <c r="T548" s="213"/>
      <c r="U548" s="213" t="s">
        <v>538</v>
      </c>
      <c r="V548" s="213">
        <v>3</v>
      </c>
      <c r="W548" s="213" t="s">
        <v>545</v>
      </c>
      <c r="X548" s="213" t="s">
        <v>549</v>
      </c>
      <c r="Y548" s="213" t="s">
        <v>580</v>
      </c>
      <c r="Z548" s="212">
        <v>1000337</v>
      </c>
      <c r="AA548" s="212">
        <v>33341464</v>
      </c>
      <c r="AB548" s="217">
        <v>0.58910300000000004</v>
      </c>
      <c r="AC548" s="217">
        <v>0.948071</v>
      </c>
      <c r="AD548" s="212">
        <f t="shared" si="8"/>
        <v>19641556.466792002</v>
      </c>
    </row>
    <row r="549" spans="2:30" x14ac:dyDescent="0.15">
      <c r="B549" s="213">
        <v>17031002248</v>
      </c>
      <c r="C549" s="213">
        <v>17031000567</v>
      </c>
      <c r="D549" s="213">
        <v>17031000560</v>
      </c>
      <c r="E549" s="213" t="s">
        <v>533</v>
      </c>
      <c r="F549" s="213" t="s">
        <v>534</v>
      </c>
      <c r="G549" s="213" t="s">
        <v>365</v>
      </c>
      <c r="H549" s="213" t="s">
        <v>382</v>
      </c>
      <c r="I549" s="213"/>
      <c r="J549" s="213" t="s">
        <v>547</v>
      </c>
      <c r="K549" s="213"/>
      <c r="L549" s="213"/>
      <c r="M549" s="213"/>
      <c r="N549" s="213"/>
      <c r="O549" s="213"/>
      <c r="P549" s="213"/>
      <c r="Q549" s="213"/>
      <c r="R549" s="213"/>
      <c r="S549" s="213"/>
      <c r="T549" s="213" t="s">
        <v>674</v>
      </c>
      <c r="U549" s="213" t="s">
        <v>559</v>
      </c>
      <c r="V549" s="213">
        <v>1</v>
      </c>
      <c r="W549" s="213" t="s">
        <v>539</v>
      </c>
      <c r="X549" s="213" t="s">
        <v>541</v>
      </c>
      <c r="Y549" s="213" t="s">
        <v>541</v>
      </c>
      <c r="Z549" s="212">
        <v>0</v>
      </c>
      <c r="AA549" s="212">
        <v>0</v>
      </c>
      <c r="AB549" s="217">
        <v>0.27496300000000001</v>
      </c>
      <c r="AC549" s="217">
        <v>0.44251099999999999</v>
      </c>
      <c r="AD549" s="212">
        <f t="shared" si="8"/>
        <v>0</v>
      </c>
    </row>
    <row r="550" spans="2:30" x14ac:dyDescent="0.15">
      <c r="B550" s="213">
        <v>17031002252</v>
      </c>
      <c r="C550" s="213">
        <v>17031000643</v>
      </c>
      <c r="D550" s="213">
        <v>17031000602</v>
      </c>
      <c r="E550" s="213" t="s">
        <v>533</v>
      </c>
      <c r="F550" s="213" t="s">
        <v>534</v>
      </c>
      <c r="G550" s="213" t="s">
        <v>365</v>
      </c>
      <c r="H550" s="213" t="s">
        <v>557</v>
      </c>
      <c r="I550" s="213"/>
      <c r="J550" s="213" t="s">
        <v>535</v>
      </c>
      <c r="K550" s="213" t="s">
        <v>552</v>
      </c>
      <c r="L550" s="213" t="s">
        <v>543</v>
      </c>
      <c r="M550" s="213" t="s">
        <v>382</v>
      </c>
      <c r="N550" s="213"/>
      <c r="O550" s="213"/>
      <c r="P550" s="213"/>
      <c r="Q550" s="213"/>
      <c r="R550" s="213"/>
      <c r="S550" s="213" t="s">
        <v>570</v>
      </c>
      <c r="T550" s="213"/>
      <c r="U550" s="213" t="s">
        <v>538</v>
      </c>
      <c r="V550" s="213">
        <v>2</v>
      </c>
      <c r="W550" s="213" t="s">
        <v>545</v>
      </c>
      <c r="X550" s="213" t="s">
        <v>540</v>
      </c>
      <c r="Y550" s="213" t="s">
        <v>580</v>
      </c>
      <c r="Z550" s="212">
        <v>895754</v>
      </c>
      <c r="AA550" s="212">
        <v>51031686</v>
      </c>
      <c r="AB550" s="217">
        <v>1.069769</v>
      </c>
      <c r="AC550" s="217">
        <v>1.72163</v>
      </c>
      <c r="AD550" s="212">
        <f t="shared" si="8"/>
        <v>54592115.700534001</v>
      </c>
    </row>
    <row r="551" spans="2:30" x14ac:dyDescent="0.15">
      <c r="B551" s="213">
        <v>17031002256</v>
      </c>
      <c r="C551" s="213">
        <v>17031004660</v>
      </c>
      <c r="D551" s="213">
        <v>17031004661</v>
      </c>
      <c r="E551" s="213" t="s">
        <v>533</v>
      </c>
      <c r="F551" s="213" t="s">
        <v>534</v>
      </c>
      <c r="G551" s="213" t="s">
        <v>365</v>
      </c>
      <c r="H551" s="213" t="s">
        <v>381</v>
      </c>
      <c r="I551" s="213"/>
      <c r="J551" s="213" t="s">
        <v>542</v>
      </c>
      <c r="K551" s="213" t="s">
        <v>547</v>
      </c>
      <c r="L551" s="213" t="s">
        <v>382</v>
      </c>
      <c r="M551" s="213"/>
      <c r="N551" s="213"/>
      <c r="O551" s="213"/>
      <c r="P551" s="213"/>
      <c r="Q551" s="213"/>
      <c r="R551" s="213"/>
      <c r="S551" s="213" t="s">
        <v>579</v>
      </c>
      <c r="T551" s="213"/>
      <c r="U551" s="213" t="s">
        <v>538</v>
      </c>
      <c r="V551" s="213">
        <v>3</v>
      </c>
      <c r="W551" s="213" t="s">
        <v>545</v>
      </c>
      <c r="X551" s="213" t="s">
        <v>549</v>
      </c>
      <c r="Y551" s="213" t="s">
        <v>580</v>
      </c>
      <c r="Z551" s="212">
        <v>935347</v>
      </c>
      <c r="AA551" s="212">
        <v>44561269</v>
      </c>
      <c r="AB551" s="217">
        <v>0.97989599999999999</v>
      </c>
      <c r="AC551" s="217">
        <v>1.5769930000000001</v>
      </c>
      <c r="AD551" s="212">
        <f t="shared" si="8"/>
        <v>43665409.248024002</v>
      </c>
    </row>
    <row r="552" spans="2:30" x14ac:dyDescent="0.15">
      <c r="B552" s="213">
        <v>17031002259</v>
      </c>
      <c r="C552" s="213">
        <v>17031004647</v>
      </c>
      <c r="D552" s="213">
        <v>17999020593</v>
      </c>
      <c r="E552" s="213" t="s">
        <v>533</v>
      </c>
      <c r="F552" s="213" t="s">
        <v>534</v>
      </c>
      <c r="G552" s="213" t="s">
        <v>365</v>
      </c>
      <c r="H552" s="213" t="s">
        <v>382</v>
      </c>
      <c r="I552" s="213"/>
      <c r="J552" s="213" t="s">
        <v>547</v>
      </c>
      <c r="K552" s="213"/>
      <c r="L552" s="213"/>
      <c r="M552" s="213"/>
      <c r="N552" s="213"/>
      <c r="O552" s="213"/>
      <c r="P552" s="213"/>
      <c r="Q552" s="213"/>
      <c r="R552" s="213"/>
      <c r="S552" s="213" t="s">
        <v>583</v>
      </c>
      <c r="T552" s="213" t="s">
        <v>626</v>
      </c>
      <c r="U552" s="213" t="s">
        <v>538</v>
      </c>
      <c r="V552" s="213">
        <v>3</v>
      </c>
      <c r="W552" s="213" t="s">
        <v>545</v>
      </c>
      <c r="X552" s="213" t="s">
        <v>549</v>
      </c>
      <c r="Y552" s="213" t="s">
        <v>580</v>
      </c>
      <c r="Z552" s="212">
        <v>1359430</v>
      </c>
      <c r="AA552" s="212">
        <v>50225344</v>
      </c>
      <c r="AB552" s="217">
        <v>0.239374</v>
      </c>
      <c r="AC552" s="217">
        <v>0.38523600000000002</v>
      </c>
      <c r="AD552" s="212">
        <f t="shared" si="8"/>
        <v>12022641.494656</v>
      </c>
    </row>
    <row r="553" spans="2:30" x14ac:dyDescent="0.15">
      <c r="B553" s="213">
        <v>17031002290</v>
      </c>
      <c r="C553" s="213">
        <v>17031001067</v>
      </c>
      <c r="D553" s="213">
        <v>17031001058</v>
      </c>
      <c r="E553" s="213" t="s">
        <v>533</v>
      </c>
      <c r="F553" s="213" t="s">
        <v>534</v>
      </c>
      <c r="G553" s="213" t="s">
        <v>365</v>
      </c>
      <c r="H553" s="213" t="s">
        <v>547</v>
      </c>
      <c r="I553" s="213"/>
      <c r="J553" s="213"/>
      <c r="K553" s="213"/>
      <c r="L553" s="213"/>
      <c r="M553" s="213"/>
      <c r="N553" s="213"/>
      <c r="O553" s="213"/>
      <c r="P553" s="213"/>
      <c r="Q553" s="213"/>
      <c r="R553" s="213"/>
      <c r="S553" s="213"/>
      <c r="T553" s="213"/>
      <c r="U553" s="213" t="s">
        <v>538</v>
      </c>
      <c r="V553" s="213">
        <v>2</v>
      </c>
      <c r="W553" s="213" t="s">
        <v>545</v>
      </c>
      <c r="X553" s="213" t="s">
        <v>554</v>
      </c>
      <c r="Y553" s="213" t="s">
        <v>541</v>
      </c>
      <c r="Z553" s="212">
        <v>0</v>
      </c>
      <c r="AA553" s="212">
        <v>0</v>
      </c>
      <c r="AB553" s="217">
        <v>1.337412</v>
      </c>
      <c r="AC553" s="217">
        <v>2.152361</v>
      </c>
      <c r="AD553" s="212">
        <f t="shared" si="8"/>
        <v>0</v>
      </c>
    </row>
    <row r="554" spans="2:30" x14ac:dyDescent="0.15">
      <c r="B554" s="213">
        <v>17031002292</v>
      </c>
      <c r="C554" s="213">
        <v>17031007685</v>
      </c>
      <c r="D554" s="213">
        <v>17031001220</v>
      </c>
      <c r="E554" s="213" t="s">
        <v>533</v>
      </c>
      <c r="F554" s="213" t="s">
        <v>534</v>
      </c>
      <c r="G554" s="213" t="s">
        <v>365</v>
      </c>
      <c r="H554" s="213" t="s">
        <v>557</v>
      </c>
      <c r="I554" s="213"/>
      <c r="J554" s="213"/>
      <c r="K554" s="213"/>
      <c r="L554" s="213"/>
      <c r="M554" s="213"/>
      <c r="N554" s="213"/>
      <c r="O554" s="213"/>
      <c r="P554" s="213"/>
      <c r="Q554" s="213"/>
      <c r="R554" s="213"/>
      <c r="S554" s="213" t="s">
        <v>618</v>
      </c>
      <c r="T554" s="213"/>
      <c r="U554" s="213" t="s">
        <v>559</v>
      </c>
      <c r="V554" s="213">
        <v>1</v>
      </c>
      <c r="W554" s="213" t="s">
        <v>560</v>
      </c>
      <c r="X554" s="213" t="s">
        <v>541</v>
      </c>
      <c r="Y554" s="213" t="s">
        <v>541</v>
      </c>
      <c r="Z554" s="212">
        <v>0</v>
      </c>
      <c r="AA554" s="212">
        <v>0</v>
      </c>
      <c r="AB554" s="217">
        <v>4.2442739999999999</v>
      </c>
      <c r="AC554" s="217">
        <v>6.8305110000000004</v>
      </c>
      <c r="AD554" s="212">
        <f t="shared" si="8"/>
        <v>0</v>
      </c>
    </row>
    <row r="555" spans="2:30" x14ac:dyDescent="0.15">
      <c r="B555" s="213">
        <v>17031002301</v>
      </c>
      <c r="C555" s="213">
        <v>17031004712</v>
      </c>
      <c r="D555" s="213">
        <v>17031001419</v>
      </c>
      <c r="E555" s="213" t="s">
        <v>533</v>
      </c>
      <c r="F555" s="213" t="s">
        <v>534</v>
      </c>
      <c r="G555" s="213" t="s">
        <v>365</v>
      </c>
      <c r="H555" s="213" t="s">
        <v>551</v>
      </c>
      <c r="I555" s="213"/>
      <c r="J555" s="213"/>
      <c r="K555" s="213"/>
      <c r="L555" s="213"/>
      <c r="M555" s="213"/>
      <c r="N555" s="213"/>
      <c r="O555" s="213"/>
      <c r="P555" s="213"/>
      <c r="Q555" s="213"/>
      <c r="R555" s="213"/>
      <c r="S555" s="213" t="s">
        <v>628</v>
      </c>
      <c r="T555" s="213"/>
      <c r="U555" s="213" t="s">
        <v>538</v>
      </c>
      <c r="V555" s="213">
        <v>1</v>
      </c>
      <c r="W555" s="213" t="s">
        <v>539</v>
      </c>
      <c r="X555" s="213" t="s">
        <v>541</v>
      </c>
      <c r="Y555" s="213" t="s">
        <v>541</v>
      </c>
      <c r="Z555" s="212">
        <v>80</v>
      </c>
      <c r="AA555" s="212">
        <v>7200</v>
      </c>
      <c r="AB555" s="217">
        <v>1.501614</v>
      </c>
      <c r="AC555" s="217">
        <v>2.4166180000000002</v>
      </c>
      <c r="AD555" s="212">
        <f t="shared" si="8"/>
        <v>10811.620800000001</v>
      </c>
    </row>
    <row r="556" spans="2:30" x14ac:dyDescent="0.15">
      <c r="B556" s="213">
        <v>17031002306</v>
      </c>
      <c r="C556" s="213">
        <v>17031001077</v>
      </c>
      <c r="D556" s="213">
        <v>17031001108</v>
      </c>
      <c r="E556" s="213" t="s">
        <v>533</v>
      </c>
      <c r="F556" s="213" t="s">
        <v>534</v>
      </c>
      <c r="G556" s="213" t="s">
        <v>365</v>
      </c>
      <c r="H556" s="213" t="s">
        <v>577</v>
      </c>
      <c r="I556" s="213"/>
      <c r="J556" s="213"/>
      <c r="K556" s="213"/>
      <c r="L556" s="213"/>
      <c r="M556" s="213"/>
      <c r="N556" s="213"/>
      <c r="O556" s="213"/>
      <c r="P556" s="213"/>
      <c r="Q556" s="213"/>
      <c r="R556" s="213"/>
      <c r="S556" s="213"/>
      <c r="T556" s="213"/>
      <c r="U556" s="213" t="s">
        <v>538</v>
      </c>
      <c r="V556" s="213">
        <v>1</v>
      </c>
      <c r="W556" s="213" t="s">
        <v>560</v>
      </c>
      <c r="X556" s="213" t="s">
        <v>541</v>
      </c>
      <c r="Y556" s="213" t="s">
        <v>541</v>
      </c>
      <c r="Z556" s="212">
        <v>0</v>
      </c>
      <c r="AA556" s="212">
        <v>0</v>
      </c>
      <c r="AB556" s="217">
        <v>2.7798020000000001</v>
      </c>
      <c r="AC556" s="217">
        <v>4.4736669999999998</v>
      </c>
      <c r="AD556" s="212">
        <f t="shared" si="8"/>
        <v>0</v>
      </c>
    </row>
    <row r="557" spans="2:30" x14ac:dyDescent="0.15">
      <c r="B557" s="213">
        <v>17031002308</v>
      </c>
      <c r="C557" s="213">
        <v>17031001303</v>
      </c>
      <c r="D557" s="213">
        <v>17031001311</v>
      </c>
      <c r="E557" s="213" t="s">
        <v>533</v>
      </c>
      <c r="F557" s="213" t="s">
        <v>534</v>
      </c>
      <c r="G557" s="213" t="s">
        <v>365</v>
      </c>
      <c r="H557" s="213" t="s">
        <v>557</v>
      </c>
      <c r="I557" s="213"/>
      <c r="J557" s="213" t="s">
        <v>381</v>
      </c>
      <c r="K557" s="213" t="s">
        <v>535</v>
      </c>
      <c r="L557" s="213" t="s">
        <v>552</v>
      </c>
      <c r="M557" s="213" t="s">
        <v>382</v>
      </c>
      <c r="N557" s="213"/>
      <c r="O557" s="213"/>
      <c r="P557" s="213"/>
      <c r="Q557" s="213"/>
      <c r="R557" s="213"/>
      <c r="S557" s="213"/>
      <c r="T557" s="213"/>
      <c r="U557" s="213" t="s">
        <v>538</v>
      </c>
      <c r="V557" s="213">
        <v>2</v>
      </c>
      <c r="W557" s="213" t="s">
        <v>545</v>
      </c>
      <c r="X557" s="213" t="s">
        <v>554</v>
      </c>
      <c r="Y557" s="213" t="s">
        <v>549</v>
      </c>
      <c r="Z557" s="212">
        <v>185141</v>
      </c>
      <c r="AA557" s="212">
        <v>15605865</v>
      </c>
      <c r="AB557" s="217">
        <v>9.7479999999999997E-2</v>
      </c>
      <c r="AC557" s="217">
        <v>0.15687999999999999</v>
      </c>
      <c r="AD557" s="212">
        <f t="shared" si="8"/>
        <v>1521259.7201999999</v>
      </c>
    </row>
    <row r="558" spans="2:30" x14ac:dyDescent="0.15">
      <c r="B558" s="213">
        <v>17031002332</v>
      </c>
      <c r="C558" s="213">
        <v>17031001476</v>
      </c>
      <c r="D558" s="213">
        <v>17031001443</v>
      </c>
      <c r="E558" s="213" t="s">
        <v>533</v>
      </c>
      <c r="F558" s="213" t="s">
        <v>534</v>
      </c>
      <c r="G558" s="213" t="s">
        <v>365</v>
      </c>
      <c r="H558" s="213" t="s">
        <v>382</v>
      </c>
      <c r="I558" s="213"/>
      <c r="J558" s="213" t="s">
        <v>551</v>
      </c>
      <c r="K558" s="213" t="s">
        <v>555</v>
      </c>
      <c r="L558" s="213" t="s">
        <v>552</v>
      </c>
      <c r="M558" s="213"/>
      <c r="N558" s="213"/>
      <c r="O558" s="213"/>
      <c r="P558" s="213"/>
      <c r="Q558" s="213"/>
      <c r="R558" s="213"/>
      <c r="S558" s="213" t="s">
        <v>556</v>
      </c>
      <c r="T558" s="213"/>
      <c r="U558" s="213" t="s">
        <v>538</v>
      </c>
      <c r="V558" s="213">
        <v>2</v>
      </c>
      <c r="W558" s="213" t="s">
        <v>545</v>
      </c>
      <c r="X558" s="213" t="s">
        <v>540</v>
      </c>
      <c r="Y558" s="213" t="s">
        <v>580</v>
      </c>
      <c r="Z558" s="212">
        <v>693994</v>
      </c>
      <c r="AA558" s="212">
        <v>29546664</v>
      </c>
      <c r="AB558" s="217">
        <v>2.5910709999999999</v>
      </c>
      <c r="AC558" s="217">
        <v>4.1699330000000003</v>
      </c>
      <c r="AD558" s="212">
        <f t="shared" si="8"/>
        <v>76557504.237143993</v>
      </c>
    </row>
    <row r="559" spans="2:30" x14ac:dyDescent="0.15">
      <c r="B559" s="213">
        <v>17031002336</v>
      </c>
      <c r="C559" s="213">
        <v>17031000448</v>
      </c>
      <c r="D559" s="213">
        <v>17031000433</v>
      </c>
      <c r="E559" s="213" t="s">
        <v>533</v>
      </c>
      <c r="F559" s="213" t="s">
        <v>534</v>
      </c>
      <c r="G559" s="213" t="s">
        <v>365</v>
      </c>
      <c r="H559" s="213" t="s">
        <v>382</v>
      </c>
      <c r="I559" s="213"/>
      <c r="J559" s="213"/>
      <c r="K559" s="213"/>
      <c r="L559" s="213"/>
      <c r="M559" s="213"/>
      <c r="N559" s="213"/>
      <c r="O559" s="213"/>
      <c r="P559" s="213"/>
      <c r="Q559" s="213"/>
      <c r="R559" s="213"/>
      <c r="S559" s="213" t="s">
        <v>586</v>
      </c>
      <c r="T559" s="213"/>
      <c r="U559" s="213" t="s">
        <v>538</v>
      </c>
      <c r="V559" s="213">
        <v>2</v>
      </c>
      <c r="W559" s="213" t="s">
        <v>582</v>
      </c>
      <c r="X559" s="213" t="s">
        <v>540</v>
      </c>
      <c r="Y559" s="213" t="s">
        <v>549</v>
      </c>
      <c r="Z559" s="212">
        <v>86234</v>
      </c>
      <c r="AA559" s="212">
        <v>9510170</v>
      </c>
      <c r="AB559" s="217">
        <v>0.392814</v>
      </c>
      <c r="AC559" s="217">
        <v>0.63217500000000004</v>
      </c>
      <c r="AD559" s="212">
        <f t="shared" si="8"/>
        <v>3735727.9183800002</v>
      </c>
    </row>
    <row r="560" spans="2:30" x14ac:dyDescent="0.15">
      <c r="B560" s="213">
        <v>17031002337</v>
      </c>
      <c r="C560" s="213">
        <v>17031000525</v>
      </c>
      <c r="D560" s="213">
        <v>17031000514</v>
      </c>
      <c r="E560" s="213" t="s">
        <v>533</v>
      </c>
      <c r="F560" s="213" t="s">
        <v>534</v>
      </c>
      <c r="G560" s="213" t="s">
        <v>365</v>
      </c>
      <c r="H560" s="213" t="s">
        <v>382</v>
      </c>
      <c r="I560" s="213"/>
      <c r="J560" s="213"/>
      <c r="K560" s="213"/>
      <c r="L560" s="213"/>
      <c r="M560" s="213"/>
      <c r="N560" s="213"/>
      <c r="O560" s="213"/>
      <c r="P560" s="213"/>
      <c r="Q560" s="213"/>
      <c r="R560" s="213"/>
      <c r="S560" s="213"/>
      <c r="T560" s="213" t="s">
        <v>626</v>
      </c>
      <c r="U560" s="213" t="s">
        <v>559</v>
      </c>
      <c r="V560" s="213">
        <v>1</v>
      </c>
      <c r="W560" s="213" t="s">
        <v>539</v>
      </c>
      <c r="X560" s="213" t="s">
        <v>541</v>
      </c>
      <c r="Y560" s="213" t="s">
        <v>541</v>
      </c>
      <c r="Z560" s="212">
        <v>0</v>
      </c>
      <c r="AA560" s="212">
        <v>0</v>
      </c>
      <c r="AB560" s="217">
        <v>0.31473899999999999</v>
      </c>
      <c r="AC560" s="217">
        <v>0.506525</v>
      </c>
      <c r="AD560" s="212">
        <f t="shared" si="8"/>
        <v>0</v>
      </c>
    </row>
    <row r="561" spans="2:30" x14ac:dyDescent="0.15">
      <c r="B561" s="213">
        <v>17031002339</v>
      </c>
      <c r="C561" s="213">
        <v>17031001560</v>
      </c>
      <c r="D561" s="213">
        <v>17031001559</v>
      </c>
      <c r="E561" s="213" t="s">
        <v>533</v>
      </c>
      <c r="F561" s="213" t="s">
        <v>534</v>
      </c>
      <c r="G561" s="213" t="s">
        <v>365</v>
      </c>
      <c r="H561" s="213" t="s">
        <v>535</v>
      </c>
      <c r="I561" s="213"/>
      <c r="J561" s="213" t="s">
        <v>382</v>
      </c>
      <c r="K561" s="213" t="s">
        <v>536</v>
      </c>
      <c r="L561" s="213"/>
      <c r="M561" s="213"/>
      <c r="N561" s="213"/>
      <c r="O561" s="213"/>
      <c r="P561" s="213"/>
      <c r="Q561" s="213"/>
      <c r="R561" s="213"/>
      <c r="S561" s="213" t="s">
        <v>537</v>
      </c>
      <c r="T561" s="213"/>
      <c r="U561" s="213" t="s">
        <v>538</v>
      </c>
      <c r="V561" s="213">
        <v>2</v>
      </c>
      <c r="W561" s="213" t="s">
        <v>582</v>
      </c>
      <c r="X561" s="213" t="s">
        <v>549</v>
      </c>
      <c r="Y561" s="213" t="s">
        <v>540</v>
      </c>
      <c r="Z561" s="212">
        <v>1960</v>
      </c>
      <c r="AA561" s="212">
        <v>166000</v>
      </c>
      <c r="AB561" s="217">
        <v>0.43037999999999998</v>
      </c>
      <c r="AC561" s="217">
        <v>0.692631</v>
      </c>
      <c r="AD561" s="212">
        <f t="shared" si="8"/>
        <v>71443.08</v>
      </c>
    </row>
    <row r="562" spans="2:30" x14ac:dyDescent="0.15">
      <c r="B562" s="213">
        <v>17031002355</v>
      </c>
      <c r="C562" s="213">
        <v>17031001414</v>
      </c>
      <c r="D562" s="213">
        <v>17031001411</v>
      </c>
      <c r="E562" s="213" t="s">
        <v>533</v>
      </c>
      <c r="F562" s="213" t="s">
        <v>534</v>
      </c>
      <c r="G562" s="213" t="s">
        <v>365</v>
      </c>
      <c r="H562" s="213" t="s">
        <v>551</v>
      </c>
      <c r="I562" s="213" t="s">
        <v>535</v>
      </c>
      <c r="J562" s="213" t="s">
        <v>381</v>
      </c>
      <c r="K562" s="213" t="s">
        <v>552</v>
      </c>
      <c r="L562" s="213"/>
      <c r="M562" s="213"/>
      <c r="N562" s="213"/>
      <c r="O562" s="213"/>
      <c r="P562" s="213"/>
      <c r="Q562" s="213"/>
      <c r="R562" s="213"/>
      <c r="S562" s="213" t="s">
        <v>553</v>
      </c>
      <c r="T562" s="213"/>
      <c r="U562" s="213" t="s">
        <v>538</v>
      </c>
      <c r="V562" s="213">
        <v>2</v>
      </c>
      <c r="W562" s="213" t="s">
        <v>545</v>
      </c>
      <c r="X562" s="213" t="s">
        <v>549</v>
      </c>
      <c r="Y562" s="213" t="s">
        <v>540</v>
      </c>
      <c r="Z562" s="212">
        <v>353212</v>
      </c>
      <c r="AA562" s="212">
        <v>16484300</v>
      </c>
      <c r="AB562" s="217">
        <v>0.51096699999999995</v>
      </c>
      <c r="AC562" s="217">
        <v>0.82232300000000003</v>
      </c>
      <c r="AD562" s="212">
        <f t="shared" si="8"/>
        <v>8422933.3180999998</v>
      </c>
    </row>
    <row r="563" spans="2:30" x14ac:dyDescent="0.15">
      <c r="B563" s="213">
        <v>17031002356</v>
      </c>
      <c r="C563" s="213">
        <v>17031001362</v>
      </c>
      <c r="D563" s="213">
        <v>17031001359</v>
      </c>
      <c r="E563" s="213" t="s">
        <v>533</v>
      </c>
      <c r="F563" s="213" t="s">
        <v>534</v>
      </c>
      <c r="G563" s="213" t="s">
        <v>365</v>
      </c>
      <c r="H563" s="213" t="s">
        <v>557</v>
      </c>
      <c r="I563" s="213"/>
      <c r="J563" s="213" t="s">
        <v>569</v>
      </c>
      <c r="K563" s="213" t="s">
        <v>535</v>
      </c>
      <c r="L563" s="213" t="s">
        <v>551</v>
      </c>
      <c r="M563" s="213" t="s">
        <v>543</v>
      </c>
      <c r="N563" s="213" t="s">
        <v>382</v>
      </c>
      <c r="O563" s="213" t="s">
        <v>552</v>
      </c>
      <c r="P563" s="213"/>
      <c r="Q563" s="213"/>
      <c r="R563" s="213"/>
      <c r="S563" s="213" t="s">
        <v>570</v>
      </c>
      <c r="T563" s="213"/>
      <c r="U563" s="213" t="s">
        <v>538</v>
      </c>
      <c r="V563" s="213">
        <v>2</v>
      </c>
      <c r="W563" s="213" t="s">
        <v>545</v>
      </c>
      <c r="X563" s="213" t="s">
        <v>554</v>
      </c>
      <c r="Y563" s="213" t="s">
        <v>540</v>
      </c>
      <c r="Z563" s="212">
        <v>75096</v>
      </c>
      <c r="AA563" s="212">
        <v>6805045</v>
      </c>
      <c r="AB563" s="217">
        <v>0.184365</v>
      </c>
      <c r="AC563" s="217">
        <v>0.296707</v>
      </c>
      <c r="AD563" s="212">
        <f t="shared" si="8"/>
        <v>1254612.121425</v>
      </c>
    </row>
    <row r="564" spans="2:30" x14ac:dyDescent="0.15">
      <c r="B564" s="213">
        <v>17031002374</v>
      </c>
      <c r="C564" s="213">
        <v>17031001428</v>
      </c>
      <c r="D564" s="213">
        <v>17031001432</v>
      </c>
      <c r="E564" s="213" t="s">
        <v>533</v>
      </c>
      <c r="F564" s="213" t="s">
        <v>534</v>
      </c>
      <c r="G564" s="213" t="s">
        <v>365</v>
      </c>
      <c r="H564" s="213" t="s">
        <v>551</v>
      </c>
      <c r="I564" s="213" t="s">
        <v>535</v>
      </c>
      <c r="J564" s="213"/>
      <c r="K564" s="213"/>
      <c r="L564" s="213"/>
      <c r="M564" s="213"/>
      <c r="N564" s="213"/>
      <c r="O564" s="213"/>
      <c r="P564" s="213"/>
      <c r="Q564" s="213"/>
      <c r="R564" s="213"/>
      <c r="S564" s="213" t="s">
        <v>553</v>
      </c>
      <c r="T564" s="213"/>
      <c r="U564" s="213" t="s">
        <v>538</v>
      </c>
      <c r="V564" s="213">
        <v>2</v>
      </c>
      <c r="W564" s="213" t="s">
        <v>545</v>
      </c>
      <c r="X564" s="213" t="s">
        <v>540</v>
      </c>
      <c r="Y564" s="213" t="s">
        <v>546</v>
      </c>
      <c r="Z564" s="212">
        <v>403411</v>
      </c>
      <c r="AA564" s="212">
        <v>22987305</v>
      </c>
      <c r="AB564" s="217">
        <v>0.28462799999999999</v>
      </c>
      <c r="AC564" s="217">
        <v>0.458065</v>
      </c>
      <c r="AD564" s="212">
        <f t="shared" si="8"/>
        <v>6542830.6475400003</v>
      </c>
    </row>
    <row r="565" spans="2:30" x14ac:dyDescent="0.15">
      <c r="B565" s="213">
        <v>17031002375</v>
      </c>
      <c r="C565" s="213">
        <v>17031001077</v>
      </c>
      <c r="D565" s="213">
        <v>17031001078</v>
      </c>
      <c r="E565" s="213" t="s">
        <v>533</v>
      </c>
      <c r="F565" s="213" t="s">
        <v>534</v>
      </c>
      <c r="G565" s="213" t="s">
        <v>365</v>
      </c>
      <c r="H565" s="213" t="s">
        <v>577</v>
      </c>
      <c r="I565" s="213"/>
      <c r="J565" s="213"/>
      <c r="K565" s="213"/>
      <c r="L565" s="213"/>
      <c r="M565" s="213"/>
      <c r="N565" s="213"/>
      <c r="O565" s="213"/>
      <c r="P565" s="213"/>
      <c r="Q565" s="213"/>
      <c r="R565" s="213"/>
      <c r="S565" s="213"/>
      <c r="T565" s="213"/>
      <c r="U565" s="213" t="s">
        <v>538</v>
      </c>
      <c r="V565" s="213">
        <v>1</v>
      </c>
      <c r="W565" s="213" t="s">
        <v>560</v>
      </c>
      <c r="X565" s="213" t="s">
        <v>541</v>
      </c>
      <c r="Y565" s="213" t="s">
        <v>541</v>
      </c>
      <c r="Z565" s="212">
        <v>0</v>
      </c>
      <c r="AA565" s="212">
        <v>0</v>
      </c>
      <c r="AB565" s="217">
        <v>0.29178100000000001</v>
      </c>
      <c r="AC565" s="217">
        <v>0.46957700000000002</v>
      </c>
      <c r="AD565" s="212">
        <f t="shared" si="8"/>
        <v>0</v>
      </c>
    </row>
    <row r="566" spans="2:30" x14ac:dyDescent="0.15">
      <c r="B566" s="213">
        <v>17031002412</v>
      </c>
      <c r="C566" s="213">
        <v>17031004785</v>
      </c>
      <c r="D566" s="213">
        <v>17031001236</v>
      </c>
      <c r="E566" s="213" t="s">
        <v>533</v>
      </c>
      <c r="F566" s="213" t="s">
        <v>534</v>
      </c>
      <c r="G566" s="213" t="s">
        <v>365</v>
      </c>
      <c r="H566" s="213" t="s">
        <v>535</v>
      </c>
      <c r="I566" s="213"/>
      <c r="J566" s="213" t="s">
        <v>542</v>
      </c>
      <c r="K566" s="213" t="s">
        <v>572</v>
      </c>
      <c r="L566" s="213" t="s">
        <v>547</v>
      </c>
      <c r="M566" s="213" t="s">
        <v>382</v>
      </c>
      <c r="N566" s="213"/>
      <c r="O566" s="213"/>
      <c r="P566" s="213"/>
      <c r="Q566" s="213"/>
      <c r="R566" s="213"/>
      <c r="S566" s="213" t="s">
        <v>601</v>
      </c>
      <c r="T566" s="213"/>
      <c r="U566" s="213" t="s">
        <v>538</v>
      </c>
      <c r="V566" s="213">
        <v>2</v>
      </c>
      <c r="W566" s="213" t="s">
        <v>545</v>
      </c>
      <c r="X566" s="213" t="s">
        <v>549</v>
      </c>
      <c r="Y566" s="213" t="s">
        <v>540</v>
      </c>
      <c r="Z566" s="212">
        <v>162841</v>
      </c>
      <c r="AA566" s="212">
        <v>7322355</v>
      </c>
      <c r="AB566" s="217">
        <v>1.0573729999999999</v>
      </c>
      <c r="AC566" s="217">
        <v>1.701681</v>
      </c>
      <c r="AD566" s="212">
        <f t="shared" si="8"/>
        <v>7742460.4734149994</v>
      </c>
    </row>
    <row r="567" spans="2:30" x14ac:dyDescent="0.15">
      <c r="B567" s="213">
        <v>17031002480</v>
      </c>
      <c r="C567" s="213">
        <v>17031000526</v>
      </c>
      <c r="D567" s="213">
        <v>17031000534</v>
      </c>
      <c r="E567" s="213" t="s">
        <v>533</v>
      </c>
      <c r="F567" s="213" t="s">
        <v>534</v>
      </c>
      <c r="G567" s="213" t="s">
        <v>365</v>
      </c>
      <c r="H567" s="213" t="s">
        <v>382</v>
      </c>
      <c r="I567" s="213"/>
      <c r="J567" s="213" t="s">
        <v>535</v>
      </c>
      <c r="K567" s="213" t="s">
        <v>552</v>
      </c>
      <c r="L567" s="213" t="s">
        <v>557</v>
      </c>
      <c r="M567" s="213" t="s">
        <v>543</v>
      </c>
      <c r="N567" s="213"/>
      <c r="O567" s="213"/>
      <c r="P567" s="213"/>
      <c r="Q567" s="213"/>
      <c r="R567" s="213"/>
      <c r="S567" s="213" t="s">
        <v>650</v>
      </c>
      <c r="T567" s="213"/>
      <c r="U567" s="213" t="s">
        <v>559</v>
      </c>
      <c r="V567" s="213">
        <v>1</v>
      </c>
      <c r="W567" s="213" t="s">
        <v>539</v>
      </c>
      <c r="X567" s="213" t="s">
        <v>541</v>
      </c>
      <c r="Y567" s="213" t="s">
        <v>541</v>
      </c>
      <c r="Z567" s="212">
        <v>140</v>
      </c>
      <c r="AA567" s="212">
        <v>8040</v>
      </c>
      <c r="AB567" s="217">
        <v>0.32542399999999999</v>
      </c>
      <c r="AC567" s="217">
        <v>0.52372099999999999</v>
      </c>
      <c r="AD567" s="212">
        <f t="shared" si="8"/>
        <v>2616.4089599999998</v>
      </c>
    </row>
    <row r="568" spans="2:30" x14ac:dyDescent="0.15">
      <c r="B568" s="213">
        <v>17031002586</v>
      </c>
      <c r="C568" s="213">
        <v>17031000956</v>
      </c>
      <c r="D568" s="213">
        <v>17031000966</v>
      </c>
      <c r="E568" s="213" t="s">
        <v>533</v>
      </c>
      <c r="F568" s="213" t="s">
        <v>534</v>
      </c>
      <c r="G568" s="213" t="s">
        <v>365</v>
      </c>
      <c r="H568" s="213" t="s">
        <v>571</v>
      </c>
      <c r="I568" s="213"/>
      <c r="J568" s="213" t="s">
        <v>381</v>
      </c>
      <c r="K568" s="213" t="s">
        <v>535</v>
      </c>
      <c r="L568" s="213" t="s">
        <v>552</v>
      </c>
      <c r="M568" s="213" t="s">
        <v>572</v>
      </c>
      <c r="N568" s="213" t="s">
        <v>551</v>
      </c>
      <c r="O568" s="213" t="s">
        <v>555</v>
      </c>
      <c r="P568" s="213" t="s">
        <v>543</v>
      </c>
      <c r="Q568" s="213" t="s">
        <v>382</v>
      </c>
      <c r="R568" s="213" t="s">
        <v>563</v>
      </c>
      <c r="S568" s="213" t="s">
        <v>605</v>
      </c>
      <c r="T568" s="213" t="s">
        <v>574</v>
      </c>
      <c r="U568" s="213" t="s">
        <v>538</v>
      </c>
      <c r="V568" s="213">
        <v>2</v>
      </c>
      <c r="W568" s="213" t="s">
        <v>545</v>
      </c>
      <c r="X568" s="213" t="s">
        <v>554</v>
      </c>
      <c r="Y568" s="213" t="s">
        <v>575</v>
      </c>
      <c r="Z568" s="212">
        <v>268203</v>
      </c>
      <c r="AA568" s="212">
        <v>14969329</v>
      </c>
      <c r="AB568" s="217">
        <v>0.39874799999999999</v>
      </c>
      <c r="AC568" s="217">
        <v>0.64172300000000004</v>
      </c>
      <c r="AD568" s="212">
        <f t="shared" si="8"/>
        <v>5968990.0000919998</v>
      </c>
    </row>
    <row r="569" spans="2:30" x14ac:dyDescent="0.15">
      <c r="B569" s="213">
        <v>17031002598</v>
      </c>
      <c r="C569" s="213">
        <v>17999023625</v>
      </c>
      <c r="D569" s="213">
        <v>17031004692</v>
      </c>
      <c r="E569" s="213" t="s">
        <v>533</v>
      </c>
      <c r="F569" s="213" t="s">
        <v>534</v>
      </c>
      <c r="G569" s="213" t="s">
        <v>365</v>
      </c>
      <c r="H569" s="213" t="s">
        <v>547</v>
      </c>
      <c r="I569" s="213"/>
      <c r="J569" s="213" t="s">
        <v>577</v>
      </c>
      <c r="K569" s="213" t="s">
        <v>551</v>
      </c>
      <c r="L569" s="213" t="s">
        <v>615</v>
      </c>
      <c r="M569" s="213"/>
      <c r="N569" s="213"/>
      <c r="O569" s="213"/>
      <c r="P569" s="213"/>
      <c r="Q569" s="213"/>
      <c r="R569" s="213"/>
      <c r="S569" s="213" t="s">
        <v>581</v>
      </c>
      <c r="T569" s="213"/>
      <c r="U569" s="213" t="s">
        <v>538</v>
      </c>
      <c r="V569" s="213">
        <v>2</v>
      </c>
      <c r="W569" s="213" t="s">
        <v>582</v>
      </c>
      <c r="X569" s="213" t="s">
        <v>540</v>
      </c>
      <c r="Y569" s="213" t="s">
        <v>540</v>
      </c>
      <c r="Z569" s="212">
        <v>34796</v>
      </c>
      <c r="AA569" s="212">
        <v>3311897</v>
      </c>
      <c r="AB569" s="217">
        <v>0.85563199999999995</v>
      </c>
      <c r="AC569" s="217">
        <v>1.377008</v>
      </c>
      <c r="AD569" s="212">
        <f t="shared" si="8"/>
        <v>2833765.0539039997</v>
      </c>
    </row>
    <row r="570" spans="2:30" x14ac:dyDescent="0.15">
      <c r="B570" s="213">
        <v>17031002601</v>
      </c>
      <c r="C570" s="213">
        <v>17031001416</v>
      </c>
      <c r="D570" s="213">
        <v>17031001414</v>
      </c>
      <c r="E570" s="213" t="s">
        <v>533</v>
      </c>
      <c r="F570" s="213" t="s">
        <v>534</v>
      </c>
      <c r="G570" s="213" t="s">
        <v>365</v>
      </c>
      <c r="H570" s="213" t="s">
        <v>551</v>
      </c>
      <c r="I570" s="213" t="s">
        <v>535</v>
      </c>
      <c r="J570" s="213" t="s">
        <v>555</v>
      </c>
      <c r="K570" s="213"/>
      <c r="L570" s="213"/>
      <c r="M570" s="213"/>
      <c r="N570" s="213"/>
      <c r="O570" s="213"/>
      <c r="P570" s="213"/>
      <c r="Q570" s="213"/>
      <c r="R570" s="213"/>
      <c r="S570" s="213" t="s">
        <v>553</v>
      </c>
      <c r="T570" s="213"/>
      <c r="U570" s="213" t="s">
        <v>538</v>
      </c>
      <c r="V570" s="213">
        <v>2</v>
      </c>
      <c r="W570" s="213" t="s">
        <v>545</v>
      </c>
      <c r="X570" s="213" t="s">
        <v>549</v>
      </c>
      <c r="Y570" s="213" t="s">
        <v>540</v>
      </c>
      <c r="Z570" s="212">
        <v>353012</v>
      </c>
      <c r="AA570" s="212">
        <v>16472460</v>
      </c>
      <c r="AB570" s="217">
        <v>0.215278</v>
      </c>
      <c r="AC570" s="217">
        <v>0.34645799999999999</v>
      </c>
      <c r="AD570" s="212">
        <f t="shared" si="8"/>
        <v>3546158.24388</v>
      </c>
    </row>
    <row r="571" spans="2:30" x14ac:dyDescent="0.15">
      <c r="B571" s="213">
        <v>17031002602</v>
      </c>
      <c r="C571" s="213">
        <v>17031001416</v>
      </c>
      <c r="D571" s="213">
        <v>17031004509</v>
      </c>
      <c r="E571" s="213" t="s">
        <v>533</v>
      </c>
      <c r="F571" s="213" t="s">
        <v>534</v>
      </c>
      <c r="G571" s="213" t="s">
        <v>365</v>
      </c>
      <c r="H571" s="213" t="s">
        <v>551</v>
      </c>
      <c r="I571" s="213" t="s">
        <v>535</v>
      </c>
      <c r="J571" s="213" t="s">
        <v>552</v>
      </c>
      <c r="K571" s="213" t="s">
        <v>555</v>
      </c>
      <c r="L571" s="213"/>
      <c r="M571" s="213"/>
      <c r="N571" s="213"/>
      <c r="O571" s="213"/>
      <c r="P571" s="213"/>
      <c r="Q571" s="213"/>
      <c r="R571" s="213"/>
      <c r="S571" s="213" t="s">
        <v>553</v>
      </c>
      <c r="T571" s="213"/>
      <c r="U571" s="213" t="s">
        <v>538</v>
      </c>
      <c r="V571" s="213">
        <v>2</v>
      </c>
      <c r="W571" s="213" t="s">
        <v>545</v>
      </c>
      <c r="X571" s="213" t="s">
        <v>549</v>
      </c>
      <c r="Y571" s="213" t="s">
        <v>540</v>
      </c>
      <c r="Z571" s="212">
        <v>353012</v>
      </c>
      <c r="AA571" s="212">
        <v>16472460</v>
      </c>
      <c r="AB571" s="217">
        <v>0.434892</v>
      </c>
      <c r="AC571" s="217">
        <v>0.69989299999999999</v>
      </c>
      <c r="AD571" s="212">
        <f t="shared" si="8"/>
        <v>7163741.0743199997</v>
      </c>
    </row>
    <row r="572" spans="2:30" x14ac:dyDescent="0.15">
      <c r="B572" s="213">
        <v>17031002605</v>
      </c>
      <c r="C572" s="213">
        <v>17031001442</v>
      </c>
      <c r="D572" s="213">
        <v>17031004683</v>
      </c>
      <c r="E572" s="213" t="s">
        <v>533</v>
      </c>
      <c r="F572" s="213" t="s">
        <v>534</v>
      </c>
      <c r="G572" s="213" t="s">
        <v>365</v>
      </c>
      <c r="H572" s="213" t="s">
        <v>547</v>
      </c>
      <c r="I572" s="213"/>
      <c r="J572" s="213" t="s">
        <v>543</v>
      </c>
      <c r="K572" s="213"/>
      <c r="L572" s="213"/>
      <c r="M572" s="213"/>
      <c r="N572" s="213"/>
      <c r="O572" s="213"/>
      <c r="P572" s="213"/>
      <c r="Q572" s="213"/>
      <c r="R572" s="213"/>
      <c r="S572" s="213" t="s">
        <v>602</v>
      </c>
      <c r="T572" s="213"/>
      <c r="U572" s="213" t="s">
        <v>538</v>
      </c>
      <c r="V572" s="213">
        <v>1</v>
      </c>
      <c r="W572" s="213" t="s">
        <v>582</v>
      </c>
      <c r="X572" s="213" t="s">
        <v>540</v>
      </c>
      <c r="Y572" s="213" t="s">
        <v>541</v>
      </c>
      <c r="Z572" s="212">
        <v>520</v>
      </c>
      <c r="AA572" s="212">
        <v>37800</v>
      </c>
      <c r="AB572" s="217">
        <v>3.6024340000000001</v>
      </c>
      <c r="AC572" s="217">
        <v>5.7975659999999998</v>
      </c>
      <c r="AD572" s="212">
        <f t="shared" si="8"/>
        <v>136172.00520000001</v>
      </c>
    </row>
    <row r="573" spans="2:30" x14ac:dyDescent="0.15">
      <c r="B573" s="213">
        <v>17031002606</v>
      </c>
      <c r="C573" s="213">
        <v>17031007670</v>
      </c>
      <c r="D573" s="213">
        <v>17031004685</v>
      </c>
      <c r="E573" s="213" t="s">
        <v>533</v>
      </c>
      <c r="F573" s="213" t="s">
        <v>534</v>
      </c>
      <c r="G573" s="213" t="s">
        <v>365</v>
      </c>
      <c r="H573" s="213" t="s">
        <v>547</v>
      </c>
      <c r="I573" s="213"/>
      <c r="J573" s="213" t="s">
        <v>543</v>
      </c>
      <c r="K573" s="213"/>
      <c r="L573" s="213"/>
      <c r="M573" s="213"/>
      <c r="N573" s="213"/>
      <c r="O573" s="213"/>
      <c r="P573" s="213"/>
      <c r="Q573" s="213"/>
      <c r="R573" s="213"/>
      <c r="S573" s="213" t="s">
        <v>602</v>
      </c>
      <c r="T573" s="213"/>
      <c r="U573" s="213" t="s">
        <v>538</v>
      </c>
      <c r="V573" s="213">
        <v>2</v>
      </c>
      <c r="W573" s="213" t="s">
        <v>582</v>
      </c>
      <c r="X573" s="213" t="s">
        <v>540</v>
      </c>
      <c r="Y573" s="213" t="s">
        <v>541</v>
      </c>
      <c r="Z573" s="212">
        <v>520</v>
      </c>
      <c r="AA573" s="212">
        <v>37800</v>
      </c>
      <c r="AB573" s="217">
        <v>2.8615599999999999</v>
      </c>
      <c r="AC573" s="217">
        <v>4.6052439999999999</v>
      </c>
      <c r="AD573" s="212">
        <f t="shared" si="8"/>
        <v>108166.96799999999</v>
      </c>
    </row>
    <row r="574" spans="2:30" x14ac:dyDescent="0.15">
      <c r="B574" s="213">
        <v>17031002608</v>
      </c>
      <c r="C574" s="213">
        <v>17031001333</v>
      </c>
      <c r="D574" s="213">
        <v>17031001293</v>
      </c>
      <c r="E574" s="213" t="s">
        <v>533</v>
      </c>
      <c r="F574" s="213" t="s">
        <v>534</v>
      </c>
      <c r="G574" s="213" t="s">
        <v>365</v>
      </c>
      <c r="H574" s="213" t="s">
        <v>547</v>
      </c>
      <c r="I574" s="213"/>
      <c r="J574" s="213" t="s">
        <v>577</v>
      </c>
      <c r="K574" s="213" t="s">
        <v>615</v>
      </c>
      <c r="L574" s="213"/>
      <c r="M574" s="213"/>
      <c r="N574" s="213"/>
      <c r="O574" s="213"/>
      <c r="P574" s="213"/>
      <c r="Q574" s="213"/>
      <c r="R574" s="213"/>
      <c r="S574" s="213" t="s">
        <v>581</v>
      </c>
      <c r="T574" s="213"/>
      <c r="U574" s="213" t="s">
        <v>538</v>
      </c>
      <c r="V574" s="213">
        <v>2</v>
      </c>
      <c r="W574" s="213" t="s">
        <v>582</v>
      </c>
      <c r="X574" s="213" t="s">
        <v>540</v>
      </c>
      <c r="Y574" s="213" t="s">
        <v>541</v>
      </c>
      <c r="Z574" s="212">
        <v>0</v>
      </c>
      <c r="AA574" s="212">
        <v>0</v>
      </c>
      <c r="AB574" s="217">
        <v>1.007585</v>
      </c>
      <c r="AC574" s="217">
        <v>1.6215550000000001</v>
      </c>
      <c r="AD574" s="212">
        <f t="shared" si="8"/>
        <v>0</v>
      </c>
    </row>
    <row r="575" spans="2:30" x14ac:dyDescent="0.15">
      <c r="B575" s="213">
        <v>17031002614</v>
      </c>
      <c r="C575" s="213">
        <v>17031004689</v>
      </c>
      <c r="D575" s="213">
        <v>17031001057</v>
      </c>
      <c r="E575" s="213" t="s">
        <v>533</v>
      </c>
      <c r="F575" s="213" t="s">
        <v>534</v>
      </c>
      <c r="G575" s="213" t="s">
        <v>365</v>
      </c>
      <c r="H575" s="213" t="s">
        <v>547</v>
      </c>
      <c r="I575" s="213"/>
      <c r="J575" s="213" t="s">
        <v>543</v>
      </c>
      <c r="K575" s="213"/>
      <c r="L575" s="213"/>
      <c r="M575" s="213"/>
      <c r="N575" s="213"/>
      <c r="O575" s="213"/>
      <c r="P575" s="213"/>
      <c r="Q575" s="213"/>
      <c r="R575" s="213"/>
      <c r="S575" s="213" t="s">
        <v>602</v>
      </c>
      <c r="T575" s="213"/>
      <c r="U575" s="213" t="s">
        <v>538</v>
      </c>
      <c r="V575" s="213">
        <v>2</v>
      </c>
      <c r="W575" s="213" t="s">
        <v>582</v>
      </c>
      <c r="X575" s="213" t="s">
        <v>540</v>
      </c>
      <c r="Y575" s="213" t="s">
        <v>541</v>
      </c>
      <c r="Z575" s="212">
        <v>0</v>
      </c>
      <c r="AA575" s="212">
        <v>0</v>
      </c>
      <c r="AB575" s="217">
        <v>2.4249200000000002</v>
      </c>
      <c r="AC575" s="217">
        <v>3.9025379999999998</v>
      </c>
      <c r="AD575" s="212">
        <f t="shared" si="8"/>
        <v>0</v>
      </c>
    </row>
    <row r="576" spans="2:30" x14ac:dyDescent="0.15">
      <c r="B576" s="213">
        <v>17031002616</v>
      </c>
      <c r="C576" s="213">
        <v>17031004724</v>
      </c>
      <c r="D576" s="213">
        <v>17031001238</v>
      </c>
      <c r="E576" s="213" t="s">
        <v>533</v>
      </c>
      <c r="F576" s="213" t="s">
        <v>534</v>
      </c>
      <c r="G576" s="213" t="s">
        <v>365</v>
      </c>
      <c r="H576" s="213" t="s">
        <v>547</v>
      </c>
      <c r="I576" s="213"/>
      <c r="J576" s="213"/>
      <c r="K576" s="213"/>
      <c r="L576" s="213"/>
      <c r="M576" s="213"/>
      <c r="N576" s="213"/>
      <c r="O576" s="213"/>
      <c r="P576" s="213"/>
      <c r="Q576" s="213"/>
      <c r="R576" s="213"/>
      <c r="S576" s="213"/>
      <c r="T576" s="213"/>
      <c r="U576" s="213" t="s">
        <v>538</v>
      </c>
      <c r="V576" s="213">
        <v>1</v>
      </c>
      <c r="W576" s="213" t="s">
        <v>582</v>
      </c>
      <c r="X576" s="213" t="s">
        <v>541</v>
      </c>
      <c r="Y576" s="213" t="s">
        <v>541</v>
      </c>
      <c r="Z576" s="212">
        <v>0</v>
      </c>
      <c r="AA576" s="212">
        <v>0</v>
      </c>
      <c r="AB576" s="217">
        <v>0.50756599999999996</v>
      </c>
      <c r="AC576" s="217">
        <v>0.81684999999999997</v>
      </c>
      <c r="AD576" s="212">
        <f t="shared" si="8"/>
        <v>0</v>
      </c>
    </row>
    <row r="577" spans="2:30" x14ac:dyDescent="0.15">
      <c r="B577" s="213">
        <v>17031002650</v>
      </c>
      <c r="C577" s="213">
        <v>17031001378</v>
      </c>
      <c r="D577" s="213">
        <v>17031007660</v>
      </c>
      <c r="E577" s="213" t="s">
        <v>533</v>
      </c>
      <c r="F577" s="213" t="s">
        <v>534</v>
      </c>
      <c r="G577" s="213" t="s">
        <v>365</v>
      </c>
      <c r="H577" s="213" t="s">
        <v>551</v>
      </c>
      <c r="I577" s="213" t="s">
        <v>535</v>
      </c>
      <c r="J577" s="213" t="s">
        <v>381</v>
      </c>
      <c r="K577" s="213" t="s">
        <v>552</v>
      </c>
      <c r="L577" s="213"/>
      <c r="M577" s="213"/>
      <c r="N577" s="213"/>
      <c r="O577" s="213"/>
      <c r="P577" s="213"/>
      <c r="Q577" s="213"/>
      <c r="R577" s="213"/>
      <c r="S577" s="213" t="s">
        <v>628</v>
      </c>
      <c r="T577" s="213"/>
      <c r="U577" s="213" t="s">
        <v>538</v>
      </c>
      <c r="V577" s="213">
        <v>1</v>
      </c>
      <c r="W577" s="213" t="s">
        <v>539</v>
      </c>
      <c r="X577" s="213" t="s">
        <v>541</v>
      </c>
      <c r="Y577" s="213" t="s">
        <v>541</v>
      </c>
      <c r="Z577" s="212">
        <v>120</v>
      </c>
      <c r="AA577" s="212">
        <v>4800</v>
      </c>
      <c r="AB577" s="217">
        <v>0.95460299999999998</v>
      </c>
      <c r="AC577" s="217">
        <v>1.5362880000000001</v>
      </c>
      <c r="AD577" s="212">
        <f t="shared" si="8"/>
        <v>4582.0944</v>
      </c>
    </row>
    <row r="578" spans="2:30" x14ac:dyDescent="0.15">
      <c r="B578" s="213">
        <v>17031002885</v>
      </c>
      <c r="C578" s="213">
        <v>17031001110</v>
      </c>
      <c r="D578" s="213">
        <v>17031001107</v>
      </c>
      <c r="E578" s="213" t="s">
        <v>533</v>
      </c>
      <c r="F578" s="213" t="s">
        <v>534</v>
      </c>
      <c r="G578" s="213" t="s">
        <v>365</v>
      </c>
      <c r="H578" s="213" t="s">
        <v>577</v>
      </c>
      <c r="I578" s="213"/>
      <c r="J578" s="213"/>
      <c r="K578" s="213"/>
      <c r="L578" s="213"/>
      <c r="M578" s="213"/>
      <c r="N578" s="213"/>
      <c r="O578" s="213"/>
      <c r="P578" s="213"/>
      <c r="Q578" s="213"/>
      <c r="R578" s="213"/>
      <c r="S578" s="213"/>
      <c r="T578" s="213"/>
      <c r="U578" s="213" t="s">
        <v>538</v>
      </c>
      <c r="V578" s="213">
        <v>1</v>
      </c>
      <c r="W578" s="213" t="s">
        <v>560</v>
      </c>
      <c r="X578" s="213" t="s">
        <v>541</v>
      </c>
      <c r="Y578" s="213" t="s">
        <v>541</v>
      </c>
      <c r="Z578" s="212">
        <v>0</v>
      </c>
      <c r="AA578" s="212">
        <v>0</v>
      </c>
      <c r="AB578" s="217">
        <v>1.1613549999999999</v>
      </c>
      <c r="AC578" s="217">
        <v>1.8690230000000001</v>
      </c>
      <c r="AD578" s="212">
        <f t="shared" si="8"/>
        <v>0</v>
      </c>
    </row>
    <row r="579" spans="2:30" x14ac:dyDescent="0.15">
      <c r="B579" s="213">
        <v>17031002993</v>
      </c>
      <c r="C579" s="213">
        <v>17031004611</v>
      </c>
      <c r="D579" s="213">
        <v>17031000453</v>
      </c>
      <c r="E579" s="213" t="s">
        <v>533</v>
      </c>
      <c r="F579" s="213" t="s">
        <v>534</v>
      </c>
      <c r="G579" s="213" t="s">
        <v>365</v>
      </c>
      <c r="H579" s="213" t="s">
        <v>382</v>
      </c>
      <c r="I579" s="213"/>
      <c r="J579" s="213" t="s">
        <v>547</v>
      </c>
      <c r="K579" s="213"/>
      <c r="L579" s="213"/>
      <c r="M579" s="213"/>
      <c r="N579" s="213"/>
      <c r="O579" s="213"/>
      <c r="P579" s="213"/>
      <c r="Q579" s="213"/>
      <c r="R579" s="213"/>
      <c r="S579" s="213" t="s">
        <v>608</v>
      </c>
      <c r="T579" s="213"/>
      <c r="U579" s="213" t="s">
        <v>538</v>
      </c>
      <c r="V579" s="213">
        <v>3</v>
      </c>
      <c r="W579" s="213" t="s">
        <v>566</v>
      </c>
      <c r="X579" s="213" t="s">
        <v>540</v>
      </c>
      <c r="Y579" s="213" t="s">
        <v>541</v>
      </c>
      <c r="Z579" s="212">
        <v>0</v>
      </c>
      <c r="AA579" s="212">
        <v>0</v>
      </c>
      <c r="AB579" s="217">
        <v>1.191324</v>
      </c>
      <c r="AC579" s="217">
        <v>1.9172549999999999</v>
      </c>
      <c r="AD579" s="212">
        <f t="shared" si="8"/>
        <v>0</v>
      </c>
    </row>
    <row r="580" spans="2:30" x14ac:dyDescent="0.15">
      <c r="B580" s="213">
        <v>17031002994</v>
      </c>
      <c r="C580" s="213">
        <v>17031000478</v>
      </c>
      <c r="D580" s="213">
        <v>17031004612</v>
      </c>
      <c r="E580" s="213" t="s">
        <v>533</v>
      </c>
      <c r="F580" s="213" t="s">
        <v>534</v>
      </c>
      <c r="G580" s="213" t="s">
        <v>365</v>
      </c>
      <c r="H580" s="213" t="s">
        <v>382</v>
      </c>
      <c r="I580" s="213"/>
      <c r="J580" s="213" t="s">
        <v>547</v>
      </c>
      <c r="K580" s="213"/>
      <c r="L580" s="213"/>
      <c r="M580" s="213"/>
      <c r="N580" s="213"/>
      <c r="O580" s="213"/>
      <c r="P580" s="213"/>
      <c r="Q580" s="213"/>
      <c r="R580" s="213"/>
      <c r="S580" s="213" t="s">
        <v>565</v>
      </c>
      <c r="T580" s="213"/>
      <c r="U580" s="213" t="s">
        <v>538</v>
      </c>
      <c r="V580" s="213">
        <v>2</v>
      </c>
      <c r="W580" s="213" t="s">
        <v>566</v>
      </c>
      <c r="X580" s="213" t="s">
        <v>540</v>
      </c>
      <c r="Y580" s="213" t="s">
        <v>541</v>
      </c>
      <c r="Z580" s="212">
        <v>0</v>
      </c>
      <c r="AA580" s="212">
        <v>0</v>
      </c>
      <c r="AB580" s="217">
        <v>0.13519700000000001</v>
      </c>
      <c r="AC580" s="217">
        <v>0.21757899999999999</v>
      </c>
      <c r="AD580" s="212">
        <f t="shared" si="8"/>
        <v>0</v>
      </c>
    </row>
    <row r="581" spans="2:30" x14ac:dyDescent="0.15">
      <c r="B581" s="213">
        <v>17031003000</v>
      </c>
      <c r="C581" s="213">
        <v>17031001007</v>
      </c>
      <c r="D581" s="213">
        <v>17031001037</v>
      </c>
      <c r="E581" s="213" t="s">
        <v>533</v>
      </c>
      <c r="F581" s="213" t="s">
        <v>534</v>
      </c>
      <c r="G581" s="213" t="s">
        <v>365</v>
      </c>
      <c r="H581" s="213" t="s">
        <v>551</v>
      </c>
      <c r="I581" s="213" t="s">
        <v>535</v>
      </c>
      <c r="J581" s="213"/>
      <c r="K581" s="213"/>
      <c r="L581" s="213"/>
      <c r="M581" s="213"/>
      <c r="N581" s="213"/>
      <c r="O581" s="213"/>
      <c r="P581" s="213"/>
      <c r="Q581" s="213"/>
      <c r="R581" s="213"/>
      <c r="S581" s="213" t="s">
        <v>553</v>
      </c>
      <c r="T581" s="213"/>
      <c r="U581" s="213" t="s">
        <v>538</v>
      </c>
      <c r="V581" s="213">
        <v>1</v>
      </c>
      <c r="W581" s="213" t="s">
        <v>582</v>
      </c>
      <c r="X581" s="213" t="s">
        <v>540</v>
      </c>
      <c r="Y581" s="213" t="s">
        <v>541</v>
      </c>
      <c r="Z581" s="212">
        <v>0</v>
      </c>
      <c r="AA581" s="212">
        <v>0</v>
      </c>
      <c r="AB581" s="217">
        <v>0.32975399999999999</v>
      </c>
      <c r="AC581" s="217">
        <v>0.53068899999999997</v>
      </c>
      <c r="AD581" s="212">
        <f t="shared" si="8"/>
        <v>0</v>
      </c>
    </row>
    <row r="582" spans="2:30" x14ac:dyDescent="0.15">
      <c r="B582" s="213">
        <v>17031003002</v>
      </c>
      <c r="C582" s="213">
        <v>17031001364</v>
      </c>
      <c r="D582" s="213">
        <v>17031001363</v>
      </c>
      <c r="E582" s="213" t="s">
        <v>533</v>
      </c>
      <c r="F582" s="213" t="s">
        <v>534</v>
      </c>
      <c r="G582" s="213" t="s">
        <v>365</v>
      </c>
      <c r="H582" s="213" t="s">
        <v>557</v>
      </c>
      <c r="I582" s="213"/>
      <c r="J582" s="213" t="s">
        <v>569</v>
      </c>
      <c r="K582" s="213" t="s">
        <v>535</v>
      </c>
      <c r="L582" s="213" t="s">
        <v>551</v>
      </c>
      <c r="M582" s="213" t="s">
        <v>543</v>
      </c>
      <c r="N582" s="213" t="s">
        <v>382</v>
      </c>
      <c r="O582" s="213" t="s">
        <v>552</v>
      </c>
      <c r="P582" s="213" t="s">
        <v>555</v>
      </c>
      <c r="Q582" s="213"/>
      <c r="R582" s="213"/>
      <c r="S582" s="213" t="s">
        <v>570</v>
      </c>
      <c r="T582" s="213"/>
      <c r="U582" s="213" t="s">
        <v>538</v>
      </c>
      <c r="V582" s="213">
        <v>2</v>
      </c>
      <c r="W582" s="213" t="s">
        <v>545</v>
      </c>
      <c r="X582" s="213" t="s">
        <v>554</v>
      </c>
      <c r="Y582" s="213" t="s">
        <v>546</v>
      </c>
      <c r="Z582" s="212">
        <v>310005</v>
      </c>
      <c r="AA582" s="212">
        <v>23925803</v>
      </c>
      <c r="AB582" s="217">
        <v>0.58762300000000001</v>
      </c>
      <c r="AC582" s="217">
        <v>0.945689</v>
      </c>
      <c r="AD582" s="212">
        <f t="shared" ref="AD582:AD645" si="9">AA582*AB582</f>
        <v>14059352.136268999</v>
      </c>
    </row>
    <row r="583" spans="2:30" x14ac:dyDescent="0.15">
      <c r="B583" s="213">
        <v>17031003014</v>
      </c>
      <c r="C583" s="213">
        <v>17031000946</v>
      </c>
      <c r="D583" s="213">
        <v>17031000926</v>
      </c>
      <c r="E583" s="213" t="s">
        <v>533</v>
      </c>
      <c r="F583" s="213" t="s">
        <v>534</v>
      </c>
      <c r="G583" s="213" t="s">
        <v>365</v>
      </c>
      <c r="H583" s="213" t="s">
        <v>543</v>
      </c>
      <c r="I583" s="213"/>
      <c r="J583" s="213" t="s">
        <v>542</v>
      </c>
      <c r="K583" s="213"/>
      <c r="L583" s="213"/>
      <c r="M583" s="213"/>
      <c r="N583" s="213"/>
      <c r="O583" s="213"/>
      <c r="P583" s="213"/>
      <c r="Q583" s="213"/>
      <c r="R583" s="213"/>
      <c r="S583" s="213" t="s">
        <v>630</v>
      </c>
      <c r="T583" s="213"/>
      <c r="U583" s="213" t="s">
        <v>538</v>
      </c>
      <c r="V583" s="213">
        <v>4</v>
      </c>
      <c r="W583" s="213" t="s">
        <v>545</v>
      </c>
      <c r="X583" s="213" t="s">
        <v>549</v>
      </c>
      <c r="Y583" s="213" t="s">
        <v>580</v>
      </c>
      <c r="Z583" s="212">
        <v>1962622</v>
      </c>
      <c r="AA583" s="212">
        <v>56698813</v>
      </c>
      <c r="AB583" s="217">
        <v>0.96203700000000003</v>
      </c>
      <c r="AC583" s="217">
        <v>1.548251</v>
      </c>
      <c r="AD583" s="212">
        <f t="shared" si="9"/>
        <v>54546355.962081</v>
      </c>
    </row>
    <row r="584" spans="2:30" x14ac:dyDescent="0.15">
      <c r="B584" s="213">
        <v>17031003106</v>
      </c>
      <c r="C584" s="213">
        <v>17031001563</v>
      </c>
      <c r="D584" s="213">
        <v>17031001560</v>
      </c>
      <c r="E584" s="213" t="s">
        <v>533</v>
      </c>
      <c r="F584" s="213" t="s">
        <v>534</v>
      </c>
      <c r="G584" s="213" t="s">
        <v>365</v>
      </c>
      <c r="H584" s="213" t="s">
        <v>535</v>
      </c>
      <c r="I584" s="213"/>
      <c r="J584" s="213" t="s">
        <v>382</v>
      </c>
      <c r="K584" s="213" t="s">
        <v>536</v>
      </c>
      <c r="L584" s="213"/>
      <c r="M584" s="213"/>
      <c r="N584" s="213"/>
      <c r="O584" s="213"/>
      <c r="P584" s="213"/>
      <c r="Q584" s="213"/>
      <c r="R584" s="213"/>
      <c r="S584" s="213" t="s">
        <v>537</v>
      </c>
      <c r="T584" s="213"/>
      <c r="U584" s="213" t="s">
        <v>538</v>
      </c>
      <c r="V584" s="213">
        <v>2</v>
      </c>
      <c r="W584" s="213" t="s">
        <v>582</v>
      </c>
      <c r="X584" s="213" t="s">
        <v>549</v>
      </c>
      <c r="Y584" s="213" t="s">
        <v>540</v>
      </c>
      <c r="Z584" s="212">
        <v>1960</v>
      </c>
      <c r="AA584" s="212">
        <v>166000</v>
      </c>
      <c r="AB584" s="217">
        <v>0.59954499999999999</v>
      </c>
      <c r="AC584" s="217">
        <v>0.96487599999999996</v>
      </c>
      <c r="AD584" s="212">
        <f t="shared" si="9"/>
        <v>99524.47</v>
      </c>
    </row>
    <row r="585" spans="2:30" x14ac:dyDescent="0.15">
      <c r="B585" s="213">
        <v>17031003107</v>
      </c>
      <c r="C585" s="213">
        <v>17031001566</v>
      </c>
      <c r="D585" s="213">
        <v>17031001543</v>
      </c>
      <c r="E585" s="213" t="s">
        <v>533</v>
      </c>
      <c r="F585" s="213" t="s">
        <v>534</v>
      </c>
      <c r="G585" s="213" t="s">
        <v>365</v>
      </c>
      <c r="H585" s="213" t="s">
        <v>382</v>
      </c>
      <c r="I585" s="213"/>
      <c r="J585" s="213" t="s">
        <v>551</v>
      </c>
      <c r="K585" s="213" t="s">
        <v>555</v>
      </c>
      <c r="L585" s="213" t="s">
        <v>552</v>
      </c>
      <c r="M585" s="213"/>
      <c r="N585" s="213"/>
      <c r="O585" s="213"/>
      <c r="P585" s="213"/>
      <c r="Q585" s="213"/>
      <c r="R585" s="213"/>
      <c r="S585" s="213" t="s">
        <v>556</v>
      </c>
      <c r="T585" s="213"/>
      <c r="U585" s="213" t="s">
        <v>538</v>
      </c>
      <c r="V585" s="213">
        <v>2</v>
      </c>
      <c r="W585" s="213" t="s">
        <v>545</v>
      </c>
      <c r="X585" s="213" t="s">
        <v>540</v>
      </c>
      <c r="Y585" s="213" t="s">
        <v>580</v>
      </c>
      <c r="Z585" s="212">
        <v>693994</v>
      </c>
      <c r="AA585" s="212">
        <v>29546664</v>
      </c>
      <c r="AB585" s="217">
        <v>1.0771630000000001</v>
      </c>
      <c r="AC585" s="217">
        <v>1.7335290000000001</v>
      </c>
      <c r="AD585" s="212">
        <f t="shared" si="9"/>
        <v>31826573.234232001</v>
      </c>
    </row>
    <row r="586" spans="2:30" x14ac:dyDescent="0.15">
      <c r="B586" s="213">
        <v>17031003111</v>
      </c>
      <c r="C586" s="213">
        <v>17031000821</v>
      </c>
      <c r="D586" s="213">
        <v>17031004717</v>
      </c>
      <c r="E586" s="213" t="s">
        <v>533</v>
      </c>
      <c r="F586" s="213" t="s">
        <v>534</v>
      </c>
      <c r="G586" s="213" t="s">
        <v>365</v>
      </c>
      <c r="H586" s="213" t="s">
        <v>543</v>
      </c>
      <c r="I586" s="213"/>
      <c r="J586" s="213"/>
      <c r="K586" s="213"/>
      <c r="L586" s="213"/>
      <c r="M586" s="213"/>
      <c r="N586" s="213"/>
      <c r="O586" s="213"/>
      <c r="P586" s="213"/>
      <c r="Q586" s="213"/>
      <c r="R586" s="213"/>
      <c r="S586" s="213" t="s">
        <v>658</v>
      </c>
      <c r="T586" s="213"/>
      <c r="U586" s="213" t="s">
        <v>559</v>
      </c>
      <c r="V586" s="213">
        <v>1</v>
      </c>
      <c r="W586" s="213" t="s">
        <v>560</v>
      </c>
      <c r="X586" s="213" t="s">
        <v>541</v>
      </c>
      <c r="Y586" s="213" t="s">
        <v>541</v>
      </c>
      <c r="Z586" s="212">
        <v>0</v>
      </c>
      <c r="AA586" s="212">
        <v>0</v>
      </c>
      <c r="AB586" s="217">
        <v>0.96862199999999998</v>
      </c>
      <c r="AC586" s="217">
        <v>1.5588489999999999</v>
      </c>
      <c r="AD586" s="212">
        <f t="shared" si="9"/>
        <v>0</v>
      </c>
    </row>
    <row r="587" spans="2:30" x14ac:dyDescent="0.15">
      <c r="B587" s="213">
        <v>17031003117</v>
      </c>
      <c r="C587" s="213">
        <v>17031001127</v>
      </c>
      <c r="D587" s="213">
        <v>17031001131</v>
      </c>
      <c r="E587" s="213" t="s">
        <v>533</v>
      </c>
      <c r="F587" s="213" t="s">
        <v>534</v>
      </c>
      <c r="G587" s="213" t="s">
        <v>365</v>
      </c>
      <c r="H587" s="213" t="s">
        <v>661</v>
      </c>
      <c r="I587" s="213"/>
      <c r="J587" s="213"/>
      <c r="K587" s="213"/>
      <c r="L587" s="213"/>
      <c r="M587" s="213"/>
      <c r="N587" s="213"/>
      <c r="O587" s="213"/>
      <c r="P587" s="213"/>
      <c r="Q587" s="213"/>
      <c r="R587" s="213"/>
      <c r="S587" s="213"/>
      <c r="T587" s="213"/>
      <c r="U587" s="213" t="s">
        <v>538</v>
      </c>
      <c r="V587" s="213">
        <v>1</v>
      </c>
      <c r="W587" s="213" t="s">
        <v>560</v>
      </c>
      <c r="X587" s="213" t="s">
        <v>541</v>
      </c>
      <c r="Y587" s="213" t="s">
        <v>541</v>
      </c>
      <c r="Z587" s="212">
        <v>0</v>
      </c>
      <c r="AA587" s="212">
        <v>0</v>
      </c>
      <c r="AB587" s="217">
        <v>0.39871899999999999</v>
      </c>
      <c r="AC587" s="217">
        <v>0.64167799999999997</v>
      </c>
      <c r="AD587" s="212">
        <f t="shared" si="9"/>
        <v>0</v>
      </c>
    </row>
    <row r="588" spans="2:30" x14ac:dyDescent="0.15">
      <c r="B588" s="213">
        <v>17031003120</v>
      </c>
      <c r="C588" s="213">
        <v>17031001080</v>
      </c>
      <c r="D588" s="213">
        <v>17031001088</v>
      </c>
      <c r="E588" s="213" t="s">
        <v>533</v>
      </c>
      <c r="F588" s="213" t="s">
        <v>534</v>
      </c>
      <c r="G588" s="213" t="s">
        <v>365</v>
      </c>
      <c r="H588" s="213" t="s">
        <v>661</v>
      </c>
      <c r="I588" s="213"/>
      <c r="J588" s="213"/>
      <c r="K588" s="213"/>
      <c r="L588" s="213"/>
      <c r="M588" s="213"/>
      <c r="N588" s="213"/>
      <c r="O588" s="213"/>
      <c r="P588" s="213"/>
      <c r="Q588" s="213"/>
      <c r="R588" s="213"/>
      <c r="S588" s="213"/>
      <c r="T588" s="213"/>
      <c r="U588" s="213" t="s">
        <v>538</v>
      </c>
      <c r="V588" s="213">
        <v>1</v>
      </c>
      <c r="W588" s="213" t="s">
        <v>560</v>
      </c>
      <c r="X588" s="213" t="s">
        <v>541</v>
      </c>
      <c r="Y588" s="213" t="s">
        <v>541</v>
      </c>
      <c r="Z588" s="212">
        <v>0</v>
      </c>
      <c r="AA588" s="212">
        <v>0</v>
      </c>
      <c r="AB588" s="217">
        <v>6.8680000000000005E-2</v>
      </c>
      <c r="AC588" s="217">
        <v>0.110531</v>
      </c>
      <c r="AD588" s="212">
        <f t="shared" si="9"/>
        <v>0</v>
      </c>
    </row>
    <row r="589" spans="2:30" x14ac:dyDescent="0.15">
      <c r="B589" s="213">
        <v>17031003229</v>
      </c>
      <c r="C589" s="213">
        <v>17031000432</v>
      </c>
      <c r="D589" s="213">
        <v>17031004586</v>
      </c>
      <c r="E589" s="213" t="s">
        <v>533</v>
      </c>
      <c r="F589" s="213" t="s">
        <v>534</v>
      </c>
      <c r="G589" s="213" t="s">
        <v>365</v>
      </c>
      <c r="H589" s="213" t="s">
        <v>382</v>
      </c>
      <c r="I589" s="213"/>
      <c r="J589" s="213" t="s">
        <v>547</v>
      </c>
      <c r="K589" s="213"/>
      <c r="L589" s="213"/>
      <c r="M589" s="213"/>
      <c r="N589" s="213"/>
      <c r="O589" s="213"/>
      <c r="P589" s="213"/>
      <c r="Q589" s="213"/>
      <c r="R589" s="213"/>
      <c r="S589" s="213" t="s">
        <v>565</v>
      </c>
      <c r="T589" s="213"/>
      <c r="U589" s="213" t="s">
        <v>538</v>
      </c>
      <c r="V589" s="213">
        <v>2</v>
      </c>
      <c r="W589" s="213" t="s">
        <v>566</v>
      </c>
      <c r="X589" s="213" t="s">
        <v>549</v>
      </c>
      <c r="Y589" s="213" t="s">
        <v>541</v>
      </c>
      <c r="Z589" s="212">
        <v>0</v>
      </c>
      <c r="AA589" s="212">
        <v>0</v>
      </c>
      <c r="AB589" s="217">
        <v>2.0223930000000001</v>
      </c>
      <c r="AC589" s="217">
        <v>3.2547329999999999</v>
      </c>
      <c r="AD589" s="212">
        <f t="shared" si="9"/>
        <v>0</v>
      </c>
    </row>
    <row r="590" spans="2:30" x14ac:dyDescent="0.15">
      <c r="B590" s="213">
        <v>17031003234</v>
      </c>
      <c r="C590" s="213">
        <v>17031001208</v>
      </c>
      <c r="D590" s="213">
        <v>17031001116</v>
      </c>
      <c r="E590" s="213" t="s">
        <v>533</v>
      </c>
      <c r="F590" s="213" t="s">
        <v>534</v>
      </c>
      <c r="G590" s="213" t="s">
        <v>365</v>
      </c>
      <c r="H590" s="213" t="s">
        <v>535</v>
      </c>
      <c r="I590" s="213"/>
      <c r="J590" s="213" t="s">
        <v>542</v>
      </c>
      <c r="K590" s="213" t="s">
        <v>572</v>
      </c>
      <c r="L590" s="213" t="s">
        <v>543</v>
      </c>
      <c r="M590" s="213"/>
      <c r="N590" s="213"/>
      <c r="O590" s="213"/>
      <c r="P590" s="213"/>
      <c r="Q590" s="213"/>
      <c r="R590" s="213"/>
      <c r="S590" s="213" t="s">
        <v>544</v>
      </c>
      <c r="T590" s="213"/>
      <c r="U590" s="213" t="s">
        <v>538</v>
      </c>
      <c r="V590" s="213">
        <v>2</v>
      </c>
      <c r="W590" s="213" t="s">
        <v>545</v>
      </c>
      <c r="X590" s="213" t="s">
        <v>549</v>
      </c>
      <c r="Y590" s="213" t="s">
        <v>546</v>
      </c>
      <c r="Z590" s="212">
        <v>61864</v>
      </c>
      <c r="AA590" s="212">
        <v>4987299</v>
      </c>
      <c r="AB590" s="217">
        <v>2.6482009999999998</v>
      </c>
      <c r="AC590" s="217">
        <v>4.2618749999999999</v>
      </c>
      <c r="AD590" s="212">
        <f t="shared" si="9"/>
        <v>13207370.199098999</v>
      </c>
    </row>
    <row r="591" spans="2:30" x14ac:dyDescent="0.15">
      <c r="B591" s="213">
        <v>17031003246</v>
      </c>
      <c r="C591" s="213">
        <v>17031004640</v>
      </c>
      <c r="D591" s="213">
        <v>17031000475</v>
      </c>
      <c r="E591" s="213" t="s">
        <v>533</v>
      </c>
      <c r="F591" s="213" t="s">
        <v>534</v>
      </c>
      <c r="G591" s="213" t="s">
        <v>365</v>
      </c>
      <c r="H591" s="213" t="s">
        <v>552</v>
      </c>
      <c r="I591" s="213"/>
      <c r="J591" s="213" t="s">
        <v>551</v>
      </c>
      <c r="K591" s="213" t="s">
        <v>547</v>
      </c>
      <c r="L591" s="213" t="s">
        <v>382</v>
      </c>
      <c r="M591" s="213" t="s">
        <v>563</v>
      </c>
      <c r="N591" s="213"/>
      <c r="O591" s="213"/>
      <c r="P591" s="213"/>
      <c r="Q591" s="213"/>
      <c r="R591" s="213"/>
      <c r="S591" s="213" t="s">
        <v>589</v>
      </c>
      <c r="T591" s="213"/>
      <c r="U591" s="213" t="s">
        <v>538</v>
      </c>
      <c r="V591" s="213">
        <v>3</v>
      </c>
      <c r="W591" s="213" t="s">
        <v>545</v>
      </c>
      <c r="X591" s="213" t="s">
        <v>549</v>
      </c>
      <c r="Y591" s="213" t="s">
        <v>549</v>
      </c>
      <c r="Z591" s="212">
        <v>320753</v>
      </c>
      <c r="AA591" s="212">
        <v>20266582</v>
      </c>
      <c r="AB591" s="217">
        <v>0.17754300000000001</v>
      </c>
      <c r="AC591" s="217">
        <v>0.28572799999999998</v>
      </c>
      <c r="AD591" s="212">
        <f t="shared" si="9"/>
        <v>3598189.7680260004</v>
      </c>
    </row>
    <row r="592" spans="2:30" x14ac:dyDescent="0.15">
      <c r="B592" s="213">
        <v>17031003247</v>
      </c>
      <c r="C592" s="213">
        <v>17031006979</v>
      </c>
      <c r="D592" s="213">
        <v>17031000512</v>
      </c>
      <c r="E592" s="213" t="s">
        <v>533</v>
      </c>
      <c r="F592" s="213" t="s">
        <v>534</v>
      </c>
      <c r="G592" s="213" t="s">
        <v>365</v>
      </c>
      <c r="H592" s="213" t="s">
        <v>382</v>
      </c>
      <c r="I592" s="213"/>
      <c r="J592" s="213" t="s">
        <v>547</v>
      </c>
      <c r="K592" s="213"/>
      <c r="L592" s="213"/>
      <c r="M592" s="213"/>
      <c r="N592" s="213"/>
      <c r="O592" s="213"/>
      <c r="P592" s="213"/>
      <c r="Q592" s="213"/>
      <c r="R592" s="213"/>
      <c r="S592" s="213" t="s">
        <v>608</v>
      </c>
      <c r="T592" s="213"/>
      <c r="U592" s="213" t="s">
        <v>538</v>
      </c>
      <c r="V592" s="213">
        <v>4</v>
      </c>
      <c r="W592" s="213" t="s">
        <v>545</v>
      </c>
      <c r="X592" s="213" t="s">
        <v>540</v>
      </c>
      <c r="Y592" s="213" t="s">
        <v>541</v>
      </c>
      <c r="Z592" s="212">
        <v>0</v>
      </c>
      <c r="AA592" s="212">
        <v>0</v>
      </c>
      <c r="AB592" s="217">
        <v>0.682064</v>
      </c>
      <c r="AC592" s="217">
        <v>1.097677</v>
      </c>
      <c r="AD592" s="212">
        <f t="shared" si="9"/>
        <v>0</v>
      </c>
    </row>
    <row r="593" spans="2:30" x14ac:dyDescent="0.15">
      <c r="B593" s="213">
        <v>17031003264</v>
      </c>
      <c r="C593" s="213">
        <v>17031001358</v>
      </c>
      <c r="D593" s="213">
        <v>17031001408</v>
      </c>
      <c r="E593" s="213" t="s">
        <v>533</v>
      </c>
      <c r="F593" s="213" t="s">
        <v>534</v>
      </c>
      <c r="G593" s="213" t="s">
        <v>365</v>
      </c>
      <c r="H593" s="213" t="s">
        <v>382</v>
      </c>
      <c r="I593" s="213"/>
      <c r="J593" s="213" t="s">
        <v>542</v>
      </c>
      <c r="K593" s="213" t="s">
        <v>551</v>
      </c>
      <c r="L593" s="213" t="s">
        <v>555</v>
      </c>
      <c r="M593" s="213" t="s">
        <v>552</v>
      </c>
      <c r="N593" s="213" t="s">
        <v>535</v>
      </c>
      <c r="O593" s="213"/>
      <c r="P593" s="213"/>
      <c r="Q593" s="213"/>
      <c r="R593" s="213"/>
      <c r="S593" s="213" t="s">
        <v>556</v>
      </c>
      <c r="T593" s="213" t="s">
        <v>631</v>
      </c>
      <c r="U593" s="213" t="s">
        <v>538</v>
      </c>
      <c r="V593" s="213">
        <v>2</v>
      </c>
      <c r="W593" s="213" t="s">
        <v>545</v>
      </c>
      <c r="X593" s="213" t="s">
        <v>554</v>
      </c>
      <c r="Y593" s="213" t="s">
        <v>580</v>
      </c>
      <c r="Z593" s="212">
        <v>517708</v>
      </c>
      <c r="AA593" s="212">
        <v>28046920</v>
      </c>
      <c r="AB593" s="217">
        <v>1.0174780000000001</v>
      </c>
      <c r="AC593" s="217">
        <v>1.6374759999999999</v>
      </c>
      <c r="AD593" s="212">
        <f t="shared" si="9"/>
        <v>28537124.067760002</v>
      </c>
    </row>
    <row r="594" spans="2:30" x14ac:dyDescent="0.15">
      <c r="B594" s="213">
        <v>17031003270</v>
      </c>
      <c r="C594" s="213">
        <v>17031000659</v>
      </c>
      <c r="D594" s="213">
        <v>17031000654</v>
      </c>
      <c r="E594" s="213" t="s">
        <v>533</v>
      </c>
      <c r="F594" s="213" t="s">
        <v>534</v>
      </c>
      <c r="G594" s="213" t="s">
        <v>365</v>
      </c>
      <c r="H594" s="213" t="s">
        <v>382</v>
      </c>
      <c r="I594" s="213"/>
      <c r="J594" s="213" t="s">
        <v>572</v>
      </c>
      <c r="K594" s="213"/>
      <c r="L594" s="213"/>
      <c r="M594" s="213"/>
      <c r="N594" s="213"/>
      <c r="O594" s="213"/>
      <c r="P594" s="213"/>
      <c r="Q594" s="213"/>
      <c r="R594" s="213"/>
      <c r="S594" s="213" t="s">
        <v>609</v>
      </c>
      <c r="T594" s="213" t="s">
        <v>695</v>
      </c>
      <c r="U594" s="213" t="s">
        <v>538</v>
      </c>
      <c r="V594" s="213">
        <v>1</v>
      </c>
      <c r="W594" s="213" t="s">
        <v>539</v>
      </c>
      <c r="X594" s="213" t="s">
        <v>541</v>
      </c>
      <c r="Y594" s="213" t="s">
        <v>540</v>
      </c>
      <c r="Z594" s="212">
        <v>606706</v>
      </c>
      <c r="AA594" s="212">
        <v>23117499</v>
      </c>
      <c r="AB594" s="217">
        <v>0.236427</v>
      </c>
      <c r="AC594" s="217">
        <v>0.38049300000000003</v>
      </c>
      <c r="AD594" s="212">
        <f t="shared" si="9"/>
        <v>5465600.9360729996</v>
      </c>
    </row>
    <row r="595" spans="2:30" x14ac:dyDescent="0.15">
      <c r="B595" s="213">
        <v>17031003274</v>
      </c>
      <c r="C595" s="213">
        <v>17031000486</v>
      </c>
      <c r="D595" s="213">
        <v>17031000517</v>
      </c>
      <c r="E595" s="213" t="s">
        <v>533</v>
      </c>
      <c r="F595" s="213" t="s">
        <v>534</v>
      </c>
      <c r="G595" s="213" t="s">
        <v>365</v>
      </c>
      <c r="H595" s="213" t="s">
        <v>571</v>
      </c>
      <c r="I595" s="213"/>
      <c r="J595" s="213" t="s">
        <v>552</v>
      </c>
      <c r="K595" s="213" t="s">
        <v>551</v>
      </c>
      <c r="L595" s="213" t="s">
        <v>563</v>
      </c>
      <c r="M595" s="213"/>
      <c r="N595" s="213"/>
      <c r="O595" s="213"/>
      <c r="P595" s="213"/>
      <c r="Q595" s="213"/>
      <c r="R595" s="213"/>
      <c r="S595" s="213" t="s">
        <v>573</v>
      </c>
      <c r="T595" s="213"/>
      <c r="U595" s="213" t="s">
        <v>538</v>
      </c>
      <c r="V595" s="213">
        <v>2</v>
      </c>
      <c r="W595" s="213" t="s">
        <v>545</v>
      </c>
      <c r="X595" s="213" t="s">
        <v>554</v>
      </c>
      <c r="Y595" s="213" t="s">
        <v>546</v>
      </c>
      <c r="Z595" s="212">
        <v>135172</v>
      </c>
      <c r="AA595" s="212">
        <v>4660280</v>
      </c>
      <c r="AB595" s="217">
        <v>1.1662250000000001</v>
      </c>
      <c r="AC595" s="217">
        <v>1.8768609999999999</v>
      </c>
      <c r="AD595" s="212">
        <f t="shared" si="9"/>
        <v>5434935.0430000005</v>
      </c>
    </row>
    <row r="596" spans="2:30" x14ac:dyDescent="0.15">
      <c r="B596" s="213">
        <v>17031003280</v>
      </c>
      <c r="C596" s="213">
        <v>17031001076</v>
      </c>
      <c r="D596" s="213">
        <v>17031004751</v>
      </c>
      <c r="E596" s="213" t="s">
        <v>533</v>
      </c>
      <c r="F596" s="213" t="s">
        <v>534</v>
      </c>
      <c r="G596" s="213" t="s">
        <v>365</v>
      </c>
      <c r="H596" s="213" t="s">
        <v>535</v>
      </c>
      <c r="I596" s="213"/>
      <c r="J596" s="213" t="s">
        <v>542</v>
      </c>
      <c r="K596" s="213" t="s">
        <v>572</v>
      </c>
      <c r="L596" s="213"/>
      <c r="M596" s="213"/>
      <c r="N596" s="213"/>
      <c r="O596" s="213"/>
      <c r="P596" s="213"/>
      <c r="Q596" s="213"/>
      <c r="R596" s="213"/>
      <c r="S596" s="213" t="s">
        <v>544</v>
      </c>
      <c r="T596" s="213"/>
      <c r="U596" s="213" t="s">
        <v>538</v>
      </c>
      <c r="V596" s="213">
        <v>2</v>
      </c>
      <c r="W596" s="213" t="s">
        <v>545</v>
      </c>
      <c r="X596" s="213" t="s">
        <v>549</v>
      </c>
      <c r="Y596" s="213" t="s">
        <v>549</v>
      </c>
      <c r="Z596" s="212">
        <v>14866</v>
      </c>
      <c r="AA596" s="212">
        <v>1555392</v>
      </c>
      <c r="AB596" s="217">
        <v>1.1611590000000001</v>
      </c>
      <c r="AC596" s="217">
        <v>1.8687069999999999</v>
      </c>
      <c r="AD596" s="212">
        <f t="shared" si="9"/>
        <v>1806057.4193280002</v>
      </c>
    </row>
    <row r="597" spans="2:30" x14ac:dyDescent="0.15">
      <c r="B597" s="213">
        <v>17031003295</v>
      </c>
      <c r="C597" s="213">
        <v>17031001413</v>
      </c>
      <c r="D597" s="213">
        <v>17031001416</v>
      </c>
      <c r="E597" s="213" t="s">
        <v>533</v>
      </c>
      <c r="F597" s="213" t="s">
        <v>534</v>
      </c>
      <c r="G597" s="213" t="s">
        <v>365</v>
      </c>
      <c r="H597" s="213" t="s">
        <v>551</v>
      </c>
      <c r="I597" s="213" t="s">
        <v>535</v>
      </c>
      <c r="J597" s="213" t="s">
        <v>555</v>
      </c>
      <c r="K597" s="213"/>
      <c r="L597" s="213"/>
      <c r="M597" s="213"/>
      <c r="N597" s="213"/>
      <c r="O597" s="213"/>
      <c r="P597" s="213"/>
      <c r="Q597" s="213"/>
      <c r="R597" s="213"/>
      <c r="S597" s="213" t="s">
        <v>553</v>
      </c>
      <c r="T597" s="213"/>
      <c r="U597" s="213" t="s">
        <v>538</v>
      </c>
      <c r="V597" s="213">
        <v>1</v>
      </c>
      <c r="W597" s="213" t="s">
        <v>545</v>
      </c>
      <c r="X597" s="213" t="s">
        <v>541</v>
      </c>
      <c r="Y597" s="213" t="s">
        <v>541</v>
      </c>
      <c r="Z597" s="212">
        <v>0</v>
      </c>
      <c r="AA597" s="212">
        <v>0</v>
      </c>
      <c r="AB597" s="217">
        <v>0.40209400000000001</v>
      </c>
      <c r="AC597" s="217">
        <v>0.64710900000000005</v>
      </c>
      <c r="AD597" s="212">
        <f t="shared" si="9"/>
        <v>0</v>
      </c>
    </row>
    <row r="598" spans="2:30" x14ac:dyDescent="0.15">
      <c r="B598" s="213">
        <v>17031003482</v>
      </c>
      <c r="C598" s="213">
        <v>17031000986</v>
      </c>
      <c r="D598" s="213">
        <v>17031000963</v>
      </c>
      <c r="E598" s="213" t="s">
        <v>533</v>
      </c>
      <c r="F598" s="213" t="s">
        <v>534</v>
      </c>
      <c r="G598" s="213" t="s">
        <v>365</v>
      </c>
      <c r="H598" s="213" t="s">
        <v>571</v>
      </c>
      <c r="I598" s="213"/>
      <c r="J598" s="213" t="s">
        <v>381</v>
      </c>
      <c r="K598" s="213" t="s">
        <v>535</v>
      </c>
      <c r="L598" s="213" t="s">
        <v>552</v>
      </c>
      <c r="M598" s="213" t="s">
        <v>551</v>
      </c>
      <c r="N598" s="213" t="s">
        <v>557</v>
      </c>
      <c r="O598" s="213" t="s">
        <v>543</v>
      </c>
      <c r="P598" s="213" t="s">
        <v>382</v>
      </c>
      <c r="Q598" s="213"/>
      <c r="R598" s="213"/>
      <c r="S598" s="213" t="s">
        <v>605</v>
      </c>
      <c r="T598" s="213"/>
      <c r="U598" s="213" t="s">
        <v>538</v>
      </c>
      <c r="V598" s="213">
        <v>1</v>
      </c>
      <c r="W598" s="213" t="s">
        <v>545</v>
      </c>
      <c r="X598" s="213" t="s">
        <v>554</v>
      </c>
      <c r="Y598" s="213" t="s">
        <v>549</v>
      </c>
      <c r="Z598" s="212">
        <v>145196</v>
      </c>
      <c r="AA598" s="212">
        <v>7266102</v>
      </c>
      <c r="AB598" s="217">
        <v>0.39993200000000001</v>
      </c>
      <c r="AC598" s="217">
        <v>0.64363000000000004</v>
      </c>
      <c r="AD598" s="212">
        <f t="shared" si="9"/>
        <v>2905946.7050640001</v>
      </c>
    </row>
    <row r="599" spans="2:30" x14ac:dyDescent="0.15">
      <c r="B599" s="213">
        <v>17031003502</v>
      </c>
      <c r="C599" s="213">
        <v>17999019973</v>
      </c>
      <c r="D599" s="213">
        <v>17031007547</v>
      </c>
      <c r="E599" s="213" t="s">
        <v>533</v>
      </c>
      <c r="F599" s="213" t="s">
        <v>534</v>
      </c>
      <c r="G599" s="213" t="s">
        <v>365</v>
      </c>
      <c r="H599" s="213" t="s">
        <v>552</v>
      </c>
      <c r="I599" s="213"/>
      <c r="J599" s="213" t="s">
        <v>547</v>
      </c>
      <c r="K599" s="213"/>
      <c r="L599" s="213"/>
      <c r="M599" s="213"/>
      <c r="N599" s="213"/>
      <c r="O599" s="213"/>
      <c r="P599" s="213"/>
      <c r="Q599" s="213"/>
      <c r="R599" s="213"/>
      <c r="S599" s="213" t="s">
        <v>589</v>
      </c>
      <c r="T599" s="213"/>
      <c r="U599" s="213" t="s">
        <v>538</v>
      </c>
      <c r="V599" s="213">
        <v>2</v>
      </c>
      <c r="W599" s="213" t="s">
        <v>545</v>
      </c>
      <c r="X599" s="213" t="s">
        <v>549</v>
      </c>
      <c r="Y599" s="213" t="s">
        <v>540</v>
      </c>
      <c r="Z599" s="212">
        <v>38058</v>
      </c>
      <c r="AA599" s="212">
        <v>3590544</v>
      </c>
      <c r="AB599" s="217">
        <v>0.72777499999999995</v>
      </c>
      <c r="AC599" s="217">
        <v>1.171243</v>
      </c>
      <c r="AD599" s="212">
        <f t="shared" si="9"/>
        <v>2613108.1595999999</v>
      </c>
    </row>
    <row r="600" spans="2:30" x14ac:dyDescent="0.15">
      <c r="B600" s="213">
        <v>17031003505</v>
      </c>
      <c r="C600" s="213">
        <v>17031004654</v>
      </c>
      <c r="D600" s="213">
        <v>17031000675</v>
      </c>
      <c r="E600" s="213" t="s">
        <v>533</v>
      </c>
      <c r="F600" s="213" t="s">
        <v>534</v>
      </c>
      <c r="G600" s="213" t="s">
        <v>365</v>
      </c>
      <c r="H600" s="213" t="s">
        <v>535</v>
      </c>
      <c r="I600" s="213"/>
      <c r="J600" s="213"/>
      <c r="K600" s="213"/>
      <c r="L600" s="213"/>
      <c r="M600" s="213"/>
      <c r="N600" s="213"/>
      <c r="O600" s="213"/>
      <c r="P600" s="213"/>
      <c r="Q600" s="213"/>
      <c r="R600" s="213"/>
      <c r="S600" s="213" t="s">
        <v>624</v>
      </c>
      <c r="T600" s="213"/>
      <c r="U600" s="213" t="s">
        <v>538</v>
      </c>
      <c r="V600" s="213">
        <v>1</v>
      </c>
      <c r="W600" s="213" t="s">
        <v>582</v>
      </c>
      <c r="X600" s="213" t="s">
        <v>540</v>
      </c>
      <c r="Y600" s="213" t="s">
        <v>554</v>
      </c>
      <c r="Z600" s="212">
        <v>1960</v>
      </c>
      <c r="AA600" s="212">
        <v>160440</v>
      </c>
      <c r="AB600" s="217">
        <v>1.958852</v>
      </c>
      <c r="AC600" s="217">
        <v>3.1524730000000001</v>
      </c>
      <c r="AD600" s="212">
        <f t="shared" si="9"/>
        <v>314278.21487999998</v>
      </c>
    </row>
    <row r="601" spans="2:30" x14ac:dyDescent="0.15">
      <c r="B601" s="213">
        <v>17031003554</v>
      </c>
      <c r="C601" s="213">
        <v>17031004688</v>
      </c>
      <c r="D601" s="213">
        <v>17031001164</v>
      </c>
      <c r="E601" s="213" t="s">
        <v>533</v>
      </c>
      <c r="F601" s="213" t="s">
        <v>534</v>
      </c>
      <c r="G601" s="213" t="s">
        <v>365</v>
      </c>
      <c r="H601" s="213" t="s">
        <v>547</v>
      </c>
      <c r="I601" s="213"/>
      <c r="J601" s="213" t="s">
        <v>543</v>
      </c>
      <c r="K601" s="213"/>
      <c r="L601" s="213"/>
      <c r="M601" s="213"/>
      <c r="N601" s="213"/>
      <c r="O601" s="213"/>
      <c r="P601" s="213"/>
      <c r="Q601" s="213"/>
      <c r="R601" s="213"/>
      <c r="S601" s="213" t="s">
        <v>602</v>
      </c>
      <c r="T601" s="213"/>
      <c r="U601" s="213" t="s">
        <v>538</v>
      </c>
      <c r="V601" s="213">
        <v>2</v>
      </c>
      <c r="W601" s="213" t="s">
        <v>582</v>
      </c>
      <c r="X601" s="213" t="s">
        <v>540</v>
      </c>
      <c r="Y601" s="213" t="s">
        <v>541</v>
      </c>
      <c r="Z601" s="212">
        <v>520</v>
      </c>
      <c r="AA601" s="212">
        <v>37800</v>
      </c>
      <c r="AB601" s="217">
        <v>0.110498</v>
      </c>
      <c r="AC601" s="217">
        <v>0.17782999999999999</v>
      </c>
      <c r="AD601" s="212">
        <f t="shared" si="9"/>
        <v>4176.8243999999995</v>
      </c>
    </row>
    <row r="602" spans="2:30" x14ac:dyDescent="0.15">
      <c r="B602" s="213">
        <v>17031003555</v>
      </c>
      <c r="C602" s="213">
        <v>17031001250</v>
      </c>
      <c r="D602" s="213">
        <v>17031004724</v>
      </c>
      <c r="E602" s="213" t="s">
        <v>533</v>
      </c>
      <c r="F602" s="213" t="s">
        <v>534</v>
      </c>
      <c r="G602" s="213" t="s">
        <v>365</v>
      </c>
      <c r="H602" s="213" t="s">
        <v>547</v>
      </c>
      <c r="I602" s="213"/>
      <c r="J602" s="213"/>
      <c r="K602" s="213"/>
      <c r="L602" s="213"/>
      <c r="M602" s="213"/>
      <c r="N602" s="213"/>
      <c r="O602" s="213"/>
      <c r="P602" s="213"/>
      <c r="Q602" s="213"/>
      <c r="R602" s="213"/>
      <c r="S602" s="213"/>
      <c r="T602" s="213"/>
      <c r="U602" s="213" t="s">
        <v>538</v>
      </c>
      <c r="V602" s="213">
        <v>1</v>
      </c>
      <c r="W602" s="213" t="s">
        <v>582</v>
      </c>
      <c r="X602" s="213" t="s">
        <v>541</v>
      </c>
      <c r="Y602" s="213" t="s">
        <v>541</v>
      </c>
      <c r="Z602" s="212">
        <v>0</v>
      </c>
      <c r="AA602" s="212">
        <v>0</v>
      </c>
      <c r="AB602" s="217">
        <v>0.48896400000000001</v>
      </c>
      <c r="AC602" s="217">
        <v>0.78691199999999994</v>
      </c>
      <c r="AD602" s="212">
        <f t="shared" si="9"/>
        <v>0</v>
      </c>
    </row>
    <row r="603" spans="2:30" x14ac:dyDescent="0.15">
      <c r="B603" s="213">
        <v>17031003580</v>
      </c>
      <c r="C603" s="213">
        <v>17031000944</v>
      </c>
      <c r="D603" s="213">
        <v>17031000936</v>
      </c>
      <c r="E603" s="213" t="s">
        <v>533</v>
      </c>
      <c r="F603" s="213" t="s">
        <v>534</v>
      </c>
      <c r="G603" s="213" t="s">
        <v>365</v>
      </c>
      <c r="H603" s="213" t="s">
        <v>557</v>
      </c>
      <c r="I603" s="213"/>
      <c r="J603" s="213" t="s">
        <v>381</v>
      </c>
      <c r="K603" s="213" t="s">
        <v>571</v>
      </c>
      <c r="L603" s="213" t="s">
        <v>535</v>
      </c>
      <c r="M603" s="213" t="s">
        <v>552</v>
      </c>
      <c r="N603" s="213" t="s">
        <v>551</v>
      </c>
      <c r="O603" s="213" t="s">
        <v>543</v>
      </c>
      <c r="P603" s="213" t="s">
        <v>382</v>
      </c>
      <c r="Q603" s="213" t="s">
        <v>563</v>
      </c>
      <c r="R603" s="213"/>
      <c r="S603" s="213" t="s">
        <v>570</v>
      </c>
      <c r="T603" s="213"/>
      <c r="U603" s="213" t="s">
        <v>538</v>
      </c>
      <c r="V603" s="213">
        <v>2</v>
      </c>
      <c r="W603" s="213" t="s">
        <v>545</v>
      </c>
      <c r="X603" s="213" t="s">
        <v>540</v>
      </c>
      <c r="Y603" s="213" t="s">
        <v>575</v>
      </c>
      <c r="Z603" s="212">
        <v>1088669</v>
      </c>
      <c r="AA603" s="212">
        <v>71722165</v>
      </c>
      <c r="AB603" s="217">
        <v>0.19883500000000001</v>
      </c>
      <c r="AC603" s="217">
        <v>0.319994</v>
      </c>
      <c r="AD603" s="212">
        <f t="shared" si="9"/>
        <v>14260876.677775001</v>
      </c>
    </row>
    <row r="604" spans="2:30" x14ac:dyDescent="0.15">
      <c r="B604" s="213">
        <v>17031003582</v>
      </c>
      <c r="C604" s="213">
        <v>17031000545</v>
      </c>
      <c r="D604" s="213">
        <v>17031000546</v>
      </c>
      <c r="E604" s="213" t="s">
        <v>533</v>
      </c>
      <c r="F604" s="213" t="s">
        <v>534</v>
      </c>
      <c r="G604" s="213" t="s">
        <v>365</v>
      </c>
      <c r="H604" s="213" t="s">
        <v>382</v>
      </c>
      <c r="I604" s="213"/>
      <c r="J604" s="213" t="s">
        <v>547</v>
      </c>
      <c r="K604" s="213"/>
      <c r="L604" s="213"/>
      <c r="M604" s="213"/>
      <c r="N604" s="213"/>
      <c r="O604" s="213"/>
      <c r="P604" s="213"/>
      <c r="Q604" s="213"/>
      <c r="R604" s="213"/>
      <c r="S604" s="213" t="s">
        <v>583</v>
      </c>
      <c r="T604" s="213" t="s">
        <v>626</v>
      </c>
      <c r="U604" s="213" t="s">
        <v>538</v>
      </c>
      <c r="V604" s="213">
        <v>3</v>
      </c>
      <c r="W604" s="213" t="s">
        <v>545</v>
      </c>
      <c r="X604" s="213" t="s">
        <v>549</v>
      </c>
      <c r="Y604" s="213" t="s">
        <v>580</v>
      </c>
      <c r="Z604" s="212">
        <v>1000337</v>
      </c>
      <c r="AA604" s="212">
        <v>33341464</v>
      </c>
      <c r="AB604" s="217">
        <v>0.21718299999999999</v>
      </c>
      <c r="AC604" s="217">
        <v>0.349522</v>
      </c>
      <c r="AD604" s="212">
        <f t="shared" si="9"/>
        <v>7241199.1759119993</v>
      </c>
    </row>
    <row r="605" spans="2:30" x14ac:dyDescent="0.15">
      <c r="B605" s="213">
        <v>17031003603</v>
      </c>
      <c r="C605" s="213">
        <v>17031000977</v>
      </c>
      <c r="D605" s="213">
        <v>17031001005</v>
      </c>
      <c r="E605" s="213" t="s">
        <v>533</v>
      </c>
      <c r="F605" s="213" t="s">
        <v>534</v>
      </c>
      <c r="G605" s="213" t="s">
        <v>365</v>
      </c>
      <c r="H605" s="213" t="s">
        <v>571</v>
      </c>
      <c r="I605" s="213"/>
      <c r="J605" s="213" t="s">
        <v>381</v>
      </c>
      <c r="K605" s="213" t="s">
        <v>535</v>
      </c>
      <c r="L605" s="213" t="s">
        <v>552</v>
      </c>
      <c r="M605" s="213" t="s">
        <v>572</v>
      </c>
      <c r="N605" s="213" t="s">
        <v>551</v>
      </c>
      <c r="O605" s="213" t="s">
        <v>555</v>
      </c>
      <c r="P605" s="213" t="s">
        <v>543</v>
      </c>
      <c r="Q605" s="213" t="s">
        <v>382</v>
      </c>
      <c r="R605" s="213" t="s">
        <v>563</v>
      </c>
      <c r="S605" s="213" t="s">
        <v>573</v>
      </c>
      <c r="T605" s="213" t="s">
        <v>574</v>
      </c>
      <c r="U605" s="213" t="s">
        <v>538</v>
      </c>
      <c r="V605" s="213">
        <v>2</v>
      </c>
      <c r="W605" s="213" t="s">
        <v>545</v>
      </c>
      <c r="X605" s="213" t="s">
        <v>554</v>
      </c>
      <c r="Y605" s="213" t="s">
        <v>575</v>
      </c>
      <c r="Z605" s="212">
        <v>368851</v>
      </c>
      <c r="AA605" s="212">
        <v>16478945</v>
      </c>
      <c r="AB605" s="217">
        <v>0.97281300000000004</v>
      </c>
      <c r="AC605" s="217">
        <v>1.565593</v>
      </c>
      <c r="AD605" s="212">
        <f t="shared" si="9"/>
        <v>16030931.922285</v>
      </c>
    </row>
    <row r="606" spans="2:30" x14ac:dyDescent="0.15">
      <c r="B606" s="213">
        <v>17031003604</v>
      </c>
      <c r="C606" s="213">
        <v>17031001005</v>
      </c>
      <c r="D606" s="213">
        <v>17031001008</v>
      </c>
      <c r="E606" s="213" t="s">
        <v>533</v>
      </c>
      <c r="F606" s="213" t="s">
        <v>534</v>
      </c>
      <c r="G606" s="213" t="s">
        <v>365</v>
      </c>
      <c r="H606" s="213" t="s">
        <v>571</v>
      </c>
      <c r="I606" s="213"/>
      <c r="J606" s="213" t="s">
        <v>381</v>
      </c>
      <c r="K606" s="213" t="s">
        <v>535</v>
      </c>
      <c r="L606" s="213" t="s">
        <v>552</v>
      </c>
      <c r="M606" s="213" t="s">
        <v>572</v>
      </c>
      <c r="N606" s="213" t="s">
        <v>551</v>
      </c>
      <c r="O606" s="213" t="s">
        <v>555</v>
      </c>
      <c r="P606" s="213" t="s">
        <v>543</v>
      </c>
      <c r="Q606" s="213" t="s">
        <v>382</v>
      </c>
      <c r="R606" s="213"/>
      <c r="S606" s="213" t="s">
        <v>573</v>
      </c>
      <c r="T606" s="213" t="s">
        <v>574</v>
      </c>
      <c r="U606" s="213" t="s">
        <v>538</v>
      </c>
      <c r="V606" s="213">
        <v>2</v>
      </c>
      <c r="W606" s="213" t="s">
        <v>545</v>
      </c>
      <c r="X606" s="213" t="s">
        <v>554</v>
      </c>
      <c r="Y606" s="213" t="s">
        <v>575</v>
      </c>
      <c r="Z606" s="212">
        <v>368851</v>
      </c>
      <c r="AA606" s="212">
        <v>16478945</v>
      </c>
      <c r="AB606" s="217">
        <v>0.22281899999999999</v>
      </c>
      <c r="AC606" s="217">
        <v>0.35859400000000002</v>
      </c>
      <c r="AD606" s="212">
        <f t="shared" si="9"/>
        <v>3671822.045955</v>
      </c>
    </row>
    <row r="607" spans="2:30" x14ac:dyDescent="0.15">
      <c r="B607" s="213">
        <v>17031003611</v>
      </c>
      <c r="C607" s="213">
        <v>17031006777</v>
      </c>
      <c r="D607" s="213">
        <v>17031006778</v>
      </c>
      <c r="E607" s="213" t="s">
        <v>533</v>
      </c>
      <c r="F607" s="213" t="s">
        <v>534</v>
      </c>
      <c r="G607" s="213" t="s">
        <v>365</v>
      </c>
      <c r="H607" s="213" t="s">
        <v>571</v>
      </c>
      <c r="I607" s="213"/>
      <c r="J607" s="213" t="s">
        <v>552</v>
      </c>
      <c r="K607" s="213" t="s">
        <v>572</v>
      </c>
      <c r="L607" s="213" t="s">
        <v>551</v>
      </c>
      <c r="M607" s="213" t="s">
        <v>555</v>
      </c>
      <c r="N607" s="213" t="s">
        <v>543</v>
      </c>
      <c r="O607" s="213" t="s">
        <v>382</v>
      </c>
      <c r="P607" s="213" t="s">
        <v>535</v>
      </c>
      <c r="Q607" s="213" t="s">
        <v>381</v>
      </c>
      <c r="R607" s="213"/>
      <c r="S607" s="213" t="s">
        <v>573</v>
      </c>
      <c r="T607" s="213" t="s">
        <v>677</v>
      </c>
      <c r="U607" s="213" t="s">
        <v>538</v>
      </c>
      <c r="V607" s="213">
        <v>2</v>
      </c>
      <c r="W607" s="213" t="s">
        <v>545</v>
      </c>
      <c r="X607" s="213" t="s">
        <v>554</v>
      </c>
      <c r="Y607" s="213" t="s">
        <v>580</v>
      </c>
      <c r="Z607" s="212">
        <v>368851</v>
      </c>
      <c r="AA607" s="212">
        <v>16478945</v>
      </c>
      <c r="AB607" s="217">
        <v>0.71130300000000002</v>
      </c>
      <c r="AC607" s="217">
        <v>1.1447339999999999</v>
      </c>
      <c r="AD607" s="212">
        <f t="shared" si="9"/>
        <v>11721523.015335001</v>
      </c>
    </row>
    <row r="608" spans="2:30" x14ac:dyDescent="0.15">
      <c r="B608" s="213">
        <v>17031003613</v>
      </c>
      <c r="C608" s="213">
        <v>17031001022</v>
      </c>
      <c r="D608" s="213">
        <v>17031001020</v>
      </c>
      <c r="E608" s="213" t="s">
        <v>533</v>
      </c>
      <c r="F608" s="213" t="s">
        <v>534</v>
      </c>
      <c r="G608" s="213" t="s">
        <v>365</v>
      </c>
      <c r="H608" s="213" t="s">
        <v>571</v>
      </c>
      <c r="I608" s="213"/>
      <c r="J608" s="213" t="s">
        <v>552</v>
      </c>
      <c r="K608" s="213" t="s">
        <v>572</v>
      </c>
      <c r="L608" s="213" t="s">
        <v>551</v>
      </c>
      <c r="M608" s="213" t="s">
        <v>555</v>
      </c>
      <c r="N608" s="213" t="s">
        <v>543</v>
      </c>
      <c r="O608" s="213" t="s">
        <v>382</v>
      </c>
      <c r="P608" s="213" t="s">
        <v>535</v>
      </c>
      <c r="Q608" s="213" t="s">
        <v>381</v>
      </c>
      <c r="R608" s="213"/>
      <c r="S608" s="213" t="s">
        <v>573</v>
      </c>
      <c r="T608" s="213"/>
      <c r="U608" s="213" t="s">
        <v>538</v>
      </c>
      <c r="V608" s="213">
        <v>2</v>
      </c>
      <c r="W608" s="213" t="s">
        <v>545</v>
      </c>
      <c r="X608" s="213" t="s">
        <v>554</v>
      </c>
      <c r="Y608" s="213" t="s">
        <v>580</v>
      </c>
      <c r="Z608" s="212">
        <v>344163</v>
      </c>
      <c r="AA608" s="212">
        <v>13507547</v>
      </c>
      <c r="AB608" s="217">
        <v>8.6189000000000002E-2</v>
      </c>
      <c r="AC608" s="217">
        <v>0.138708</v>
      </c>
      <c r="AD608" s="212">
        <f t="shared" si="9"/>
        <v>1164201.968383</v>
      </c>
    </row>
    <row r="609" spans="2:30" x14ac:dyDescent="0.15">
      <c r="B609" s="213">
        <v>17031003618</v>
      </c>
      <c r="C609" s="213">
        <v>17031001317</v>
      </c>
      <c r="D609" s="213">
        <v>17031001300</v>
      </c>
      <c r="E609" s="213" t="s">
        <v>533</v>
      </c>
      <c r="F609" s="213" t="s">
        <v>534</v>
      </c>
      <c r="G609" s="213" t="s">
        <v>365</v>
      </c>
      <c r="H609" s="213" t="s">
        <v>551</v>
      </c>
      <c r="I609" s="213"/>
      <c r="J609" s="213" t="s">
        <v>381</v>
      </c>
      <c r="K609" s="213" t="s">
        <v>535</v>
      </c>
      <c r="L609" s="213" t="s">
        <v>552</v>
      </c>
      <c r="M609" s="213"/>
      <c r="N609" s="213"/>
      <c r="O609" s="213"/>
      <c r="P609" s="213"/>
      <c r="Q609" s="213"/>
      <c r="R609" s="213"/>
      <c r="S609" s="213" t="s">
        <v>603</v>
      </c>
      <c r="T609" s="213" t="s">
        <v>603</v>
      </c>
      <c r="U609" s="213" t="s">
        <v>538</v>
      </c>
      <c r="V609" s="213">
        <v>2</v>
      </c>
      <c r="W609" s="213" t="s">
        <v>545</v>
      </c>
      <c r="X609" s="213" t="s">
        <v>540</v>
      </c>
      <c r="Y609" s="213" t="s">
        <v>575</v>
      </c>
      <c r="Z609" s="212">
        <v>367452</v>
      </c>
      <c r="AA609" s="212">
        <v>23839118</v>
      </c>
      <c r="AB609" s="217">
        <v>1.807987</v>
      </c>
      <c r="AC609" s="217">
        <v>2.9096790000000001</v>
      </c>
      <c r="AD609" s="212">
        <f t="shared" si="9"/>
        <v>43100815.435465999</v>
      </c>
    </row>
    <row r="610" spans="2:30" x14ac:dyDescent="0.15">
      <c r="B610" s="213">
        <v>17031003621</v>
      </c>
      <c r="C610" s="213">
        <v>17031001329</v>
      </c>
      <c r="D610" s="213">
        <v>17031001325</v>
      </c>
      <c r="E610" s="213" t="s">
        <v>533</v>
      </c>
      <c r="F610" s="213" t="s">
        <v>534</v>
      </c>
      <c r="G610" s="213" t="s">
        <v>365</v>
      </c>
      <c r="H610" s="213" t="s">
        <v>551</v>
      </c>
      <c r="I610" s="213"/>
      <c r="J610" s="213" t="s">
        <v>381</v>
      </c>
      <c r="K610" s="213" t="s">
        <v>535</v>
      </c>
      <c r="L610" s="213" t="s">
        <v>552</v>
      </c>
      <c r="M610" s="213"/>
      <c r="N610" s="213"/>
      <c r="O610" s="213"/>
      <c r="P610" s="213"/>
      <c r="Q610" s="213"/>
      <c r="R610" s="213"/>
      <c r="S610" s="213" t="s">
        <v>603</v>
      </c>
      <c r="T610" s="213"/>
      <c r="U610" s="213" t="s">
        <v>538</v>
      </c>
      <c r="V610" s="213">
        <v>2</v>
      </c>
      <c r="W610" s="213" t="s">
        <v>545</v>
      </c>
      <c r="X610" s="213" t="s">
        <v>540</v>
      </c>
      <c r="Y610" s="213" t="s">
        <v>575</v>
      </c>
      <c r="Z610" s="212">
        <v>364252</v>
      </c>
      <c r="AA610" s="212">
        <v>23533702</v>
      </c>
      <c r="AB610" s="217">
        <v>0.24329899999999999</v>
      </c>
      <c r="AC610" s="217">
        <v>0.39155299999999998</v>
      </c>
      <c r="AD610" s="212">
        <f t="shared" si="9"/>
        <v>5725726.1628979994</v>
      </c>
    </row>
    <row r="611" spans="2:30" x14ac:dyDescent="0.15">
      <c r="B611" s="213">
        <v>17031003623</v>
      </c>
      <c r="C611" s="213">
        <v>17031000920</v>
      </c>
      <c r="D611" s="213">
        <v>17031000907</v>
      </c>
      <c r="E611" s="213" t="s">
        <v>533</v>
      </c>
      <c r="F611" s="213" t="s">
        <v>534</v>
      </c>
      <c r="G611" s="213" t="s">
        <v>365</v>
      </c>
      <c r="H611" s="213" t="s">
        <v>547</v>
      </c>
      <c r="I611" s="213"/>
      <c r="J611" s="213" t="s">
        <v>577</v>
      </c>
      <c r="K611" s="213"/>
      <c r="L611" s="213"/>
      <c r="M611" s="213"/>
      <c r="N611" s="213"/>
      <c r="O611" s="213"/>
      <c r="P611" s="213"/>
      <c r="Q611" s="213"/>
      <c r="R611" s="213"/>
      <c r="S611" s="213" t="s">
        <v>581</v>
      </c>
      <c r="T611" s="213"/>
      <c r="U611" s="213" t="s">
        <v>538</v>
      </c>
      <c r="V611" s="213">
        <v>2</v>
      </c>
      <c r="W611" s="213" t="s">
        <v>582</v>
      </c>
      <c r="X611" s="213" t="s">
        <v>540</v>
      </c>
      <c r="Y611" s="213" t="s">
        <v>541</v>
      </c>
      <c r="Z611" s="212">
        <v>0</v>
      </c>
      <c r="AA611" s="212">
        <v>0</v>
      </c>
      <c r="AB611" s="217">
        <v>0.54191900000000004</v>
      </c>
      <c r="AC611" s="217">
        <v>0.87213499999999999</v>
      </c>
      <c r="AD611" s="212">
        <f t="shared" si="9"/>
        <v>0</v>
      </c>
    </row>
    <row r="612" spans="2:30" x14ac:dyDescent="0.15">
      <c r="B612" s="213">
        <v>17031003626</v>
      </c>
      <c r="C612" s="213">
        <v>17031000803</v>
      </c>
      <c r="D612" s="213">
        <v>17031007918</v>
      </c>
      <c r="E612" s="213" t="s">
        <v>533</v>
      </c>
      <c r="F612" s="213" t="s">
        <v>534</v>
      </c>
      <c r="G612" s="213" t="s">
        <v>365</v>
      </c>
      <c r="H612" s="213" t="s">
        <v>543</v>
      </c>
      <c r="I612" s="213"/>
      <c r="J612" s="213" t="s">
        <v>535</v>
      </c>
      <c r="K612" s="213"/>
      <c r="L612" s="213"/>
      <c r="M612" s="213"/>
      <c r="N612" s="213"/>
      <c r="O612" s="213"/>
      <c r="P612" s="213"/>
      <c r="Q612" s="213"/>
      <c r="R612" s="213"/>
      <c r="S612" s="213" t="s">
        <v>639</v>
      </c>
      <c r="T612" s="213"/>
      <c r="U612" s="213" t="s">
        <v>538</v>
      </c>
      <c r="V612" s="213">
        <v>2</v>
      </c>
      <c r="W612" s="213" t="s">
        <v>560</v>
      </c>
      <c r="X612" s="213" t="s">
        <v>541</v>
      </c>
      <c r="Y612" s="213" t="s">
        <v>541</v>
      </c>
      <c r="Z612" s="212">
        <v>0</v>
      </c>
      <c r="AA612" s="212">
        <v>0</v>
      </c>
      <c r="AB612" s="217">
        <v>0.101657</v>
      </c>
      <c r="AC612" s="217">
        <v>0.163601</v>
      </c>
      <c r="AD612" s="212">
        <f t="shared" si="9"/>
        <v>0</v>
      </c>
    </row>
    <row r="613" spans="2:30" x14ac:dyDescent="0.15">
      <c r="B613" s="213">
        <v>17031003632</v>
      </c>
      <c r="C613" s="213">
        <v>17031001021</v>
      </c>
      <c r="D613" s="213">
        <v>17031001044</v>
      </c>
      <c r="E613" s="213" t="s">
        <v>533</v>
      </c>
      <c r="F613" s="213" t="s">
        <v>534</v>
      </c>
      <c r="G613" s="213" t="s">
        <v>365</v>
      </c>
      <c r="H613" s="213" t="s">
        <v>551</v>
      </c>
      <c r="I613" s="213"/>
      <c r="J613" s="213"/>
      <c r="K613" s="213"/>
      <c r="L613" s="213"/>
      <c r="M613" s="213"/>
      <c r="N613" s="213"/>
      <c r="O613" s="213"/>
      <c r="P613" s="213"/>
      <c r="Q613" s="213"/>
      <c r="R613" s="213"/>
      <c r="S613" s="213" t="s">
        <v>600</v>
      </c>
      <c r="T613" s="213" t="s">
        <v>699</v>
      </c>
      <c r="U613" s="213" t="s">
        <v>538</v>
      </c>
      <c r="V613" s="213">
        <v>2</v>
      </c>
      <c r="W613" s="213" t="s">
        <v>582</v>
      </c>
      <c r="X613" s="213" t="s">
        <v>554</v>
      </c>
      <c r="Y613" s="213" t="s">
        <v>575</v>
      </c>
      <c r="Z613" s="212">
        <v>179731</v>
      </c>
      <c r="AA613" s="212">
        <v>7982557</v>
      </c>
      <c r="AB613" s="217">
        <v>0.49623</v>
      </c>
      <c r="AC613" s="217">
        <v>0.79860699999999996</v>
      </c>
      <c r="AD613" s="212">
        <f t="shared" si="9"/>
        <v>3961184.2601100001</v>
      </c>
    </row>
    <row r="614" spans="2:30" x14ac:dyDescent="0.15">
      <c r="B614" s="213">
        <v>17031003635</v>
      </c>
      <c r="C614" s="213">
        <v>17031000800</v>
      </c>
      <c r="D614" s="213">
        <v>17031000799</v>
      </c>
      <c r="E614" s="213" t="s">
        <v>533</v>
      </c>
      <c r="F614" s="213" t="s">
        <v>534</v>
      </c>
      <c r="G614" s="213" t="s">
        <v>365</v>
      </c>
      <c r="H614" s="213" t="s">
        <v>543</v>
      </c>
      <c r="I614" s="213"/>
      <c r="J614" s="213" t="s">
        <v>382</v>
      </c>
      <c r="K614" s="213"/>
      <c r="L614" s="213"/>
      <c r="M614" s="213"/>
      <c r="N614" s="213"/>
      <c r="O614" s="213"/>
      <c r="P614" s="213"/>
      <c r="Q614" s="213"/>
      <c r="R614" s="213"/>
      <c r="S614" s="213" t="s">
        <v>639</v>
      </c>
      <c r="T614" s="213"/>
      <c r="U614" s="213" t="s">
        <v>538</v>
      </c>
      <c r="V614" s="213">
        <v>2</v>
      </c>
      <c r="W614" s="213" t="s">
        <v>560</v>
      </c>
      <c r="X614" s="213" t="s">
        <v>541</v>
      </c>
      <c r="Y614" s="213" t="s">
        <v>549</v>
      </c>
      <c r="Z614" s="212">
        <v>2036028</v>
      </c>
      <c r="AA614" s="212">
        <v>59308526</v>
      </c>
      <c r="AB614" s="217">
        <v>0.20157</v>
      </c>
      <c r="AC614" s="217">
        <v>0.32439600000000002</v>
      </c>
      <c r="AD614" s="212">
        <f t="shared" si="9"/>
        <v>11954819.585820001</v>
      </c>
    </row>
    <row r="615" spans="2:30" x14ac:dyDescent="0.15">
      <c r="B615" s="213">
        <v>17031003636</v>
      </c>
      <c r="C615" s="213">
        <v>17031001068</v>
      </c>
      <c r="D615" s="213">
        <v>17031001078</v>
      </c>
      <c r="E615" s="213" t="s">
        <v>533</v>
      </c>
      <c r="F615" s="213" t="s">
        <v>534</v>
      </c>
      <c r="G615" s="213" t="s">
        <v>365</v>
      </c>
      <c r="H615" s="213" t="s">
        <v>547</v>
      </c>
      <c r="I615" s="213"/>
      <c r="J615" s="213" t="s">
        <v>577</v>
      </c>
      <c r="K615" s="213"/>
      <c r="L615" s="213"/>
      <c r="M615" s="213"/>
      <c r="N615" s="213"/>
      <c r="O615" s="213"/>
      <c r="P615" s="213"/>
      <c r="Q615" s="213"/>
      <c r="R615" s="213"/>
      <c r="S615" s="213" t="s">
        <v>581</v>
      </c>
      <c r="T615" s="213"/>
      <c r="U615" s="213" t="s">
        <v>538</v>
      </c>
      <c r="V615" s="213">
        <v>2</v>
      </c>
      <c r="W615" s="213" t="s">
        <v>582</v>
      </c>
      <c r="X615" s="213" t="s">
        <v>540</v>
      </c>
      <c r="Y615" s="213" t="s">
        <v>541</v>
      </c>
      <c r="Z615" s="212">
        <v>0</v>
      </c>
      <c r="AA615" s="212">
        <v>0</v>
      </c>
      <c r="AB615" s="217">
        <v>0.33006600000000003</v>
      </c>
      <c r="AC615" s="217">
        <v>0.53119099999999997</v>
      </c>
      <c r="AD615" s="212">
        <f t="shared" si="9"/>
        <v>0</v>
      </c>
    </row>
    <row r="616" spans="2:30" x14ac:dyDescent="0.15">
      <c r="B616" s="213">
        <v>17031003638</v>
      </c>
      <c r="C616" s="213">
        <v>17031001030</v>
      </c>
      <c r="D616" s="213">
        <v>17031000920</v>
      </c>
      <c r="E616" s="213" t="s">
        <v>533</v>
      </c>
      <c r="F616" s="213" t="s">
        <v>534</v>
      </c>
      <c r="G616" s="213" t="s">
        <v>365</v>
      </c>
      <c r="H616" s="213" t="s">
        <v>547</v>
      </c>
      <c r="I616" s="213"/>
      <c r="J616" s="213" t="s">
        <v>577</v>
      </c>
      <c r="K616" s="213"/>
      <c r="L616" s="213"/>
      <c r="M616" s="213"/>
      <c r="N616" s="213"/>
      <c r="O616" s="213"/>
      <c r="P616" s="213"/>
      <c r="Q616" s="213"/>
      <c r="R616" s="213"/>
      <c r="S616" s="213" t="s">
        <v>581</v>
      </c>
      <c r="T616" s="213"/>
      <c r="U616" s="213" t="s">
        <v>538</v>
      </c>
      <c r="V616" s="213">
        <v>2</v>
      </c>
      <c r="W616" s="213" t="s">
        <v>582</v>
      </c>
      <c r="X616" s="213" t="s">
        <v>540</v>
      </c>
      <c r="Y616" s="213" t="s">
        <v>541</v>
      </c>
      <c r="Z616" s="212">
        <v>0</v>
      </c>
      <c r="AA616" s="212">
        <v>0</v>
      </c>
      <c r="AB616" s="217">
        <v>2.9531239999999999</v>
      </c>
      <c r="AC616" s="217">
        <v>4.7526029999999997</v>
      </c>
      <c r="AD616" s="212">
        <f t="shared" si="9"/>
        <v>0</v>
      </c>
    </row>
    <row r="617" spans="2:30" x14ac:dyDescent="0.15">
      <c r="B617" s="213">
        <v>17031003640</v>
      </c>
      <c r="C617" s="213">
        <v>17031000717</v>
      </c>
      <c r="D617" s="213">
        <v>17031004673</v>
      </c>
      <c r="E617" s="213" t="s">
        <v>533</v>
      </c>
      <c r="F617" s="213" t="s">
        <v>534</v>
      </c>
      <c r="G617" s="213" t="s">
        <v>365</v>
      </c>
      <c r="H617" s="213" t="s">
        <v>571</v>
      </c>
      <c r="I617" s="213"/>
      <c r="J617" s="213" t="s">
        <v>381</v>
      </c>
      <c r="K617" s="213" t="s">
        <v>535</v>
      </c>
      <c r="L617" s="213" t="s">
        <v>543</v>
      </c>
      <c r="M617" s="213"/>
      <c r="N617" s="213"/>
      <c r="O617" s="213"/>
      <c r="P617" s="213"/>
      <c r="Q617" s="213"/>
      <c r="R617" s="213"/>
      <c r="S617" s="213"/>
      <c r="T617" s="213"/>
      <c r="U617" s="213" t="s">
        <v>538</v>
      </c>
      <c r="V617" s="213">
        <v>1</v>
      </c>
      <c r="W617" s="213" t="s">
        <v>545</v>
      </c>
      <c r="X617" s="213" t="s">
        <v>541</v>
      </c>
      <c r="Y617" s="213" t="s">
        <v>540</v>
      </c>
      <c r="Z617" s="212">
        <v>820479</v>
      </c>
      <c r="AA617" s="212">
        <v>36265218</v>
      </c>
      <c r="AB617" s="217">
        <v>0.50626099999999996</v>
      </c>
      <c r="AC617" s="217">
        <v>0.81474999999999997</v>
      </c>
      <c r="AD617" s="212">
        <f t="shared" si="9"/>
        <v>18359665.529897999</v>
      </c>
    </row>
    <row r="618" spans="2:30" x14ac:dyDescent="0.15">
      <c r="B618" s="213">
        <v>17031003644</v>
      </c>
      <c r="C618" s="213">
        <v>17031000704</v>
      </c>
      <c r="D618" s="213">
        <v>17031004762</v>
      </c>
      <c r="E618" s="213" t="s">
        <v>533</v>
      </c>
      <c r="F618" s="213" t="s">
        <v>534</v>
      </c>
      <c r="G618" s="213" t="s">
        <v>365</v>
      </c>
      <c r="H618" s="213" t="s">
        <v>382</v>
      </c>
      <c r="I618" s="213"/>
      <c r="J618" s="213"/>
      <c r="K618" s="213"/>
      <c r="L618" s="213"/>
      <c r="M618" s="213"/>
      <c r="N618" s="213"/>
      <c r="O618" s="213"/>
      <c r="P618" s="213"/>
      <c r="Q618" s="213"/>
      <c r="R618" s="213"/>
      <c r="S618" s="213"/>
      <c r="T618" s="213"/>
      <c r="U618" s="213" t="s">
        <v>559</v>
      </c>
      <c r="V618" s="213">
        <v>1</v>
      </c>
      <c r="W618" s="213" t="s">
        <v>560</v>
      </c>
      <c r="X618" s="213" t="s">
        <v>541</v>
      </c>
      <c r="Y618" s="213" t="s">
        <v>541</v>
      </c>
      <c r="Z618" s="212">
        <v>640</v>
      </c>
      <c r="AA618" s="212">
        <v>34200</v>
      </c>
      <c r="AB618" s="217">
        <v>0.26228200000000002</v>
      </c>
      <c r="AC618" s="217">
        <v>0.42210300000000001</v>
      </c>
      <c r="AD618" s="212">
        <f t="shared" si="9"/>
        <v>8970.0444000000007</v>
      </c>
    </row>
    <row r="619" spans="2:30" x14ac:dyDescent="0.15">
      <c r="B619" s="213">
        <v>17031003660</v>
      </c>
      <c r="C619" s="213">
        <v>17031001079</v>
      </c>
      <c r="D619" s="213">
        <v>17031001070</v>
      </c>
      <c r="E619" s="213" t="s">
        <v>533</v>
      </c>
      <c r="F619" s="213" t="s">
        <v>534</v>
      </c>
      <c r="G619" s="213" t="s">
        <v>365</v>
      </c>
      <c r="H619" s="213" t="s">
        <v>547</v>
      </c>
      <c r="I619" s="213"/>
      <c r="J619" s="213"/>
      <c r="K619" s="213"/>
      <c r="L619" s="213"/>
      <c r="M619" s="213"/>
      <c r="N619" s="213"/>
      <c r="O619" s="213"/>
      <c r="P619" s="213"/>
      <c r="Q619" s="213"/>
      <c r="R619" s="213"/>
      <c r="S619" s="213" t="s">
        <v>611</v>
      </c>
      <c r="T619" s="213"/>
      <c r="U619" s="213" t="s">
        <v>538</v>
      </c>
      <c r="V619" s="213">
        <v>2</v>
      </c>
      <c r="W619" s="213" t="s">
        <v>582</v>
      </c>
      <c r="X619" s="213" t="s">
        <v>540</v>
      </c>
      <c r="Y619" s="213" t="s">
        <v>541</v>
      </c>
      <c r="Z619" s="212">
        <v>0</v>
      </c>
      <c r="AA619" s="212">
        <v>0</v>
      </c>
      <c r="AB619" s="217">
        <v>0.59193399999999996</v>
      </c>
      <c r="AC619" s="217">
        <v>0.95262800000000003</v>
      </c>
      <c r="AD619" s="212">
        <f t="shared" si="9"/>
        <v>0</v>
      </c>
    </row>
    <row r="620" spans="2:30" x14ac:dyDescent="0.15">
      <c r="B620" s="213">
        <v>17031003661</v>
      </c>
      <c r="C620" s="213">
        <v>17031001044</v>
      </c>
      <c r="D620" s="213">
        <v>17031001053</v>
      </c>
      <c r="E620" s="213" t="s">
        <v>533</v>
      </c>
      <c r="F620" s="213" t="s">
        <v>534</v>
      </c>
      <c r="G620" s="213" t="s">
        <v>365</v>
      </c>
      <c r="H620" s="213" t="s">
        <v>551</v>
      </c>
      <c r="I620" s="213"/>
      <c r="J620" s="213"/>
      <c r="K620" s="213"/>
      <c r="L620" s="213"/>
      <c r="M620" s="213"/>
      <c r="N620" s="213"/>
      <c r="O620" s="213"/>
      <c r="P620" s="213"/>
      <c r="Q620" s="213"/>
      <c r="R620" s="213"/>
      <c r="S620" s="213" t="s">
        <v>600</v>
      </c>
      <c r="T620" s="213"/>
      <c r="U620" s="213" t="s">
        <v>538</v>
      </c>
      <c r="V620" s="213">
        <v>2</v>
      </c>
      <c r="W620" s="213" t="s">
        <v>582</v>
      </c>
      <c r="X620" s="213" t="s">
        <v>554</v>
      </c>
      <c r="Y620" s="213" t="s">
        <v>575</v>
      </c>
      <c r="Z620" s="212">
        <v>179731</v>
      </c>
      <c r="AA620" s="212">
        <v>7982557</v>
      </c>
      <c r="AB620" s="217">
        <v>0.200456</v>
      </c>
      <c r="AC620" s="217">
        <v>0.32260299999999997</v>
      </c>
      <c r="AD620" s="212">
        <f t="shared" si="9"/>
        <v>1600151.4459919999</v>
      </c>
    </row>
    <row r="621" spans="2:30" x14ac:dyDescent="0.15">
      <c r="B621" s="213">
        <v>17031003664</v>
      </c>
      <c r="C621" s="213">
        <v>17031007053</v>
      </c>
      <c r="D621" s="213">
        <v>17031001270</v>
      </c>
      <c r="E621" s="213" t="s">
        <v>533</v>
      </c>
      <c r="F621" s="213" t="s">
        <v>534</v>
      </c>
      <c r="G621" s="213" t="s">
        <v>365</v>
      </c>
      <c r="H621" s="213" t="s">
        <v>547</v>
      </c>
      <c r="I621" s="213"/>
      <c r="J621" s="213"/>
      <c r="K621" s="213"/>
      <c r="L621" s="213"/>
      <c r="M621" s="213"/>
      <c r="N621" s="213"/>
      <c r="O621" s="213"/>
      <c r="P621" s="213"/>
      <c r="Q621" s="213"/>
      <c r="R621" s="213"/>
      <c r="S621" s="213" t="s">
        <v>611</v>
      </c>
      <c r="T621" s="213"/>
      <c r="U621" s="213" t="s">
        <v>538</v>
      </c>
      <c r="V621" s="213">
        <v>2</v>
      </c>
      <c r="W621" s="213" t="s">
        <v>582</v>
      </c>
      <c r="X621" s="213" t="s">
        <v>540</v>
      </c>
      <c r="Y621" s="213" t="s">
        <v>541</v>
      </c>
      <c r="Z621" s="212">
        <v>0</v>
      </c>
      <c r="AA621" s="212">
        <v>0</v>
      </c>
      <c r="AB621" s="217">
        <v>0.50539800000000001</v>
      </c>
      <c r="AC621" s="217">
        <v>0.81336200000000003</v>
      </c>
      <c r="AD621" s="212">
        <f t="shared" si="9"/>
        <v>0</v>
      </c>
    </row>
    <row r="622" spans="2:30" x14ac:dyDescent="0.15">
      <c r="B622" s="213">
        <v>17031003665</v>
      </c>
      <c r="C622" s="213">
        <v>17031004701</v>
      </c>
      <c r="D622" s="213">
        <v>17031004700</v>
      </c>
      <c r="E622" s="213" t="s">
        <v>533</v>
      </c>
      <c r="F622" s="213" t="s">
        <v>534</v>
      </c>
      <c r="G622" s="213" t="s">
        <v>365</v>
      </c>
      <c r="H622" s="213" t="s">
        <v>547</v>
      </c>
      <c r="I622" s="213"/>
      <c r="J622" s="213"/>
      <c r="K622" s="213"/>
      <c r="L622" s="213"/>
      <c r="M622" s="213"/>
      <c r="N622" s="213"/>
      <c r="O622" s="213"/>
      <c r="P622" s="213"/>
      <c r="Q622" s="213"/>
      <c r="R622" s="213"/>
      <c r="S622" s="213" t="s">
        <v>611</v>
      </c>
      <c r="T622" s="213"/>
      <c r="U622" s="213" t="s">
        <v>538</v>
      </c>
      <c r="V622" s="213">
        <v>2</v>
      </c>
      <c r="W622" s="213" t="s">
        <v>582</v>
      </c>
      <c r="X622" s="213" t="s">
        <v>540</v>
      </c>
      <c r="Y622" s="213" t="s">
        <v>541</v>
      </c>
      <c r="Z622" s="212">
        <v>0</v>
      </c>
      <c r="AA622" s="212">
        <v>0</v>
      </c>
      <c r="AB622" s="217">
        <v>0.58144799999999996</v>
      </c>
      <c r="AC622" s="217">
        <v>0.93575200000000003</v>
      </c>
      <c r="AD622" s="212">
        <f t="shared" si="9"/>
        <v>0</v>
      </c>
    </row>
    <row r="623" spans="2:30" x14ac:dyDescent="0.15">
      <c r="B623" s="213">
        <v>17031003667</v>
      </c>
      <c r="C623" s="213">
        <v>17031001243</v>
      </c>
      <c r="D623" s="213">
        <v>17031001158</v>
      </c>
      <c r="E623" s="213" t="s">
        <v>533</v>
      </c>
      <c r="F623" s="213" t="s">
        <v>534</v>
      </c>
      <c r="G623" s="213" t="s">
        <v>365</v>
      </c>
      <c r="H623" s="213" t="s">
        <v>547</v>
      </c>
      <c r="I623" s="213"/>
      <c r="J623" s="213" t="s">
        <v>577</v>
      </c>
      <c r="K623" s="213"/>
      <c r="L623" s="213"/>
      <c r="M623" s="213"/>
      <c r="N623" s="213"/>
      <c r="O623" s="213"/>
      <c r="P623" s="213"/>
      <c r="Q623" s="213"/>
      <c r="R623" s="213"/>
      <c r="S623" s="213" t="s">
        <v>581</v>
      </c>
      <c r="T623" s="213"/>
      <c r="U623" s="213" t="s">
        <v>538</v>
      </c>
      <c r="V623" s="213">
        <v>2</v>
      </c>
      <c r="W623" s="213" t="s">
        <v>582</v>
      </c>
      <c r="X623" s="213" t="s">
        <v>540</v>
      </c>
      <c r="Y623" s="213" t="s">
        <v>541</v>
      </c>
      <c r="Z623" s="212">
        <v>0</v>
      </c>
      <c r="AA623" s="212">
        <v>0</v>
      </c>
      <c r="AB623" s="217">
        <v>2.3173319999999999</v>
      </c>
      <c r="AC623" s="217">
        <v>3.7293910000000001</v>
      </c>
      <c r="AD623" s="212">
        <f t="shared" si="9"/>
        <v>0</v>
      </c>
    </row>
    <row r="624" spans="2:30" x14ac:dyDescent="0.15">
      <c r="B624" s="213">
        <v>17031003679</v>
      </c>
      <c r="C624" s="213">
        <v>17031001340</v>
      </c>
      <c r="D624" s="213">
        <v>17031001325</v>
      </c>
      <c r="E624" s="213" t="s">
        <v>533</v>
      </c>
      <c r="F624" s="213" t="s">
        <v>534</v>
      </c>
      <c r="G624" s="213" t="s">
        <v>365</v>
      </c>
      <c r="H624" s="213" t="s">
        <v>551</v>
      </c>
      <c r="I624" s="213"/>
      <c r="J624" s="213" t="s">
        <v>381</v>
      </c>
      <c r="K624" s="213" t="s">
        <v>535</v>
      </c>
      <c r="L624" s="213" t="s">
        <v>552</v>
      </c>
      <c r="M624" s="213"/>
      <c r="N624" s="213"/>
      <c r="O624" s="213"/>
      <c r="P624" s="213"/>
      <c r="Q624" s="213"/>
      <c r="R624" s="213"/>
      <c r="S624" s="213" t="s">
        <v>628</v>
      </c>
      <c r="T624" s="213"/>
      <c r="U624" s="213" t="s">
        <v>538</v>
      </c>
      <c r="V624" s="213">
        <v>1</v>
      </c>
      <c r="W624" s="213" t="s">
        <v>545</v>
      </c>
      <c r="X624" s="213" t="s">
        <v>541</v>
      </c>
      <c r="Y624" s="213" t="s">
        <v>541</v>
      </c>
      <c r="Z624" s="212">
        <v>3200</v>
      </c>
      <c r="AA624" s="212">
        <v>305416</v>
      </c>
      <c r="AB624" s="217">
        <v>0.18278</v>
      </c>
      <c r="AC624" s="217">
        <v>0.294157</v>
      </c>
      <c r="AD624" s="212">
        <f t="shared" si="9"/>
        <v>55823.936479999997</v>
      </c>
    </row>
    <row r="625" spans="2:30" x14ac:dyDescent="0.15">
      <c r="B625" s="213">
        <v>17031003680</v>
      </c>
      <c r="C625" s="213">
        <v>17031001340</v>
      </c>
      <c r="D625" s="213">
        <v>17031001357</v>
      </c>
      <c r="E625" s="213" t="s">
        <v>533</v>
      </c>
      <c r="F625" s="213" t="s">
        <v>534</v>
      </c>
      <c r="G625" s="213" t="s">
        <v>365</v>
      </c>
      <c r="H625" s="213" t="s">
        <v>551</v>
      </c>
      <c r="I625" s="213" t="s">
        <v>535</v>
      </c>
      <c r="J625" s="213" t="s">
        <v>381</v>
      </c>
      <c r="K625" s="213" t="s">
        <v>552</v>
      </c>
      <c r="L625" s="213"/>
      <c r="M625" s="213"/>
      <c r="N625" s="213"/>
      <c r="O625" s="213"/>
      <c r="P625" s="213"/>
      <c r="Q625" s="213"/>
      <c r="R625" s="213"/>
      <c r="S625" s="213" t="s">
        <v>628</v>
      </c>
      <c r="T625" s="213"/>
      <c r="U625" s="213" t="s">
        <v>538</v>
      </c>
      <c r="V625" s="213">
        <v>1</v>
      </c>
      <c r="W625" s="213" t="s">
        <v>545</v>
      </c>
      <c r="X625" s="213" t="s">
        <v>541</v>
      </c>
      <c r="Y625" s="213" t="s">
        <v>541</v>
      </c>
      <c r="Z625" s="212">
        <v>3820</v>
      </c>
      <c r="AA625" s="212">
        <v>360136</v>
      </c>
      <c r="AB625" s="217">
        <v>0.34460099999999999</v>
      </c>
      <c r="AC625" s="217">
        <v>0.55458300000000005</v>
      </c>
      <c r="AD625" s="212">
        <f t="shared" si="9"/>
        <v>124103.22573599999</v>
      </c>
    </row>
    <row r="626" spans="2:30" x14ac:dyDescent="0.15">
      <c r="B626" s="213">
        <v>17031003681</v>
      </c>
      <c r="C626" s="213">
        <v>17031001300</v>
      </c>
      <c r="D626" s="213">
        <v>17031001302</v>
      </c>
      <c r="E626" s="213" t="s">
        <v>533</v>
      </c>
      <c r="F626" s="213" t="s">
        <v>534</v>
      </c>
      <c r="G626" s="213" t="s">
        <v>365</v>
      </c>
      <c r="H626" s="213" t="s">
        <v>551</v>
      </c>
      <c r="I626" s="213"/>
      <c r="J626" s="213" t="s">
        <v>381</v>
      </c>
      <c r="K626" s="213" t="s">
        <v>535</v>
      </c>
      <c r="L626" s="213" t="s">
        <v>552</v>
      </c>
      <c r="M626" s="213"/>
      <c r="N626" s="213"/>
      <c r="O626" s="213"/>
      <c r="P626" s="213"/>
      <c r="Q626" s="213"/>
      <c r="R626" s="213"/>
      <c r="S626" s="213" t="s">
        <v>603</v>
      </c>
      <c r="T626" s="213" t="s">
        <v>603</v>
      </c>
      <c r="U626" s="213" t="s">
        <v>538</v>
      </c>
      <c r="V626" s="213">
        <v>3</v>
      </c>
      <c r="W626" s="213" t="s">
        <v>545</v>
      </c>
      <c r="X626" s="213" t="s">
        <v>540</v>
      </c>
      <c r="Y626" s="213" t="s">
        <v>575</v>
      </c>
      <c r="Z626" s="212">
        <v>1653395</v>
      </c>
      <c r="AA626" s="212">
        <v>62447828</v>
      </c>
      <c r="AB626" s="217">
        <v>0.45213199999999998</v>
      </c>
      <c r="AC626" s="217">
        <v>0.72763800000000001</v>
      </c>
      <c r="AD626" s="212">
        <f t="shared" si="9"/>
        <v>28234661.369295999</v>
      </c>
    </row>
    <row r="627" spans="2:30" x14ac:dyDescent="0.15">
      <c r="B627" s="213">
        <v>17031003686</v>
      </c>
      <c r="C627" s="213">
        <v>17031001016</v>
      </c>
      <c r="D627" s="213">
        <v>17031001017</v>
      </c>
      <c r="E627" s="213" t="s">
        <v>533</v>
      </c>
      <c r="F627" s="213" t="s">
        <v>534</v>
      </c>
      <c r="G627" s="213" t="s">
        <v>365</v>
      </c>
      <c r="H627" s="213" t="s">
        <v>571</v>
      </c>
      <c r="I627" s="213"/>
      <c r="J627" s="213" t="s">
        <v>552</v>
      </c>
      <c r="K627" s="213" t="s">
        <v>572</v>
      </c>
      <c r="L627" s="213" t="s">
        <v>555</v>
      </c>
      <c r="M627" s="213" t="s">
        <v>547</v>
      </c>
      <c r="N627" s="213" t="s">
        <v>543</v>
      </c>
      <c r="O627" s="213" t="s">
        <v>382</v>
      </c>
      <c r="P627" s="213"/>
      <c r="Q627" s="213"/>
      <c r="R627" s="213"/>
      <c r="S627" s="213" t="s">
        <v>573</v>
      </c>
      <c r="T627" s="213"/>
      <c r="U627" s="213" t="s">
        <v>538</v>
      </c>
      <c r="V627" s="213">
        <v>2</v>
      </c>
      <c r="W627" s="213" t="s">
        <v>545</v>
      </c>
      <c r="X627" s="213" t="s">
        <v>554</v>
      </c>
      <c r="Y627" s="213" t="s">
        <v>575</v>
      </c>
      <c r="Z627" s="212">
        <v>338895</v>
      </c>
      <c r="AA627" s="212">
        <v>13107987</v>
      </c>
      <c r="AB627" s="217">
        <v>0.13039100000000001</v>
      </c>
      <c r="AC627" s="217">
        <v>0.209844</v>
      </c>
      <c r="AD627" s="212">
        <f t="shared" si="9"/>
        <v>1709163.5329170001</v>
      </c>
    </row>
    <row r="628" spans="2:30" x14ac:dyDescent="0.15">
      <c r="B628" s="213">
        <v>17031003688</v>
      </c>
      <c r="C628" s="213">
        <v>17031000289</v>
      </c>
      <c r="D628" s="213">
        <v>17031004580</v>
      </c>
      <c r="E628" s="213" t="s">
        <v>533</v>
      </c>
      <c r="F628" s="213" t="s">
        <v>534</v>
      </c>
      <c r="G628" s="213" t="s">
        <v>365</v>
      </c>
      <c r="H628" s="213" t="s">
        <v>382</v>
      </c>
      <c r="I628" s="213"/>
      <c r="J628" s="213" t="s">
        <v>547</v>
      </c>
      <c r="K628" s="213"/>
      <c r="L628" s="213"/>
      <c r="M628" s="213"/>
      <c r="N628" s="213"/>
      <c r="O628" s="213"/>
      <c r="P628" s="213"/>
      <c r="Q628" s="213"/>
      <c r="R628" s="213"/>
      <c r="S628" s="213" t="s">
        <v>565</v>
      </c>
      <c r="T628" s="213"/>
      <c r="U628" s="213" t="s">
        <v>538</v>
      </c>
      <c r="V628" s="213">
        <v>2</v>
      </c>
      <c r="W628" s="213" t="s">
        <v>566</v>
      </c>
      <c r="X628" s="213" t="s">
        <v>549</v>
      </c>
      <c r="Y628" s="213" t="s">
        <v>541</v>
      </c>
      <c r="Z628" s="212">
        <v>0</v>
      </c>
      <c r="AA628" s="212">
        <v>0</v>
      </c>
      <c r="AB628" s="217">
        <v>0.53701100000000002</v>
      </c>
      <c r="AC628" s="217">
        <v>0.86423700000000003</v>
      </c>
      <c r="AD628" s="212">
        <f t="shared" si="9"/>
        <v>0</v>
      </c>
    </row>
    <row r="629" spans="2:30" x14ac:dyDescent="0.15">
      <c r="B629" s="213">
        <v>17031003690</v>
      </c>
      <c r="C629" s="213">
        <v>17031004582</v>
      </c>
      <c r="D629" s="213">
        <v>17031004581</v>
      </c>
      <c r="E629" s="213" t="s">
        <v>533</v>
      </c>
      <c r="F629" s="213" t="s">
        <v>534</v>
      </c>
      <c r="G629" s="213" t="s">
        <v>365</v>
      </c>
      <c r="H629" s="213" t="s">
        <v>382</v>
      </c>
      <c r="I629" s="213"/>
      <c r="J629" s="213" t="s">
        <v>547</v>
      </c>
      <c r="K629" s="213"/>
      <c r="L629" s="213"/>
      <c r="M629" s="213"/>
      <c r="N629" s="213"/>
      <c r="O629" s="213"/>
      <c r="P629" s="213"/>
      <c r="Q629" s="213"/>
      <c r="R629" s="213"/>
      <c r="S629" s="213" t="s">
        <v>565</v>
      </c>
      <c r="T629" s="213"/>
      <c r="U629" s="213" t="s">
        <v>538</v>
      </c>
      <c r="V629" s="213">
        <v>2</v>
      </c>
      <c r="W629" s="213" t="s">
        <v>566</v>
      </c>
      <c r="X629" s="213" t="s">
        <v>549</v>
      </c>
      <c r="Y629" s="213" t="s">
        <v>541</v>
      </c>
      <c r="Z629" s="212">
        <v>0</v>
      </c>
      <c r="AA629" s="212">
        <v>0</v>
      </c>
      <c r="AB629" s="217">
        <v>1.0200370000000001</v>
      </c>
      <c r="AC629" s="217">
        <v>1.641594</v>
      </c>
      <c r="AD629" s="212">
        <f t="shared" si="9"/>
        <v>0</v>
      </c>
    </row>
    <row r="630" spans="2:30" x14ac:dyDescent="0.15">
      <c r="B630" s="213">
        <v>17031003692</v>
      </c>
      <c r="C630" s="213">
        <v>17031004584</v>
      </c>
      <c r="D630" s="213">
        <v>17031000372</v>
      </c>
      <c r="E630" s="213" t="s">
        <v>533</v>
      </c>
      <c r="F630" s="213" t="s">
        <v>534</v>
      </c>
      <c r="G630" s="213" t="s">
        <v>365</v>
      </c>
      <c r="H630" s="213" t="s">
        <v>382</v>
      </c>
      <c r="I630" s="213"/>
      <c r="J630" s="213" t="s">
        <v>547</v>
      </c>
      <c r="K630" s="213"/>
      <c r="L630" s="213"/>
      <c r="M630" s="213"/>
      <c r="N630" s="213"/>
      <c r="O630" s="213"/>
      <c r="P630" s="213"/>
      <c r="Q630" s="213"/>
      <c r="R630" s="213"/>
      <c r="S630" s="213" t="s">
        <v>565</v>
      </c>
      <c r="T630" s="213"/>
      <c r="U630" s="213" t="s">
        <v>538</v>
      </c>
      <c r="V630" s="213">
        <v>2</v>
      </c>
      <c r="W630" s="213" t="s">
        <v>566</v>
      </c>
      <c r="X630" s="213" t="s">
        <v>549</v>
      </c>
      <c r="Y630" s="213" t="s">
        <v>541</v>
      </c>
      <c r="Z630" s="212">
        <v>0</v>
      </c>
      <c r="AA630" s="212">
        <v>0</v>
      </c>
      <c r="AB630" s="217">
        <v>0.37741000000000002</v>
      </c>
      <c r="AC630" s="217">
        <v>0.60738300000000001</v>
      </c>
      <c r="AD630" s="212">
        <f t="shared" si="9"/>
        <v>0</v>
      </c>
    </row>
    <row r="631" spans="2:30" x14ac:dyDescent="0.15">
      <c r="B631" s="213">
        <v>17031003693</v>
      </c>
      <c r="C631" s="213">
        <v>17031000463</v>
      </c>
      <c r="D631" s="213">
        <v>17031000432</v>
      </c>
      <c r="E631" s="213" t="s">
        <v>533</v>
      </c>
      <c r="F631" s="213" t="s">
        <v>534</v>
      </c>
      <c r="G631" s="213" t="s">
        <v>365</v>
      </c>
      <c r="H631" s="213" t="s">
        <v>382</v>
      </c>
      <c r="I631" s="213"/>
      <c r="J631" s="213" t="s">
        <v>547</v>
      </c>
      <c r="K631" s="213"/>
      <c r="L631" s="213"/>
      <c r="M631" s="213"/>
      <c r="N631" s="213"/>
      <c r="O631" s="213"/>
      <c r="P631" s="213"/>
      <c r="Q631" s="213"/>
      <c r="R631" s="213"/>
      <c r="S631" s="213" t="s">
        <v>565</v>
      </c>
      <c r="T631" s="213"/>
      <c r="U631" s="213" t="s">
        <v>538</v>
      </c>
      <c r="V631" s="213">
        <v>2</v>
      </c>
      <c r="W631" s="213" t="s">
        <v>566</v>
      </c>
      <c r="X631" s="213" t="s">
        <v>540</v>
      </c>
      <c r="Y631" s="213" t="s">
        <v>541</v>
      </c>
      <c r="Z631" s="212">
        <v>0</v>
      </c>
      <c r="AA631" s="212">
        <v>0</v>
      </c>
      <c r="AB631" s="217">
        <v>0.95845100000000005</v>
      </c>
      <c r="AC631" s="217">
        <v>1.542481</v>
      </c>
      <c r="AD631" s="212">
        <f t="shared" si="9"/>
        <v>0</v>
      </c>
    </row>
    <row r="632" spans="2:30" x14ac:dyDescent="0.15">
      <c r="B632" s="213">
        <v>17031003694</v>
      </c>
      <c r="C632" s="213">
        <v>17031004612</v>
      </c>
      <c r="D632" s="213">
        <v>17031000463</v>
      </c>
      <c r="E632" s="213" t="s">
        <v>533</v>
      </c>
      <c r="F632" s="213" t="s">
        <v>534</v>
      </c>
      <c r="G632" s="213" t="s">
        <v>365</v>
      </c>
      <c r="H632" s="213" t="s">
        <v>382</v>
      </c>
      <c r="I632" s="213"/>
      <c r="J632" s="213" t="s">
        <v>547</v>
      </c>
      <c r="K632" s="213"/>
      <c r="L632" s="213"/>
      <c r="M632" s="213"/>
      <c r="N632" s="213"/>
      <c r="O632" s="213"/>
      <c r="P632" s="213"/>
      <c r="Q632" s="213"/>
      <c r="R632" s="213"/>
      <c r="S632" s="213" t="s">
        <v>565</v>
      </c>
      <c r="T632" s="213"/>
      <c r="U632" s="213" t="s">
        <v>538</v>
      </c>
      <c r="V632" s="213">
        <v>2</v>
      </c>
      <c r="W632" s="213" t="s">
        <v>566</v>
      </c>
      <c r="X632" s="213" t="s">
        <v>540</v>
      </c>
      <c r="Y632" s="213" t="s">
        <v>541</v>
      </c>
      <c r="Z632" s="212">
        <v>0</v>
      </c>
      <c r="AA632" s="212">
        <v>0</v>
      </c>
      <c r="AB632" s="217">
        <v>0.37778899999999999</v>
      </c>
      <c r="AC632" s="217">
        <v>0.60799400000000003</v>
      </c>
      <c r="AD632" s="212">
        <f t="shared" si="9"/>
        <v>0</v>
      </c>
    </row>
    <row r="633" spans="2:30" x14ac:dyDescent="0.15">
      <c r="B633" s="213">
        <v>17031003814</v>
      </c>
      <c r="C633" s="213">
        <v>17031001275</v>
      </c>
      <c r="D633" s="213">
        <v>17031001287</v>
      </c>
      <c r="E633" s="213" t="s">
        <v>533</v>
      </c>
      <c r="F633" s="213" t="s">
        <v>534</v>
      </c>
      <c r="G633" s="213" t="s">
        <v>365</v>
      </c>
      <c r="H633" s="213" t="s">
        <v>543</v>
      </c>
      <c r="I633" s="213"/>
      <c r="J633" s="213" t="s">
        <v>557</v>
      </c>
      <c r="K633" s="213"/>
      <c r="L633" s="213"/>
      <c r="M633" s="213"/>
      <c r="N633" s="213"/>
      <c r="O633" s="213"/>
      <c r="P633" s="213"/>
      <c r="Q633" s="213"/>
      <c r="R633" s="213"/>
      <c r="S633" s="213" t="s">
        <v>558</v>
      </c>
      <c r="T633" s="213"/>
      <c r="U633" s="213" t="s">
        <v>559</v>
      </c>
      <c r="V633" s="213">
        <v>1</v>
      </c>
      <c r="W633" s="213" t="s">
        <v>560</v>
      </c>
      <c r="X633" s="213" t="s">
        <v>541</v>
      </c>
      <c r="Y633" s="213" t="s">
        <v>541</v>
      </c>
      <c r="Z633" s="212">
        <v>0</v>
      </c>
      <c r="AA633" s="212">
        <v>0</v>
      </c>
      <c r="AB633" s="217">
        <v>0.308226</v>
      </c>
      <c r="AC633" s="217">
        <v>0.49604300000000001</v>
      </c>
      <c r="AD633" s="212">
        <f t="shared" si="9"/>
        <v>0</v>
      </c>
    </row>
    <row r="634" spans="2:30" x14ac:dyDescent="0.15">
      <c r="B634" s="213">
        <v>17031003815</v>
      </c>
      <c r="C634" s="213">
        <v>17031001381</v>
      </c>
      <c r="D634" s="213">
        <v>17031001349</v>
      </c>
      <c r="E634" s="213" t="s">
        <v>533</v>
      </c>
      <c r="F634" s="213" t="s">
        <v>534</v>
      </c>
      <c r="G634" s="213" t="s">
        <v>365</v>
      </c>
      <c r="H634" s="213" t="s">
        <v>543</v>
      </c>
      <c r="I634" s="213"/>
      <c r="J634" s="213" t="s">
        <v>557</v>
      </c>
      <c r="K634" s="213"/>
      <c r="L634" s="213"/>
      <c r="M634" s="213"/>
      <c r="N634" s="213"/>
      <c r="O634" s="213"/>
      <c r="P634" s="213"/>
      <c r="Q634" s="213"/>
      <c r="R634" s="213"/>
      <c r="S634" s="213" t="s">
        <v>558</v>
      </c>
      <c r="T634" s="213"/>
      <c r="U634" s="213" t="s">
        <v>559</v>
      </c>
      <c r="V634" s="213">
        <v>1</v>
      </c>
      <c r="W634" s="213" t="s">
        <v>560</v>
      </c>
      <c r="X634" s="213" t="s">
        <v>541</v>
      </c>
      <c r="Y634" s="213" t="s">
        <v>541</v>
      </c>
      <c r="Z634" s="212">
        <v>0</v>
      </c>
      <c r="AA634" s="212">
        <v>0</v>
      </c>
      <c r="AB634" s="217">
        <v>0.77809099999999998</v>
      </c>
      <c r="AC634" s="217">
        <v>1.252219</v>
      </c>
      <c r="AD634" s="212">
        <f t="shared" si="9"/>
        <v>0</v>
      </c>
    </row>
    <row r="635" spans="2:30" x14ac:dyDescent="0.15">
      <c r="B635" s="213">
        <v>17031003816</v>
      </c>
      <c r="C635" s="213">
        <v>17031001383</v>
      </c>
      <c r="D635" s="213">
        <v>17031001351</v>
      </c>
      <c r="E635" s="213" t="s">
        <v>533</v>
      </c>
      <c r="F635" s="213" t="s">
        <v>534</v>
      </c>
      <c r="G635" s="213" t="s">
        <v>365</v>
      </c>
      <c r="H635" s="213" t="s">
        <v>543</v>
      </c>
      <c r="I635" s="213"/>
      <c r="J635" s="213"/>
      <c r="K635" s="213"/>
      <c r="L635" s="213"/>
      <c r="M635" s="213"/>
      <c r="N635" s="213"/>
      <c r="O635" s="213"/>
      <c r="P635" s="213"/>
      <c r="Q635" s="213"/>
      <c r="R635" s="213"/>
      <c r="S635" s="213" t="s">
        <v>604</v>
      </c>
      <c r="T635" s="213"/>
      <c r="U635" s="213" t="s">
        <v>538</v>
      </c>
      <c r="V635" s="213">
        <v>2</v>
      </c>
      <c r="W635" s="213" t="s">
        <v>545</v>
      </c>
      <c r="X635" s="213" t="s">
        <v>554</v>
      </c>
      <c r="Y635" s="213" t="s">
        <v>546</v>
      </c>
      <c r="Z635" s="212">
        <v>4872</v>
      </c>
      <c r="AA635" s="212">
        <v>434024</v>
      </c>
      <c r="AB635" s="217">
        <v>0.47753899999999999</v>
      </c>
      <c r="AC635" s="217">
        <v>0.76852600000000004</v>
      </c>
      <c r="AD635" s="212">
        <f t="shared" si="9"/>
        <v>207263.386936</v>
      </c>
    </row>
    <row r="636" spans="2:30" x14ac:dyDescent="0.15">
      <c r="B636" s="213">
        <v>17031003820</v>
      </c>
      <c r="C636" s="213">
        <v>17031001116</v>
      </c>
      <c r="D636" s="213">
        <v>17031001108</v>
      </c>
      <c r="E636" s="213" t="s">
        <v>533</v>
      </c>
      <c r="F636" s="213" t="s">
        <v>534</v>
      </c>
      <c r="G636" s="213" t="s">
        <v>365</v>
      </c>
      <c r="H636" s="213" t="s">
        <v>577</v>
      </c>
      <c r="I636" s="213"/>
      <c r="J636" s="213" t="s">
        <v>543</v>
      </c>
      <c r="K636" s="213"/>
      <c r="L636" s="213"/>
      <c r="M636" s="213"/>
      <c r="N636" s="213"/>
      <c r="O636" s="213"/>
      <c r="P636" s="213"/>
      <c r="Q636" s="213"/>
      <c r="R636" s="213"/>
      <c r="S636" s="213"/>
      <c r="T636" s="213"/>
      <c r="U636" s="213" t="s">
        <v>538</v>
      </c>
      <c r="V636" s="213">
        <v>1</v>
      </c>
      <c r="W636" s="213" t="s">
        <v>560</v>
      </c>
      <c r="X636" s="213" t="s">
        <v>541</v>
      </c>
      <c r="Y636" s="213" t="s">
        <v>541</v>
      </c>
      <c r="Z636" s="212">
        <v>0</v>
      </c>
      <c r="AA636" s="212">
        <v>0</v>
      </c>
      <c r="AB636" s="217">
        <v>0.63456199999999996</v>
      </c>
      <c r="AC636" s="217">
        <v>1.0212300000000001</v>
      </c>
      <c r="AD636" s="212">
        <f t="shared" si="9"/>
        <v>0</v>
      </c>
    </row>
    <row r="637" spans="2:30" x14ac:dyDescent="0.15">
      <c r="B637" s="213">
        <v>17031003824</v>
      </c>
      <c r="C637" s="213">
        <v>17031000809</v>
      </c>
      <c r="D637" s="213">
        <v>17031000782</v>
      </c>
      <c r="E637" s="213" t="s">
        <v>533</v>
      </c>
      <c r="F637" s="213" t="s">
        <v>534</v>
      </c>
      <c r="G637" s="213" t="s">
        <v>365</v>
      </c>
      <c r="H637" s="213" t="s">
        <v>381</v>
      </c>
      <c r="I637" s="213"/>
      <c r="J637" s="213" t="s">
        <v>382</v>
      </c>
      <c r="K637" s="213"/>
      <c r="L637" s="213"/>
      <c r="M637" s="213"/>
      <c r="N637" s="213"/>
      <c r="O637" s="213"/>
      <c r="P637" s="213"/>
      <c r="Q637" s="213"/>
      <c r="R637" s="213"/>
      <c r="S637" s="213" t="s">
        <v>647</v>
      </c>
      <c r="T637" s="213" t="s">
        <v>706</v>
      </c>
      <c r="U637" s="213" t="s">
        <v>538</v>
      </c>
      <c r="V637" s="213">
        <v>2</v>
      </c>
      <c r="W637" s="213" t="s">
        <v>545</v>
      </c>
      <c r="X637" s="213" t="s">
        <v>540</v>
      </c>
      <c r="Y637" s="213" t="s">
        <v>580</v>
      </c>
      <c r="Z637" s="212">
        <v>2039889</v>
      </c>
      <c r="AA637" s="212">
        <v>59054535</v>
      </c>
      <c r="AB637" s="217">
        <v>0.94211800000000001</v>
      </c>
      <c r="AC637" s="217">
        <v>1.516195</v>
      </c>
      <c r="AD637" s="212">
        <f t="shared" si="9"/>
        <v>55636340.405129999</v>
      </c>
    </row>
    <row r="638" spans="2:30" x14ac:dyDescent="0.15">
      <c r="B638" s="213">
        <v>17031003825</v>
      </c>
      <c r="C638" s="213">
        <v>17031004675</v>
      </c>
      <c r="D638" s="213">
        <v>17031000648</v>
      </c>
      <c r="E638" s="213" t="s">
        <v>533</v>
      </c>
      <c r="F638" s="213" t="s">
        <v>534</v>
      </c>
      <c r="G638" s="213" t="s">
        <v>365</v>
      </c>
      <c r="H638" s="213" t="s">
        <v>543</v>
      </c>
      <c r="I638" s="213"/>
      <c r="J638" s="213"/>
      <c r="K638" s="213"/>
      <c r="L638" s="213"/>
      <c r="M638" s="213"/>
      <c r="N638" s="213"/>
      <c r="O638" s="213"/>
      <c r="P638" s="213"/>
      <c r="Q638" s="213"/>
      <c r="R638" s="213"/>
      <c r="S638" s="213" t="s">
        <v>639</v>
      </c>
      <c r="T638" s="213"/>
      <c r="U638" s="213" t="s">
        <v>538</v>
      </c>
      <c r="V638" s="213">
        <v>2</v>
      </c>
      <c r="W638" s="213" t="s">
        <v>560</v>
      </c>
      <c r="X638" s="213" t="s">
        <v>541</v>
      </c>
      <c r="Y638" s="213" t="s">
        <v>541</v>
      </c>
      <c r="Z638" s="212">
        <v>1658415</v>
      </c>
      <c r="AA638" s="212">
        <v>39358886</v>
      </c>
      <c r="AB638" s="217">
        <v>0.25121399999999999</v>
      </c>
      <c r="AC638" s="217">
        <v>0.40429100000000001</v>
      </c>
      <c r="AD638" s="212">
        <f t="shared" si="9"/>
        <v>9887503.1876039989</v>
      </c>
    </row>
    <row r="639" spans="2:30" x14ac:dyDescent="0.15">
      <c r="B639" s="213">
        <v>17031003837</v>
      </c>
      <c r="C639" s="213">
        <v>17031000793</v>
      </c>
      <c r="D639" s="213">
        <v>17031000800</v>
      </c>
      <c r="E639" s="213" t="s">
        <v>533</v>
      </c>
      <c r="F639" s="213" t="s">
        <v>534</v>
      </c>
      <c r="G639" s="213" t="s">
        <v>365</v>
      </c>
      <c r="H639" s="213" t="s">
        <v>543</v>
      </c>
      <c r="I639" s="213"/>
      <c r="J639" s="213" t="s">
        <v>382</v>
      </c>
      <c r="K639" s="213"/>
      <c r="L639" s="213"/>
      <c r="M639" s="213"/>
      <c r="N639" s="213"/>
      <c r="O639" s="213"/>
      <c r="P639" s="213"/>
      <c r="Q639" s="213"/>
      <c r="R639" s="213"/>
      <c r="S639" s="213" t="s">
        <v>639</v>
      </c>
      <c r="T639" s="213"/>
      <c r="U639" s="213" t="s">
        <v>538</v>
      </c>
      <c r="V639" s="213">
        <v>2</v>
      </c>
      <c r="W639" s="213" t="s">
        <v>560</v>
      </c>
      <c r="X639" s="213" t="s">
        <v>541</v>
      </c>
      <c r="Y639" s="213" t="s">
        <v>549</v>
      </c>
      <c r="Z639" s="212">
        <v>2036028</v>
      </c>
      <c r="AA639" s="212">
        <v>59308526</v>
      </c>
      <c r="AB639" s="217">
        <v>0.58913199999999999</v>
      </c>
      <c r="AC639" s="217">
        <v>0.94811800000000002</v>
      </c>
      <c r="AD639" s="212">
        <f t="shared" si="9"/>
        <v>34940550.539431997</v>
      </c>
    </row>
    <row r="640" spans="2:30" x14ac:dyDescent="0.15">
      <c r="B640" s="213">
        <v>17031003862</v>
      </c>
      <c r="C640" s="213">
        <v>17031001209</v>
      </c>
      <c r="D640" s="213">
        <v>17031004737</v>
      </c>
      <c r="E640" s="213" t="s">
        <v>533</v>
      </c>
      <c r="F640" s="213" t="s">
        <v>534</v>
      </c>
      <c r="G640" s="213" t="s">
        <v>365</v>
      </c>
      <c r="H640" s="213" t="s">
        <v>543</v>
      </c>
      <c r="I640" s="213"/>
      <c r="J640" s="213"/>
      <c r="K640" s="213"/>
      <c r="L640" s="213"/>
      <c r="M640" s="213"/>
      <c r="N640" s="213"/>
      <c r="O640" s="213"/>
      <c r="P640" s="213"/>
      <c r="Q640" s="213"/>
      <c r="R640" s="213"/>
      <c r="S640" s="213" t="s">
        <v>604</v>
      </c>
      <c r="T640" s="213"/>
      <c r="U640" s="213" t="s">
        <v>538</v>
      </c>
      <c r="V640" s="213">
        <v>2</v>
      </c>
      <c r="W640" s="213" t="s">
        <v>545</v>
      </c>
      <c r="X640" s="213" t="s">
        <v>554</v>
      </c>
      <c r="Y640" s="213" t="s">
        <v>546</v>
      </c>
      <c r="Z640" s="212">
        <v>4872</v>
      </c>
      <c r="AA640" s="212">
        <v>434024</v>
      </c>
      <c r="AB640" s="217">
        <v>1.081693</v>
      </c>
      <c r="AC640" s="217">
        <v>1.7408189999999999</v>
      </c>
      <c r="AD640" s="212">
        <f t="shared" si="9"/>
        <v>469480.72263199999</v>
      </c>
    </row>
    <row r="641" spans="2:30" x14ac:dyDescent="0.15">
      <c r="B641" s="213">
        <v>17031003869</v>
      </c>
      <c r="C641" s="213">
        <v>17031001419</v>
      </c>
      <c r="D641" s="213">
        <v>17031001428</v>
      </c>
      <c r="E641" s="213" t="s">
        <v>533</v>
      </c>
      <c r="F641" s="213" t="s">
        <v>534</v>
      </c>
      <c r="G641" s="213" t="s">
        <v>365</v>
      </c>
      <c r="H641" s="213" t="s">
        <v>551</v>
      </c>
      <c r="I641" s="213" t="s">
        <v>535</v>
      </c>
      <c r="J641" s="213" t="s">
        <v>555</v>
      </c>
      <c r="K641" s="213"/>
      <c r="L641" s="213"/>
      <c r="M641" s="213"/>
      <c r="N641" s="213"/>
      <c r="O641" s="213"/>
      <c r="P641" s="213"/>
      <c r="Q641" s="213"/>
      <c r="R641" s="213"/>
      <c r="S641" s="213" t="s">
        <v>553</v>
      </c>
      <c r="T641" s="213"/>
      <c r="U641" s="213" t="s">
        <v>538</v>
      </c>
      <c r="V641" s="213">
        <v>2</v>
      </c>
      <c r="W641" s="213" t="s">
        <v>545</v>
      </c>
      <c r="X641" s="213" t="s">
        <v>549</v>
      </c>
      <c r="Y641" s="213" t="s">
        <v>546</v>
      </c>
      <c r="Z641" s="212">
        <v>402261</v>
      </c>
      <c r="AA641" s="212">
        <v>22918777</v>
      </c>
      <c r="AB641" s="217">
        <v>1.2545139999999999</v>
      </c>
      <c r="AC641" s="217">
        <v>2.0189490000000001</v>
      </c>
      <c r="AD641" s="212">
        <f t="shared" si="9"/>
        <v>28751926.609377999</v>
      </c>
    </row>
    <row r="642" spans="2:30" x14ac:dyDescent="0.15">
      <c r="B642" s="213">
        <v>17031003897</v>
      </c>
      <c r="C642" s="213">
        <v>17031000514</v>
      </c>
      <c r="D642" s="213">
        <v>17031000505</v>
      </c>
      <c r="E642" s="213" t="s">
        <v>533</v>
      </c>
      <c r="F642" s="213" t="s">
        <v>534</v>
      </c>
      <c r="G642" s="213" t="s">
        <v>365</v>
      </c>
      <c r="H642" s="213" t="s">
        <v>382</v>
      </c>
      <c r="I642" s="213"/>
      <c r="J642" s="213"/>
      <c r="K642" s="213"/>
      <c r="L642" s="213"/>
      <c r="M642" s="213"/>
      <c r="N642" s="213"/>
      <c r="O642" s="213"/>
      <c r="P642" s="213"/>
      <c r="Q642" s="213"/>
      <c r="R642" s="213"/>
      <c r="S642" s="213" t="s">
        <v>586</v>
      </c>
      <c r="T642" s="213"/>
      <c r="U642" s="213" t="s">
        <v>538</v>
      </c>
      <c r="V642" s="213">
        <v>2</v>
      </c>
      <c r="W642" s="213" t="s">
        <v>582</v>
      </c>
      <c r="X642" s="213" t="s">
        <v>554</v>
      </c>
      <c r="Y642" s="213" t="s">
        <v>549</v>
      </c>
      <c r="Z642" s="212">
        <v>93614</v>
      </c>
      <c r="AA642" s="212">
        <v>10001490</v>
      </c>
      <c r="AB642" s="217">
        <v>0.52910800000000002</v>
      </c>
      <c r="AC642" s="217">
        <v>0.851518</v>
      </c>
      <c r="AD642" s="212">
        <f t="shared" si="9"/>
        <v>5291868.3709200006</v>
      </c>
    </row>
    <row r="643" spans="2:30" x14ac:dyDescent="0.15">
      <c r="B643" s="213">
        <v>17031003920</v>
      </c>
      <c r="C643" s="213">
        <v>17031000819</v>
      </c>
      <c r="D643" s="213">
        <v>17031000811</v>
      </c>
      <c r="E643" s="213" t="s">
        <v>533</v>
      </c>
      <c r="F643" s="213" t="s">
        <v>534</v>
      </c>
      <c r="G643" s="213" t="s">
        <v>365</v>
      </c>
      <c r="H643" s="213" t="s">
        <v>557</v>
      </c>
      <c r="I643" s="213"/>
      <c r="J643" s="213" t="s">
        <v>381</v>
      </c>
      <c r="K643" s="213" t="s">
        <v>535</v>
      </c>
      <c r="L643" s="213" t="s">
        <v>552</v>
      </c>
      <c r="M643" s="213" t="s">
        <v>543</v>
      </c>
      <c r="N643" s="213" t="s">
        <v>382</v>
      </c>
      <c r="O643" s="213"/>
      <c r="P643" s="213"/>
      <c r="Q643" s="213"/>
      <c r="R643" s="213"/>
      <c r="S643" s="213" t="s">
        <v>570</v>
      </c>
      <c r="T643" s="213"/>
      <c r="U643" s="213" t="s">
        <v>538</v>
      </c>
      <c r="V643" s="213">
        <v>2</v>
      </c>
      <c r="W643" s="213" t="s">
        <v>545</v>
      </c>
      <c r="X643" s="213" t="s">
        <v>540</v>
      </c>
      <c r="Y643" s="213" t="s">
        <v>580</v>
      </c>
      <c r="Z643" s="212">
        <v>897874</v>
      </c>
      <c r="AA643" s="212">
        <v>51198646</v>
      </c>
      <c r="AB643" s="217">
        <v>0.26888600000000001</v>
      </c>
      <c r="AC643" s="217">
        <v>0.43273099999999998</v>
      </c>
      <c r="AD643" s="212">
        <f t="shared" si="9"/>
        <v>13766599.128356</v>
      </c>
    </row>
    <row r="644" spans="2:30" x14ac:dyDescent="0.15">
      <c r="B644" s="213">
        <v>17031003923</v>
      </c>
      <c r="C644" s="213">
        <v>17031000572</v>
      </c>
      <c r="D644" s="213">
        <v>17031000571</v>
      </c>
      <c r="E644" s="213" t="s">
        <v>533</v>
      </c>
      <c r="F644" s="213" t="s">
        <v>534</v>
      </c>
      <c r="G644" s="213" t="s">
        <v>365</v>
      </c>
      <c r="H644" s="213" t="s">
        <v>382</v>
      </c>
      <c r="I644" s="213"/>
      <c r="J644" s="213" t="s">
        <v>572</v>
      </c>
      <c r="K644" s="213" t="s">
        <v>547</v>
      </c>
      <c r="L644" s="213"/>
      <c r="M644" s="213"/>
      <c r="N644" s="213"/>
      <c r="O644" s="213"/>
      <c r="P644" s="213"/>
      <c r="Q644" s="213"/>
      <c r="R644" s="213"/>
      <c r="S644" s="213" t="s">
        <v>583</v>
      </c>
      <c r="T644" s="213"/>
      <c r="U644" s="213" t="s">
        <v>538</v>
      </c>
      <c r="V644" s="213">
        <v>4</v>
      </c>
      <c r="W644" s="213" t="s">
        <v>545</v>
      </c>
      <c r="X644" s="213" t="s">
        <v>540</v>
      </c>
      <c r="Y644" s="213" t="s">
        <v>580</v>
      </c>
      <c r="Z644" s="212">
        <v>999857</v>
      </c>
      <c r="AA644" s="212">
        <v>33304864</v>
      </c>
      <c r="AB644" s="217">
        <v>0.29959000000000002</v>
      </c>
      <c r="AC644" s="217">
        <v>0.48214499999999999</v>
      </c>
      <c r="AD644" s="212">
        <f t="shared" si="9"/>
        <v>9977804.2057600003</v>
      </c>
    </row>
    <row r="645" spans="2:30" x14ac:dyDescent="0.15">
      <c r="B645" s="213">
        <v>17031003933</v>
      </c>
      <c r="C645" s="213">
        <v>17031001096</v>
      </c>
      <c r="D645" s="213">
        <v>17031001073</v>
      </c>
      <c r="E645" s="213" t="s">
        <v>533</v>
      </c>
      <c r="F645" s="213" t="s">
        <v>534</v>
      </c>
      <c r="G645" s="213" t="s">
        <v>365</v>
      </c>
      <c r="H645" s="213" t="s">
        <v>577</v>
      </c>
      <c r="I645" s="213"/>
      <c r="J645" s="213"/>
      <c r="K645" s="213"/>
      <c r="L645" s="213"/>
      <c r="M645" s="213"/>
      <c r="N645" s="213"/>
      <c r="O645" s="213"/>
      <c r="P645" s="213"/>
      <c r="Q645" s="213"/>
      <c r="R645" s="213"/>
      <c r="S645" s="213"/>
      <c r="T645" s="213"/>
      <c r="U645" s="213" t="s">
        <v>538</v>
      </c>
      <c r="V645" s="213">
        <v>1</v>
      </c>
      <c r="W645" s="213" t="s">
        <v>560</v>
      </c>
      <c r="X645" s="213" t="s">
        <v>541</v>
      </c>
      <c r="Y645" s="213" t="s">
        <v>541</v>
      </c>
      <c r="Z645" s="212">
        <v>0</v>
      </c>
      <c r="AA645" s="212">
        <v>0</v>
      </c>
      <c r="AB645" s="217">
        <v>0.75925799999999999</v>
      </c>
      <c r="AC645" s="217">
        <v>1.2219089999999999</v>
      </c>
      <c r="AD645" s="212">
        <f t="shared" si="9"/>
        <v>0</v>
      </c>
    </row>
    <row r="646" spans="2:30" x14ac:dyDescent="0.15">
      <c r="B646" s="213">
        <v>17031003935</v>
      </c>
      <c r="C646" s="213">
        <v>17031000644</v>
      </c>
      <c r="D646" s="213">
        <v>17031000615</v>
      </c>
      <c r="E646" s="213" t="s">
        <v>533</v>
      </c>
      <c r="F646" s="213" t="s">
        <v>534</v>
      </c>
      <c r="G646" s="213" t="s">
        <v>365</v>
      </c>
      <c r="H646" s="213" t="s">
        <v>547</v>
      </c>
      <c r="I646" s="213"/>
      <c r="J646" s="213" t="s">
        <v>627</v>
      </c>
      <c r="K646" s="213"/>
      <c r="L646" s="213"/>
      <c r="M646" s="213"/>
      <c r="N646" s="213"/>
      <c r="O646" s="213"/>
      <c r="P646" s="213"/>
      <c r="Q646" s="213"/>
      <c r="R646" s="213"/>
      <c r="S646" s="213"/>
      <c r="T646" s="213"/>
      <c r="U646" s="213" t="s">
        <v>538</v>
      </c>
      <c r="V646" s="213">
        <v>4</v>
      </c>
      <c r="W646" s="213" t="s">
        <v>545</v>
      </c>
      <c r="X646" s="213" t="s">
        <v>554</v>
      </c>
      <c r="Y646" s="213" t="s">
        <v>541</v>
      </c>
      <c r="Z646" s="212">
        <v>0</v>
      </c>
      <c r="AA646" s="212">
        <v>0</v>
      </c>
      <c r="AB646" s="217">
        <v>0.451104</v>
      </c>
      <c r="AC646" s="217">
        <v>0.72598300000000004</v>
      </c>
      <c r="AD646" s="212">
        <f t="shared" ref="AD646:AD709" si="10">AA646*AB646</f>
        <v>0</v>
      </c>
    </row>
    <row r="647" spans="2:30" x14ac:dyDescent="0.15">
      <c r="B647" s="213">
        <v>17031003939</v>
      </c>
      <c r="C647" s="213">
        <v>17031001105</v>
      </c>
      <c r="D647" s="213">
        <v>17031001120</v>
      </c>
      <c r="E647" s="213" t="s">
        <v>533</v>
      </c>
      <c r="F647" s="213" t="s">
        <v>534</v>
      </c>
      <c r="G647" s="213" t="s">
        <v>365</v>
      </c>
      <c r="H647" s="213" t="s">
        <v>577</v>
      </c>
      <c r="I647" s="213"/>
      <c r="J647" s="213"/>
      <c r="K647" s="213"/>
      <c r="L647" s="213"/>
      <c r="M647" s="213"/>
      <c r="N647" s="213"/>
      <c r="O647" s="213"/>
      <c r="P647" s="213"/>
      <c r="Q647" s="213"/>
      <c r="R647" s="213"/>
      <c r="S647" s="213"/>
      <c r="T647" s="213"/>
      <c r="U647" s="213" t="s">
        <v>538</v>
      </c>
      <c r="V647" s="213">
        <v>1</v>
      </c>
      <c r="W647" s="213" t="s">
        <v>560</v>
      </c>
      <c r="X647" s="213" t="s">
        <v>541</v>
      </c>
      <c r="Y647" s="213" t="s">
        <v>541</v>
      </c>
      <c r="Z647" s="212">
        <v>40</v>
      </c>
      <c r="AA647" s="212">
        <v>3440</v>
      </c>
      <c r="AB647" s="217">
        <v>0.36601499999999998</v>
      </c>
      <c r="AC647" s="217">
        <v>0.58904500000000004</v>
      </c>
      <c r="AD647" s="212">
        <f t="shared" si="10"/>
        <v>1259.0916</v>
      </c>
    </row>
    <row r="648" spans="2:30" x14ac:dyDescent="0.15">
      <c r="B648" s="213">
        <v>17031003952</v>
      </c>
      <c r="C648" s="213">
        <v>17031004716</v>
      </c>
      <c r="D648" s="213">
        <v>17031000999</v>
      </c>
      <c r="E648" s="213" t="s">
        <v>533</v>
      </c>
      <c r="F648" s="213" t="s">
        <v>534</v>
      </c>
      <c r="G648" s="213" t="s">
        <v>365</v>
      </c>
      <c r="H648" s="213" t="s">
        <v>551</v>
      </c>
      <c r="I648" s="213"/>
      <c r="J648" s="213" t="s">
        <v>381</v>
      </c>
      <c r="K648" s="213" t="s">
        <v>535</v>
      </c>
      <c r="L648" s="213" t="s">
        <v>552</v>
      </c>
      <c r="M648" s="213" t="s">
        <v>382</v>
      </c>
      <c r="N648" s="213"/>
      <c r="O648" s="213"/>
      <c r="P648" s="213"/>
      <c r="Q648" s="213"/>
      <c r="R648" s="213"/>
      <c r="S648" s="213" t="s">
        <v>600</v>
      </c>
      <c r="T648" s="213"/>
      <c r="U648" s="213" t="s">
        <v>538</v>
      </c>
      <c r="V648" s="213">
        <v>3</v>
      </c>
      <c r="W648" s="213" t="s">
        <v>582</v>
      </c>
      <c r="X648" s="213" t="s">
        <v>554</v>
      </c>
      <c r="Y648" s="213" t="s">
        <v>575</v>
      </c>
      <c r="Z648" s="212">
        <v>174623</v>
      </c>
      <c r="AA648" s="212">
        <v>7596917</v>
      </c>
      <c r="AB648" s="217">
        <v>0.94420800000000005</v>
      </c>
      <c r="AC648" s="217">
        <v>1.5195590000000001</v>
      </c>
      <c r="AD648" s="212">
        <f t="shared" si="10"/>
        <v>7173069.8067360008</v>
      </c>
    </row>
    <row r="649" spans="2:30" x14ac:dyDescent="0.15">
      <c r="B649" s="213">
        <v>17031003953</v>
      </c>
      <c r="C649" s="213">
        <v>17031001151</v>
      </c>
      <c r="D649" s="213">
        <v>17031001118</v>
      </c>
      <c r="E649" s="213" t="s">
        <v>533</v>
      </c>
      <c r="F649" s="213" t="s">
        <v>534</v>
      </c>
      <c r="G649" s="213" t="s">
        <v>365</v>
      </c>
      <c r="H649" s="213" t="s">
        <v>543</v>
      </c>
      <c r="I649" s="213"/>
      <c r="J649" s="213" t="s">
        <v>542</v>
      </c>
      <c r="K649" s="213" t="s">
        <v>552</v>
      </c>
      <c r="L649" s="213" t="s">
        <v>557</v>
      </c>
      <c r="M649" s="213" t="s">
        <v>661</v>
      </c>
      <c r="N649" s="213"/>
      <c r="O649" s="213"/>
      <c r="P649" s="213"/>
      <c r="Q649" s="213"/>
      <c r="R649" s="213"/>
      <c r="S649" s="213" t="s">
        <v>630</v>
      </c>
      <c r="T649" s="213"/>
      <c r="U649" s="213" t="s">
        <v>538</v>
      </c>
      <c r="V649" s="213">
        <v>4</v>
      </c>
      <c r="W649" s="213" t="s">
        <v>545</v>
      </c>
      <c r="X649" s="213" t="s">
        <v>540</v>
      </c>
      <c r="Y649" s="213" t="s">
        <v>575</v>
      </c>
      <c r="Z649" s="212">
        <v>2178052</v>
      </c>
      <c r="AA649" s="212">
        <v>63763679</v>
      </c>
      <c r="AB649" s="217">
        <v>0.91646499999999997</v>
      </c>
      <c r="AC649" s="217">
        <v>1.4749099999999999</v>
      </c>
      <c r="AD649" s="212">
        <f t="shared" si="10"/>
        <v>58437180.074735001</v>
      </c>
    </row>
    <row r="650" spans="2:30" x14ac:dyDescent="0.15">
      <c r="B650" s="213">
        <v>17031003958</v>
      </c>
      <c r="C650" s="213">
        <v>17031000716</v>
      </c>
      <c r="D650" s="213">
        <v>17031000686</v>
      </c>
      <c r="E650" s="213" t="s">
        <v>533</v>
      </c>
      <c r="F650" s="213" t="s">
        <v>534</v>
      </c>
      <c r="G650" s="213" t="s">
        <v>365</v>
      </c>
      <c r="H650" s="213" t="s">
        <v>381</v>
      </c>
      <c r="I650" s="213"/>
      <c r="J650" s="213" t="s">
        <v>542</v>
      </c>
      <c r="K650" s="213" t="s">
        <v>572</v>
      </c>
      <c r="L650" s="213" t="s">
        <v>547</v>
      </c>
      <c r="M650" s="213" t="s">
        <v>382</v>
      </c>
      <c r="N650" s="213"/>
      <c r="O650" s="213"/>
      <c r="P650" s="213"/>
      <c r="Q650" s="213"/>
      <c r="R650" s="213"/>
      <c r="S650" s="213" t="s">
        <v>579</v>
      </c>
      <c r="T650" s="213"/>
      <c r="U650" s="213" t="s">
        <v>538</v>
      </c>
      <c r="V650" s="213">
        <v>4</v>
      </c>
      <c r="W650" s="213" t="s">
        <v>545</v>
      </c>
      <c r="X650" s="213" t="s">
        <v>549</v>
      </c>
      <c r="Y650" s="213" t="s">
        <v>580</v>
      </c>
      <c r="Z650" s="212">
        <v>120392</v>
      </c>
      <c r="AA650" s="212">
        <v>8775307</v>
      </c>
      <c r="AB650" s="217">
        <v>2.4484360000000001</v>
      </c>
      <c r="AC650" s="217">
        <v>3.9403839999999999</v>
      </c>
      <c r="AD650" s="212">
        <f t="shared" si="10"/>
        <v>21485777.569852002</v>
      </c>
    </row>
    <row r="651" spans="2:30" x14ac:dyDescent="0.15">
      <c r="B651" s="213">
        <v>17031003959</v>
      </c>
      <c r="C651" s="213">
        <v>17031000717</v>
      </c>
      <c r="D651" s="213">
        <v>17031000716</v>
      </c>
      <c r="E651" s="213" t="s">
        <v>533</v>
      </c>
      <c r="F651" s="213" t="s">
        <v>534</v>
      </c>
      <c r="G651" s="213" t="s">
        <v>365</v>
      </c>
      <c r="H651" s="213" t="s">
        <v>381</v>
      </c>
      <c r="I651" s="213"/>
      <c r="J651" s="213" t="s">
        <v>542</v>
      </c>
      <c r="K651" s="213" t="s">
        <v>572</v>
      </c>
      <c r="L651" s="213" t="s">
        <v>547</v>
      </c>
      <c r="M651" s="213" t="s">
        <v>382</v>
      </c>
      <c r="N651" s="213"/>
      <c r="O651" s="213"/>
      <c r="P651" s="213"/>
      <c r="Q651" s="213"/>
      <c r="R651" s="213"/>
      <c r="S651" s="213" t="s">
        <v>579</v>
      </c>
      <c r="T651" s="213"/>
      <c r="U651" s="213" t="s">
        <v>538</v>
      </c>
      <c r="V651" s="213">
        <v>4</v>
      </c>
      <c r="W651" s="213" t="s">
        <v>545</v>
      </c>
      <c r="X651" s="213" t="s">
        <v>549</v>
      </c>
      <c r="Y651" s="213" t="s">
        <v>580</v>
      </c>
      <c r="Z651" s="212">
        <v>120392</v>
      </c>
      <c r="AA651" s="212">
        <v>8775307</v>
      </c>
      <c r="AB651" s="217">
        <v>0.24427099999999999</v>
      </c>
      <c r="AC651" s="217">
        <v>0.39311699999999999</v>
      </c>
      <c r="AD651" s="212">
        <f t="shared" si="10"/>
        <v>2143553.0161969997</v>
      </c>
    </row>
    <row r="652" spans="2:30" x14ac:dyDescent="0.15">
      <c r="B652" s="213">
        <v>17031003961</v>
      </c>
      <c r="C652" s="213">
        <v>17031000788</v>
      </c>
      <c r="D652" s="213">
        <v>17031004659</v>
      </c>
      <c r="E652" s="213" t="s">
        <v>533</v>
      </c>
      <c r="F652" s="213" t="s">
        <v>534</v>
      </c>
      <c r="G652" s="213" t="s">
        <v>365</v>
      </c>
      <c r="H652" s="213" t="s">
        <v>381</v>
      </c>
      <c r="I652" s="213"/>
      <c r="J652" s="213" t="s">
        <v>542</v>
      </c>
      <c r="K652" s="213" t="s">
        <v>547</v>
      </c>
      <c r="L652" s="213" t="s">
        <v>382</v>
      </c>
      <c r="M652" s="213"/>
      <c r="N652" s="213"/>
      <c r="O652" s="213"/>
      <c r="P652" s="213"/>
      <c r="Q652" s="213"/>
      <c r="R652" s="213"/>
      <c r="S652" s="213" t="s">
        <v>579</v>
      </c>
      <c r="T652" s="213"/>
      <c r="U652" s="213" t="s">
        <v>538</v>
      </c>
      <c r="V652" s="213">
        <v>3</v>
      </c>
      <c r="W652" s="213" t="s">
        <v>545</v>
      </c>
      <c r="X652" s="213" t="s">
        <v>549</v>
      </c>
      <c r="Y652" s="213" t="s">
        <v>580</v>
      </c>
      <c r="Z652" s="212">
        <v>935347</v>
      </c>
      <c r="AA652" s="212">
        <v>44561269</v>
      </c>
      <c r="AB652" s="217">
        <v>0.54175700000000004</v>
      </c>
      <c r="AC652" s="217">
        <v>0.87187499999999996</v>
      </c>
      <c r="AD652" s="212">
        <f t="shared" si="10"/>
        <v>24141379.409633003</v>
      </c>
    </row>
    <row r="653" spans="2:30" x14ac:dyDescent="0.15">
      <c r="B653" s="213">
        <v>17031003964</v>
      </c>
      <c r="C653" s="213">
        <v>17031000776</v>
      </c>
      <c r="D653" s="213">
        <v>17031000775</v>
      </c>
      <c r="E653" s="213" t="s">
        <v>533</v>
      </c>
      <c r="F653" s="213" t="s">
        <v>534</v>
      </c>
      <c r="G653" s="213" t="s">
        <v>365</v>
      </c>
      <c r="H653" s="213" t="s">
        <v>535</v>
      </c>
      <c r="I653" s="213"/>
      <c r="J653" s="213" t="s">
        <v>542</v>
      </c>
      <c r="K653" s="213" t="s">
        <v>572</v>
      </c>
      <c r="L653" s="213" t="s">
        <v>547</v>
      </c>
      <c r="M653" s="213" t="s">
        <v>382</v>
      </c>
      <c r="N653" s="213"/>
      <c r="O653" s="213"/>
      <c r="P653" s="213"/>
      <c r="Q653" s="213"/>
      <c r="R653" s="213"/>
      <c r="S653" s="213" t="s">
        <v>601</v>
      </c>
      <c r="T653" s="213"/>
      <c r="U653" s="213" t="s">
        <v>538</v>
      </c>
      <c r="V653" s="213">
        <v>2</v>
      </c>
      <c r="W653" s="213" t="s">
        <v>545</v>
      </c>
      <c r="X653" s="213" t="s">
        <v>540</v>
      </c>
      <c r="Y653" s="213" t="s">
        <v>540</v>
      </c>
      <c r="Z653" s="212">
        <v>75496</v>
      </c>
      <c r="AA653" s="212">
        <v>2801600</v>
      </c>
      <c r="AB653" s="217">
        <v>0.21174000000000001</v>
      </c>
      <c r="AC653" s="217">
        <v>0.34076299999999998</v>
      </c>
      <c r="AD653" s="212">
        <f t="shared" si="10"/>
        <v>593210.78399999999</v>
      </c>
    </row>
    <row r="654" spans="2:30" x14ac:dyDescent="0.15">
      <c r="B654" s="213">
        <v>17031003972</v>
      </c>
      <c r="C654" s="213">
        <v>17031000926</v>
      </c>
      <c r="D654" s="213">
        <v>17031000903</v>
      </c>
      <c r="E654" s="213" t="s">
        <v>533</v>
      </c>
      <c r="F654" s="213" t="s">
        <v>534</v>
      </c>
      <c r="G654" s="213" t="s">
        <v>365</v>
      </c>
      <c r="H654" s="213" t="s">
        <v>543</v>
      </c>
      <c r="I654" s="213"/>
      <c r="J654" s="213" t="s">
        <v>542</v>
      </c>
      <c r="K654" s="213"/>
      <c r="L654" s="213"/>
      <c r="M654" s="213"/>
      <c r="N654" s="213"/>
      <c r="O654" s="213"/>
      <c r="P654" s="213"/>
      <c r="Q654" s="213"/>
      <c r="R654" s="213"/>
      <c r="S654" s="213" t="s">
        <v>630</v>
      </c>
      <c r="T654" s="213"/>
      <c r="U654" s="213" t="s">
        <v>538</v>
      </c>
      <c r="V654" s="213">
        <v>2</v>
      </c>
      <c r="W654" s="213" t="s">
        <v>545</v>
      </c>
      <c r="X654" s="213" t="s">
        <v>540</v>
      </c>
      <c r="Y654" s="213" t="s">
        <v>580</v>
      </c>
      <c r="Z654" s="212">
        <v>1962622</v>
      </c>
      <c r="AA654" s="212">
        <v>56698813</v>
      </c>
      <c r="AB654" s="217">
        <v>0.82285200000000003</v>
      </c>
      <c r="AC654" s="217">
        <v>1.324254</v>
      </c>
      <c r="AD654" s="212">
        <f t="shared" si="10"/>
        <v>46654731.674676001</v>
      </c>
    </row>
    <row r="655" spans="2:30" x14ac:dyDescent="0.15">
      <c r="B655" s="213">
        <v>17031004008</v>
      </c>
      <c r="C655" s="213">
        <v>17031004758</v>
      </c>
      <c r="D655" s="213">
        <v>17031004756</v>
      </c>
      <c r="E655" s="213" t="s">
        <v>533</v>
      </c>
      <c r="F655" s="213" t="s">
        <v>534</v>
      </c>
      <c r="G655" s="213" t="s">
        <v>365</v>
      </c>
      <c r="H655" s="213" t="s">
        <v>547</v>
      </c>
      <c r="I655" s="213"/>
      <c r="J655" s="213" t="s">
        <v>577</v>
      </c>
      <c r="K655" s="213"/>
      <c r="L655" s="213"/>
      <c r="M655" s="213"/>
      <c r="N655" s="213"/>
      <c r="O655" s="213"/>
      <c r="P655" s="213"/>
      <c r="Q655" s="213"/>
      <c r="R655" s="213"/>
      <c r="S655" s="213" t="s">
        <v>581</v>
      </c>
      <c r="T655" s="213"/>
      <c r="U655" s="213" t="s">
        <v>538</v>
      </c>
      <c r="V655" s="213">
        <v>2</v>
      </c>
      <c r="W655" s="213" t="s">
        <v>582</v>
      </c>
      <c r="X655" s="213" t="s">
        <v>540</v>
      </c>
      <c r="Y655" s="213" t="s">
        <v>541</v>
      </c>
      <c r="Z655" s="212">
        <v>0</v>
      </c>
      <c r="AA655" s="212">
        <v>0</v>
      </c>
      <c r="AB655" s="217">
        <v>1.6078939999999999</v>
      </c>
      <c r="AC655" s="217">
        <v>2.5876600000000001</v>
      </c>
      <c r="AD655" s="212">
        <f t="shared" si="10"/>
        <v>0</v>
      </c>
    </row>
    <row r="656" spans="2:30" x14ac:dyDescent="0.15">
      <c r="B656" s="213">
        <v>17031004012</v>
      </c>
      <c r="C656" s="213">
        <v>17031000582</v>
      </c>
      <c r="D656" s="213">
        <v>17031000570</v>
      </c>
      <c r="E656" s="213" t="s">
        <v>533</v>
      </c>
      <c r="F656" s="213" t="s">
        <v>534</v>
      </c>
      <c r="G656" s="213" t="s">
        <v>365</v>
      </c>
      <c r="H656" s="213" t="s">
        <v>382</v>
      </c>
      <c r="I656" s="213"/>
      <c r="J656" s="213" t="s">
        <v>572</v>
      </c>
      <c r="K656" s="213" t="s">
        <v>543</v>
      </c>
      <c r="L656" s="213"/>
      <c r="M656" s="213"/>
      <c r="N656" s="213"/>
      <c r="O656" s="213"/>
      <c r="P656" s="213"/>
      <c r="Q656" s="213"/>
      <c r="R656" s="213"/>
      <c r="S656" s="213" t="s">
        <v>609</v>
      </c>
      <c r="T656" s="213"/>
      <c r="U656" s="213" t="s">
        <v>538</v>
      </c>
      <c r="V656" s="213">
        <v>2</v>
      </c>
      <c r="W656" s="213" t="s">
        <v>539</v>
      </c>
      <c r="X656" s="213" t="s">
        <v>554</v>
      </c>
      <c r="Y656" s="213" t="s">
        <v>580</v>
      </c>
      <c r="Z656" s="212">
        <v>999857</v>
      </c>
      <c r="AA656" s="212">
        <v>33304864</v>
      </c>
      <c r="AB656" s="217">
        <v>0.38240099999999999</v>
      </c>
      <c r="AC656" s="217">
        <v>0.61541599999999996</v>
      </c>
      <c r="AD656" s="212">
        <f t="shared" si="10"/>
        <v>12735813.298464</v>
      </c>
    </row>
    <row r="657" spans="2:30" x14ac:dyDescent="0.15">
      <c r="B657" s="213">
        <v>17031004014</v>
      </c>
      <c r="C657" s="213">
        <v>17031000683</v>
      </c>
      <c r="D657" s="213">
        <v>17031000682</v>
      </c>
      <c r="E657" s="213" t="s">
        <v>533</v>
      </c>
      <c r="F657" s="213" t="s">
        <v>534</v>
      </c>
      <c r="G657" s="213" t="s">
        <v>365</v>
      </c>
      <c r="H657" s="213" t="s">
        <v>644</v>
      </c>
      <c r="I657" s="213"/>
      <c r="J657" s="213"/>
      <c r="K657" s="213"/>
      <c r="L657" s="213"/>
      <c r="M657" s="213"/>
      <c r="N657" s="213"/>
      <c r="O657" s="213"/>
      <c r="P657" s="213"/>
      <c r="Q657" s="213"/>
      <c r="R657" s="213"/>
      <c r="S657" s="213"/>
      <c r="T657" s="213"/>
      <c r="U657" s="213" t="s">
        <v>559</v>
      </c>
      <c r="V657" s="213">
        <v>1</v>
      </c>
      <c r="W657" s="213" t="s">
        <v>560</v>
      </c>
      <c r="X657" s="213" t="s">
        <v>541</v>
      </c>
      <c r="Y657" s="213" t="s">
        <v>541</v>
      </c>
      <c r="Z657" s="212">
        <v>0</v>
      </c>
      <c r="AA657" s="212">
        <v>0</v>
      </c>
      <c r="AB657" s="217">
        <v>3.8535E-2</v>
      </c>
      <c r="AC657" s="217">
        <v>6.2016000000000002E-2</v>
      </c>
      <c r="AD657" s="212">
        <f t="shared" si="10"/>
        <v>0</v>
      </c>
    </row>
    <row r="658" spans="2:30" x14ac:dyDescent="0.15">
      <c r="B658" s="213">
        <v>17031004028</v>
      </c>
      <c r="C658" s="213">
        <v>17031000504</v>
      </c>
      <c r="D658" s="213">
        <v>17031000513</v>
      </c>
      <c r="E658" s="213" t="s">
        <v>533</v>
      </c>
      <c r="F658" s="213" t="s">
        <v>534</v>
      </c>
      <c r="G658" s="213" t="s">
        <v>365</v>
      </c>
      <c r="H658" s="213" t="s">
        <v>590</v>
      </c>
      <c r="I658" s="213"/>
      <c r="J658" s="213"/>
      <c r="K658" s="213"/>
      <c r="L658" s="213"/>
      <c r="M658" s="213"/>
      <c r="N658" s="213"/>
      <c r="O658" s="213"/>
      <c r="P658" s="213"/>
      <c r="Q658" s="213"/>
      <c r="R658" s="213"/>
      <c r="S658" s="213"/>
      <c r="T658" s="213"/>
      <c r="U658" s="213" t="s">
        <v>559</v>
      </c>
      <c r="V658" s="213">
        <v>1</v>
      </c>
      <c r="W658" s="213" t="s">
        <v>560</v>
      </c>
      <c r="X658" s="213" t="s">
        <v>541</v>
      </c>
      <c r="Y658" s="213" t="s">
        <v>541</v>
      </c>
      <c r="Z658" s="212">
        <v>0</v>
      </c>
      <c r="AA658" s="212">
        <v>0</v>
      </c>
      <c r="AB658" s="217">
        <v>0.79222499999999996</v>
      </c>
      <c r="AC658" s="217">
        <v>1.274966</v>
      </c>
      <c r="AD658" s="212">
        <f t="shared" si="10"/>
        <v>0</v>
      </c>
    </row>
    <row r="659" spans="2:30" x14ac:dyDescent="0.15">
      <c r="B659" s="213">
        <v>17031004040</v>
      </c>
      <c r="C659" s="213">
        <v>17031000401</v>
      </c>
      <c r="D659" s="213">
        <v>17031000395</v>
      </c>
      <c r="E659" s="213" t="s">
        <v>533</v>
      </c>
      <c r="F659" s="213" t="s">
        <v>534</v>
      </c>
      <c r="G659" s="213" t="s">
        <v>365</v>
      </c>
      <c r="H659" s="213" t="s">
        <v>382</v>
      </c>
      <c r="I659" s="213"/>
      <c r="J659" s="213" t="s">
        <v>547</v>
      </c>
      <c r="K659" s="213"/>
      <c r="L659" s="213"/>
      <c r="M659" s="213"/>
      <c r="N659" s="213"/>
      <c r="O659" s="213"/>
      <c r="P659" s="213"/>
      <c r="Q659" s="213"/>
      <c r="R659" s="213"/>
      <c r="S659" s="213" t="s">
        <v>608</v>
      </c>
      <c r="T659" s="213"/>
      <c r="U659" s="213" t="s">
        <v>538</v>
      </c>
      <c r="V659" s="213">
        <v>3</v>
      </c>
      <c r="W659" s="213" t="s">
        <v>566</v>
      </c>
      <c r="X659" s="213" t="s">
        <v>549</v>
      </c>
      <c r="Y659" s="213" t="s">
        <v>554</v>
      </c>
      <c r="Z659" s="212">
        <v>0</v>
      </c>
      <c r="AA659" s="212">
        <v>0</v>
      </c>
      <c r="AB659" s="217">
        <v>0.99978599999999995</v>
      </c>
      <c r="AC659" s="217">
        <v>1.609003</v>
      </c>
      <c r="AD659" s="212">
        <f t="shared" si="10"/>
        <v>0</v>
      </c>
    </row>
    <row r="660" spans="2:30" x14ac:dyDescent="0.15">
      <c r="B660" s="213">
        <v>17031004041</v>
      </c>
      <c r="C660" s="213">
        <v>17031000403</v>
      </c>
      <c r="D660" s="213">
        <v>17031000402</v>
      </c>
      <c r="E660" s="213" t="s">
        <v>533</v>
      </c>
      <c r="F660" s="213" t="s">
        <v>534</v>
      </c>
      <c r="G660" s="213" t="s">
        <v>365</v>
      </c>
      <c r="H660" s="213" t="s">
        <v>382</v>
      </c>
      <c r="I660" s="213"/>
      <c r="J660" s="213" t="s">
        <v>547</v>
      </c>
      <c r="K660" s="213"/>
      <c r="L660" s="213"/>
      <c r="M660" s="213"/>
      <c r="N660" s="213"/>
      <c r="O660" s="213"/>
      <c r="P660" s="213"/>
      <c r="Q660" s="213"/>
      <c r="R660" s="213"/>
      <c r="S660" s="213" t="s">
        <v>608</v>
      </c>
      <c r="T660" s="213"/>
      <c r="U660" s="213" t="s">
        <v>538</v>
      </c>
      <c r="V660" s="213">
        <v>3</v>
      </c>
      <c r="W660" s="213" t="s">
        <v>566</v>
      </c>
      <c r="X660" s="213" t="s">
        <v>540</v>
      </c>
      <c r="Y660" s="213" t="s">
        <v>541</v>
      </c>
      <c r="Z660" s="212">
        <v>0</v>
      </c>
      <c r="AA660" s="212">
        <v>0</v>
      </c>
      <c r="AB660" s="217">
        <v>0.39059199999999999</v>
      </c>
      <c r="AC660" s="217">
        <v>0.62859799999999999</v>
      </c>
      <c r="AD660" s="212">
        <f t="shared" si="10"/>
        <v>0</v>
      </c>
    </row>
    <row r="661" spans="2:30" x14ac:dyDescent="0.15">
      <c r="B661" s="213">
        <v>17031004042</v>
      </c>
      <c r="C661" s="213">
        <v>17031004610</v>
      </c>
      <c r="D661" s="213">
        <v>17031000403</v>
      </c>
      <c r="E661" s="213" t="s">
        <v>533</v>
      </c>
      <c r="F661" s="213" t="s">
        <v>534</v>
      </c>
      <c r="G661" s="213" t="s">
        <v>365</v>
      </c>
      <c r="H661" s="213" t="s">
        <v>382</v>
      </c>
      <c r="I661" s="213"/>
      <c r="J661" s="213" t="s">
        <v>547</v>
      </c>
      <c r="K661" s="213"/>
      <c r="L661" s="213"/>
      <c r="M661" s="213"/>
      <c r="N661" s="213"/>
      <c r="O661" s="213"/>
      <c r="P661" s="213"/>
      <c r="Q661" s="213"/>
      <c r="R661" s="213"/>
      <c r="S661" s="213" t="s">
        <v>608</v>
      </c>
      <c r="T661" s="213"/>
      <c r="U661" s="213" t="s">
        <v>538</v>
      </c>
      <c r="V661" s="213">
        <v>3</v>
      </c>
      <c r="W661" s="213" t="s">
        <v>566</v>
      </c>
      <c r="X661" s="213" t="s">
        <v>540</v>
      </c>
      <c r="Y661" s="213" t="s">
        <v>541</v>
      </c>
      <c r="Z661" s="212">
        <v>0</v>
      </c>
      <c r="AA661" s="212">
        <v>0</v>
      </c>
      <c r="AB661" s="217">
        <v>0.65046400000000004</v>
      </c>
      <c r="AC661" s="217">
        <v>1.0468219999999999</v>
      </c>
      <c r="AD661" s="212">
        <f t="shared" si="10"/>
        <v>0</v>
      </c>
    </row>
    <row r="662" spans="2:30" x14ac:dyDescent="0.15">
      <c r="B662" s="213">
        <v>17031004043</v>
      </c>
      <c r="C662" s="213">
        <v>17031000415</v>
      </c>
      <c r="D662" s="213">
        <v>17031004610</v>
      </c>
      <c r="E662" s="213" t="s">
        <v>533</v>
      </c>
      <c r="F662" s="213" t="s">
        <v>534</v>
      </c>
      <c r="G662" s="213" t="s">
        <v>365</v>
      </c>
      <c r="H662" s="213" t="s">
        <v>382</v>
      </c>
      <c r="I662" s="213"/>
      <c r="J662" s="213" t="s">
        <v>547</v>
      </c>
      <c r="K662" s="213"/>
      <c r="L662" s="213"/>
      <c r="M662" s="213"/>
      <c r="N662" s="213"/>
      <c r="O662" s="213"/>
      <c r="P662" s="213"/>
      <c r="Q662" s="213"/>
      <c r="R662" s="213"/>
      <c r="S662" s="213" t="s">
        <v>608</v>
      </c>
      <c r="T662" s="213"/>
      <c r="U662" s="213" t="s">
        <v>538</v>
      </c>
      <c r="V662" s="213">
        <v>3</v>
      </c>
      <c r="W662" s="213" t="s">
        <v>566</v>
      </c>
      <c r="X662" s="213" t="s">
        <v>540</v>
      </c>
      <c r="Y662" s="213" t="s">
        <v>541</v>
      </c>
      <c r="Z662" s="212">
        <v>0</v>
      </c>
      <c r="AA662" s="212">
        <v>0</v>
      </c>
      <c r="AB662" s="217">
        <v>0.99432399999999999</v>
      </c>
      <c r="AC662" s="217">
        <v>1.6002130000000001</v>
      </c>
      <c r="AD662" s="212">
        <f t="shared" si="10"/>
        <v>0</v>
      </c>
    </row>
    <row r="663" spans="2:30" x14ac:dyDescent="0.15">
      <c r="B663" s="213">
        <v>17031004048</v>
      </c>
      <c r="C663" s="213">
        <v>17031000738</v>
      </c>
      <c r="D663" s="213">
        <v>17031000734</v>
      </c>
      <c r="E663" s="213" t="s">
        <v>533</v>
      </c>
      <c r="F663" s="213" t="s">
        <v>534</v>
      </c>
      <c r="G663" s="213" t="s">
        <v>365</v>
      </c>
      <c r="H663" s="213" t="s">
        <v>535</v>
      </c>
      <c r="I663" s="213"/>
      <c r="J663" s="213"/>
      <c r="K663" s="213"/>
      <c r="L663" s="213"/>
      <c r="M663" s="213"/>
      <c r="N663" s="213"/>
      <c r="O663" s="213"/>
      <c r="P663" s="213"/>
      <c r="Q663" s="213"/>
      <c r="R663" s="213"/>
      <c r="S663" s="213" t="s">
        <v>624</v>
      </c>
      <c r="T663" s="213" t="s">
        <v>625</v>
      </c>
      <c r="U663" s="213" t="s">
        <v>538</v>
      </c>
      <c r="V663" s="213">
        <v>2</v>
      </c>
      <c r="W663" s="213" t="s">
        <v>582</v>
      </c>
      <c r="X663" s="213" t="s">
        <v>554</v>
      </c>
      <c r="Y663" s="213" t="s">
        <v>554</v>
      </c>
      <c r="Z663" s="212">
        <v>0</v>
      </c>
      <c r="AA663" s="212">
        <v>0</v>
      </c>
      <c r="AB663" s="217">
        <v>0.34241199999999999</v>
      </c>
      <c r="AC663" s="217">
        <v>0.55105999999999999</v>
      </c>
      <c r="AD663" s="212">
        <f t="shared" si="10"/>
        <v>0</v>
      </c>
    </row>
    <row r="664" spans="2:30" x14ac:dyDescent="0.15">
      <c r="B664" s="213">
        <v>17031004049</v>
      </c>
      <c r="C664" s="213">
        <v>17031000730</v>
      </c>
      <c r="D664" s="213">
        <v>17031000714</v>
      </c>
      <c r="E664" s="213" t="s">
        <v>533</v>
      </c>
      <c r="F664" s="213" t="s">
        <v>534</v>
      </c>
      <c r="G664" s="213" t="s">
        <v>365</v>
      </c>
      <c r="H664" s="213" t="s">
        <v>535</v>
      </c>
      <c r="I664" s="213"/>
      <c r="J664" s="213" t="s">
        <v>542</v>
      </c>
      <c r="K664" s="213" t="s">
        <v>572</v>
      </c>
      <c r="L664" s="213" t="s">
        <v>547</v>
      </c>
      <c r="M664" s="213" t="s">
        <v>382</v>
      </c>
      <c r="N664" s="213"/>
      <c r="O664" s="213"/>
      <c r="P664" s="213"/>
      <c r="Q664" s="213"/>
      <c r="R664" s="213"/>
      <c r="S664" s="213" t="s">
        <v>624</v>
      </c>
      <c r="T664" s="213"/>
      <c r="U664" s="213" t="s">
        <v>538</v>
      </c>
      <c r="V664" s="213">
        <v>2</v>
      </c>
      <c r="W664" s="213" t="s">
        <v>545</v>
      </c>
      <c r="X664" s="213" t="s">
        <v>554</v>
      </c>
      <c r="Y664" s="213" t="s">
        <v>549</v>
      </c>
      <c r="Z664" s="212">
        <v>75216</v>
      </c>
      <c r="AA664" s="212">
        <v>2779760</v>
      </c>
      <c r="AB664" s="217">
        <v>1.1287370000000001</v>
      </c>
      <c r="AC664" s="217">
        <v>1.8165290000000001</v>
      </c>
      <c r="AD664" s="212">
        <f t="shared" si="10"/>
        <v>3137617.9631200004</v>
      </c>
    </row>
    <row r="665" spans="2:30" x14ac:dyDescent="0.15">
      <c r="B665" s="213">
        <v>17031004074</v>
      </c>
      <c r="C665" s="213">
        <v>17031001129</v>
      </c>
      <c r="D665" s="213">
        <v>17031001114</v>
      </c>
      <c r="E665" s="213" t="s">
        <v>533</v>
      </c>
      <c r="F665" s="213" t="s">
        <v>534</v>
      </c>
      <c r="G665" s="213" t="s">
        <v>365</v>
      </c>
      <c r="H665" s="213" t="s">
        <v>543</v>
      </c>
      <c r="I665" s="213"/>
      <c r="J665" s="213" t="s">
        <v>542</v>
      </c>
      <c r="K665" s="213"/>
      <c r="L665" s="213"/>
      <c r="M665" s="213"/>
      <c r="N665" s="213"/>
      <c r="O665" s="213"/>
      <c r="P665" s="213"/>
      <c r="Q665" s="213"/>
      <c r="R665" s="213"/>
      <c r="S665" s="213" t="s">
        <v>630</v>
      </c>
      <c r="T665" s="213"/>
      <c r="U665" s="213" t="s">
        <v>538</v>
      </c>
      <c r="V665" s="213">
        <v>4</v>
      </c>
      <c r="W665" s="213" t="s">
        <v>545</v>
      </c>
      <c r="X665" s="213" t="s">
        <v>540</v>
      </c>
      <c r="Y665" s="213" t="s">
        <v>575</v>
      </c>
      <c r="Z665" s="212">
        <v>1962622</v>
      </c>
      <c r="AA665" s="212">
        <v>56698813</v>
      </c>
      <c r="AB665" s="217">
        <v>0.140095</v>
      </c>
      <c r="AC665" s="217">
        <v>0.22546099999999999</v>
      </c>
      <c r="AD665" s="212">
        <f t="shared" si="10"/>
        <v>7943220.2072350001</v>
      </c>
    </row>
    <row r="666" spans="2:30" x14ac:dyDescent="0.15">
      <c r="B666" s="213">
        <v>17031004105</v>
      </c>
      <c r="C666" s="213">
        <v>17031000825</v>
      </c>
      <c r="D666" s="213">
        <v>17031004761</v>
      </c>
      <c r="E666" s="213" t="s">
        <v>533</v>
      </c>
      <c r="F666" s="213" t="s">
        <v>534</v>
      </c>
      <c r="G666" s="213" t="s">
        <v>365</v>
      </c>
      <c r="H666" s="213" t="s">
        <v>547</v>
      </c>
      <c r="I666" s="213"/>
      <c r="J666" s="213" t="s">
        <v>542</v>
      </c>
      <c r="K666" s="213" t="s">
        <v>543</v>
      </c>
      <c r="L666" s="213" t="s">
        <v>382</v>
      </c>
      <c r="M666" s="213"/>
      <c r="N666" s="213"/>
      <c r="O666" s="213"/>
      <c r="P666" s="213"/>
      <c r="Q666" s="213"/>
      <c r="R666" s="213"/>
      <c r="S666" s="213" t="s">
        <v>602</v>
      </c>
      <c r="T666" s="213"/>
      <c r="U666" s="213" t="s">
        <v>538</v>
      </c>
      <c r="V666" s="213">
        <v>2</v>
      </c>
      <c r="W666" s="213" t="s">
        <v>545</v>
      </c>
      <c r="X666" s="213" t="s">
        <v>554</v>
      </c>
      <c r="Y666" s="213" t="s">
        <v>540</v>
      </c>
      <c r="Z666" s="212">
        <v>186774</v>
      </c>
      <c r="AA666" s="212">
        <v>8926948</v>
      </c>
      <c r="AB666" s="217">
        <v>0.56299699999999997</v>
      </c>
      <c r="AC666" s="217">
        <v>0.90605800000000003</v>
      </c>
      <c r="AD666" s="212">
        <f t="shared" si="10"/>
        <v>5025844.9431559993</v>
      </c>
    </row>
    <row r="667" spans="2:30" x14ac:dyDescent="0.15">
      <c r="B667" s="213">
        <v>17031004181</v>
      </c>
      <c r="C667" s="213">
        <v>17031004615</v>
      </c>
      <c r="D667" s="213">
        <v>17031000256</v>
      </c>
      <c r="E667" s="213" t="s">
        <v>533</v>
      </c>
      <c r="F667" s="213" t="s">
        <v>534</v>
      </c>
      <c r="G667" s="213" t="s">
        <v>365</v>
      </c>
      <c r="H667" s="213" t="s">
        <v>552</v>
      </c>
      <c r="I667" s="213"/>
      <c r="J667" s="213" t="s">
        <v>542</v>
      </c>
      <c r="K667" s="213" t="s">
        <v>547</v>
      </c>
      <c r="L667" s="213" t="s">
        <v>563</v>
      </c>
      <c r="M667" s="213" t="s">
        <v>382</v>
      </c>
      <c r="N667" s="213"/>
      <c r="O667" s="213"/>
      <c r="P667" s="213"/>
      <c r="Q667" s="213"/>
      <c r="R667" s="213"/>
      <c r="S667" s="213" t="s">
        <v>564</v>
      </c>
      <c r="T667" s="213"/>
      <c r="U667" s="213" t="s">
        <v>538</v>
      </c>
      <c r="V667" s="213">
        <v>2</v>
      </c>
      <c r="W667" s="213" t="s">
        <v>545</v>
      </c>
      <c r="X667" s="213" t="s">
        <v>549</v>
      </c>
      <c r="Y667" s="213" t="s">
        <v>541</v>
      </c>
      <c r="Z667" s="212">
        <v>21868</v>
      </c>
      <c r="AA667" s="212">
        <v>1956580</v>
      </c>
      <c r="AB667" s="217">
        <v>1.5680620000000001</v>
      </c>
      <c r="AC667" s="217">
        <v>2.5235560000000001</v>
      </c>
      <c r="AD667" s="212">
        <f t="shared" si="10"/>
        <v>3068038.7479600003</v>
      </c>
    </row>
    <row r="668" spans="2:30" x14ac:dyDescent="0.15">
      <c r="B668" s="213">
        <v>17031004196</v>
      </c>
      <c r="C668" s="213">
        <v>17031000402</v>
      </c>
      <c r="D668" s="213">
        <v>17031000401</v>
      </c>
      <c r="E668" s="213" t="s">
        <v>533</v>
      </c>
      <c r="F668" s="213" t="s">
        <v>534</v>
      </c>
      <c r="G668" s="213" t="s">
        <v>365</v>
      </c>
      <c r="H668" s="213" t="s">
        <v>382</v>
      </c>
      <c r="I668" s="213"/>
      <c r="J668" s="213" t="s">
        <v>547</v>
      </c>
      <c r="K668" s="213"/>
      <c r="L668" s="213"/>
      <c r="M668" s="213"/>
      <c r="N668" s="213"/>
      <c r="O668" s="213"/>
      <c r="P668" s="213"/>
      <c r="Q668" s="213"/>
      <c r="R668" s="213"/>
      <c r="S668" s="213" t="s">
        <v>608</v>
      </c>
      <c r="T668" s="213"/>
      <c r="U668" s="213" t="s">
        <v>538</v>
      </c>
      <c r="V668" s="213">
        <v>3</v>
      </c>
      <c r="W668" s="213" t="s">
        <v>566</v>
      </c>
      <c r="X668" s="213" t="s">
        <v>540</v>
      </c>
      <c r="Y668" s="213" t="s">
        <v>541</v>
      </c>
      <c r="Z668" s="212">
        <v>0</v>
      </c>
      <c r="AA668" s="212">
        <v>0</v>
      </c>
      <c r="AB668" s="217">
        <v>4.5303000000000003E-2</v>
      </c>
      <c r="AC668" s="217">
        <v>7.2909000000000002E-2</v>
      </c>
      <c r="AD668" s="212">
        <f t="shared" si="10"/>
        <v>0</v>
      </c>
    </row>
    <row r="669" spans="2:30" x14ac:dyDescent="0.15">
      <c r="B669" s="213">
        <v>17031004198</v>
      </c>
      <c r="C669" s="213">
        <v>17031000315</v>
      </c>
      <c r="D669" s="213">
        <v>17031000326</v>
      </c>
      <c r="E669" s="213" t="s">
        <v>533</v>
      </c>
      <c r="F669" s="213" t="s">
        <v>534</v>
      </c>
      <c r="G669" s="213" t="s">
        <v>365</v>
      </c>
      <c r="H669" s="213" t="s">
        <v>590</v>
      </c>
      <c r="I669" s="213"/>
      <c r="J669" s="213"/>
      <c r="K669" s="213"/>
      <c r="L669" s="213"/>
      <c r="M669" s="213"/>
      <c r="N669" s="213"/>
      <c r="O669" s="213"/>
      <c r="P669" s="213"/>
      <c r="Q669" s="213"/>
      <c r="R669" s="213"/>
      <c r="S669" s="213"/>
      <c r="T669" s="213"/>
      <c r="U669" s="213" t="s">
        <v>559</v>
      </c>
      <c r="V669" s="213">
        <v>1</v>
      </c>
      <c r="W669" s="213" t="s">
        <v>560</v>
      </c>
      <c r="X669" s="213" t="s">
        <v>541</v>
      </c>
      <c r="Y669" s="213" t="s">
        <v>541</v>
      </c>
      <c r="Z669" s="212">
        <v>0</v>
      </c>
      <c r="AA669" s="212">
        <v>0</v>
      </c>
      <c r="AB669" s="217">
        <v>1.067045</v>
      </c>
      <c r="AC669" s="217">
        <v>1.7172460000000001</v>
      </c>
      <c r="AD669" s="212">
        <f t="shared" si="10"/>
        <v>0</v>
      </c>
    </row>
    <row r="670" spans="2:30" x14ac:dyDescent="0.15">
      <c r="B670" s="213">
        <v>17031004200</v>
      </c>
      <c r="C670" s="213">
        <v>17031000329</v>
      </c>
      <c r="D670" s="213">
        <v>17031000332</v>
      </c>
      <c r="E670" s="213" t="s">
        <v>533</v>
      </c>
      <c r="F670" s="213" t="s">
        <v>534</v>
      </c>
      <c r="G670" s="213" t="s">
        <v>365</v>
      </c>
      <c r="H670" s="213" t="s">
        <v>590</v>
      </c>
      <c r="I670" s="213"/>
      <c r="J670" s="213"/>
      <c r="K670" s="213"/>
      <c r="L670" s="213"/>
      <c r="M670" s="213"/>
      <c r="N670" s="213"/>
      <c r="O670" s="213"/>
      <c r="P670" s="213"/>
      <c r="Q670" s="213"/>
      <c r="R670" s="213"/>
      <c r="S670" s="213"/>
      <c r="T670" s="213"/>
      <c r="U670" s="213" t="s">
        <v>559</v>
      </c>
      <c r="V670" s="213">
        <v>1</v>
      </c>
      <c r="W670" s="213" t="s">
        <v>560</v>
      </c>
      <c r="X670" s="213" t="s">
        <v>541</v>
      </c>
      <c r="Y670" s="213" t="s">
        <v>541</v>
      </c>
      <c r="Z670" s="212">
        <v>0</v>
      </c>
      <c r="AA670" s="212">
        <v>0</v>
      </c>
      <c r="AB670" s="217">
        <v>0.78686800000000001</v>
      </c>
      <c r="AC670" s="217">
        <v>1.2663450000000001</v>
      </c>
      <c r="AD670" s="212">
        <f t="shared" si="10"/>
        <v>0</v>
      </c>
    </row>
    <row r="671" spans="2:30" x14ac:dyDescent="0.15">
      <c r="B671" s="213">
        <v>17031004208</v>
      </c>
      <c r="C671" s="213">
        <v>17031000352</v>
      </c>
      <c r="D671" s="213">
        <v>17031007557</v>
      </c>
      <c r="E671" s="213" t="s">
        <v>533</v>
      </c>
      <c r="F671" s="213" t="s">
        <v>534</v>
      </c>
      <c r="G671" s="213" t="s">
        <v>365</v>
      </c>
      <c r="H671" s="213" t="s">
        <v>590</v>
      </c>
      <c r="I671" s="213"/>
      <c r="J671" s="213"/>
      <c r="K671" s="213"/>
      <c r="L671" s="213"/>
      <c r="M671" s="213"/>
      <c r="N671" s="213"/>
      <c r="O671" s="213"/>
      <c r="P671" s="213"/>
      <c r="Q671" s="213"/>
      <c r="R671" s="213"/>
      <c r="S671" s="213"/>
      <c r="T671" s="213"/>
      <c r="U671" s="213" t="s">
        <v>559</v>
      </c>
      <c r="V671" s="213">
        <v>1</v>
      </c>
      <c r="W671" s="213" t="s">
        <v>560</v>
      </c>
      <c r="X671" s="213" t="s">
        <v>541</v>
      </c>
      <c r="Y671" s="213" t="s">
        <v>541</v>
      </c>
      <c r="Z671" s="212">
        <v>0</v>
      </c>
      <c r="AA671" s="212">
        <v>0</v>
      </c>
      <c r="AB671" s="217">
        <v>0.68821500000000002</v>
      </c>
      <c r="AC671" s="217">
        <v>1.107577</v>
      </c>
      <c r="AD671" s="212">
        <f t="shared" si="10"/>
        <v>0</v>
      </c>
    </row>
    <row r="672" spans="2:30" x14ac:dyDescent="0.15">
      <c r="B672" s="213">
        <v>17031004209</v>
      </c>
      <c r="C672" s="213">
        <v>17031000347</v>
      </c>
      <c r="D672" s="213">
        <v>17031000352</v>
      </c>
      <c r="E672" s="213" t="s">
        <v>533</v>
      </c>
      <c r="F672" s="213" t="s">
        <v>534</v>
      </c>
      <c r="G672" s="213" t="s">
        <v>365</v>
      </c>
      <c r="H672" s="213" t="s">
        <v>590</v>
      </c>
      <c r="I672" s="213"/>
      <c r="J672" s="213"/>
      <c r="K672" s="213"/>
      <c r="L672" s="213"/>
      <c r="M672" s="213"/>
      <c r="N672" s="213"/>
      <c r="O672" s="213"/>
      <c r="P672" s="213"/>
      <c r="Q672" s="213"/>
      <c r="R672" s="213"/>
      <c r="S672" s="213"/>
      <c r="T672" s="213"/>
      <c r="U672" s="213" t="s">
        <v>559</v>
      </c>
      <c r="V672" s="213">
        <v>1</v>
      </c>
      <c r="W672" s="213" t="s">
        <v>560</v>
      </c>
      <c r="X672" s="213" t="s">
        <v>541</v>
      </c>
      <c r="Y672" s="213" t="s">
        <v>541</v>
      </c>
      <c r="Z672" s="212">
        <v>0</v>
      </c>
      <c r="AA672" s="212">
        <v>0</v>
      </c>
      <c r="AB672" s="217">
        <v>1.017066</v>
      </c>
      <c r="AC672" s="217">
        <v>1.6368130000000001</v>
      </c>
      <c r="AD672" s="212">
        <f t="shared" si="10"/>
        <v>0</v>
      </c>
    </row>
    <row r="673" spans="2:30" x14ac:dyDescent="0.15">
      <c r="B673" s="213">
        <v>17031004211</v>
      </c>
      <c r="C673" s="213">
        <v>17031000334</v>
      </c>
      <c r="D673" s="213">
        <v>17031000347</v>
      </c>
      <c r="E673" s="213" t="s">
        <v>533</v>
      </c>
      <c r="F673" s="213" t="s">
        <v>534</v>
      </c>
      <c r="G673" s="213" t="s">
        <v>365</v>
      </c>
      <c r="H673" s="213" t="s">
        <v>590</v>
      </c>
      <c r="I673" s="213"/>
      <c r="J673" s="213"/>
      <c r="K673" s="213"/>
      <c r="L673" s="213"/>
      <c r="M673" s="213"/>
      <c r="N673" s="213"/>
      <c r="O673" s="213"/>
      <c r="P673" s="213"/>
      <c r="Q673" s="213"/>
      <c r="R673" s="213"/>
      <c r="S673" s="213"/>
      <c r="T673" s="213"/>
      <c r="U673" s="213" t="s">
        <v>559</v>
      </c>
      <c r="V673" s="213">
        <v>1</v>
      </c>
      <c r="W673" s="213" t="s">
        <v>560</v>
      </c>
      <c r="X673" s="213" t="s">
        <v>541</v>
      </c>
      <c r="Y673" s="213" t="s">
        <v>541</v>
      </c>
      <c r="Z673" s="212">
        <v>0</v>
      </c>
      <c r="AA673" s="212">
        <v>0</v>
      </c>
      <c r="AB673" s="217">
        <v>0.123721</v>
      </c>
      <c r="AC673" s="217">
        <v>0.19911000000000001</v>
      </c>
      <c r="AD673" s="212">
        <f t="shared" si="10"/>
        <v>0</v>
      </c>
    </row>
    <row r="674" spans="2:30" x14ac:dyDescent="0.15">
      <c r="B674" s="213">
        <v>17031004212</v>
      </c>
      <c r="C674" s="213">
        <v>17031000334</v>
      </c>
      <c r="D674" s="213">
        <v>17031000330</v>
      </c>
      <c r="E674" s="213" t="s">
        <v>533</v>
      </c>
      <c r="F674" s="213" t="s">
        <v>534</v>
      </c>
      <c r="G674" s="213" t="s">
        <v>365</v>
      </c>
      <c r="H674" s="213" t="s">
        <v>590</v>
      </c>
      <c r="I674" s="213"/>
      <c r="J674" s="213"/>
      <c r="K674" s="213"/>
      <c r="L674" s="213"/>
      <c r="M674" s="213"/>
      <c r="N674" s="213"/>
      <c r="O674" s="213"/>
      <c r="P674" s="213"/>
      <c r="Q674" s="213"/>
      <c r="R674" s="213"/>
      <c r="S674" s="213"/>
      <c r="T674" s="213"/>
      <c r="U674" s="213" t="s">
        <v>559</v>
      </c>
      <c r="V674" s="213">
        <v>1</v>
      </c>
      <c r="W674" s="213" t="s">
        <v>560</v>
      </c>
      <c r="X674" s="213" t="s">
        <v>541</v>
      </c>
      <c r="Y674" s="213" t="s">
        <v>541</v>
      </c>
      <c r="Z674" s="212">
        <v>0</v>
      </c>
      <c r="AA674" s="212">
        <v>0</v>
      </c>
      <c r="AB674" s="217">
        <v>0.80620700000000001</v>
      </c>
      <c r="AC674" s="217">
        <v>1.2974680000000001</v>
      </c>
      <c r="AD674" s="212">
        <f t="shared" si="10"/>
        <v>0</v>
      </c>
    </row>
    <row r="675" spans="2:30" x14ac:dyDescent="0.15">
      <c r="B675" s="213">
        <v>17031004216</v>
      </c>
      <c r="C675" s="213">
        <v>17031000319</v>
      </c>
      <c r="D675" s="213">
        <v>17031000316</v>
      </c>
      <c r="E675" s="213" t="s">
        <v>533</v>
      </c>
      <c r="F675" s="213" t="s">
        <v>534</v>
      </c>
      <c r="G675" s="213" t="s">
        <v>365</v>
      </c>
      <c r="H675" s="213" t="s">
        <v>590</v>
      </c>
      <c r="I675" s="213"/>
      <c r="J675" s="213"/>
      <c r="K675" s="213"/>
      <c r="L675" s="213"/>
      <c r="M675" s="213"/>
      <c r="N675" s="213"/>
      <c r="O675" s="213"/>
      <c r="P675" s="213"/>
      <c r="Q675" s="213"/>
      <c r="R675" s="213"/>
      <c r="S675" s="213"/>
      <c r="T675" s="213"/>
      <c r="U675" s="213" t="s">
        <v>559</v>
      </c>
      <c r="V675" s="213">
        <v>1</v>
      </c>
      <c r="W675" s="213" t="s">
        <v>560</v>
      </c>
      <c r="X675" s="213" t="s">
        <v>541</v>
      </c>
      <c r="Y675" s="213" t="s">
        <v>541</v>
      </c>
      <c r="Z675" s="212">
        <v>0</v>
      </c>
      <c r="AA675" s="212">
        <v>0</v>
      </c>
      <c r="AB675" s="217">
        <v>0.74157399999999996</v>
      </c>
      <c r="AC675" s="217">
        <v>1.1934499999999999</v>
      </c>
      <c r="AD675" s="212">
        <f t="shared" si="10"/>
        <v>0</v>
      </c>
    </row>
    <row r="676" spans="2:30" x14ac:dyDescent="0.15">
      <c r="B676" s="213">
        <v>17031004217</v>
      </c>
      <c r="C676" s="213">
        <v>17031000313</v>
      </c>
      <c r="D676" s="213">
        <v>17031000312</v>
      </c>
      <c r="E676" s="213" t="s">
        <v>533</v>
      </c>
      <c r="F676" s="213" t="s">
        <v>534</v>
      </c>
      <c r="G676" s="213" t="s">
        <v>365</v>
      </c>
      <c r="H676" s="213" t="s">
        <v>590</v>
      </c>
      <c r="I676" s="213"/>
      <c r="J676" s="213"/>
      <c r="K676" s="213"/>
      <c r="L676" s="213"/>
      <c r="M676" s="213"/>
      <c r="N676" s="213"/>
      <c r="O676" s="213"/>
      <c r="P676" s="213"/>
      <c r="Q676" s="213"/>
      <c r="R676" s="213"/>
      <c r="S676" s="213"/>
      <c r="T676" s="213"/>
      <c r="U676" s="213" t="s">
        <v>559</v>
      </c>
      <c r="V676" s="213">
        <v>1</v>
      </c>
      <c r="W676" s="213" t="s">
        <v>560</v>
      </c>
      <c r="X676" s="213" t="s">
        <v>541</v>
      </c>
      <c r="Y676" s="213" t="s">
        <v>541</v>
      </c>
      <c r="Z676" s="212">
        <v>0</v>
      </c>
      <c r="AA676" s="212">
        <v>0</v>
      </c>
      <c r="AB676" s="217">
        <v>0.48008099999999998</v>
      </c>
      <c r="AC676" s="217">
        <v>0.772617</v>
      </c>
      <c r="AD676" s="212">
        <f t="shared" si="10"/>
        <v>0</v>
      </c>
    </row>
    <row r="677" spans="2:30" x14ac:dyDescent="0.15">
      <c r="B677" s="213">
        <v>17031004218</v>
      </c>
      <c r="C677" s="213">
        <v>17031000308</v>
      </c>
      <c r="D677" s="213">
        <v>17031000313</v>
      </c>
      <c r="E677" s="213" t="s">
        <v>533</v>
      </c>
      <c r="F677" s="213" t="s">
        <v>534</v>
      </c>
      <c r="G677" s="213" t="s">
        <v>365</v>
      </c>
      <c r="H677" s="213" t="s">
        <v>590</v>
      </c>
      <c r="I677" s="213"/>
      <c r="J677" s="213"/>
      <c r="K677" s="213"/>
      <c r="L677" s="213"/>
      <c r="M677" s="213"/>
      <c r="N677" s="213"/>
      <c r="O677" s="213"/>
      <c r="P677" s="213"/>
      <c r="Q677" s="213"/>
      <c r="R677" s="213"/>
      <c r="S677" s="213"/>
      <c r="T677" s="213"/>
      <c r="U677" s="213" t="s">
        <v>559</v>
      </c>
      <c r="V677" s="213">
        <v>1</v>
      </c>
      <c r="W677" s="213" t="s">
        <v>560</v>
      </c>
      <c r="X677" s="213" t="s">
        <v>541</v>
      </c>
      <c r="Y677" s="213" t="s">
        <v>541</v>
      </c>
      <c r="Z677" s="212">
        <v>0</v>
      </c>
      <c r="AA677" s="212">
        <v>0</v>
      </c>
      <c r="AB677" s="217">
        <v>9.6308000000000005E-2</v>
      </c>
      <c r="AC677" s="217">
        <v>0.15499299999999999</v>
      </c>
      <c r="AD677" s="212">
        <f t="shared" si="10"/>
        <v>0</v>
      </c>
    </row>
    <row r="678" spans="2:30" x14ac:dyDescent="0.15">
      <c r="B678" s="213">
        <v>17031004227</v>
      </c>
      <c r="C678" s="213">
        <v>17031000901</v>
      </c>
      <c r="D678" s="213">
        <v>17031000880</v>
      </c>
      <c r="E678" s="213" t="s">
        <v>533</v>
      </c>
      <c r="F678" s="213" t="s">
        <v>534</v>
      </c>
      <c r="G678" s="213" t="s">
        <v>365</v>
      </c>
      <c r="H678" s="213" t="s">
        <v>381</v>
      </c>
      <c r="I678" s="213"/>
      <c r="J678" s="213" t="s">
        <v>382</v>
      </c>
      <c r="K678" s="213"/>
      <c r="L678" s="213"/>
      <c r="M678" s="213"/>
      <c r="N678" s="213"/>
      <c r="O678" s="213"/>
      <c r="P678" s="213"/>
      <c r="Q678" s="213"/>
      <c r="R678" s="213"/>
      <c r="S678" s="213" t="s">
        <v>647</v>
      </c>
      <c r="T678" s="213"/>
      <c r="U678" s="213" t="s">
        <v>538</v>
      </c>
      <c r="V678" s="213">
        <v>2</v>
      </c>
      <c r="W678" s="213" t="s">
        <v>545</v>
      </c>
      <c r="X678" s="213" t="s">
        <v>540</v>
      </c>
      <c r="Y678" s="213" t="s">
        <v>580</v>
      </c>
      <c r="Z678" s="212">
        <v>1224810</v>
      </c>
      <c r="AA678" s="212">
        <v>23248317</v>
      </c>
      <c r="AB678" s="217">
        <v>0.297344</v>
      </c>
      <c r="AC678" s="217">
        <v>0.47852899999999998</v>
      </c>
      <c r="AD678" s="212">
        <f t="shared" si="10"/>
        <v>6912747.5700479997</v>
      </c>
    </row>
    <row r="679" spans="2:30" x14ac:dyDescent="0.15">
      <c r="B679" s="213">
        <v>17031004229</v>
      </c>
      <c r="C679" s="213">
        <v>17031001102</v>
      </c>
      <c r="D679" s="213">
        <v>17031001094</v>
      </c>
      <c r="E679" s="213" t="s">
        <v>533</v>
      </c>
      <c r="F679" s="213" t="s">
        <v>534</v>
      </c>
      <c r="G679" s="213" t="s">
        <v>365</v>
      </c>
      <c r="H679" s="213" t="s">
        <v>577</v>
      </c>
      <c r="I679" s="213"/>
      <c r="J679" s="213"/>
      <c r="K679" s="213"/>
      <c r="L679" s="213"/>
      <c r="M679" s="213"/>
      <c r="N679" s="213"/>
      <c r="O679" s="213"/>
      <c r="P679" s="213"/>
      <c r="Q679" s="213"/>
      <c r="R679" s="213"/>
      <c r="S679" s="213"/>
      <c r="T679" s="213"/>
      <c r="U679" s="213" t="s">
        <v>538</v>
      </c>
      <c r="V679" s="213">
        <v>1</v>
      </c>
      <c r="W679" s="213" t="s">
        <v>560</v>
      </c>
      <c r="X679" s="213" t="s">
        <v>541</v>
      </c>
      <c r="Y679" s="213" t="s">
        <v>541</v>
      </c>
      <c r="Z679" s="212">
        <v>40</v>
      </c>
      <c r="AA679" s="212">
        <v>3440</v>
      </c>
      <c r="AB679" s="217">
        <v>0.22141</v>
      </c>
      <c r="AC679" s="217">
        <v>0.356325</v>
      </c>
      <c r="AD679" s="212">
        <f t="shared" si="10"/>
        <v>761.65039999999999</v>
      </c>
    </row>
    <row r="680" spans="2:30" x14ac:dyDescent="0.15">
      <c r="B680" s="213">
        <v>17031004238</v>
      </c>
      <c r="C680" s="213">
        <v>17031001577</v>
      </c>
      <c r="D680" s="213">
        <v>17031001576</v>
      </c>
      <c r="E680" s="213" t="s">
        <v>533</v>
      </c>
      <c r="F680" s="213" t="s">
        <v>534</v>
      </c>
      <c r="G680" s="213" t="s">
        <v>365</v>
      </c>
      <c r="H680" s="213" t="s">
        <v>382</v>
      </c>
      <c r="I680" s="213"/>
      <c r="J680" s="213"/>
      <c r="K680" s="213"/>
      <c r="L680" s="213"/>
      <c r="M680" s="213"/>
      <c r="N680" s="213"/>
      <c r="O680" s="213"/>
      <c r="P680" s="213"/>
      <c r="Q680" s="213"/>
      <c r="R680" s="213"/>
      <c r="S680" s="213" t="s">
        <v>576</v>
      </c>
      <c r="T680" s="213"/>
      <c r="U680" s="213" t="s">
        <v>559</v>
      </c>
      <c r="V680" s="213">
        <v>1</v>
      </c>
      <c r="W680" s="213" t="s">
        <v>560</v>
      </c>
      <c r="X680" s="213" t="s">
        <v>541</v>
      </c>
      <c r="Y680" s="213" t="s">
        <v>541</v>
      </c>
      <c r="Z680" s="212">
        <v>0</v>
      </c>
      <c r="AA680" s="212">
        <v>0</v>
      </c>
      <c r="AB680" s="217">
        <v>0.58224900000000002</v>
      </c>
      <c r="AC680" s="217">
        <v>0.93704100000000001</v>
      </c>
      <c r="AD680" s="212">
        <f t="shared" si="10"/>
        <v>0</v>
      </c>
    </row>
    <row r="681" spans="2:30" x14ac:dyDescent="0.15">
      <c r="B681" s="213">
        <v>17031004247</v>
      </c>
      <c r="C681" s="213">
        <v>17031001576</v>
      </c>
      <c r="D681" s="213">
        <v>17031001583</v>
      </c>
      <c r="E681" s="213" t="s">
        <v>533</v>
      </c>
      <c r="F681" s="213" t="s">
        <v>534</v>
      </c>
      <c r="G681" s="213" t="s">
        <v>365</v>
      </c>
      <c r="H681" s="213" t="s">
        <v>382</v>
      </c>
      <c r="I681" s="213"/>
      <c r="J681" s="213"/>
      <c r="K681" s="213"/>
      <c r="L681" s="213"/>
      <c r="M681" s="213"/>
      <c r="N681" s="213"/>
      <c r="O681" s="213"/>
      <c r="P681" s="213"/>
      <c r="Q681" s="213"/>
      <c r="R681" s="213"/>
      <c r="S681" s="213" t="s">
        <v>576</v>
      </c>
      <c r="T681" s="213"/>
      <c r="U681" s="213" t="s">
        <v>559</v>
      </c>
      <c r="V681" s="213">
        <v>1</v>
      </c>
      <c r="W681" s="213" t="s">
        <v>560</v>
      </c>
      <c r="X681" s="213" t="s">
        <v>541</v>
      </c>
      <c r="Y681" s="213" t="s">
        <v>541</v>
      </c>
      <c r="Z681" s="212">
        <v>0</v>
      </c>
      <c r="AA681" s="212">
        <v>0</v>
      </c>
      <c r="AB681" s="217">
        <v>1.237946</v>
      </c>
      <c r="AC681" s="217">
        <v>1.9922850000000001</v>
      </c>
      <c r="AD681" s="212">
        <f t="shared" si="10"/>
        <v>0</v>
      </c>
    </row>
    <row r="682" spans="2:30" x14ac:dyDescent="0.15">
      <c r="B682" s="213">
        <v>17031004259</v>
      </c>
      <c r="C682" s="213">
        <v>17031004617</v>
      </c>
      <c r="D682" s="213">
        <v>17031000302</v>
      </c>
      <c r="E682" s="213" t="s">
        <v>533</v>
      </c>
      <c r="F682" s="213" t="s">
        <v>534</v>
      </c>
      <c r="G682" s="213" t="s">
        <v>365</v>
      </c>
      <c r="H682" s="213" t="s">
        <v>552</v>
      </c>
      <c r="I682" s="213"/>
      <c r="J682" s="213" t="s">
        <v>542</v>
      </c>
      <c r="K682" s="213" t="s">
        <v>547</v>
      </c>
      <c r="L682" s="213" t="s">
        <v>563</v>
      </c>
      <c r="M682" s="213"/>
      <c r="N682" s="213"/>
      <c r="O682" s="213"/>
      <c r="P682" s="213"/>
      <c r="Q682" s="213"/>
      <c r="R682" s="213"/>
      <c r="S682" s="213" t="s">
        <v>564</v>
      </c>
      <c r="T682" s="213"/>
      <c r="U682" s="213" t="s">
        <v>538</v>
      </c>
      <c r="V682" s="213">
        <v>2</v>
      </c>
      <c r="W682" s="213" t="s">
        <v>545</v>
      </c>
      <c r="X682" s="213" t="s">
        <v>549</v>
      </c>
      <c r="Y682" s="213" t="s">
        <v>541</v>
      </c>
      <c r="Z682" s="212">
        <v>21788</v>
      </c>
      <c r="AA682" s="212">
        <v>1948660</v>
      </c>
      <c r="AB682" s="217">
        <v>1.169065</v>
      </c>
      <c r="AC682" s="217">
        <v>1.8814310000000001</v>
      </c>
      <c r="AD682" s="212">
        <f t="shared" si="10"/>
        <v>2278110.2028999999</v>
      </c>
    </row>
    <row r="683" spans="2:30" x14ac:dyDescent="0.15">
      <c r="B683" s="213">
        <v>17031004261</v>
      </c>
      <c r="C683" s="213">
        <v>17031004616</v>
      </c>
      <c r="D683" s="213">
        <v>17031000286</v>
      </c>
      <c r="E683" s="213" t="s">
        <v>533</v>
      </c>
      <c r="F683" s="213" t="s">
        <v>534</v>
      </c>
      <c r="G683" s="213" t="s">
        <v>365</v>
      </c>
      <c r="H683" s="213" t="s">
        <v>552</v>
      </c>
      <c r="I683" s="213"/>
      <c r="J683" s="213" t="s">
        <v>542</v>
      </c>
      <c r="K683" s="213" t="s">
        <v>547</v>
      </c>
      <c r="L683" s="213" t="s">
        <v>563</v>
      </c>
      <c r="M683" s="213"/>
      <c r="N683" s="213"/>
      <c r="O683" s="213"/>
      <c r="P683" s="213"/>
      <c r="Q683" s="213"/>
      <c r="R683" s="213"/>
      <c r="S683" s="213" t="s">
        <v>564</v>
      </c>
      <c r="T683" s="213"/>
      <c r="U683" s="213" t="s">
        <v>538</v>
      </c>
      <c r="V683" s="213">
        <v>2</v>
      </c>
      <c r="W683" s="213" t="s">
        <v>545</v>
      </c>
      <c r="X683" s="213" t="s">
        <v>549</v>
      </c>
      <c r="Y683" s="213" t="s">
        <v>541</v>
      </c>
      <c r="Z683" s="212">
        <v>21788</v>
      </c>
      <c r="AA683" s="212">
        <v>1948660</v>
      </c>
      <c r="AB683" s="217">
        <v>1.2281979999999999</v>
      </c>
      <c r="AC683" s="217">
        <v>1.9765980000000001</v>
      </c>
      <c r="AD683" s="212">
        <f t="shared" si="10"/>
        <v>2393340.3146799998</v>
      </c>
    </row>
    <row r="684" spans="2:30" x14ac:dyDescent="0.15">
      <c r="B684" s="213">
        <v>17031004273</v>
      </c>
      <c r="C684" s="213">
        <v>17031000843</v>
      </c>
      <c r="D684" s="213">
        <v>17031000825</v>
      </c>
      <c r="E684" s="213" t="s">
        <v>533</v>
      </c>
      <c r="F684" s="213" t="s">
        <v>534</v>
      </c>
      <c r="G684" s="213" t="s">
        <v>365</v>
      </c>
      <c r="H684" s="213" t="s">
        <v>547</v>
      </c>
      <c r="I684" s="213"/>
      <c r="J684" s="213" t="s">
        <v>542</v>
      </c>
      <c r="K684" s="213" t="s">
        <v>543</v>
      </c>
      <c r="L684" s="213" t="s">
        <v>382</v>
      </c>
      <c r="M684" s="213"/>
      <c r="N684" s="213"/>
      <c r="O684" s="213"/>
      <c r="P684" s="213"/>
      <c r="Q684" s="213"/>
      <c r="R684" s="213"/>
      <c r="S684" s="213" t="s">
        <v>602</v>
      </c>
      <c r="T684" s="213" t="s">
        <v>659</v>
      </c>
      <c r="U684" s="213" t="s">
        <v>538</v>
      </c>
      <c r="V684" s="213">
        <v>2</v>
      </c>
      <c r="W684" s="213" t="s">
        <v>545</v>
      </c>
      <c r="X684" s="213" t="s">
        <v>554</v>
      </c>
      <c r="Y684" s="213" t="s">
        <v>540</v>
      </c>
      <c r="Z684" s="212">
        <v>186774</v>
      </c>
      <c r="AA684" s="212">
        <v>8926948</v>
      </c>
      <c r="AB684" s="217">
        <v>0.30379499999999998</v>
      </c>
      <c r="AC684" s="217">
        <v>0.48891099999999998</v>
      </c>
      <c r="AD684" s="212">
        <f t="shared" si="10"/>
        <v>2711962.1676599998</v>
      </c>
    </row>
    <row r="685" spans="2:30" x14ac:dyDescent="0.15">
      <c r="B685" s="213">
        <v>17031004280</v>
      </c>
      <c r="C685" s="213">
        <v>17031000849</v>
      </c>
      <c r="D685" s="213">
        <v>17031000840</v>
      </c>
      <c r="E685" s="213" t="s">
        <v>533</v>
      </c>
      <c r="F685" s="213" t="s">
        <v>534</v>
      </c>
      <c r="G685" s="213" t="s">
        <v>365</v>
      </c>
      <c r="H685" s="213" t="s">
        <v>571</v>
      </c>
      <c r="I685" s="213"/>
      <c r="J685" s="213" t="s">
        <v>535</v>
      </c>
      <c r="K685" s="213" t="s">
        <v>543</v>
      </c>
      <c r="L685" s="213"/>
      <c r="M685" s="213"/>
      <c r="N685" s="213"/>
      <c r="O685" s="213"/>
      <c r="P685" s="213"/>
      <c r="Q685" s="213"/>
      <c r="R685" s="213"/>
      <c r="S685" s="213"/>
      <c r="T685" s="213"/>
      <c r="U685" s="213" t="s">
        <v>559</v>
      </c>
      <c r="V685" s="213">
        <v>1</v>
      </c>
      <c r="W685" s="213" t="s">
        <v>560</v>
      </c>
      <c r="X685" s="213" t="s">
        <v>541</v>
      </c>
      <c r="Y685" s="213" t="s">
        <v>541</v>
      </c>
      <c r="Z685" s="212">
        <v>70404</v>
      </c>
      <c r="AA685" s="212">
        <v>4181500</v>
      </c>
      <c r="AB685" s="217">
        <v>0.264069</v>
      </c>
      <c r="AC685" s="217">
        <v>0.424979</v>
      </c>
      <c r="AD685" s="212">
        <f t="shared" si="10"/>
        <v>1104204.5234999999</v>
      </c>
    </row>
    <row r="686" spans="2:30" x14ac:dyDescent="0.15">
      <c r="B686" s="213">
        <v>17031004286</v>
      </c>
      <c r="C686" s="213">
        <v>17031000703</v>
      </c>
      <c r="D686" s="213">
        <v>17031000720</v>
      </c>
      <c r="E686" s="213" t="s">
        <v>533</v>
      </c>
      <c r="F686" s="213" t="s">
        <v>534</v>
      </c>
      <c r="G686" s="213" t="s">
        <v>365</v>
      </c>
      <c r="H686" s="213" t="s">
        <v>571</v>
      </c>
      <c r="I686" s="213"/>
      <c r="J686" s="213" t="s">
        <v>535</v>
      </c>
      <c r="K686" s="213" t="s">
        <v>552</v>
      </c>
      <c r="L686" s="213" t="s">
        <v>551</v>
      </c>
      <c r="M686" s="213" t="s">
        <v>563</v>
      </c>
      <c r="N686" s="213" t="s">
        <v>543</v>
      </c>
      <c r="O686" s="213"/>
      <c r="P686" s="213"/>
      <c r="Q686" s="213"/>
      <c r="R686" s="213"/>
      <c r="S686" s="213" t="s">
        <v>573</v>
      </c>
      <c r="T686" s="213"/>
      <c r="U686" s="213" t="s">
        <v>538</v>
      </c>
      <c r="V686" s="213">
        <v>2</v>
      </c>
      <c r="W686" s="213" t="s">
        <v>545</v>
      </c>
      <c r="X686" s="213" t="s">
        <v>554</v>
      </c>
      <c r="Y686" s="213" t="s">
        <v>580</v>
      </c>
      <c r="Z686" s="212">
        <v>140332</v>
      </c>
      <c r="AA686" s="212">
        <v>4985760</v>
      </c>
      <c r="AB686" s="217">
        <v>1.0305260000000001</v>
      </c>
      <c r="AC686" s="217">
        <v>1.6584749999999999</v>
      </c>
      <c r="AD686" s="212">
        <f t="shared" si="10"/>
        <v>5137955.3097600006</v>
      </c>
    </row>
    <row r="687" spans="2:30" x14ac:dyDescent="0.15">
      <c r="B687" s="213">
        <v>17031004288</v>
      </c>
      <c r="C687" s="213">
        <v>17031000759</v>
      </c>
      <c r="D687" s="213">
        <v>17031000795</v>
      </c>
      <c r="E687" s="213" t="s">
        <v>533</v>
      </c>
      <c r="F687" s="213" t="s">
        <v>534</v>
      </c>
      <c r="G687" s="213" t="s">
        <v>365</v>
      </c>
      <c r="H687" s="213" t="s">
        <v>571</v>
      </c>
      <c r="I687" s="213"/>
      <c r="J687" s="213" t="s">
        <v>381</v>
      </c>
      <c r="K687" s="213" t="s">
        <v>535</v>
      </c>
      <c r="L687" s="213" t="s">
        <v>552</v>
      </c>
      <c r="M687" s="213" t="s">
        <v>551</v>
      </c>
      <c r="N687" s="213" t="s">
        <v>563</v>
      </c>
      <c r="O687" s="213" t="s">
        <v>543</v>
      </c>
      <c r="P687" s="213"/>
      <c r="Q687" s="213"/>
      <c r="R687" s="213"/>
      <c r="S687" s="213" t="s">
        <v>573</v>
      </c>
      <c r="T687" s="213"/>
      <c r="U687" s="213" t="s">
        <v>538</v>
      </c>
      <c r="V687" s="213">
        <v>2</v>
      </c>
      <c r="W687" s="213" t="s">
        <v>545</v>
      </c>
      <c r="X687" s="213" t="s">
        <v>554</v>
      </c>
      <c r="Y687" s="213" t="s">
        <v>580</v>
      </c>
      <c r="Z687" s="212">
        <v>963731</v>
      </c>
      <c r="AA687" s="212">
        <v>41508058</v>
      </c>
      <c r="AB687" s="217">
        <v>0.81266799999999995</v>
      </c>
      <c r="AC687" s="217">
        <v>1.3078650000000001</v>
      </c>
      <c r="AD687" s="212">
        <f t="shared" si="10"/>
        <v>33732270.478744</v>
      </c>
    </row>
    <row r="688" spans="2:30" x14ac:dyDescent="0.15">
      <c r="B688" s="213">
        <v>17031004289</v>
      </c>
      <c r="C688" s="213">
        <v>17031000795</v>
      </c>
      <c r="D688" s="213">
        <v>17031000813</v>
      </c>
      <c r="E688" s="213" t="s">
        <v>533</v>
      </c>
      <c r="F688" s="213" t="s">
        <v>534</v>
      </c>
      <c r="G688" s="213" t="s">
        <v>365</v>
      </c>
      <c r="H688" s="213" t="s">
        <v>571</v>
      </c>
      <c r="I688" s="213"/>
      <c r="J688" s="213" t="s">
        <v>381</v>
      </c>
      <c r="K688" s="213" t="s">
        <v>535</v>
      </c>
      <c r="L688" s="213" t="s">
        <v>552</v>
      </c>
      <c r="M688" s="213" t="s">
        <v>551</v>
      </c>
      <c r="N688" s="213" t="s">
        <v>382</v>
      </c>
      <c r="O688" s="213" t="s">
        <v>563</v>
      </c>
      <c r="P688" s="213" t="s">
        <v>543</v>
      </c>
      <c r="Q688" s="213"/>
      <c r="R688" s="213"/>
      <c r="S688" s="213" t="s">
        <v>573</v>
      </c>
      <c r="T688" s="213"/>
      <c r="U688" s="213" t="s">
        <v>538</v>
      </c>
      <c r="V688" s="213">
        <v>2</v>
      </c>
      <c r="W688" s="213" t="s">
        <v>545</v>
      </c>
      <c r="X688" s="213" t="s">
        <v>554</v>
      </c>
      <c r="Y688" s="213" t="s">
        <v>580</v>
      </c>
      <c r="Z688" s="212">
        <v>143932</v>
      </c>
      <c r="AA688" s="212">
        <v>5313600</v>
      </c>
      <c r="AB688" s="217">
        <v>0.13969699999999999</v>
      </c>
      <c r="AC688" s="217">
        <v>0.22482199999999999</v>
      </c>
      <c r="AD688" s="212">
        <f t="shared" si="10"/>
        <v>742293.97919999994</v>
      </c>
    </row>
    <row r="689" spans="2:30" x14ac:dyDescent="0.15">
      <c r="B689" s="213">
        <v>17031004290</v>
      </c>
      <c r="C689" s="213">
        <v>17031000813</v>
      </c>
      <c r="D689" s="213">
        <v>17031000866</v>
      </c>
      <c r="E689" s="213" t="s">
        <v>533</v>
      </c>
      <c r="F689" s="213" t="s">
        <v>534</v>
      </c>
      <c r="G689" s="213" t="s">
        <v>365</v>
      </c>
      <c r="H689" s="213" t="s">
        <v>571</v>
      </c>
      <c r="I689" s="213"/>
      <c r="J689" s="213" t="s">
        <v>381</v>
      </c>
      <c r="K689" s="213" t="s">
        <v>535</v>
      </c>
      <c r="L689" s="213" t="s">
        <v>552</v>
      </c>
      <c r="M689" s="213" t="s">
        <v>551</v>
      </c>
      <c r="N689" s="213" t="s">
        <v>382</v>
      </c>
      <c r="O689" s="213" t="s">
        <v>563</v>
      </c>
      <c r="P689" s="213" t="s">
        <v>543</v>
      </c>
      <c r="Q689" s="213"/>
      <c r="R689" s="213"/>
      <c r="S689" s="213" t="s">
        <v>573</v>
      </c>
      <c r="T689" s="213"/>
      <c r="U689" s="213" t="s">
        <v>538</v>
      </c>
      <c r="V689" s="213">
        <v>2</v>
      </c>
      <c r="W689" s="213" t="s">
        <v>545</v>
      </c>
      <c r="X689" s="213" t="s">
        <v>554</v>
      </c>
      <c r="Y689" s="213" t="s">
        <v>580</v>
      </c>
      <c r="Z689" s="212">
        <v>353864</v>
      </c>
      <c r="AA689" s="212">
        <v>18935083</v>
      </c>
      <c r="AB689" s="217">
        <v>1.2698590000000001</v>
      </c>
      <c r="AC689" s="217">
        <v>2.043644</v>
      </c>
      <c r="AD689" s="212">
        <f t="shared" si="10"/>
        <v>24044885.563297</v>
      </c>
    </row>
    <row r="690" spans="2:30" x14ac:dyDescent="0.15">
      <c r="B690" s="213">
        <v>17031004537</v>
      </c>
      <c r="C690" s="213">
        <v>17031001013</v>
      </c>
      <c r="D690" s="213">
        <v>17031001037</v>
      </c>
      <c r="E690" s="213" t="s">
        <v>533</v>
      </c>
      <c r="F690" s="213" t="s">
        <v>534</v>
      </c>
      <c r="G690" s="213" t="s">
        <v>365</v>
      </c>
      <c r="H690" s="213" t="s">
        <v>551</v>
      </c>
      <c r="I690" s="213" t="s">
        <v>535</v>
      </c>
      <c r="J690" s="213"/>
      <c r="K690" s="213"/>
      <c r="L690" s="213"/>
      <c r="M690" s="213"/>
      <c r="N690" s="213"/>
      <c r="O690" s="213"/>
      <c r="P690" s="213"/>
      <c r="Q690" s="213"/>
      <c r="R690" s="213"/>
      <c r="S690" s="213" t="s">
        <v>553</v>
      </c>
      <c r="T690" s="213"/>
      <c r="U690" s="213" t="s">
        <v>538</v>
      </c>
      <c r="V690" s="213">
        <v>2</v>
      </c>
      <c r="W690" s="213" t="s">
        <v>582</v>
      </c>
      <c r="X690" s="213" t="s">
        <v>554</v>
      </c>
      <c r="Y690" s="213" t="s">
        <v>554</v>
      </c>
      <c r="Z690" s="212">
        <v>0</v>
      </c>
      <c r="AA690" s="212">
        <v>0</v>
      </c>
      <c r="AB690" s="217">
        <v>0.12667600000000001</v>
      </c>
      <c r="AC690" s="217">
        <v>0.20386499999999999</v>
      </c>
      <c r="AD690" s="212">
        <f t="shared" si="10"/>
        <v>0</v>
      </c>
    </row>
    <row r="691" spans="2:30" x14ac:dyDescent="0.15">
      <c r="B691" s="213">
        <v>17031004542</v>
      </c>
      <c r="C691" s="213">
        <v>17999024401</v>
      </c>
      <c r="D691" s="213">
        <v>17031004709</v>
      </c>
      <c r="E691" s="213" t="s">
        <v>533</v>
      </c>
      <c r="F691" s="213" t="s">
        <v>534</v>
      </c>
      <c r="G691" s="213" t="s">
        <v>365</v>
      </c>
      <c r="H691" s="213" t="s">
        <v>382</v>
      </c>
      <c r="I691" s="213"/>
      <c r="J691" s="213" t="s">
        <v>551</v>
      </c>
      <c r="K691" s="213" t="s">
        <v>555</v>
      </c>
      <c r="L691" s="213"/>
      <c r="M691" s="213"/>
      <c r="N691" s="213"/>
      <c r="O691" s="213"/>
      <c r="P691" s="213"/>
      <c r="Q691" s="213"/>
      <c r="R691" s="213"/>
      <c r="S691" s="213" t="s">
        <v>556</v>
      </c>
      <c r="T691" s="213"/>
      <c r="U691" s="213" t="s">
        <v>538</v>
      </c>
      <c r="V691" s="213">
        <v>2</v>
      </c>
      <c r="W691" s="213" t="s">
        <v>545</v>
      </c>
      <c r="X691" s="213" t="s">
        <v>540</v>
      </c>
      <c r="Y691" s="213" t="s">
        <v>580</v>
      </c>
      <c r="Z691" s="212">
        <v>687866</v>
      </c>
      <c r="AA691" s="212">
        <v>29191196</v>
      </c>
      <c r="AB691" s="217">
        <v>4.1378999999999999E-2</v>
      </c>
      <c r="AC691" s="217">
        <v>6.6592999999999999E-2</v>
      </c>
      <c r="AD691" s="212">
        <f t="shared" si="10"/>
        <v>1207902.4992839999</v>
      </c>
    </row>
    <row r="692" spans="2:30" x14ac:dyDescent="0.15">
      <c r="B692" s="213">
        <v>17031004582</v>
      </c>
      <c r="C692" s="213">
        <v>17031001207</v>
      </c>
      <c r="D692" s="213">
        <v>17031001205</v>
      </c>
      <c r="E692" s="213" t="s">
        <v>533</v>
      </c>
      <c r="F692" s="213" t="s">
        <v>534</v>
      </c>
      <c r="G692" s="213" t="s">
        <v>365</v>
      </c>
      <c r="H692" s="213" t="s">
        <v>577</v>
      </c>
      <c r="I692" s="213"/>
      <c r="J692" s="213"/>
      <c r="K692" s="213"/>
      <c r="L692" s="213"/>
      <c r="M692" s="213"/>
      <c r="N692" s="213"/>
      <c r="O692" s="213"/>
      <c r="P692" s="213"/>
      <c r="Q692" s="213"/>
      <c r="R692" s="213"/>
      <c r="S692" s="213"/>
      <c r="T692" s="213"/>
      <c r="U692" s="213" t="s">
        <v>538</v>
      </c>
      <c r="V692" s="213">
        <v>1</v>
      </c>
      <c r="W692" s="213" t="s">
        <v>560</v>
      </c>
      <c r="X692" s="213" t="s">
        <v>541</v>
      </c>
      <c r="Y692" s="213" t="s">
        <v>541</v>
      </c>
      <c r="Z692" s="212">
        <v>0</v>
      </c>
      <c r="AA692" s="212">
        <v>0</v>
      </c>
      <c r="AB692" s="217">
        <v>6.0274000000000001E-2</v>
      </c>
      <c r="AC692" s="217">
        <v>9.7002000000000005E-2</v>
      </c>
      <c r="AD692" s="212">
        <f t="shared" si="10"/>
        <v>0</v>
      </c>
    </row>
    <row r="693" spans="2:30" x14ac:dyDescent="0.15">
      <c r="B693" s="213">
        <v>17031004662</v>
      </c>
      <c r="C693" s="213">
        <v>17031000649</v>
      </c>
      <c r="D693" s="213">
        <v>17031000618</v>
      </c>
      <c r="E693" s="213" t="s">
        <v>533</v>
      </c>
      <c r="F693" s="213" t="s">
        <v>534</v>
      </c>
      <c r="G693" s="213" t="s">
        <v>365</v>
      </c>
      <c r="H693" s="213" t="s">
        <v>543</v>
      </c>
      <c r="I693" s="213"/>
      <c r="J693" s="213" t="s">
        <v>542</v>
      </c>
      <c r="K693" s="213" t="s">
        <v>547</v>
      </c>
      <c r="L693" s="213"/>
      <c r="M693" s="213"/>
      <c r="N693" s="213"/>
      <c r="O693" s="213"/>
      <c r="P693" s="213"/>
      <c r="Q693" s="213"/>
      <c r="R693" s="213"/>
      <c r="S693" s="213" t="s">
        <v>630</v>
      </c>
      <c r="T693" s="213" t="s">
        <v>700</v>
      </c>
      <c r="U693" s="213" t="s">
        <v>538</v>
      </c>
      <c r="V693" s="213">
        <v>2</v>
      </c>
      <c r="W693" s="213" t="s">
        <v>545</v>
      </c>
      <c r="X693" s="213" t="s">
        <v>541</v>
      </c>
      <c r="Y693" s="213" t="s">
        <v>541</v>
      </c>
      <c r="Z693" s="212">
        <v>141680</v>
      </c>
      <c r="AA693" s="212">
        <v>9584979</v>
      </c>
      <c r="AB693" s="217">
        <v>0.69225899999999996</v>
      </c>
      <c r="AC693" s="217">
        <v>1.114085</v>
      </c>
      <c r="AD693" s="212">
        <f t="shared" si="10"/>
        <v>6635287.9775609998</v>
      </c>
    </row>
    <row r="694" spans="2:30" x14ac:dyDescent="0.15">
      <c r="B694" s="213">
        <v>17031004669</v>
      </c>
      <c r="C694" s="213">
        <v>17031001132</v>
      </c>
      <c r="D694" s="213">
        <v>17031001128</v>
      </c>
      <c r="E694" s="213" t="s">
        <v>533</v>
      </c>
      <c r="F694" s="213" t="s">
        <v>534</v>
      </c>
      <c r="G694" s="213" t="s">
        <v>365</v>
      </c>
      <c r="H694" s="213" t="s">
        <v>543</v>
      </c>
      <c r="I694" s="213"/>
      <c r="J694" s="213" t="s">
        <v>577</v>
      </c>
      <c r="K694" s="213"/>
      <c r="L694" s="213"/>
      <c r="M694" s="213"/>
      <c r="N694" s="213"/>
      <c r="O694" s="213"/>
      <c r="P694" s="213"/>
      <c r="Q694" s="213"/>
      <c r="R694" s="213"/>
      <c r="S694" s="213" t="s">
        <v>656</v>
      </c>
      <c r="T694" s="213"/>
      <c r="U694" s="213" t="s">
        <v>559</v>
      </c>
      <c r="V694" s="213">
        <v>1</v>
      </c>
      <c r="W694" s="213" t="s">
        <v>560</v>
      </c>
      <c r="X694" s="213" t="s">
        <v>541</v>
      </c>
      <c r="Y694" s="213" t="s">
        <v>541</v>
      </c>
      <c r="Z694" s="212">
        <v>0</v>
      </c>
      <c r="AA694" s="212">
        <v>0</v>
      </c>
      <c r="AB694" s="217">
        <v>0.52064299999999997</v>
      </c>
      <c r="AC694" s="217">
        <v>0.83789499999999995</v>
      </c>
      <c r="AD694" s="212">
        <f t="shared" si="10"/>
        <v>0</v>
      </c>
    </row>
    <row r="695" spans="2:30" x14ac:dyDescent="0.15">
      <c r="B695" s="213">
        <v>17031004680</v>
      </c>
      <c r="C695" s="213">
        <v>17031001172</v>
      </c>
      <c r="D695" s="213">
        <v>17031001167</v>
      </c>
      <c r="E695" s="213" t="s">
        <v>533</v>
      </c>
      <c r="F695" s="213" t="s">
        <v>534</v>
      </c>
      <c r="G695" s="213" t="s">
        <v>365</v>
      </c>
      <c r="H695" s="213" t="s">
        <v>547</v>
      </c>
      <c r="I695" s="213"/>
      <c r="J695" s="213"/>
      <c r="K695" s="213"/>
      <c r="L695" s="213"/>
      <c r="M695" s="213"/>
      <c r="N695" s="213"/>
      <c r="O695" s="213"/>
      <c r="P695" s="213"/>
      <c r="Q695" s="213"/>
      <c r="R695" s="213"/>
      <c r="S695" s="213"/>
      <c r="T695" s="213"/>
      <c r="U695" s="213" t="s">
        <v>538</v>
      </c>
      <c r="V695" s="213">
        <v>4</v>
      </c>
      <c r="W695" s="213" t="s">
        <v>545</v>
      </c>
      <c r="X695" s="213" t="s">
        <v>540</v>
      </c>
      <c r="Y695" s="213" t="s">
        <v>541</v>
      </c>
      <c r="Z695" s="212">
        <v>0</v>
      </c>
      <c r="AA695" s="212">
        <v>0</v>
      </c>
      <c r="AB695" s="217">
        <v>0.58590500000000001</v>
      </c>
      <c r="AC695" s="217">
        <v>0.94292399999999998</v>
      </c>
      <c r="AD695" s="212">
        <f t="shared" si="10"/>
        <v>0</v>
      </c>
    </row>
    <row r="696" spans="2:30" x14ac:dyDescent="0.15">
      <c r="B696" s="213">
        <v>17031004857</v>
      </c>
      <c r="C696" s="213">
        <v>17031007795</v>
      </c>
      <c r="D696" s="213">
        <v>17031001396</v>
      </c>
      <c r="E696" s="213" t="s">
        <v>533</v>
      </c>
      <c r="F696" s="213" t="s">
        <v>534</v>
      </c>
      <c r="G696" s="213" t="s">
        <v>365</v>
      </c>
      <c r="H696" s="213" t="s">
        <v>551</v>
      </c>
      <c r="I696" s="213"/>
      <c r="J696" s="213"/>
      <c r="K696" s="213"/>
      <c r="L696" s="213"/>
      <c r="M696" s="213"/>
      <c r="N696" s="213"/>
      <c r="O696" s="213"/>
      <c r="P696" s="213"/>
      <c r="Q696" s="213"/>
      <c r="R696" s="213"/>
      <c r="S696" s="213" t="s">
        <v>603</v>
      </c>
      <c r="T696" s="213"/>
      <c r="U696" s="213" t="s">
        <v>538</v>
      </c>
      <c r="V696" s="213">
        <v>2</v>
      </c>
      <c r="W696" s="213" t="s">
        <v>545</v>
      </c>
      <c r="X696" s="213" t="s">
        <v>540</v>
      </c>
      <c r="Y696" s="213" t="s">
        <v>575</v>
      </c>
      <c r="Z696" s="212">
        <v>1457423</v>
      </c>
      <c r="AA696" s="212">
        <v>57278139</v>
      </c>
      <c r="AB696" s="217">
        <v>2.8762750000000001</v>
      </c>
      <c r="AC696" s="217">
        <v>4.6289249999999997</v>
      </c>
      <c r="AD696" s="212">
        <f t="shared" si="10"/>
        <v>164747679.25222501</v>
      </c>
    </row>
    <row r="697" spans="2:30" x14ac:dyDescent="0.15">
      <c r="B697" s="213">
        <v>17031004858</v>
      </c>
      <c r="C697" s="213">
        <v>17031001396</v>
      </c>
      <c r="D697" s="213">
        <v>17031001386</v>
      </c>
      <c r="E697" s="213" t="s">
        <v>533</v>
      </c>
      <c r="F697" s="213" t="s">
        <v>534</v>
      </c>
      <c r="G697" s="213" t="s">
        <v>365</v>
      </c>
      <c r="H697" s="213" t="s">
        <v>551</v>
      </c>
      <c r="I697" s="213"/>
      <c r="J697" s="213"/>
      <c r="K697" s="213"/>
      <c r="L697" s="213"/>
      <c r="M697" s="213"/>
      <c r="N697" s="213"/>
      <c r="O697" s="213"/>
      <c r="P697" s="213"/>
      <c r="Q697" s="213"/>
      <c r="R697" s="213"/>
      <c r="S697" s="213" t="s">
        <v>603</v>
      </c>
      <c r="T697" s="213"/>
      <c r="U697" s="213" t="s">
        <v>538</v>
      </c>
      <c r="V697" s="213">
        <v>1</v>
      </c>
      <c r="W697" s="213" t="s">
        <v>545</v>
      </c>
      <c r="X697" s="213" t="s">
        <v>554</v>
      </c>
      <c r="Y697" s="213" t="s">
        <v>575</v>
      </c>
      <c r="Z697" s="212">
        <v>0</v>
      </c>
      <c r="AA697" s="212">
        <v>0</v>
      </c>
      <c r="AB697" s="217">
        <v>8.2820000000000005E-2</v>
      </c>
      <c r="AC697" s="217">
        <v>0.13328599999999999</v>
      </c>
      <c r="AD697" s="212">
        <f t="shared" si="10"/>
        <v>0</v>
      </c>
    </row>
    <row r="698" spans="2:30" x14ac:dyDescent="0.15">
      <c r="B698" s="213">
        <v>17031004881</v>
      </c>
      <c r="C698" s="213">
        <v>17031001208</v>
      </c>
      <c r="D698" s="213">
        <v>17031001253</v>
      </c>
      <c r="E698" s="213" t="s">
        <v>533</v>
      </c>
      <c r="F698" s="213" t="s">
        <v>534</v>
      </c>
      <c r="G698" s="213" t="s">
        <v>365</v>
      </c>
      <c r="H698" s="213" t="s">
        <v>627</v>
      </c>
      <c r="I698" s="213"/>
      <c r="J698" s="213" t="s">
        <v>572</v>
      </c>
      <c r="K698" s="213"/>
      <c r="L698" s="213"/>
      <c r="M698" s="213"/>
      <c r="N698" s="213"/>
      <c r="O698" s="213"/>
      <c r="P698" s="213"/>
      <c r="Q698" s="213"/>
      <c r="R698" s="213"/>
      <c r="S698" s="213"/>
      <c r="T698" s="213"/>
      <c r="U698" s="213" t="s">
        <v>538</v>
      </c>
      <c r="V698" s="213">
        <v>2</v>
      </c>
      <c r="W698" s="213" t="s">
        <v>545</v>
      </c>
      <c r="X698" s="213" t="s">
        <v>540</v>
      </c>
      <c r="Y698" s="213" t="s">
        <v>541</v>
      </c>
      <c r="Z698" s="212">
        <v>17180</v>
      </c>
      <c r="AA698" s="212">
        <v>1789206</v>
      </c>
      <c r="AB698" s="217">
        <v>1.1512849999999999</v>
      </c>
      <c r="AC698" s="217">
        <v>1.8528169999999999</v>
      </c>
      <c r="AD698" s="212">
        <f t="shared" si="10"/>
        <v>2059886.0297099999</v>
      </c>
    </row>
    <row r="699" spans="2:30" x14ac:dyDescent="0.15">
      <c r="B699" s="213">
        <v>17031004882</v>
      </c>
      <c r="C699" s="213">
        <v>17031001253</v>
      </c>
      <c r="D699" s="213">
        <v>17031001279</v>
      </c>
      <c r="E699" s="213" t="s">
        <v>533</v>
      </c>
      <c r="F699" s="213" t="s">
        <v>534</v>
      </c>
      <c r="G699" s="213" t="s">
        <v>365</v>
      </c>
      <c r="H699" s="213" t="s">
        <v>627</v>
      </c>
      <c r="I699" s="213"/>
      <c r="J699" s="213" t="s">
        <v>572</v>
      </c>
      <c r="K699" s="213"/>
      <c r="L699" s="213"/>
      <c r="M699" s="213"/>
      <c r="N699" s="213"/>
      <c r="O699" s="213"/>
      <c r="P699" s="213"/>
      <c r="Q699" s="213"/>
      <c r="R699" s="213"/>
      <c r="S699" s="213"/>
      <c r="T699" s="213"/>
      <c r="U699" s="213" t="s">
        <v>538</v>
      </c>
      <c r="V699" s="213">
        <v>2</v>
      </c>
      <c r="W699" s="213" t="s">
        <v>545</v>
      </c>
      <c r="X699" s="213" t="s">
        <v>540</v>
      </c>
      <c r="Y699" s="213" t="s">
        <v>541</v>
      </c>
      <c r="Z699" s="212">
        <v>17180</v>
      </c>
      <c r="AA699" s="212">
        <v>1789206</v>
      </c>
      <c r="AB699" s="217">
        <v>1.2500329999999999</v>
      </c>
      <c r="AC699" s="217">
        <v>2.011736</v>
      </c>
      <c r="AD699" s="212">
        <f t="shared" si="10"/>
        <v>2236566.5437980001</v>
      </c>
    </row>
    <row r="700" spans="2:30" x14ac:dyDescent="0.15">
      <c r="B700" s="213">
        <v>17031004884</v>
      </c>
      <c r="C700" s="213">
        <v>17031001221</v>
      </c>
      <c r="D700" s="213">
        <v>17031001257</v>
      </c>
      <c r="E700" s="213" t="s">
        <v>533</v>
      </c>
      <c r="F700" s="213" t="s">
        <v>534</v>
      </c>
      <c r="G700" s="213" t="s">
        <v>365</v>
      </c>
      <c r="H700" s="213" t="s">
        <v>543</v>
      </c>
      <c r="I700" s="213"/>
      <c r="J700" s="213" t="s">
        <v>577</v>
      </c>
      <c r="K700" s="213"/>
      <c r="L700" s="213"/>
      <c r="M700" s="213"/>
      <c r="N700" s="213"/>
      <c r="O700" s="213"/>
      <c r="P700" s="213"/>
      <c r="Q700" s="213"/>
      <c r="R700" s="213"/>
      <c r="S700" s="213" t="s">
        <v>656</v>
      </c>
      <c r="T700" s="213"/>
      <c r="U700" s="213" t="s">
        <v>559</v>
      </c>
      <c r="V700" s="213">
        <v>1</v>
      </c>
      <c r="W700" s="213" t="s">
        <v>560</v>
      </c>
      <c r="X700" s="213" t="s">
        <v>541</v>
      </c>
      <c r="Y700" s="213" t="s">
        <v>541</v>
      </c>
      <c r="Z700" s="212">
        <v>0</v>
      </c>
      <c r="AA700" s="212">
        <v>0</v>
      </c>
      <c r="AB700" s="217">
        <v>0.81973700000000005</v>
      </c>
      <c r="AC700" s="217">
        <v>1.319242</v>
      </c>
      <c r="AD700" s="212">
        <f t="shared" si="10"/>
        <v>0</v>
      </c>
    </row>
    <row r="701" spans="2:30" x14ac:dyDescent="0.15">
      <c r="B701" s="213">
        <v>17031004885</v>
      </c>
      <c r="C701" s="213">
        <v>17031001267</v>
      </c>
      <c r="D701" s="213">
        <v>17031001257</v>
      </c>
      <c r="E701" s="213" t="s">
        <v>533</v>
      </c>
      <c r="F701" s="213" t="s">
        <v>534</v>
      </c>
      <c r="G701" s="213" t="s">
        <v>365</v>
      </c>
      <c r="H701" s="213" t="s">
        <v>613</v>
      </c>
      <c r="I701" s="213"/>
      <c r="J701" s="213" t="s">
        <v>577</v>
      </c>
      <c r="K701" s="213" t="s">
        <v>572</v>
      </c>
      <c r="L701" s="213"/>
      <c r="M701" s="213"/>
      <c r="N701" s="213"/>
      <c r="O701" s="213"/>
      <c r="P701" s="213"/>
      <c r="Q701" s="213"/>
      <c r="R701" s="213"/>
      <c r="S701" s="213"/>
      <c r="T701" s="213"/>
      <c r="U701" s="213" t="s">
        <v>559</v>
      </c>
      <c r="V701" s="213">
        <v>1</v>
      </c>
      <c r="W701" s="213" t="s">
        <v>560</v>
      </c>
      <c r="X701" s="213" t="s">
        <v>541</v>
      </c>
      <c r="Y701" s="213" t="s">
        <v>541</v>
      </c>
      <c r="Z701" s="212">
        <v>0</v>
      </c>
      <c r="AA701" s="212">
        <v>0</v>
      </c>
      <c r="AB701" s="217">
        <v>1.0982050000000001</v>
      </c>
      <c r="AC701" s="217">
        <v>1.767393</v>
      </c>
      <c r="AD701" s="212">
        <f t="shared" si="10"/>
        <v>0</v>
      </c>
    </row>
    <row r="702" spans="2:30" x14ac:dyDescent="0.15">
      <c r="B702" s="213">
        <v>17031004987</v>
      </c>
      <c r="C702" s="213">
        <v>17031007031</v>
      </c>
      <c r="D702" s="213">
        <v>17031007030</v>
      </c>
      <c r="E702" s="213" t="s">
        <v>533</v>
      </c>
      <c r="F702" s="213" t="s">
        <v>534</v>
      </c>
      <c r="G702" s="213" t="s">
        <v>365</v>
      </c>
      <c r="H702" s="213" t="s">
        <v>627</v>
      </c>
      <c r="I702" s="213"/>
      <c r="J702" s="213" t="s">
        <v>572</v>
      </c>
      <c r="K702" s="213"/>
      <c r="L702" s="213"/>
      <c r="M702" s="213"/>
      <c r="N702" s="213"/>
      <c r="O702" s="213"/>
      <c r="P702" s="213"/>
      <c r="Q702" s="213"/>
      <c r="R702" s="213"/>
      <c r="S702" s="213"/>
      <c r="T702" s="213"/>
      <c r="U702" s="213" t="s">
        <v>538</v>
      </c>
      <c r="V702" s="213">
        <v>2</v>
      </c>
      <c r="W702" s="213" t="s">
        <v>545</v>
      </c>
      <c r="X702" s="213" t="s">
        <v>540</v>
      </c>
      <c r="Y702" s="213" t="s">
        <v>541</v>
      </c>
      <c r="Z702" s="212">
        <v>17180</v>
      </c>
      <c r="AA702" s="212">
        <v>1789206</v>
      </c>
      <c r="AB702" s="217">
        <v>0.65910400000000002</v>
      </c>
      <c r="AC702" s="217">
        <v>1.060727</v>
      </c>
      <c r="AD702" s="212">
        <f t="shared" si="10"/>
        <v>1179272.831424</v>
      </c>
    </row>
    <row r="703" spans="2:30" x14ac:dyDescent="0.15">
      <c r="B703" s="213">
        <v>17031004988</v>
      </c>
      <c r="C703" s="213">
        <v>17031001385</v>
      </c>
      <c r="D703" s="213">
        <v>99999022889</v>
      </c>
      <c r="E703" s="213" t="s">
        <v>533</v>
      </c>
      <c r="F703" s="213" t="s">
        <v>534</v>
      </c>
      <c r="G703" s="213" t="s">
        <v>365</v>
      </c>
      <c r="H703" s="213" t="s">
        <v>627</v>
      </c>
      <c r="I703" s="213"/>
      <c r="J703" s="213" t="s">
        <v>572</v>
      </c>
      <c r="K703" s="213"/>
      <c r="L703" s="213"/>
      <c r="M703" s="213"/>
      <c r="N703" s="213"/>
      <c r="O703" s="213"/>
      <c r="P703" s="213"/>
      <c r="Q703" s="213"/>
      <c r="R703" s="213"/>
      <c r="S703" s="213"/>
      <c r="T703" s="213"/>
      <c r="U703" s="213" t="s">
        <v>538</v>
      </c>
      <c r="V703" s="213">
        <v>2</v>
      </c>
      <c r="W703" s="213" t="s">
        <v>545</v>
      </c>
      <c r="X703" s="213" t="s">
        <v>540</v>
      </c>
      <c r="Y703" s="213" t="s">
        <v>541</v>
      </c>
      <c r="Z703" s="212">
        <v>17140</v>
      </c>
      <c r="AA703" s="212">
        <v>1786406</v>
      </c>
      <c r="AB703" s="217">
        <v>0.14540900000000001</v>
      </c>
      <c r="AC703" s="217">
        <v>0.234013</v>
      </c>
      <c r="AD703" s="212">
        <f t="shared" si="10"/>
        <v>259759.51005400001</v>
      </c>
    </row>
    <row r="704" spans="2:30" x14ac:dyDescent="0.15">
      <c r="B704" s="213">
        <v>17031005056</v>
      </c>
      <c r="C704" s="213">
        <v>17031001549</v>
      </c>
      <c r="D704" s="213">
        <v>17031001551</v>
      </c>
      <c r="E704" s="213" t="s">
        <v>533</v>
      </c>
      <c r="F704" s="213" t="s">
        <v>534</v>
      </c>
      <c r="G704" s="213" t="s">
        <v>365</v>
      </c>
      <c r="H704" s="213" t="s">
        <v>382</v>
      </c>
      <c r="I704" s="213"/>
      <c r="J704" s="213"/>
      <c r="K704" s="213"/>
      <c r="L704" s="213"/>
      <c r="M704" s="213"/>
      <c r="N704" s="213"/>
      <c r="O704" s="213"/>
      <c r="P704" s="213"/>
      <c r="Q704" s="213"/>
      <c r="R704" s="213"/>
      <c r="S704" s="213" t="s">
        <v>576</v>
      </c>
      <c r="T704" s="213"/>
      <c r="U704" s="213" t="s">
        <v>559</v>
      </c>
      <c r="V704" s="213">
        <v>1</v>
      </c>
      <c r="W704" s="213" t="s">
        <v>560</v>
      </c>
      <c r="X704" s="213" t="s">
        <v>541</v>
      </c>
      <c r="Y704" s="213" t="s">
        <v>541</v>
      </c>
      <c r="Z704" s="212">
        <v>0</v>
      </c>
      <c r="AA704" s="212">
        <v>0</v>
      </c>
      <c r="AB704" s="217">
        <v>0.183806</v>
      </c>
      <c r="AC704" s="217">
        <v>0.29580699999999999</v>
      </c>
      <c r="AD704" s="212">
        <f t="shared" si="10"/>
        <v>0</v>
      </c>
    </row>
    <row r="705" spans="2:30" x14ac:dyDescent="0.15">
      <c r="B705" s="213">
        <v>17031005066</v>
      </c>
      <c r="C705" s="213">
        <v>17031001409</v>
      </c>
      <c r="D705" s="213">
        <v>17031001408</v>
      </c>
      <c r="E705" s="213" t="s">
        <v>533</v>
      </c>
      <c r="F705" s="213" t="s">
        <v>534</v>
      </c>
      <c r="G705" s="213" t="s">
        <v>365</v>
      </c>
      <c r="H705" s="213" t="s">
        <v>382</v>
      </c>
      <c r="I705" s="213"/>
      <c r="J705" s="213" t="s">
        <v>542</v>
      </c>
      <c r="K705" s="213" t="s">
        <v>551</v>
      </c>
      <c r="L705" s="213" t="s">
        <v>555</v>
      </c>
      <c r="M705" s="213" t="s">
        <v>552</v>
      </c>
      <c r="N705" s="213"/>
      <c r="O705" s="213"/>
      <c r="P705" s="213"/>
      <c r="Q705" s="213"/>
      <c r="R705" s="213"/>
      <c r="S705" s="213" t="s">
        <v>556</v>
      </c>
      <c r="T705" s="213" t="s">
        <v>631</v>
      </c>
      <c r="U705" s="213" t="s">
        <v>538</v>
      </c>
      <c r="V705" s="213">
        <v>2</v>
      </c>
      <c r="W705" s="213" t="s">
        <v>545</v>
      </c>
      <c r="X705" s="213" t="s">
        <v>554</v>
      </c>
      <c r="Y705" s="213" t="s">
        <v>580</v>
      </c>
      <c r="Z705" s="212">
        <v>517708</v>
      </c>
      <c r="AA705" s="212">
        <v>28046920</v>
      </c>
      <c r="AB705" s="217">
        <v>0.44153500000000001</v>
      </c>
      <c r="AC705" s="217">
        <v>0.71058299999999996</v>
      </c>
      <c r="AD705" s="212">
        <f t="shared" si="10"/>
        <v>12383696.8222</v>
      </c>
    </row>
    <row r="706" spans="2:30" x14ac:dyDescent="0.15">
      <c r="B706" s="213">
        <v>17031005083</v>
      </c>
      <c r="C706" s="213">
        <v>17031001324</v>
      </c>
      <c r="D706" s="213">
        <v>17031001349</v>
      </c>
      <c r="E706" s="213" t="s">
        <v>533</v>
      </c>
      <c r="F706" s="213" t="s">
        <v>534</v>
      </c>
      <c r="G706" s="213" t="s">
        <v>365</v>
      </c>
      <c r="H706" s="213" t="s">
        <v>543</v>
      </c>
      <c r="I706" s="213"/>
      <c r="J706" s="213"/>
      <c r="K706" s="213"/>
      <c r="L706" s="213"/>
      <c r="M706" s="213"/>
      <c r="N706" s="213"/>
      <c r="O706" s="213"/>
      <c r="P706" s="213"/>
      <c r="Q706" s="213"/>
      <c r="R706" s="213"/>
      <c r="S706" s="213"/>
      <c r="T706" s="213"/>
      <c r="U706" s="213" t="s">
        <v>559</v>
      </c>
      <c r="V706" s="213">
        <v>1</v>
      </c>
      <c r="W706" s="213" t="s">
        <v>560</v>
      </c>
      <c r="X706" s="213" t="s">
        <v>541</v>
      </c>
      <c r="Y706" s="213" t="s">
        <v>541</v>
      </c>
      <c r="Z706" s="212">
        <v>0</v>
      </c>
      <c r="AA706" s="212">
        <v>0</v>
      </c>
      <c r="AB706" s="217">
        <v>0.33901999999999999</v>
      </c>
      <c r="AC706" s="217">
        <v>0.54560200000000003</v>
      </c>
      <c r="AD706" s="212">
        <f t="shared" si="10"/>
        <v>0</v>
      </c>
    </row>
    <row r="707" spans="2:30" x14ac:dyDescent="0.15">
      <c r="B707" s="213">
        <v>17031005328</v>
      </c>
      <c r="C707" s="213">
        <v>17031000343</v>
      </c>
      <c r="D707" s="213">
        <v>17031007546</v>
      </c>
      <c r="E707" s="213" t="s">
        <v>533</v>
      </c>
      <c r="F707" s="213" t="s">
        <v>534</v>
      </c>
      <c r="G707" s="213" t="s">
        <v>365</v>
      </c>
      <c r="H707" s="213" t="s">
        <v>552</v>
      </c>
      <c r="I707" s="213"/>
      <c r="J707" s="213"/>
      <c r="K707" s="213"/>
      <c r="L707" s="213"/>
      <c r="M707" s="213"/>
      <c r="N707" s="213"/>
      <c r="O707" s="213"/>
      <c r="P707" s="213"/>
      <c r="Q707" s="213"/>
      <c r="R707" s="213"/>
      <c r="S707" s="213" t="s">
        <v>589</v>
      </c>
      <c r="T707" s="213"/>
      <c r="U707" s="213" t="s">
        <v>538</v>
      </c>
      <c r="V707" s="213">
        <v>1</v>
      </c>
      <c r="W707" s="213" t="s">
        <v>560</v>
      </c>
      <c r="X707" s="213" t="s">
        <v>541</v>
      </c>
      <c r="Y707" s="213" t="s">
        <v>541</v>
      </c>
      <c r="Z707" s="212">
        <v>120</v>
      </c>
      <c r="AA707" s="212">
        <v>8440</v>
      </c>
      <c r="AB707" s="217">
        <v>0.20066700000000001</v>
      </c>
      <c r="AC707" s="217">
        <v>0.32294299999999998</v>
      </c>
      <c r="AD707" s="212">
        <f t="shared" si="10"/>
        <v>1693.6294800000001</v>
      </c>
    </row>
    <row r="708" spans="2:30" x14ac:dyDescent="0.15">
      <c r="B708" s="213">
        <v>17031005332</v>
      </c>
      <c r="C708" s="213">
        <v>17031001553</v>
      </c>
      <c r="D708" s="213">
        <v>17031001552</v>
      </c>
      <c r="E708" s="213" t="s">
        <v>533</v>
      </c>
      <c r="F708" s="213" t="s">
        <v>534</v>
      </c>
      <c r="G708" s="213" t="s">
        <v>365</v>
      </c>
      <c r="H708" s="213" t="s">
        <v>382</v>
      </c>
      <c r="I708" s="213"/>
      <c r="J708" s="213"/>
      <c r="K708" s="213"/>
      <c r="L708" s="213"/>
      <c r="M708" s="213"/>
      <c r="N708" s="213"/>
      <c r="O708" s="213"/>
      <c r="P708" s="213"/>
      <c r="Q708" s="213"/>
      <c r="R708" s="213"/>
      <c r="S708" s="213" t="s">
        <v>576</v>
      </c>
      <c r="T708" s="213"/>
      <c r="U708" s="213" t="s">
        <v>559</v>
      </c>
      <c r="V708" s="213">
        <v>1</v>
      </c>
      <c r="W708" s="213" t="s">
        <v>560</v>
      </c>
      <c r="X708" s="213" t="s">
        <v>541</v>
      </c>
      <c r="Y708" s="213" t="s">
        <v>541</v>
      </c>
      <c r="Z708" s="212">
        <v>0</v>
      </c>
      <c r="AA708" s="212">
        <v>0</v>
      </c>
      <c r="AB708" s="217">
        <v>5.4078000000000001E-2</v>
      </c>
      <c r="AC708" s="217">
        <v>8.7030999999999997E-2</v>
      </c>
      <c r="AD708" s="212">
        <f t="shared" si="10"/>
        <v>0</v>
      </c>
    </row>
    <row r="709" spans="2:30" x14ac:dyDescent="0.15">
      <c r="B709" s="213">
        <v>17031005339</v>
      </c>
      <c r="C709" s="213">
        <v>17031000325</v>
      </c>
      <c r="D709" s="213">
        <v>17031000324</v>
      </c>
      <c r="E709" s="213" t="s">
        <v>533</v>
      </c>
      <c r="F709" s="213" t="s">
        <v>534</v>
      </c>
      <c r="G709" s="213" t="s">
        <v>365</v>
      </c>
      <c r="H709" s="213" t="s">
        <v>590</v>
      </c>
      <c r="I709" s="213"/>
      <c r="J709" s="213"/>
      <c r="K709" s="213"/>
      <c r="L709" s="213"/>
      <c r="M709" s="213"/>
      <c r="N709" s="213"/>
      <c r="O709" s="213"/>
      <c r="P709" s="213"/>
      <c r="Q709" s="213"/>
      <c r="R709" s="213"/>
      <c r="S709" s="213"/>
      <c r="T709" s="213"/>
      <c r="U709" s="213" t="s">
        <v>559</v>
      </c>
      <c r="V709" s="213">
        <v>1</v>
      </c>
      <c r="W709" s="213" t="s">
        <v>560</v>
      </c>
      <c r="X709" s="213" t="s">
        <v>541</v>
      </c>
      <c r="Y709" s="213" t="s">
        <v>541</v>
      </c>
      <c r="Z709" s="212">
        <v>0</v>
      </c>
      <c r="AA709" s="212">
        <v>0</v>
      </c>
      <c r="AB709" s="217">
        <v>0.62514499999999995</v>
      </c>
      <c r="AC709" s="217">
        <v>1.006076</v>
      </c>
      <c r="AD709" s="212">
        <f t="shared" si="10"/>
        <v>0</v>
      </c>
    </row>
    <row r="710" spans="2:30" x14ac:dyDescent="0.15">
      <c r="B710" s="213">
        <v>17031005365</v>
      </c>
      <c r="C710" s="213">
        <v>17031001184</v>
      </c>
      <c r="D710" s="213">
        <v>17031001190</v>
      </c>
      <c r="E710" s="213" t="s">
        <v>533</v>
      </c>
      <c r="F710" s="213" t="s">
        <v>534</v>
      </c>
      <c r="G710" s="213" t="s">
        <v>365</v>
      </c>
      <c r="H710" s="213" t="s">
        <v>543</v>
      </c>
      <c r="I710" s="213"/>
      <c r="J710" s="213"/>
      <c r="K710" s="213"/>
      <c r="L710" s="213"/>
      <c r="M710" s="213"/>
      <c r="N710" s="213"/>
      <c r="O710" s="213"/>
      <c r="P710" s="213"/>
      <c r="Q710" s="213"/>
      <c r="R710" s="213"/>
      <c r="S710" s="213" t="s">
        <v>604</v>
      </c>
      <c r="T710" s="213" t="s">
        <v>623</v>
      </c>
      <c r="U710" s="213" t="s">
        <v>538</v>
      </c>
      <c r="V710" s="213">
        <v>1</v>
      </c>
      <c r="W710" s="213" t="s">
        <v>545</v>
      </c>
      <c r="X710" s="213" t="s">
        <v>554</v>
      </c>
      <c r="Y710" s="213" t="s">
        <v>546</v>
      </c>
      <c r="Z710" s="212">
        <v>4872</v>
      </c>
      <c r="AA710" s="212">
        <v>434024</v>
      </c>
      <c r="AB710" s="217">
        <v>0.18354400000000001</v>
      </c>
      <c r="AC710" s="217">
        <v>0.29538599999999998</v>
      </c>
      <c r="AD710" s="212">
        <f t="shared" ref="AD710:AD773" si="11">AA710*AB710</f>
        <v>79662.501056000008</v>
      </c>
    </row>
    <row r="711" spans="2:30" x14ac:dyDescent="0.15">
      <c r="B711" s="213">
        <v>17031005367</v>
      </c>
      <c r="C711" s="213">
        <v>99999022913</v>
      </c>
      <c r="D711" s="213">
        <v>17031001388</v>
      </c>
      <c r="E711" s="213" t="s">
        <v>533</v>
      </c>
      <c r="F711" s="213" t="s">
        <v>534</v>
      </c>
      <c r="G711" s="213" t="s">
        <v>365</v>
      </c>
      <c r="H711" s="213" t="s">
        <v>543</v>
      </c>
      <c r="I711" s="213"/>
      <c r="J711" s="213"/>
      <c r="K711" s="213"/>
      <c r="L711" s="213"/>
      <c r="M711" s="213"/>
      <c r="N711" s="213"/>
      <c r="O711" s="213"/>
      <c r="P711" s="213"/>
      <c r="Q711" s="213"/>
      <c r="R711" s="213"/>
      <c r="S711" s="213" t="s">
        <v>604</v>
      </c>
      <c r="T711" s="213"/>
      <c r="U711" s="213" t="s">
        <v>538</v>
      </c>
      <c r="V711" s="213">
        <v>2</v>
      </c>
      <c r="W711" s="213" t="s">
        <v>582</v>
      </c>
      <c r="X711" s="213" t="s">
        <v>554</v>
      </c>
      <c r="Y711" s="213" t="s">
        <v>546</v>
      </c>
      <c r="Z711" s="212">
        <v>5324</v>
      </c>
      <c r="AA711" s="212">
        <v>474332</v>
      </c>
      <c r="AB711" s="217">
        <v>8.6748000000000006E-2</v>
      </c>
      <c r="AC711" s="217">
        <v>0.13960700000000001</v>
      </c>
      <c r="AD711" s="212">
        <f t="shared" si="11"/>
        <v>41147.352336000004</v>
      </c>
    </row>
    <row r="712" spans="2:30" x14ac:dyDescent="0.15">
      <c r="B712" s="213">
        <v>17031005368</v>
      </c>
      <c r="C712" s="213">
        <v>17031007018</v>
      </c>
      <c r="D712" s="213">
        <v>17031001383</v>
      </c>
      <c r="E712" s="213" t="s">
        <v>533</v>
      </c>
      <c r="F712" s="213" t="s">
        <v>534</v>
      </c>
      <c r="G712" s="213" t="s">
        <v>365</v>
      </c>
      <c r="H712" s="213" t="s">
        <v>543</v>
      </c>
      <c r="I712" s="213"/>
      <c r="J712" s="213"/>
      <c r="K712" s="213"/>
      <c r="L712" s="213"/>
      <c r="M712" s="213"/>
      <c r="N712" s="213"/>
      <c r="O712" s="213"/>
      <c r="P712" s="213"/>
      <c r="Q712" s="213"/>
      <c r="R712" s="213"/>
      <c r="S712" s="213" t="s">
        <v>604</v>
      </c>
      <c r="T712" s="213"/>
      <c r="U712" s="213" t="s">
        <v>538</v>
      </c>
      <c r="V712" s="213">
        <v>2</v>
      </c>
      <c r="W712" s="213" t="s">
        <v>545</v>
      </c>
      <c r="X712" s="213" t="s">
        <v>554</v>
      </c>
      <c r="Y712" s="213" t="s">
        <v>546</v>
      </c>
      <c r="Z712" s="212">
        <v>5324</v>
      </c>
      <c r="AA712" s="212">
        <v>474332</v>
      </c>
      <c r="AB712" s="217">
        <v>0.423398</v>
      </c>
      <c r="AC712" s="217">
        <v>0.68139499999999997</v>
      </c>
      <c r="AD712" s="212">
        <f t="shared" si="11"/>
        <v>200831.22013599999</v>
      </c>
    </row>
    <row r="713" spans="2:30" x14ac:dyDescent="0.15">
      <c r="B713" s="213">
        <v>17031005371</v>
      </c>
      <c r="C713" s="213">
        <v>17031001223</v>
      </c>
      <c r="D713" s="213">
        <v>17031001234</v>
      </c>
      <c r="E713" s="213" t="s">
        <v>533</v>
      </c>
      <c r="F713" s="213" t="s">
        <v>534</v>
      </c>
      <c r="G713" s="213" t="s">
        <v>365</v>
      </c>
      <c r="H713" s="213" t="s">
        <v>543</v>
      </c>
      <c r="I713" s="213"/>
      <c r="J713" s="213"/>
      <c r="K713" s="213"/>
      <c r="L713" s="213"/>
      <c r="M713" s="213"/>
      <c r="N713" s="213"/>
      <c r="O713" s="213"/>
      <c r="P713" s="213"/>
      <c r="Q713" s="213"/>
      <c r="R713" s="213"/>
      <c r="S713" s="213"/>
      <c r="T713" s="213"/>
      <c r="U713" s="213" t="s">
        <v>559</v>
      </c>
      <c r="V713" s="213">
        <v>1</v>
      </c>
      <c r="W713" s="213" t="s">
        <v>560</v>
      </c>
      <c r="X713" s="213" t="s">
        <v>541</v>
      </c>
      <c r="Y713" s="213" t="s">
        <v>541</v>
      </c>
      <c r="Z713" s="212">
        <v>0</v>
      </c>
      <c r="AA713" s="212">
        <v>0</v>
      </c>
      <c r="AB713" s="217">
        <v>0.30845499999999998</v>
      </c>
      <c r="AC713" s="217">
        <v>0.49641099999999999</v>
      </c>
      <c r="AD713" s="212">
        <f t="shared" si="11"/>
        <v>0</v>
      </c>
    </row>
    <row r="714" spans="2:30" x14ac:dyDescent="0.15">
      <c r="B714" s="213">
        <v>17031005373</v>
      </c>
      <c r="C714" s="213">
        <v>17031001234</v>
      </c>
      <c r="D714" s="213">
        <v>17031001249</v>
      </c>
      <c r="E714" s="213" t="s">
        <v>533</v>
      </c>
      <c r="F714" s="213" t="s">
        <v>534</v>
      </c>
      <c r="G714" s="213" t="s">
        <v>365</v>
      </c>
      <c r="H714" s="213" t="s">
        <v>543</v>
      </c>
      <c r="I714" s="213"/>
      <c r="J714" s="213"/>
      <c r="K714" s="213"/>
      <c r="L714" s="213"/>
      <c r="M714" s="213"/>
      <c r="N714" s="213"/>
      <c r="O714" s="213"/>
      <c r="P714" s="213"/>
      <c r="Q714" s="213"/>
      <c r="R714" s="213"/>
      <c r="S714" s="213"/>
      <c r="T714" s="213"/>
      <c r="U714" s="213" t="s">
        <v>559</v>
      </c>
      <c r="V714" s="213">
        <v>1</v>
      </c>
      <c r="W714" s="213" t="s">
        <v>560</v>
      </c>
      <c r="X714" s="213" t="s">
        <v>541</v>
      </c>
      <c r="Y714" s="213" t="s">
        <v>541</v>
      </c>
      <c r="Z714" s="212">
        <v>0</v>
      </c>
      <c r="AA714" s="212">
        <v>0</v>
      </c>
      <c r="AB714" s="217">
        <v>0.28068599999999999</v>
      </c>
      <c r="AC714" s="217">
        <v>0.45172099999999998</v>
      </c>
      <c r="AD714" s="212">
        <f t="shared" si="11"/>
        <v>0</v>
      </c>
    </row>
    <row r="715" spans="2:30" x14ac:dyDescent="0.15">
      <c r="B715" s="213">
        <v>17031005479</v>
      </c>
      <c r="C715" s="213">
        <v>17031000994</v>
      </c>
      <c r="D715" s="213">
        <v>17031004732</v>
      </c>
      <c r="E715" s="213" t="s">
        <v>533</v>
      </c>
      <c r="F715" s="213" t="s">
        <v>534</v>
      </c>
      <c r="G715" s="213" t="s">
        <v>365</v>
      </c>
      <c r="H715" s="213" t="s">
        <v>571</v>
      </c>
      <c r="I715" s="213"/>
      <c r="J715" s="213"/>
      <c r="K715" s="213"/>
      <c r="L715" s="213"/>
      <c r="M715" s="213"/>
      <c r="N715" s="213"/>
      <c r="O715" s="213"/>
      <c r="P715" s="213"/>
      <c r="Q715" s="213"/>
      <c r="R715" s="213"/>
      <c r="S715" s="213"/>
      <c r="T715" s="213"/>
      <c r="U715" s="213" t="s">
        <v>559</v>
      </c>
      <c r="V715" s="213">
        <v>1</v>
      </c>
      <c r="W715" s="213" t="s">
        <v>560</v>
      </c>
      <c r="X715" s="213" t="s">
        <v>541</v>
      </c>
      <c r="Y715" s="213" t="s">
        <v>541</v>
      </c>
      <c r="Z715" s="212">
        <v>0</v>
      </c>
      <c r="AA715" s="212">
        <v>0</v>
      </c>
      <c r="AB715" s="217">
        <v>9.0153999999999998E-2</v>
      </c>
      <c r="AC715" s="217">
        <v>0.14509</v>
      </c>
      <c r="AD715" s="212">
        <f t="shared" si="11"/>
        <v>0</v>
      </c>
    </row>
    <row r="716" spans="2:30" x14ac:dyDescent="0.15">
      <c r="B716" s="213">
        <v>17031005481</v>
      </c>
      <c r="C716" s="213">
        <v>17031007122</v>
      </c>
      <c r="D716" s="213">
        <v>17031007120</v>
      </c>
      <c r="E716" s="213" t="s">
        <v>533</v>
      </c>
      <c r="F716" s="213" t="s">
        <v>534</v>
      </c>
      <c r="G716" s="213" t="s">
        <v>365</v>
      </c>
      <c r="H716" s="213" t="s">
        <v>571</v>
      </c>
      <c r="I716" s="213"/>
      <c r="J716" s="213" t="s">
        <v>381</v>
      </c>
      <c r="K716" s="213" t="s">
        <v>535</v>
      </c>
      <c r="L716" s="213" t="s">
        <v>552</v>
      </c>
      <c r="M716" s="213" t="s">
        <v>551</v>
      </c>
      <c r="N716" s="213" t="s">
        <v>382</v>
      </c>
      <c r="O716" s="213"/>
      <c r="P716" s="213"/>
      <c r="Q716" s="213"/>
      <c r="R716" s="213"/>
      <c r="S716" s="213"/>
      <c r="T716" s="213" t="s">
        <v>574</v>
      </c>
      <c r="U716" s="213" t="s">
        <v>559</v>
      </c>
      <c r="V716" s="213">
        <v>1</v>
      </c>
      <c r="W716" s="213" t="s">
        <v>560</v>
      </c>
      <c r="X716" s="213" t="s">
        <v>541</v>
      </c>
      <c r="Y716" s="213" t="s">
        <v>541</v>
      </c>
      <c r="Z716" s="212">
        <v>0</v>
      </c>
      <c r="AA716" s="212">
        <v>0</v>
      </c>
      <c r="AB716" s="217">
        <v>0.72002299999999997</v>
      </c>
      <c r="AC716" s="217">
        <v>1.1587670000000001</v>
      </c>
      <c r="AD716" s="212">
        <f t="shared" si="11"/>
        <v>0</v>
      </c>
    </row>
    <row r="717" spans="2:30" x14ac:dyDescent="0.15">
      <c r="B717" s="213">
        <v>17031005513</v>
      </c>
      <c r="C717" s="213">
        <v>17031000616</v>
      </c>
      <c r="D717" s="213">
        <v>17031000613</v>
      </c>
      <c r="E717" s="213" t="s">
        <v>533</v>
      </c>
      <c r="F717" s="213" t="s">
        <v>534</v>
      </c>
      <c r="G717" s="213" t="s">
        <v>365</v>
      </c>
      <c r="H717" s="213" t="s">
        <v>547</v>
      </c>
      <c r="I717" s="213"/>
      <c r="J717" s="213" t="s">
        <v>627</v>
      </c>
      <c r="K717" s="213"/>
      <c r="L717" s="213"/>
      <c r="M717" s="213"/>
      <c r="N717" s="213"/>
      <c r="O717" s="213"/>
      <c r="P717" s="213"/>
      <c r="Q717" s="213"/>
      <c r="R717" s="213"/>
      <c r="S717" s="213"/>
      <c r="T717" s="213"/>
      <c r="U717" s="213" t="s">
        <v>538</v>
      </c>
      <c r="V717" s="213">
        <v>4</v>
      </c>
      <c r="W717" s="213" t="s">
        <v>545</v>
      </c>
      <c r="X717" s="213" t="s">
        <v>554</v>
      </c>
      <c r="Y717" s="213" t="s">
        <v>541</v>
      </c>
      <c r="Z717" s="212">
        <v>0</v>
      </c>
      <c r="AA717" s="212">
        <v>0</v>
      </c>
      <c r="AB717" s="217">
        <v>5.3345999999999998E-2</v>
      </c>
      <c r="AC717" s="217">
        <v>8.5851999999999998E-2</v>
      </c>
      <c r="AD717" s="212">
        <f t="shared" si="11"/>
        <v>0</v>
      </c>
    </row>
    <row r="718" spans="2:30" x14ac:dyDescent="0.15">
      <c r="B718" s="213">
        <v>17031005527</v>
      </c>
      <c r="C718" s="213">
        <v>17031000674</v>
      </c>
      <c r="D718" s="213">
        <v>17031000672</v>
      </c>
      <c r="E718" s="213" t="s">
        <v>533</v>
      </c>
      <c r="F718" s="213" t="s">
        <v>534</v>
      </c>
      <c r="G718" s="213" t="s">
        <v>365</v>
      </c>
      <c r="H718" s="213" t="s">
        <v>381</v>
      </c>
      <c r="I718" s="213"/>
      <c r="J718" s="213" t="s">
        <v>542</v>
      </c>
      <c r="K718" s="213" t="s">
        <v>577</v>
      </c>
      <c r="L718" s="213" t="s">
        <v>572</v>
      </c>
      <c r="M718" s="213" t="s">
        <v>547</v>
      </c>
      <c r="N718" s="213" t="s">
        <v>382</v>
      </c>
      <c r="O718" s="213"/>
      <c r="P718" s="213"/>
      <c r="Q718" s="213"/>
      <c r="R718" s="213"/>
      <c r="S718" s="213" t="s">
        <v>579</v>
      </c>
      <c r="T718" s="213" t="s">
        <v>640</v>
      </c>
      <c r="U718" s="213" t="s">
        <v>538</v>
      </c>
      <c r="V718" s="213">
        <v>4</v>
      </c>
      <c r="W718" s="213" t="s">
        <v>545</v>
      </c>
      <c r="X718" s="213" t="s">
        <v>540</v>
      </c>
      <c r="Y718" s="213" t="s">
        <v>549</v>
      </c>
      <c r="Z718" s="212">
        <v>120432</v>
      </c>
      <c r="AA718" s="212">
        <v>8777707</v>
      </c>
      <c r="AB718" s="217">
        <v>5.3650000000000003E-2</v>
      </c>
      <c r="AC718" s="217">
        <v>8.6342000000000002E-2</v>
      </c>
      <c r="AD718" s="212">
        <f t="shared" si="11"/>
        <v>470923.98055000004</v>
      </c>
    </row>
    <row r="719" spans="2:30" x14ac:dyDescent="0.15">
      <c r="B719" s="213">
        <v>17031005648</v>
      </c>
      <c r="C719" s="213">
        <v>17031001165</v>
      </c>
      <c r="D719" s="213">
        <v>17031001163</v>
      </c>
      <c r="E719" s="213" t="s">
        <v>533</v>
      </c>
      <c r="F719" s="213" t="s">
        <v>534</v>
      </c>
      <c r="G719" s="213" t="s">
        <v>365</v>
      </c>
      <c r="H719" s="213" t="s">
        <v>571</v>
      </c>
      <c r="I719" s="213"/>
      <c r="J719" s="213"/>
      <c r="K719" s="213"/>
      <c r="L719" s="213"/>
      <c r="M719" s="213"/>
      <c r="N719" s="213"/>
      <c r="O719" s="213"/>
      <c r="P719" s="213"/>
      <c r="Q719" s="213"/>
      <c r="R719" s="213"/>
      <c r="S719" s="213" t="s">
        <v>573</v>
      </c>
      <c r="T719" s="213"/>
      <c r="U719" s="213" t="s">
        <v>538</v>
      </c>
      <c r="V719" s="213">
        <v>1</v>
      </c>
      <c r="W719" s="213" t="s">
        <v>545</v>
      </c>
      <c r="X719" s="213" t="s">
        <v>541</v>
      </c>
      <c r="Y719" s="213" t="s">
        <v>554</v>
      </c>
      <c r="Z719" s="212">
        <v>0</v>
      </c>
      <c r="AA719" s="212">
        <v>0</v>
      </c>
      <c r="AB719" s="217">
        <v>0.115801</v>
      </c>
      <c r="AC719" s="217">
        <v>0.186364</v>
      </c>
      <c r="AD719" s="212">
        <f t="shared" si="11"/>
        <v>0</v>
      </c>
    </row>
    <row r="720" spans="2:30" x14ac:dyDescent="0.15">
      <c r="B720" s="213">
        <v>17031005651</v>
      </c>
      <c r="C720" s="213">
        <v>17031000669</v>
      </c>
      <c r="D720" s="213">
        <v>17031000682</v>
      </c>
      <c r="E720" s="213" t="s">
        <v>533</v>
      </c>
      <c r="F720" s="213" t="s">
        <v>534</v>
      </c>
      <c r="G720" s="213" t="s">
        <v>365</v>
      </c>
      <c r="H720" s="213" t="s">
        <v>644</v>
      </c>
      <c r="I720" s="213"/>
      <c r="J720" s="213"/>
      <c r="K720" s="213"/>
      <c r="L720" s="213"/>
      <c r="M720" s="213"/>
      <c r="N720" s="213"/>
      <c r="O720" s="213"/>
      <c r="P720" s="213"/>
      <c r="Q720" s="213"/>
      <c r="R720" s="213"/>
      <c r="S720" s="213"/>
      <c r="T720" s="213"/>
      <c r="U720" s="213" t="s">
        <v>559</v>
      </c>
      <c r="V720" s="213">
        <v>1</v>
      </c>
      <c r="W720" s="213" t="s">
        <v>560</v>
      </c>
      <c r="X720" s="213" t="s">
        <v>541</v>
      </c>
      <c r="Y720" s="213" t="s">
        <v>541</v>
      </c>
      <c r="Z720" s="212">
        <v>0</v>
      </c>
      <c r="AA720" s="212">
        <v>0</v>
      </c>
      <c r="AB720" s="217">
        <v>1.019398</v>
      </c>
      <c r="AC720" s="217">
        <v>1.640566</v>
      </c>
      <c r="AD720" s="212">
        <f t="shared" si="11"/>
        <v>0</v>
      </c>
    </row>
    <row r="721" spans="2:30" x14ac:dyDescent="0.15">
      <c r="B721" s="213">
        <v>17031005657</v>
      </c>
      <c r="C721" s="213">
        <v>17031000535</v>
      </c>
      <c r="D721" s="213">
        <v>17031000542</v>
      </c>
      <c r="E721" s="213" t="s">
        <v>533</v>
      </c>
      <c r="F721" s="213" t="s">
        <v>534</v>
      </c>
      <c r="G721" s="213" t="s">
        <v>365</v>
      </c>
      <c r="H721" s="213" t="s">
        <v>382</v>
      </c>
      <c r="I721" s="213"/>
      <c r="J721" s="213"/>
      <c r="K721" s="213"/>
      <c r="L721" s="213"/>
      <c r="M721" s="213"/>
      <c r="N721" s="213"/>
      <c r="O721" s="213"/>
      <c r="P721" s="213"/>
      <c r="Q721" s="213"/>
      <c r="R721" s="213"/>
      <c r="S721" s="213" t="s">
        <v>646</v>
      </c>
      <c r="T721" s="213"/>
      <c r="U721" s="213" t="s">
        <v>559</v>
      </c>
      <c r="V721" s="213">
        <v>1</v>
      </c>
      <c r="W721" s="213" t="s">
        <v>560</v>
      </c>
      <c r="X721" s="213" t="s">
        <v>541</v>
      </c>
      <c r="Y721" s="213" t="s">
        <v>541</v>
      </c>
      <c r="Z721" s="212">
        <v>0</v>
      </c>
      <c r="AA721" s="212">
        <v>0</v>
      </c>
      <c r="AB721" s="217">
        <v>0.17304900000000001</v>
      </c>
      <c r="AC721" s="217">
        <v>0.27849499999999999</v>
      </c>
      <c r="AD721" s="212">
        <f t="shared" si="11"/>
        <v>0</v>
      </c>
    </row>
    <row r="722" spans="2:30" x14ac:dyDescent="0.15">
      <c r="B722" s="213">
        <v>17031005679</v>
      </c>
      <c r="C722" s="213">
        <v>17031004745</v>
      </c>
      <c r="D722" s="213">
        <v>17031001391</v>
      </c>
      <c r="E722" s="213" t="s">
        <v>533</v>
      </c>
      <c r="F722" s="213" t="s">
        <v>534</v>
      </c>
      <c r="G722" s="213" t="s">
        <v>365</v>
      </c>
      <c r="H722" s="213" t="s">
        <v>557</v>
      </c>
      <c r="I722" s="213"/>
      <c r="J722" s="213" t="s">
        <v>569</v>
      </c>
      <c r="K722" s="213" t="s">
        <v>551</v>
      </c>
      <c r="L722" s="213" t="s">
        <v>543</v>
      </c>
      <c r="M722" s="213" t="s">
        <v>552</v>
      </c>
      <c r="N722" s="213"/>
      <c r="O722" s="213"/>
      <c r="P722" s="213"/>
      <c r="Q722" s="213"/>
      <c r="R722" s="213"/>
      <c r="S722" s="213" t="s">
        <v>570</v>
      </c>
      <c r="T722" s="213"/>
      <c r="U722" s="213" t="s">
        <v>538</v>
      </c>
      <c r="V722" s="213">
        <v>2</v>
      </c>
      <c r="W722" s="213" t="s">
        <v>545</v>
      </c>
      <c r="X722" s="213" t="s">
        <v>540</v>
      </c>
      <c r="Y722" s="213" t="s">
        <v>540</v>
      </c>
      <c r="Z722" s="212">
        <v>37482</v>
      </c>
      <c r="AA722" s="212">
        <v>3218342</v>
      </c>
      <c r="AB722" s="217">
        <v>2.8323239999999998</v>
      </c>
      <c r="AC722" s="217">
        <v>4.5581930000000002</v>
      </c>
      <c r="AD722" s="212">
        <f t="shared" si="11"/>
        <v>9115387.286807999</v>
      </c>
    </row>
    <row r="723" spans="2:30" x14ac:dyDescent="0.15">
      <c r="B723" s="213">
        <v>17031005686</v>
      </c>
      <c r="C723" s="213">
        <v>17031001526</v>
      </c>
      <c r="D723" s="213">
        <v>17031001547</v>
      </c>
      <c r="E723" s="213" t="s">
        <v>533</v>
      </c>
      <c r="F723" s="213" t="s">
        <v>534</v>
      </c>
      <c r="G723" s="213" t="s">
        <v>365</v>
      </c>
      <c r="H723" s="213" t="s">
        <v>382</v>
      </c>
      <c r="I723" s="213"/>
      <c r="J723" s="213"/>
      <c r="K723" s="213"/>
      <c r="L723" s="213"/>
      <c r="M723" s="213"/>
      <c r="N723" s="213"/>
      <c r="O723" s="213"/>
      <c r="P723" s="213"/>
      <c r="Q723" s="213"/>
      <c r="R723" s="213"/>
      <c r="S723" s="213" t="s">
        <v>576</v>
      </c>
      <c r="T723" s="213"/>
      <c r="U723" s="213" t="s">
        <v>559</v>
      </c>
      <c r="V723" s="213">
        <v>1</v>
      </c>
      <c r="W723" s="213" t="s">
        <v>560</v>
      </c>
      <c r="X723" s="213" t="s">
        <v>541</v>
      </c>
      <c r="Y723" s="213" t="s">
        <v>541</v>
      </c>
      <c r="Z723" s="212">
        <v>0</v>
      </c>
      <c r="AA723" s="212">
        <v>0</v>
      </c>
      <c r="AB723" s="217">
        <v>0.96380100000000002</v>
      </c>
      <c r="AC723" s="217">
        <v>1.551091</v>
      </c>
      <c r="AD723" s="212">
        <f t="shared" si="11"/>
        <v>0</v>
      </c>
    </row>
    <row r="724" spans="2:30" x14ac:dyDescent="0.15">
      <c r="B724" s="213">
        <v>17031005687</v>
      </c>
      <c r="C724" s="213">
        <v>17031001554</v>
      </c>
      <c r="D724" s="213">
        <v>17031001557</v>
      </c>
      <c r="E724" s="213" t="s">
        <v>533</v>
      </c>
      <c r="F724" s="213" t="s">
        <v>534</v>
      </c>
      <c r="G724" s="213" t="s">
        <v>365</v>
      </c>
      <c r="H724" s="213" t="s">
        <v>543</v>
      </c>
      <c r="I724" s="213"/>
      <c r="J724" s="213"/>
      <c r="K724" s="213"/>
      <c r="L724" s="213"/>
      <c r="M724" s="213"/>
      <c r="N724" s="213"/>
      <c r="O724" s="213"/>
      <c r="P724" s="213"/>
      <c r="Q724" s="213"/>
      <c r="R724" s="213"/>
      <c r="S724" s="213" t="s">
        <v>670</v>
      </c>
      <c r="T724" s="213"/>
      <c r="U724" s="213" t="s">
        <v>559</v>
      </c>
      <c r="V724" s="213">
        <v>1</v>
      </c>
      <c r="W724" s="213" t="s">
        <v>560</v>
      </c>
      <c r="X724" s="213" t="s">
        <v>541</v>
      </c>
      <c r="Y724" s="213" t="s">
        <v>541</v>
      </c>
      <c r="Z724" s="212">
        <v>0</v>
      </c>
      <c r="AA724" s="212">
        <v>0</v>
      </c>
      <c r="AB724" s="217">
        <v>0.48374099999999998</v>
      </c>
      <c r="AC724" s="217">
        <v>0.77850799999999998</v>
      </c>
      <c r="AD724" s="212">
        <f t="shared" si="11"/>
        <v>0</v>
      </c>
    </row>
    <row r="725" spans="2:30" x14ac:dyDescent="0.15">
      <c r="B725" s="213">
        <v>17031005739</v>
      </c>
      <c r="C725" s="213">
        <v>17031001589</v>
      </c>
      <c r="D725" s="213">
        <v>17031001564</v>
      </c>
      <c r="E725" s="213" t="s">
        <v>533</v>
      </c>
      <c r="F725" s="213" t="s">
        <v>534</v>
      </c>
      <c r="G725" s="213" t="s">
        <v>365</v>
      </c>
      <c r="H725" s="213" t="s">
        <v>535</v>
      </c>
      <c r="I725" s="213"/>
      <c r="J725" s="213" t="s">
        <v>382</v>
      </c>
      <c r="K725" s="213"/>
      <c r="L725" s="213"/>
      <c r="M725" s="213"/>
      <c r="N725" s="213"/>
      <c r="O725" s="213"/>
      <c r="P725" s="213"/>
      <c r="Q725" s="213"/>
      <c r="R725" s="213"/>
      <c r="S725" s="213"/>
      <c r="T725" s="213"/>
      <c r="U725" s="213" t="s">
        <v>538</v>
      </c>
      <c r="V725" s="213">
        <v>1</v>
      </c>
      <c r="W725" s="213" t="s">
        <v>582</v>
      </c>
      <c r="X725" s="213" t="s">
        <v>541</v>
      </c>
      <c r="Y725" s="213" t="s">
        <v>540</v>
      </c>
      <c r="Z725" s="212">
        <v>19946</v>
      </c>
      <c r="AA725" s="212">
        <v>1836634</v>
      </c>
      <c r="AB725" s="217">
        <v>0.86437699999999995</v>
      </c>
      <c r="AC725" s="217">
        <v>1.3910830000000001</v>
      </c>
      <c r="AD725" s="212">
        <f t="shared" si="11"/>
        <v>1587544.1870179998</v>
      </c>
    </row>
    <row r="726" spans="2:30" x14ac:dyDescent="0.15">
      <c r="B726" s="213">
        <v>17031005741</v>
      </c>
      <c r="C726" s="213">
        <v>17031001274</v>
      </c>
      <c r="D726" s="213">
        <v>17031001268</v>
      </c>
      <c r="E726" s="213" t="s">
        <v>533</v>
      </c>
      <c r="F726" s="213" t="s">
        <v>534</v>
      </c>
      <c r="G726" s="213" t="s">
        <v>365</v>
      </c>
      <c r="H726" s="213" t="s">
        <v>613</v>
      </c>
      <c r="I726" s="213"/>
      <c r="J726" s="213" t="s">
        <v>577</v>
      </c>
      <c r="K726" s="213" t="s">
        <v>572</v>
      </c>
      <c r="L726" s="213"/>
      <c r="M726" s="213"/>
      <c r="N726" s="213"/>
      <c r="O726" s="213"/>
      <c r="P726" s="213"/>
      <c r="Q726" s="213"/>
      <c r="R726" s="213"/>
      <c r="S726" s="213"/>
      <c r="T726" s="213"/>
      <c r="U726" s="213" t="s">
        <v>559</v>
      </c>
      <c r="V726" s="213">
        <v>1</v>
      </c>
      <c r="W726" s="213" t="s">
        <v>560</v>
      </c>
      <c r="X726" s="213" t="s">
        <v>541</v>
      </c>
      <c r="Y726" s="213" t="s">
        <v>541</v>
      </c>
      <c r="Z726" s="212">
        <v>0</v>
      </c>
      <c r="AA726" s="212">
        <v>0</v>
      </c>
      <c r="AB726" s="217">
        <v>0.92963700000000005</v>
      </c>
      <c r="AC726" s="217">
        <v>1.4961089999999999</v>
      </c>
      <c r="AD726" s="212">
        <f t="shared" si="11"/>
        <v>0</v>
      </c>
    </row>
    <row r="727" spans="2:30" x14ac:dyDescent="0.15">
      <c r="B727" s="213">
        <v>17031005743</v>
      </c>
      <c r="C727" s="213">
        <v>17031001279</v>
      </c>
      <c r="D727" s="213">
        <v>17031001273</v>
      </c>
      <c r="E727" s="213" t="s">
        <v>533</v>
      </c>
      <c r="F727" s="213" t="s">
        <v>534</v>
      </c>
      <c r="G727" s="213" t="s">
        <v>365</v>
      </c>
      <c r="H727" s="213" t="s">
        <v>613</v>
      </c>
      <c r="I727" s="213"/>
      <c r="J727" s="213" t="s">
        <v>572</v>
      </c>
      <c r="K727" s="213"/>
      <c r="L727" s="213"/>
      <c r="M727" s="213"/>
      <c r="N727" s="213"/>
      <c r="O727" s="213"/>
      <c r="P727" s="213"/>
      <c r="Q727" s="213"/>
      <c r="R727" s="213"/>
      <c r="S727" s="213"/>
      <c r="T727" s="213"/>
      <c r="U727" s="213" t="s">
        <v>559</v>
      </c>
      <c r="V727" s="213">
        <v>1</v>
      </c>
      <c r="W727" s="213" t="s">
        <v>560</v>
      </c>
      <c r="X727" s="213" t="s">
        <v>541</v>
      </c>
      <c r="Y727" s="213" t="s">
        <v>541</v>
      </c>
      <c r="Z727" s="212">
        <v>0</v>
      </c>
      <c r="AA727" s="212">
        <v>0</v>
      </c>
      <c r="AB727" s="217">
        <v>0.74407100000000004</v>
      </c>
      <c r="AC727" s="217">
        <v>1.197468</v>
      </c>
      <c r="AD727" s="212">
        <f t="shared" si="11"/>
        <v>0</v>
      </c>
    </row>
    <row r="728" spans="2:30" x14ac:dyDescent="0.15">
      <c r="B728" s="213">
        <v>17031005763</v>
      </c>
      <c r="C728" s="213">
        <v>17031001179</v>
      </c>
      <c r="D728" s="213">
        <v>17031001191</v>
      </c>
      <c r="E728" s="213" t="s">
        <v>533</v>
      </c>
      <c r="F728" s="213" t="s">
        <v>534</v>
      </c>
      <c r="G728" s="213" t="s">
        <v>365</v>
      </c>
      <c r="H728" s="213" t="s">
        <v>571</v>
      </c>
      <c r="I728" s="213"/>
      <c r="J728" s="213" t="s">
        <v>577</v>
      </c>
      <c r="K728" s="213"/>
      <c r="L728" s="213"/>
      <c r="M728" s="213"/>
      <c r="N728" s="213"/>
      <c r="O728" s="213"/>
      <c r="P728" s="213"/>
      <c r="Q728" s="213"/>
      <c r="R728" s="213"/>
      <c r="S728" s="213" t="s">
        <v>573</v>
      </c>
      <c r="T728" s="213"/>
      <c r="U728" s="213" t="s">
        <v>538</v>
      </c>
      <c r="V728" s="213">
        <v>1</v>
      </c>
      <c r="W728" s="213" t="s">
        <v>545</v>
      </c>
      <c r="X728" s="213" t="s">
        <v>541</v>
      </c>
      <c r="Y728" s="213" t="s">
        <v>541</v>
      </c>
      <c r="Z728" s="212">
        <v>0</v>
      </c>
      <c r="AA728" s="212">
        <v>0</v>
      </c>
      <c r="AB728" s="217">
        <v>0.693963</v>
      </c>
      <c r="AC728" s="217">
        <v>1.116827</v>
      </c>
      <c r="AD728" s="212">
        <f t="shared" si="11"/>
        <v>0</v>
      </c>
    </row>
    <row r="729" spans="2:30" x14ac:dyDescent="0.15">
      <c r="B729" s="213">
        <v>17031005850</v>
      </c>
      <c r="C729" s="213">
        <v>17031000698</v>
      </c>
      <c r="D729" s="213">
        <v>17031000689</v>
      </c>
      <c r="E729" s="213" t="s">
        <v>533</v>
      </c>
      <c r="F729" s="213" t="s">
        <v>534</v>
      </c>
      <c r="G729" s="213" t="s">
        <v>365</v>
      </c>
      <c r="H729" s="213" t="s">
        <v>535</v>
      </c>
      <c r="I729" s="213"/>
      <c r="J729" s="213" t="s">
        <v>542</v>
      </c>
      <c r="K729" s="213" t="s">
        <v>547</v>
      </c>
      <c r="L729" s="213" t="s">
        <v>382</v>
      </c>
      <c r="M729" s="213"/>
      <c r="N729" s="213"/>
      <c r="O729" s="213"/>
      <c r="P729" s="213"/>
      <c r="Q729" s="213"/>
      <c r="R729" s="213"/>
      <c r="S729" s="213"/>
      <c r="T729" s="213"/>
      <c r="U729" s="213" t="s">
        <v>538</v>
      </c>
      <c r="V729" s="213">
        <v>2</v>
      </c>
      <c r="W729" s="213" t="s">
        <v>545</v>
      </c>
      <c r="X729" s="213" t="s">
        <v>541</v>
      </c>
      <c r="Y729" s="213" t="s">
        <v>541</v>
      </c>
      <c r="Z729" s="212">
        <v>74456</v>
      </c>
      <c r="AA729" s="212">
        <v>2707840</v>
      </c>
      <c r="AB729" s="217">
        <v>0.271534</v>
      </c>
      <c r="AC729" s="217">
        <v>0.43699300000000002</v>
      </c>
      <c r="AD729" s="212">
        <f t="shared" si="11"/>
        <v>735270.62656</v>
      </c>
    </row>
    <row r="730" spans="2:30" x14ac:dyDescent="0.15">
      <c r="B730" s="213">
        <v>17031005954</v>
      </c>
      <c r="C730" s="213">
        <v>17031000557</v>
      </c>
      <c r="D730" s="213">
        <v>17031000561</v>
      </c>
      <c r="E730" s="213" t="s">
        <v>533</v>
      </c>
      <c r="F730" s="213" t="s">
        <v>534</v>
      </c>
      <c r="G730" s="213" t="s">
        <v>365</v>
      </c>
      <c r="H730" s="213" t="s">
        <v>382</v>
      </c>
      <c r="I730" s="213"/>
      <c r="J730" s="213" t="s">
        <v>547</v>
      </c>
      <c r="K730" s="213"/>
      <c r="L730" s="213"/>
      <c r="M730" s="213"/>
      <c r="N730" s="213"/>
      <c r="O730" s="213"/>
      <c r="P730" s="213"/>
      <c r="Q730" s="213"/>
      <c r="R730" s="213"/>
      <c r="S730" s="213" t="s">
        <v>583</v>
      </c>
      <c r="T730" s="213"/>
      <c r="U730" s="213" t="s">
        <v>538</v>
      </c>
      <c r="V730" s="213">
        <v>4</v>
      </c>
      <c r="W730" s="213" t="s">
        <v>545</v>
      </c>
      <c r="X730" s="213" t="s">
        <v>554</v>
      </c>
      <c r="Y730" s="213" t="s">
        <v>541</v>
      </c>
      <c r="Z730" s="212">
        <v>0</v>
      </c>
      <c r="AA730" s="212">
        <v>0</v>
      </c>
      <c r="AB730" s="217">
        <v>8.4928000000000003E-2</v>
      </c>
      <c r="AC730" s="217">
        <v>0.13667899999999999</v>
      </c>
      <c r="AD730" s="212">
        <f t="shared" si="11"/>
        <v>0</v>
      </c>
    </row>
    <row r="731" spans="2:30" x14ac:dyDescent="0.15">
      <c r="B731" s="213">
        <v>17031005970</v>
      </c>
      <c r="C731" s="213">
        <v>17031001352</v>
      </c>
      <c r="D731" s="213">
        <v>17031004749</v>
      </c>
      <c r="E731" s="213" t="s">
        <v>533</v>
      </c>
      <c r="F731" s="213" t="s">
        <v>534</v>
      </c>
      <c r="G731" s="213" t="s">
        <v>365</v>
      </c>
      <c r="H731" s="213" t="s">
        <v>551</v>
      </c>
      <c r="I731" s="213"/>
      <c r="J731" s="213"/>
      <c r="K731" s="213"/>
      <c r="L731" s="213"/>
      <c r="M731" s="213"/>
      <c r="N731" s="213"/>
      <c r="O731" s="213"/>
      <c r="P731" s="213"/>
      <c r="Q731" s="213"/>
      <c r="R731" s="213"/>
      <c r="S731" s="213" t="s">
        <v>686</v>
      </c>
      <c r="T731" s="213"/>
      <c r="U731" s="213" t="s">
        <v>559</v>
      </c>
      <c r="V731" s="213">
        <v>1</v>
      </c>
      <c r="W731" s="213" t="s">
        <v>560</v>
      </c>
      <c r="X731" s="213" t="s">
        <v>541</v>
      </c>
      <c r="Y731" s="213" t="s">
        <v>541</v>
      </c>
      <c r="Z731" s="212">
        <v>0</v>
      </c>
      <c r="AA731" s="212">
        <v>0</v>
      </c>
      <c r="AB731" s="217">
        <v>1.0710770000000001</v>
      </c>
      <c r="AC731" s="217">
        <v>1.723735</v>
      </c>
      <c r="AD731" s="212">
        <f t="shared" si="11"/>
        <v>0</v>
      </c>
    </row>
    <row r="732" spans="2:30" x14ac:dyDescent="0.15">
      <c r="B732" s="213">
        <v>17031006135</v>
      </c>
      <c r="C732" s="213">
        <v>17031000657</v>
      </c>
      <c r="D732" s="213">
        <v>17031000658</v>
      </c>
      <c r="E732" s="213" t="s">
        <v>533</v>
      </c>
      <c r="F732" s="213" t="s">
        <v>534</v>
      </c>
      <c r="G732" s="213" t="s">
        <v>365</v>
      </c>
      <c r="H732" s="213" t="s">
        <v>382</v>
      </c>
      <c r="I732" s="213"/>
      <c r="J732" s="213" t="s">
        <v>572</v>
      </c>
      <c r="K732" s="213"/>
      <c r="L732" s="213"/>
      <c r="M732" s="213"/>
      <c r="N732" s="213"/>
      <c r="O732" s="213"/>
      <c r="P732" s="213"/>
      <c r="Q732" s="213"/>
      <c r="R732" s="213"/>
      <c r="S732" s="213" t="s">
        <v>609</v>
      </c>
      <c r="T732" s="213"/>
      <c r="U732" s="213" t="s">
        <v>538</v>
      </c>
      <c r="V732" s="213">
        <v>1</v>
      </c>
      <c r="W732" s="213" t="s">
        <v>539</v>
      </c>
      <c r="X732" s="213" t="s">
        <v>541</v>
      </c>
      <c r="Y732" s="213" t="s">
        <v>554</v>
      </c>
      <c r="Z732" s="212">
        <v>12162</v>
      </c>
      <c r="AA732" s="212">
        <v>1314860</v>
      </c>
      <c r="AB732" s="217">
        <v>0.14497199999999999</v>
      </c>
      <c r="AC732" s="217">
        <v>0.23330999999999999</v>
      </c>
      <c r="AD732" s="212">
        <f t="shared" si="11"/>
        <v>190617.88391999999</v>
      </c>
    </row>
    <row r="733" spans="2:30" x14ac:dyDescent="0.15">
      <c r="B733" s="213">
        <v>17031006136</v>
      </c>
      <c r="C733" s="213">
        <v>17031000694</v>
      </c>
      <c r="D733" s="213">
        <v>17031000686</v>
      </c>
      <c r="E733" s="213" t="s">
        <v>533</v>
      </c>
      <c r="F733" s="213" t="s">
        <v>534</v>
      </c>
      <c r="G733" s="213" t="s">
        <v>365</v>
      </c>
      <c r="H733" s="213" t="s">
        <v>381</v>
      </c>
      <c r="I733" s="213"/>
      <c r="J733" s="213" t="s">
        <v>551</v>
      </c>
      <c r="K733" s="213"/>
      <c r="L733" s="213"/>
      <c r="M733" s="213"/>
      <c r="N733" s="213"/>
      <c r="O733" s="213"/>
      <c r="P733" s="213"/>
      <c r="Q733" s="213"/>
      <c r="R733" s="213"/>
      <c r="S733" s="213"/>
      <c r="T733" s="213"/>
      <c r="U733" s="213" t="s">
        <v>538</v>
      </c>
      <c r="V733" s="213">
        <v>1</v>
      </c>
      <c r="W733" s="213" t="s">
        <v>560</v>
      </c>
      <c r="X733" s="213" t="s">
        <v>541</v>
      </c>
      <c r="Y733" s="213" t="s">
        <v>541</v>
      </c>
      <c r="Z733" s="212">
        <v>40</v>
      </c>
      <c r="AA733" s="212">
        <v>2400</v>
      </c>
      <c r="AB733" s="217">
        <v>0.38571100000000003</v>
      </c>
      <c r="AC733" s="217">
        <v>0.62074200000000002</v>
      </c>
      <c r="AD733" s="212">
        <f t="shared" si="11"/>
        <v>925.70640000000003</v>
      </c>
    </row>
    <row r="734" spans="2:30" x14ac:dyDescent="0.15">
      <c r="B734" s="213">
        <v>17031006144</v>
      </c>
      <c r="C734" s="213">
        <v>17031000692</v>
      </c>
      <c r="D734" s="213">
        <v>17031000774</v>
      </c>
      <c r="E734" s="213" t="s">
        <v>533</v>
      </c>
      <c r="F734" s="213" t="s">
        <v>534</v>
      </c>
      <c r="G734" s="213" t="s">
        <v>365</v>
      </c>
      <c r="H734" s="213" t="s">
        <v>543</v>
      </c>
      <c r="I734" s="213"/>
      <c r="J734" s="213"/>
      <c r="K734" s="213"/>
      <c r="L734" s="213"/>
      <c r="M734" s="213"/>
      <c r="N734" s="213"/>
      <c r="O734" s="213"/>
      <c r="P734" s="213"/>
      <c r="Q734" s="213"/>
      <c r="R734" s="213"/>
      <c r="S734" s="213" t="s">
        <v>639</v>
      </c>
      <c r="T734" s="213"/>
      <c r="U734" s="213" t="s">
        <v>538</v>
      </c>
      <c r="V734" s="213">
        <v>2</v>
      </c>
      <c r="W734" s="213" t="s">
        <v>560</v>
      </c>
      <c r="X734" s="213" t="s">
        <v>541</v>
      </c>
      <c r="Y734" s="213" t="s">
        <v>541</v>
      </c>
      <c r="Z734" s="212">
        <v>1658415</v>
      </c>
      <c r="AA734" s="212">
        <v>39358886</v>
      </c>
      <c r="AB734" s="217">
        <v>1.8291550000000001</v>
      </c>
      <c r="AC734" s="217">
        <v>2.943746</v>
      </c>
      <c r="AD734" s="212">
        <f t="shared" si="11"/>
        <v>71993503.121330008</v>
      </c>
    </row>
    <row r="735" spans="2:30" x14ac:dyDescent="0.15">
      <c r="B735" s="213">
        <v>17031006146</v>
      </c>
      <c r="C735" s="213">
        <v>17031000694</v>
      </c>
      <c r="D735" s="213">
        <v>17031000746</v>
      </c>
      <c r="E735" s="213" t="s">
        <v>533</v>
      </c>
      <c r="F735" s="213" t="s">
        <v>534</v>
      </c>
      <c r="G735" s="213" t="s">
        <v>365</v>
      </c>
      <c r="H735" s="213" t="s">
        <v>551</v>
      </c>
      <c r="I735" s="213"/>
      <c r="J735" s="213" t="s">
        <v>381</v>
      </c>
      <c r="K735" s="213"/>
      <c r="L735" s="213"/>
      <c r="M735" s="213"/>
      <c r="N735" s="213"/>
      <c r="O735" s="213"/>
      <c r="P735" s="213"/>
      <c r="Q735" s="213"/>
      <c r="R735" s="213"/>
      <c r="S735" s="213" t="s">
        <v>600</v>
      </c>
      <c r="T735" s="213"/>
      <c r="U735" s="213" t="s">
        <v>538</v>
      </c>
      <c r="V735" s="213">
        <v>2</v>
      </c>
      <c r="W735" s="213" t="s">
        <v>582</v>
      </c>
      <c r="X735" s="213" t="s">
        <v>554</v>
      </c>
      <c r="Y735" s="213" t="s">
        <v>549</v>
      </c>
      <c r="Z735" s="212">
        <v>174623</v>
      </c>
      <c r="AA735" s="212">
        <v>7596917</v>
      </c>
      <c r="AB735" s="217">
        <v>1.394226</v>
      </c>
      <c r="AC735" s="217">
        <v>2.2437939999999998</v>
      </c>
      <c r="AD735" s="212">
        <f t="shared" si="11"/>
        <v>10591819.201242</v>
      </c>
    </row>
    <row r="736" spans="2:30" x14ac:dyDescent="0.15">
      <c r="B736" s="213">
        <v>17031006184</v>
      </c>
      <c r="C736" s="213">
        <v>17031000755</v>
      </c>
      <c r="D736" s="213">
        <v>17031007086</v>
      </c>
      <c r="E736" s="213" t="s">
        <v>533</v>
      </c>
      <c r="F736" s="213" t="s">
        <v>534</v>
      </c>
      <c r="G736" s="213" t="s">
        <v>365</v>
      </c>
      <c r="H736" s="213" t="s">
        <v>535</v>
      </c>
      <c r="I736" s="213"/>
      <c r="J736" s="213" t="s">
        <v>571</v>
      </c>
      <c r="K736" s="213"/>
      <c r="L736" s="213"/>
      <c r="M736" s="213"/>
      <c r="N736" s="213"/>
      <c r="O736" s="213"/>
      <c r="P736" s="213"/>
      <c r="Q736" s="213"/>
      <c r="R736" s="213"/>
      <c r="S736" s="213"/>
      <c r="T736" s="213"/>
      <c r="U736" s="213" t="s">
        <v>559</v>
      </c>
      <c r="V736" s="213">
        <v>1</v>
      </c>
      <c r="W736" s="213" t="s">
        <v>560</v>
      </c>
      <c r="X736" s="213" t="s">
        <v>541</v>
      </c>
      <c r="Y736" s="213" t="s">
        <v>541</v>
      </c>
      <c r="Z736" s="212">
        <v>0</v>
      </c>
      <c r="AA736" s="212">
        <v>0</v>
      </c>
      <c r="AB736" s="217">
        <v>8.1667000000000003E-2</v>
      </c>
      <c r="AC736" s="217">
        <v>0.13143099999999999</v>
      </c>
      <c r="AD736" s="212">
        <f t="shared" si="11"/>
        <v>0</v>
      </c>
    </row>
    <row r="737" spans="2:30" x14ac:dyDescent="0.15">
      <c r="B737" s="213">
        <v>17031006227</v>
      </c>
      <c r="C737" s="213">
        <v>17031001397</v>
      </c>
      <c r="D737" s="213">
        <v>17031001393</v>
      </c>
      <c r="E737" s="213" t="s">
        <v>533</v>
      </c>
      <c r="F737" s="213" t="s">
        <v>534</v>
      </c>
      <c r="G737" s="213" t="s">
        <v>365</v>
      </c>
      <c r="H737" s="213" t="s">
        <v>551</v>
      </c>
      <c r="I737" s="213"/>
      <c r="J737" s="213" t="s">
        <v>557</v>
      </c>
      <c r="K737" s="213"/>
      <c r="L737" s="213"/>
      <c r="M737" s="213"/>
      <c r="N737" s="213"/>
      <c r="O737" s="213"/>
      <c r="P737" s="213"/>
      <c r="Q737" s="213"/>
      <c r="R737" s="213"/>
      <c r="S737" s="213" t="s">
        <v>603</v>
      </c>
      <c r="T737" s="213"/>
      <c r="U737" s="213" t="s">
        <v>538</v>
      </c>
      <c r="V737" s="213">
        <v>1</v>
      </c>
      <c r="W737" s="213" t="s">
        <v>545</v>
      </c>
      <c r="X737" s="213" t="s">
        <v>554</v>
      </c>
      <c r="Y737" s="213" t="s">
        <v>575</v>
      </c>
      <c r="Z737" s="212">
        <v>0</v>
      </c>
      <c r="AA737" s="212">
        <v>0</v>
      </c>
      <c r="AB737" s="217">
        <v>5.5682000000000002E-2</v>
      </c>
      <c r="AC737" s="217">
        <v>8.9611999999999997E-2</v>
      </c>
      <c r="AD737" s="212">
        <f t="shared" si="11"/>
        <v>0</v>
      </c>
    </row>
    <row r="738" spans="2:30" x14ac:dyDescent="0.15">
      <c r="B738" s="213">
        <v>17031006240</v>
      </c>
      <c r="C738" s="213">
        <v>17031001354</v>
      </c>
      <c r="D738" s="213">
        <v>17031001361</v>
      </c>
      <c r="E738" s="213" t="s">
        <v>533</v>
      </c>
      <c r="F738" s="213" t="s">
        <v>534</v>
      </c>
      <c r="G738" s="213" t="s">
        <v>365</v>
      </c>
      <c r="H738" s="213" t="s">
        <v>551</v>
      </c>
      <c r="I738" s="213"/>
      <c r="J738" s="213"/>
      <c r="K738" s="213"/>
      <c r="L738" s="213"/>
      <c r="M738" s="213"/>
      <c r="N738" s="213"/>
      <c r="O738" s="213"/>
      <c r="P738" s="213"/>
      <c r="Q738" s="213"/>
      <c r="R738" s="213"/>
      <c r="S738" s="213"/>
      <c r="T738" s="213"/>
      <c r="U738" s="213" t="s">
        <v>538</v>
      </c>
      <c r="V738" s="213">
        <v>1</v>
      </c>
      <c r="W738" s="213" t="s">
        <v>560</v>
      </c>
      <c r="X738" s="213" t="s">
        <v>541</v>
      </c>
      <c r="Y738" s="213" t="s">
        <v>541</v>
      </c>
      <c r="Z738" s="212">
        <v>0</v>
      </c>
      <c r="AA738" s="212">
        <v>0</v>
      </c>
      <c r="AB738" s="217">
        <v>0.29633300000000001</v>
      </c>
      <c r="AC738" s="217">
        <v>0.47690300000000002</v>
      </c>
      <c r="AD738" s="212">
        <f t="shared" si="11"/>
        <v>0</v>
      </c>
    </row>
    <row r="739" spans="2:30" x14ac:dyDescent="0.15">
      <c r="B739" s="213">
        <v>17031006263</v>
      </c>
      <c r="C739" s="213">
        <v>17031000688</v>
      </c>
      <c r="D739" s="213">
        <v>17031000691</v>
      </c>
      <c r="E739" s="213" t="s">
        <v>533</v>
      </c>
      <c r="F739" s="213" t="s">
        <v>534</v>
      </c>
      <c r="G739" s="213" t="s">
        <v>365</v>
      </c>
      <c r="H739" s="213" t="s">
        <v>381</v>
      </c>
      <c r="I739" s="213"/>
      <c r="J739" s="213"/>
      <c r="K739" s="213"/>
      <c r="L739" s="213"/>
      <c r="M739" s="213"/>
      <c r="N739" s="213"/>
      <c r="O739" s="213"/>
      <c r="P739" s="213"/>
      <c r="Q739" s="213"/>
      <c r="R739" s="213"/>
      <c r="S739" s="213"/>
      <c r="T739" s="213"/>
      <c r="U739" s="213" t="s">
        <v>559</v>
      </c>
      <c r="V739" s="213">
        <v>1</v>
      </c>
      <c r="W739" s="213" t="s">
        <v>560</v>
      </c>
      <c r="X739" s="213" t="s">
        <v>541</v>
      </c>
      <c r="Y739" s="213" t="s">
        <v>541</v>
      </c>
      <c r="Z739" s="212">
        <v>0</v>
      </c>
      <c r="AA739" s="212">
        <v>0</v>
      </c>
      <c r="AB739" s="217">
        <v>0.27946100000000001</v>
      </c>
      <c r="AC739" s="217">
        <v>0.44974999999999998</v>
      </c>
      <c r="AD739" s="212">
        <f t="shared" si="11"/>
        <v>0</v>
      </c>
    </row>
    <row r="740" spans="2:30" x14ac:dyDescent="0.15">
      <c r="B740" s="213">
        <v>17031006265</v>
      </c>
      <c r="C740" s="213">
        <v>17031001109</v>
      </c>
      <c r="D740" s="213">
        <v>17031001088</v>
      </c>
      <c r="E740" s="213" t="s">
        <v>533</v>
      </c>
      <c r="F740" s="213" t="s">
        <v>534</v>
      </c>
      <c r="G740" s="213" t="s">
        <v>365</v>
      </c>
      <c r="H740" s="213" t="s">
        <v>661</v>
      </c>
      <c r="I740" s="213"/>
      <c r="J740" s="213"/>
      <c r="K740" s="213"/>
      <c r="L740" s="213"/>
      <c r="M740" s="213"/>
      <c r="N740" s="213"/>
      <c r="O740" s="213"/>
      <c r="P740" s="213"/>
      <c r="Q740" s="213"/>
      <c r="R740" s="213"/>
      <c r="S740" s="213"/>
      <c r="T740" s="213"/>
      <c r="U740" s="213" t="s">
        <v>538</v>
      </c>
      <c r="V740" s="213">
        <v>1</v>
      </c>
      <c r="W740" s="213" t="s">
        <v>560</v>
      </c>
      <c r="X740" s="213" t="s">
        <v>541</v>
      </c>
      <c r="Y740" s="213" t="s">
        <v>541</v>
      </c>
      <c r="Z740" s="212">
        <v>0</v>
      </c>
      <c r="AA740" s="212">
        <v>0</v>
      </c>
      <c r="AB740" s="217">
        <v>4.2896999999999998E-2</v>
      </c>
      <c r="AC740" s="217">
        <v>6.9037000000000001E-2</v>
      </c>
      <c r="AD740" s="212">
        <f t="shared" si="11"/>
        <v>0</v>
      </c>
    </row>
    <row r="741" spans="2:30" x14ac:dyDescent="0.15">
      <c r="B741" s="213">
        <v>17031006278</v>
      </c>
      <c r="C741" s="213">
        <v>17031001104</v>
      </c>
      <c r="D741" s="213">
        <v>17031001094</v>
      </c>
      <c r="E741" s="213" t="s">
        <v>533</v>
      </c>
      <c r="F741" s="213" t="s">
        <v>534</v>
      </c>
      <c r="G741" s="213" t="s">
        <v>365</v>
      </c>
      <c r="H741" s="213" t="s">
        <v>571</v>
      </c>
      <c r="I741" s="213"/>
      <c r="J741" s="213" t="s">
        <v>552</v>
      </c>
      <c r="K741" s="213" t="s">
        <v>543</v>
      </c>
      <c r="L741" s="213"/>
      <c r="M741" s="213"/>
      <c r="N741" s="213"/>
      <c r="O741" s="213"/>
      <c r="P741" s="213"/>
      <c r="Q741" s="213"/>
      <c r="R741" s="213"/>
      <c r="S741" s="213" t="s">
        <v>573</v>
      </c>
      <c r="T741" s="213" t="s">
        <v>679</v>
      </c>
      <c r="U741" s="213" t="s">
        <v>538</v>
      </c>
      <c r="V741" s="213">
        <v>2</v>
      </c>
      <c r="W741" s="213" t="s">
        <v>545</v>
      </c>
      <c r="X741" s="213" t="s">
        <v>554</v>
      </c>
      <c r="Y741" s="213" t="s">
        <v>580</v>
      </c>
      <c r="Z741" s="212">
        <v>220870</v>
      </c>
      <c r="AA741" s="212">
        <v>7535324</v>
      </c>
      <c r="AB741" s="217">
        <v>0.93725599999999998</v>
      </c>
      <c r="AC741" s="217">
        <v>1.5083709999999999</v>
      </c>
      <c r="AD741" s="212">
        <f t="shared" si="11"/>
        <v>7062527.6309439996</v>
      </c>
    </row>
    <row r="742" spans="2:30" x14ac:dyDescent="0.15">
      <c r="B742" s="213">
        <v>17031006294</v>
      </c>
      <c r="C742" s="213">
        <v>17031004508</v>
      </c>
      <c r="D742" s="213">
        <v>17031001413</v>
      </c>
      <c r="E742" s="213" t="s">
        <v>533</v>
      </c>
      <c r="F742" s="213" t="s">
        <v>534</v>
      </c>
      <c r="G742" s="213" t="s">
        <v>365</v>
      </c>
      <c r="H742" s="213" t="s">
        <v>551</v>
      </c>
      <c r="I742" s="213" t="s">
        <v>535</v>
      </c>
      <c r="J742" s="213" t="s">
        <v>542</v>
      </c>
      <c r="K742" s="213" t="s">
        <v>543</v>
      </c>
      <c r="L742" s="213" t="s">
        <v>382</v>
      </c>
      <c r="M742" s="213"/>
      <c r="N742" s="213"/>
      <c r="O742" s="213"/>
      <c r="P742" s="213"/>
      <c r="Q742" s="213"/>
      <c r="R742" s="213"/>
      <c r="S742" s="213" t="s">
        <v>544</v>
      </c>
      <c r="T742" s="213"/>
      <c r="U742" s="213" t="s">
        <v>538</v>
      </c>
      <c r="V742" s="213">
        <v>2</v>
      </c>
      <c r="W742" s="213" t="s">
        <v>545</v>
      </c>
      <c r="X742" s="213" t="s">
        <v>549</v>
      </c>
      <c r="Y742" s="213" t="s">
        <v>546</v>
      </c>
      <c r="Z742" s="212">
        <v>119590</v>
      </c>
      <c r="AA742" s="212">
        <v>10768301</v>
      </c>
      <c r="AB742" s="217">
        <v>0.60540499999999997</v>
      </c>
      <c r="AC742" s="217">
        <v>0.97430600000000001</v>
      </c>
      <c r="AD742" s="212">
        <f t="shared" si="11"/>
        <v>6519183.2669049995</v>
      </c>
    </row>
    <row r="743" spans="2:30" x14ac:dyDescent="0.15">
      <c r="B743" s="213">
        <v>17031006297</v>
      </c>
      <c r="C743" s="213">
        <v>17031007033</v>
      </c>
      <c r="D743" s="213">
        <v>17031007032</v>
      </c>
      <c r="E743" s="213" t="s">
        <v>533</v>
      </c>
      <c r="F743" s="213" t="s">
        <v>534</v>
      </c>
      <c r="G743" s="213" t="s">
        <v>365</v>
      </c>
      <c r="H743" s="213" t="s">
        <v>557</v>
      </c>
      <c r="I743" s="213"/>
      <c r="J743" s="213"/>
      <c r="K743" s="213"/>
      <c r="L743" s="213"/>
      <c r="M743" s="213"/>
      <c r="N743" s="213"/>
      <c r="O743" s="213"/>
      <c r="P743" s="213"/>
      <c r="Q743" s="213"/>
      <c r="R743" s="213"/>
      <c r="S743" s="213" t="s">
        <v>567</v>
      </c>
      <c r="T743" s="213" t="s">
        <v>568</v>
      </c>
      <c r="U743" s="213" t="s">
        <v>559</v>
      </c>
      <c r="V743" s="213">
        <v>1</v>
      </c>
      <c r="W743" s="213" t="s">
        <v>560</v>
      </c>
      <c r="X743" s="213" t="s">
        <v>541</v>
      </c>
      <c r="Y743" s="213" t="s">
        <v>541</v>
      </c>
      <c r="Z743" s="212">
        <v>40</v>
      </c>
      <c r="AA743" s="212">
        <v>3520</v>
      </c>
      <c r="AB743" s="217">
        <v>0.66000599999999998</v>
      </c>
      <c r="AC743" s="217">
        <v>1.062179</v>
      </c>
      <c r="AD743" s="212">
        <f t="shared" si="11"/>
        <v>2323.2211200000002</v>
      </c>
    </row>
    <row r="744" spans="2:30" x14ac:dyDescent="0.15">
      <c r="B744" s="213">
        <v>17031006307</v>
      </c>
      <c r="C744" s="213">
        <v>17031001427</v>
      </c>
      <c r="D744" s="213">
        <v>17031001432</v>
      </c>
      <c r="E744" s="213" t="s">
        <v>533</v>
      </c>
      <c r="F744" s="213" t="s">
        <v>534</v>
      </c>
      <c r="G744" s="213" t="s">
        <v>365</v>
      </c>
      <c r="H744" s="213" t="s">
        <v>382</v>
      </c>
      <c r="I744" s="213"/>
      <c r="J744" s="213" t="s">
        <v>542</v>
      </c>
      <c r="K744" s="213" t="s">
        <v>551</v>
      </c>
      <c r="L744" s="213" t="s">
        <v>555</v>
      </c>
      <c r="M744" s="213" t="s">
        <v>552</v>
      </c>
      <c r="N744" s="213" t="s">
        <v>535</v>
      </c>
      <c r="O744" s="213"/>
      <c r="P744" s="213"/>
      <c r="Q744" s="213"/>
      <c r="R744" s="213"/>
      <c r="S744" s="213"/>
      <c r="T744" s="213"/>
      <c r="U744" s="213" t="s">
        <v>538</v>
      </c>
      <c r="V744" s="213">
        <v>1</v>
      </c>
      <c r="W744" s="213" t="s">
        <v>545</v>
      </c>
      <c r="X744" s="213" t="s">
        <v>554</v>
      </c>
      <c r="Y744" s="213" t="s">
        <v>554</v>
      </c>
      <c r="Z744" s="212">
        <v>12404</v>
      </c>
      <c r="AA744" s="212">
        <v>992168</v>
      </c>
      <c r="AB744" s="217">
        <v>0.33631299999999997</v>
      </c>
      <c r="AC744" s="217">
        <v>0.54124499999999998</v>
      </c>
      <c r="AD744" s="212">
        <f t="shared" si="11"/>
        <v>333678.99658399995</v>
      </c>
    </row>
    <row r="745" spans="2:30" x14ac:dyDescent="0.15">
      <c r="B745" s="213">
        <v>17031006312</v>
      </c>
      <c r="C745" s="213">
        <v>17031001494</v>
      </c>
      <c r="D745" s="213">
        <v>17031007658</v>
      </c>
      <c r="E745" s="213" t="s">
        <v>533</v>
      </c>
      <c r="F745" s="213" t="s">
        <v>534</v>
      </c>
      <c r="G745" s="213" t="s">
        <v>365</v>
      </c>
      <c r="H745" s="213" t="s">
        <v>382</v>
      </c>
      <c r="I745" s="213"/>
      <c r="J745" s="213"/>
      <c r="K745" s="213"/>
      <c r="L745" s="213"/>
      <c r="M745" s="213"/>
      <c r="N745" s="213"/>
      <c r="O745" s="213"/>
      <c r="P745" s="213"/>
      <c r="Q745" s="213"/>
      <c r="R745" s="213"/>
      <c r="S745" s="213" t="s">
        <v>576</v>
      </c>
      <c r="T745" s="213"/>
      <c r="U745" s="213" t="s">
        <v>559</v>
      </c>
      <c r="V745" s="213">
        <v>1</v>
      </c>
      <c r="W745" s="213" t="s">
        <v>560</v>
      </c>
      <c r="X745" s="213" t="s">
        <v>541</v>
      </c>
      <c r="Y745" s="213" t="s">
        <v>541</v>
      </c>
      <c r="Z745" s="212">
        <v>0</v>
      </c>
      <c r="AA745" s="212">
        <v>0</v>
      </c>
      <c r="AB745" s="217">
        <v>0.25278800000000001</v>
      </c>
      <c r="AC745" s="217">
        <v>0.40682400000000002</v>
      </c>
      <c r="AD745" s="212">
        <f t="shared" si="11"/>
        <v>0</v>
      </c>
    </row>
    <row r="746" spans="2:30" x14ac:dyDescent="0.15">
      <c r="B746" s="213">
        <v>17031006338</v>
      </c>
      <c r="C746" s="213">
        <v>17031004587</v>
      </c>
      <c r="D746" s="213">
        <v>17031000370</v>
      </c>
      <c r="E746" s="213" t="s">
        <v>533</v>
      </c>
      <c r="F746" s="213" t="s">
        <v>534</v>
      </c>
      <c r="G746" s="213" t="s">
        <v>365</v>
      </c>
      <c r="H746" s="213" t="s">
        <v>382</v>
      </c>
      <c r="I746" s="213"/>
      <c r="J746" s="213"/>
      <c r="K746" s="213"/>
      <c r="L746" s="213"/>
      <c r="M746" s="213"/>
      <c r="N746" s="213"/>
      <c r="O746" s="213"/>
      <c r="P746" s="213"/>
      <c r="Q746" s="213"/>
      <c r="R746" s="213"/>
      <c r="S746" s="213" t="s">
        <v>616</v>
      </c>
      <c r="T746" s="213"/>
      <c r="U746" s="213" t="s">
        <v>559</v>
      </c>
      <c r="V746" s="213">
        <v>1</v>
      </c>
      <c r="W746" s="213" t="s">
        <v>560</v>
      </c>
      <c r="X746" s="213" t="s">
        <v>541</v>
      </c>
      <c r="Y746" s="213" t="s">
        <v>541</v>
      </c>
      <c r="Z746" s="212">
        <v>0</v>
      </c>
      <c r="AA746" s="212">
        <v>0</v>
      </c>
      <c r="AB746" s="217">
        <v>0.28519600000000001</v>
      </c>
      <c r="AC746" s="217">
        <v>0.45898</v>
      </c>
      <c r="AD746" s="212">
        <f t="shared" si="11"/>
        <v>0</v>
      </c>
    </row>
    <row r="747" spans="2:30" x14ac:dyDescent="0.15">
      <c r="B747" s="213">
        <v>17031006340</v>
      </c>
      <c r="C747" s="213">
        <v>17031004613</v>
      </c>
      <c r="D747" s="213">
        <v>17999019042</v>
      </c>
      <c r="E747" s="213" t="s">
        <v>533</v>
      </c>
      <c r="F747" s="213" t="s">
        <v>534</v>
      </c>
      <c r="G747" s="213" t="s">
        <v>365</v>
      </c>
      <c r="H747" s="213" t="s">
        <v>552</v>
      </c>
      <c r="I747" s="213"/>
      <c r="J747" s="213" t="s">
        <v>542</v>
      </c>
      <c r="K747" s="213" t="s">
        <v>547</v>
      </c>
      <c r="L747" s="213" t="s">
        <v>563</v>
      </c>
      <c r="M747" s="213"/>
      <c r="N747" s="213"/>
      <c r="O747" s="213"/>
      <c r="P747" s="213"/>
      <c r="Q747" s="213"/>
      <c r="R747" s="213"/>
      <c r="S747" s="213" t="s">
        <v>564</v>
      </c>
      <c r="T747" s="213"/>
      <c r="U747" s="213" t="s">
        <v>538</v>
      </c>
      <c r="V747" s="213">
        <v>2</v>
      </c>
      <c r="W747" s="213" t="s">
        <v>545</v>
      </c>
      <c r="X747" s="213" t="s">
        <v>549</v>
      </c>
      <c r="Y747" s="213" t="s">
        <v>549</v>
      </c>
      <c r="Z747" s="212">
        <v>444697</v>
      </c>
      <c r="AA747" s="212">
        <v>28179770</v>
      </c>
      <c r="AB747" s="217">
        <v>7.2335999999999998E-2</v>
      </c>
      <c r="AC747" s="217">
        <v>0.116414</v>
      </c>
      <c r="AD747" s="212">
        <f t="shared" si="11"/>
        <v>2038411.8427199998</v>
      </c>
    </row>
    <row r="748" spans="2:30" x14ac:dyDescent="0.15">
      <c r="B748" s="213">
        <v>17031006346</v>
      </c>
      <c r="C748" s="213">
        <v>17031004603</v>
      </c>
      <c r="D748" s="213">
        <v>17031000293</v>
      </c>
      <c r="E748" s="213" t="s">
        <v>533</v>
      </c>
      <c r="F748" s="213" t="s">
        <v>534</v>
      </c>
      <c r="G748" s="213" t="s">
        <v>365</v>
      </c>
      <c r="H748" s="213" t="s">
        <v>382</v>
      </c>
      <c r="I748" s="213"/>
      <c r="J748" s="213" t="s">
        <v>535</v>
      </c>
      <c r="K748" s="213" t="s">
        <v>547</v>
      </c>
      <c r="L748" s="213"/>
      <c r="M748" s="213"/>
      <c r="N748" s="213"/>
      <c r="O748" s="213"/>
      <c r="P748" s="213"/>
      <c r="Q748" s="213"/>
      <c r="R748" s="213"/>
      <c r="S748" s="213" t="s">
        <v>608</v>
      </c>
      <c r="T748" s="213"/>
      <c r="U748" s="213" t="s">
        <v>538</v>
      </c>
      <c r="V748" s="213">
        <v>3</v>
      </c>
      <c r="W748" s="213" t="s">
        <v>566</v>
      </c>
      <c r="X748" s="213" t="s">
        <v>549</v>
      </c>
      <c r="Y748" s="213" t="s">
        <v>554</v>
      </c>
      <c r="Z748" s="212">
        <v>80</v>
      </c>
      <c r="AA748" s="212">
        <v>6400</v>
      </c>
      <c r="AB748" s="217">
        <v>0.231518</v>
      </c>
      <c r="AC748" s="217">
        <v>0.37259199999999998</v>
      </c>
      <c r="AD748" s="212">
        <f t="shared" si="11"/>
        <v>1481.7152000000001</v>
      </c>
    </row>
    <row r="749" spans="2:30" x14ac:dyDescent="0.15">
      <c r="B749" s="213">
        <v>17031006350</v>
      </c>
      <c r="C749" s="213">
        <v>17031004627</v>
      </c>
      <c r="D749" s="213">
        <v>17031004593</v>
      </c>
      <c r="E749" s="213" t="s">
        <v>533</v>
      </c>
      <c r="F749" s="213" t="s">
        <v>534</v>
      </c>
      <c r="G749" s="213" t="s">
        <v>365</v>
      </c>
      <c r="H749" s="213" t="s">
        <v>535</v>
      </c>
      <c r="I749" s="213"/>
      <c r="J749" s="213" t="s">
        <v>547</v>
      </c>
      <c r="K749" s="213" t="s">
        <v>551</v>
      </c>
      <c r="L749" s="213"/>
      <c r="M749" s="213"/>
      <c r="N749" s="213"/>
      <c r="O749" s="213"/>
      <c r="P749" s="213"/>
      <c r="Q749" s="213"/>
      <c r="R749" s="213"/>
      <c r="S749" s="213" t="s">
        <v>548</v>
      </c>
      <c r="T749" s="213" t="s">
        <v>671</v>
      </c>
      <c r="U749" s="213" t="s">
        <v>538</v>
      </c>
      <c r="V749" s="213">
        <v>1</v>
      </c>
      <c r="W749" s="213" t="s">
        <v>545</v>
      </c>
      <c r="X749" s="213" t="s">
        <v>554</v>
      </c>
      <c r="Y749" s="213" t="s">
        <v>546</v>
      </c>
      <c r="Z749" s="212">
        <v>374329</v>
      </c>
      <c r="AA749" s="212">
        <v>22852279</v>
      </c>
      <c r="AB749" s="217">
        <v>0.18984599999999999</v>
      </c>
      <c r="AC749" s="217">
        <v>0.305529</v>
      </c>
      <c r="AD749" s="212">
        <f t="shared" si="11"/>
        <v>4338413.7590339994</v>
      </c>
    </row>
    <row r="750" spans="2:30" x14ac:dyDescent="0.15">
      <c r="B750" s="213">
        <v>17031006359</v>
      </c>
      <c r="C750" s="213">
        <v>17031000525</v>
      </c>
      <c r="D750" s="213">
        <v>17999099090</v>
      </c>
      <c r="E750" s="213" t="s">
        <v>533</v>
      </c>
      <c r="F750" s="213" t="s">
        <v>534</v>
      </c>
      <c r="G750" s="213" t="s">
        <v>365</v>
      </c>
      <c r="H750" s="213" t="s">
        <v>382</v>
      </c>
      <c r="I750" s="213"/>
      <c r="J750" s="213"/>
      <c r="K750" s="213"/>
      <c r="L750" s="213"/>
      <c r="M750" s="213"/>
      <c r="N750" s="213"/>
      <c r="O750" s="213"/>
      <c r="P750" s="213"/>
      <c r="Q750" s="213"/>
      <c r="R750" s="213"/>
      <c r="S750" s="213"/>
      <c r="T750" s="213" t="s">
        <v>626</v>
      </c>
      <c r="U750" s="213" t="s">
        <v>559</v>
      </c>
      <c r="V750" s="213">
        <v>1</v>
      </c>
      <c r="W750" s="213" t="s">
        <v>539</v>
      </c>
      <c r="X750" s="213" t="s">
        <v>541</v>
      </c>
      <c r="Y750" s="213" t="s">
        <v>541</v>
      </c>
      <c r="Z750" s="212">
        <v>341840</v>
      </c>
      <c r="AA750" s="212">
        <v>4933480</v>
      </c>
      <c r="AB750" s="217">
        <v>0.174595</v>
      </c>
      <c r="AC750" s="217">
        <v>0.28098400000000001</v>
      </c>
      <c r="AD750" s="212">
        <f t="shared" si="11"/>
        <v>861360.94059999997</v>
      </c>
    </row>
    <row r="751" spans="2:30" x14ac:dyDescent="0.15">
      <c r="B751" s="213">
        <v>17031006360</v>
      </c>
      <c r="C751" s="213">
        <v>17031000546</v>
      </c>
      <c r="D751" s="213">
        <v>17031004646</v>
      </c>
      <c r="E751" s="213" t="s">
        <v>533</v>
      </c>
      <c r="F751" s="213" t="s">
        <v>534</v>
      </c>
      <c r="G751" s="213" t="s">
        <v>365</v>
      </c>
      <c r="H751" s="213" t="s">
        <v>382</v>
      </c>
      <c r="I751" s="213"/>
      <c r="J751" s="213" t="s">
        <v>547</v>
      </c>
      <c r="K751" s="213"/>
      <c r="L751" s="213"/>
      <c r="M751" s="213"/>
      <c r="N751" s="213"/>
      <c r="O751" s="213"/>
      <c r="P751" s="213"/>
      <c r="Q751" s="213"/>
      <c r="R751" s="213"/>
      <c r="S751" s="213" t="s">
        <v>583</v>
      </c>
      <c r="T751" s="213" t="s">
        <v>626</v>
      </c>
      <c r="U751" s="213" t="s">
        <v>538</v>
      </c>
      <c r="V751" s="213">
        <v>3</v>
      </c>
      <c r="W751" s="213" t="s">
        <v>545</v>
      </c>
      <c r="X751" s="213" t="s">
        <v>549</v>
      </c>
      <c r="Y751" s="213" t="s">
        <v>580</v>
      </c>
      <c r="Z751" s="212">
        <v>1359350</v>
      </c>
      <c r="AA751" s="212">
        <v>50218144</v>
      </c>
      <c r="AB751" s="217">
        <v>0.58564799999999995</v>
      </c>
      <c r="AC751" s="217">
        <v>0.94251099999999999</v>
      </c>
      <c r="AD751" s="212">
        <f t="shared" si="11"/>
        <v>29410155.597311996</v>
      </c>
    </row>
    <row r="752" spans="2:30" x14ac:dyDescent="0.15">
      <c r="B752" s="213">
        <v>17031006364</v>
      </c>
      <c r="C752" s="213">
        <v>17031007080</v>
      </c>
      <c r="D752" s="213">
        <v>17031000754</v>
      </c>
      <c r="E752" s="213" t="s">
        <v>533</v>
      </c>
      <c r="F752" s="213" t="s">
        <v>534</v>
      </c>
      <c r="G752" s="213" t="s">
        <v>365</v>
      </c>
      <c r="H752" s="213" t="s">
        <v>535</v>
      </c>
      <c r="I752" s="213"/>
      <c r="J752" s="213" t="s">
        <v>571</v>
      </c>
      <c r="K752" s="213"/>
      <c r="L752" s="213"/>
      <c r="M752" s="213"/>
      <c r="N752" s="213"/>
      <c r="O752" s="213"/>
      <c r="P752" s="213"/>
      <c r="Q752" s="213"/>
      <c r="R752" s="213"/>
      <c r="S752" s="213"/>
      <c r="T752" s="213"/>
      <c r="U752" s="213" t="s">
        <v>559</v>
      </c>
      <c r="V752" s="213">
        <v>1</v>
      </c>
      <c r="W752" s="213" t="s">
        <v>560</v>
      </c>
      <c r="X752" s="213" t="s">
        <v>541</v>
      </c>
      <c r="Y752" s="213" t="s">
        <v>541</v>
      </c>
      <c r="Z752" s="212">
        <v>0</v>
      </c>
      <c r="AA752" s="212">
        <v>0</v>
      </c>
      <c r="AB752" s="217">
        <v>2.0719999999999999E-2</v>
      </c>
      <c r="AC752" s="217">
        <v>3.3346000000000001E-2</v>
      </c>
      <c r="AD752" s="212">
        <f t="shared" si="11"/>
        <v>0</v>
      </c>
    </row>
    <row r="753" spans="2:30" x14ac:dyDescent="0.15">
      <c r="B753" s="213">
        <v>17031006365</v>
      </c>
      <c r="C753" s="213">
        <v>17031000748</v>
      </c>
      <c r="D753" s="213">
        <v>17031000749</v>
      </c>
      <c r="E753" s="213" t="s">
        <v>533</v>
      </c>
      <c r="F753" s="213" t="s">
        <v>534</v>
      </c>
      <c r="G753" s="213" t="s">
        <v>365</v>
      </c>
      <c r="H753" s="213" t="s">
        <v>535</v>
      </c>
      <c r="I753" s="213"/>
      <c r="J753" s="213"/>
      <c r="K753" s="213"/>
      <c r="L753" s="213"/>
      <c r="M753" s="213"/>
      <c r="N753" s="213"/>
      <c r="O753" s="213"/>
      <c r="P753" s="213"/>
      <c r="Q753" s="213"/>
      <c r="R753" s="213"/>
      <c r="S753" s="213" t="s">
        <v>624</v>
      </c>
      <c r="T753" s="213"/>
      <c r="U753" s="213" t="s">
        <v>538</v>
      </c>
      <c r="V753" s="213">
        <v>2</v>
      </c>
      <c r="W753" s="213" t="s">
        <v>582</v>
      </c>
      <c r="X753" s="213" t="s">
        <v>554</v>
      </c>
      <c r="Y753" s="213" t="s">
        <v>554</v>
      </c>
      <c r="Z753" s="212">
        <v>0</v>
      </c>
      <c r="AA753" s="212">
        <v>0</v>
      </c>
      <c r="AB753" s="217">
        <v>0.182613</v>
      </c>
      <c r="AC753" s="217">
        <v>0.29388700000000001</v>
      </c>
      <c r="AD753" s="212">
        <f t="shared" si="11"/>
        <v>0</v>
      </c>
    </row>
    <row r="754" spans="2:30" x14ac:dyDescent="0.15">
      <c r="B754" s="213">
        <v>17031006368</v>
      </c>
      <c r="C754" s="213">
        <v>17031000751</v>
      </c>
      <c r="D754" s="213">
        <v>17031000753</v>
      </c>
      <c r="E754" s="213" t="s">
        <v>533</v>
      </c>
      <c r="F754" s="213" t="s">
        <v>534</v>
      </c>
      <c r="G754" s="213" t="s">
        <v>365</v>
      </c>
      <c r="H754" s="213" t="s">
        <v>535</v>
      </c>
      <c r="I754" s="213"/>
      <c r="J754" s="213"/>
      <c r="K754" s="213"/>
      <c r="L754" s="213"/>
      <c r="M754" s="213"/>
      <c r="N754" s="213"/>
      <c r="O754" s="213"/>
      <c r="P754" s="213"/>
      <c r="Q754" s="213"/>
      <c r="R754" s="213"/>
      <c r="S754" s="213" t="s">
        <v>624</v>
      </c>
      <c r="T754" s="213"/>
      <c r="U754" s="213" t="s">
        <v>538</v>
      </c>
      <c r="V754" s="213">
        <v>2</v>
      </c>
      <c r="W754" s="213" t="s">
        <v>582</v>
      </c>
      <c r="X754" s="213" t="s">
        <v>554</v>
      </c>
      <c r="Y754" s="213" t="s">
        <v>554</v>
      </c>
      <c r="Z754" s="212">
        <v>0</v>
      </c>
      <c r="AA754" s="212">
        <v>0</v>
      </c>
      <c r="AB754" s="217">
        <v>0.22819999999999999</v>
      </c>
      <c r="AC754" s="217">
        <v>0.367253</v>
      </c>
      <c r="AD754" s="212">
        <f t="shared" si="11"/>
        <v>0</v>
      </c>
    </row>
    <row r="755" spans="2:30" x14ac:dyDescent="0.15">
      <c r="B755" s="213">
        <v>17031006372</v>
      </c>
      <c r="C755" s="213">
        <v>17031000720</v>
      </c>
      <c r="D755" s="213">
        <v>17031000721</v>
      </c>
      <c r="E755" s="213" t="s">
        <v>533</v>
      </c>
      <c r="F755" s="213" t="s">
        <v>534</v>
      </c>
      <c r="G755" s="213" t="s">
        <v>365</v>
      </c>
      <c r="H755" s="213" t="s">
        <v>571</v>
      </c>
      <c r="I755" s="213"/>
      <c r="J755" s="213" t="s">
        <v>381</v>
      </c>
      <c r="K755" s="213" t="s">
        <v>535</v>
      </c>
      <c r="L755" s="213" t="s">
        <v>552</v>
      </c>
      <c r="M755" s="213" t="s">
        <v>551</v>
      </c>
      <c r="N755" s="213" t="s">
        <v>563</v>
      </c>
      <c r="O755" s="213" t="s">
        <v>543</v>
      </c>
      <c r="P755" s="213"/>
      <c r="Q755" s="213"/>
      <c r="R755" s="213"/>
      <c r="S755" s="213" t="s">
        <v>573</v>
      </c>
      <c r="T755" s="213"/>
      <c r="U755" s="213" t="s">
        <v>538</v>
      </c>
      <c r="V755" s="213">
        <v>2</v>
      </c>
      <c r="W755" s="213" t="s">
        <v>545</v>
      </c>
      <c r="X755" s="213" t="s">
        <v>554</v>
      </c>
      <c r="Y755" s="213" t="s">
        <v>580</v>
      </c>
      <c r="Z755" s="212">
        <v>960811</v>
      </c>
      <c r="AA755" s="212">
        <v>41250978</v>
      </c>
      <c r="AB755" s="217">
        <v>4.3624999999999997E-2</v>
      </c>
      <c r="AC755" s="217">
        <v>7.0208000000000007E-2</v>
      </c>
      <c r="AD755" s="212">
        <f t="shared" si="11"/>
        <v>1799573.9152499998</v>
      </c>
    </row>
    <row r="756" spans="2:30" x14ac:dyDescent="0.15">
      <c r="B756" s="213">
        <v>17031006373</v>
      </c>
      <c r="C756" s="213">
        <v>17031000686</v>
      </c>
      <c r="D756" s="213">
        <v>17031000691</v>
      </c>
      <c r="E756" s="213" t="s">
        <v>533</v>
      </c>
      <c r="F756" s="213" t="s">
        <v>534</v>
      </c>
      <c r="G756" s="213" t="s">
        <v>365</v>
      </c>
      <c r="H756" s="213" t="s">
        <v>381</v>
      </c>
      <c r="I756" s="213"/>
      <c r="J756" s="213" t="s">
        <v>542</v>
      </c>
      <c r="K756" s="213" t="s">
        <v>572</v>
      </c>
      <c r="L756" s="213" t="s">
        <v>547</v>
      </c>
      <c r="M756" s="213" t="s">
        <v>382</v>
      </c>
      <c r="N756" s="213" t="s">
        <v>551</v>
      </c>
      <c r="O756" s="213"/>
      <c r="P756" s="213"/>
      <c r="Q756" s="213"/>
      <c r="R756" s="213"/>
      <c r="S756" s="213" t="s">
        <v>579</v>
      </c>
      <c r="T756" s="213"/>
      <c r="U756" s="213" t="s">
        <v>538</v>
      </c>
      <c r="V756" s="213">
        <v>4</v>
      </c>
      <c r="W756" s="213" t="s">
        <v>545</v>
      </c>
      <c r="X756" s="213" t="s">
        <v>540</v>
      </c>
      <c r="Y756" s="213" t="s">
        <v>549</v>
      </c>
      <c r="Z756" s="212">
        <v>120432</v>
      </c>
      <c r="AA756" s="212">
        <v>8777707</v>
      </c>
      <c r="AB756" s="217">
        <v>6.4413999999999999E-2</v>
      </c>
      <c r="AC756" s="217">
        <v>0.10366499999999999</v>
      </c>
      <c r="AD756" s="212">
        <f t="shared" si="11"/>
        <v>565407.21869799995</v>
      </c>
    </row>
    <row r="757" spans="2:30" x14ac:dyDescent="0.15">
      <c r="B757" s="213">
        <v>17031006382</v>
      </c>
      <c r="C757" s="213">
        <v>17031000617</v>
      </c>
      <c r="D757" s="213">
        <v>17031004671</v>
      </c>
      <c r="E757" s="213" t="s">
        <v>533</v>
      </c>
      <c r="F757" s="213" t="s">
        <v>534</v>
      </c>
      <c r="G757" s="213" t="s">
        <v>365</v>
      </c>
      <c r="H757" s="213" t="s">
        <v>551</v>
      </c>
      <c r="I757" s="213"/>
      <c r="J757" s="213" t="s">
        <v>535</v>
      </c>
      <c r="K757" s="213"/>
      <c r="L757" s="213"/>
      <c r="M757" s="213"/>
      <c r="N757" s="213"/>
      <c r="O757" s="213"/>
      <c r="P757" s="213"/>
      <c r="Q757" s="213"/>
      <c r="R757" s="213"/>
      <c r="S757" s="213" t="s">
        <v>667</v>
      </c>
      <c r="T757" s="213"/>
      <c r="U757" s="213" t="s">
        <v>538</v>
      </c>
      <c r="V757" s="213">
        <v>2</v>
      </c>
      <c r="W757" s="213" t="s">
        <v>582</v>
      </c>
      <c r="X757" s="213" t="s">
        <v>541</v>
      </c>
      <c r="Y757" s="213" t="s">
        <v>541</v>
      </c>
      <c r="Z757" s="212">
        <v>0</v>
      </c>
      <c r="AA757" s="212">
        <v>0</v>
      </c>
      <c r="AB757" s="217">
        <v>0.49148599999999998</v>
      </c>
      <c r="AC757" s="217">
        <v>0.79097099999999998</v>
      </c>
      <c r="AD757" s="212">
        <f t="shared" si="11"/>
        <v>0</v>
      </c>
    </row>
    <row r="758" spans="2:30" x14ac:dyDescent="0.15">
      <c r="B758" s="213">
        <v>17031006383</v>
      </c>
      <c r="C758" s="213">
        <v>17031004672</v>
      </c>
      <c r="D758" s="213">
        <v>17031007606</v>
      </c>
      <c r="E758" s="213" t="s">
        <v>533</v>
      </c>
      <c r="F758" s="213" t="s">
        <v>534</v>
      </c>
      <c r="G758" s="213" t="s">
        <v>365</v>
      </c>
      <c r="H758" s="213" t="s">
        <v>551</v>
      </c>
      <c r="I758" s="213"/>
      <c r="J758" s="213" t="s">
        <v>535</v>
      </c>
      <c r="K758" s="213"/>
      <c r="L758" s="213"/>
      <c r="M758" s="213"/>
      <c r="N758" s="213"/>
      <c r="O758" s="213"/>
      <c r="P758" s="213"/>
      <c r="Q758" s="213"/>
      <c r="R758" s="213"/>
      <c r="S758" s="213" t="s">
        <v>667</v>
      </c>
      <c r="T758" s="213"/>
      <c r="U758" s="213" t="s">
        <v>538</v>
      </c>
      <c r="V758" s="213">
        <v>2</v>
      </c>
      <c r="W758" s="213" t="s">
        <v>582</v>
      </c>
      <c r="X758" s="213" t="s">
        <v>541</v>
      </c>
      <c r="Y758" s="213" t="s">
        <v>541</v>
      </c>
      <c r="Z758" s="212">
        <v>0</v>
      </c>
      <c r="AA758" s="212">
        <v>0</v>
      </c>
      <c r="AB758" s="217">
        <v>0.85231699999999999</v>
      </c>
      <c r="AC758" s="217">
        <v>1.3716740000000001</v>
      </c>
      <c r="AD758" s="212">
        <f t="shared" si="11"/>
        <v>0</v>
      </c>
    </row>
    <row r="759" spans="2:30" x14ac:dyDescent="0.15">
      <c r="B759" s="213">
        <v>17031006389</v>
      </c>
      <c r="C759" s="213">
        <v>17031000659</v>
      </c>
      <c r="D759" s="213">
        <v>17031000662</v>
      </c>
      <c r="E759" s="213" t="s">
        <v>533</v>
      </c>
      <c r="F759" s="213" t="s">
        <v>534</v>
      </c>
      <c r="G759" s="213" t="s">
        <v>365</v>
      </c>
      <c r="H759" s="213" t="s">
        <v>382</v>
      </c>
      <c r="I759" s="213"/>
      <c r="J759" s="213" t="s">
        <v>572</v>
      </c>
      <c r="K759" s="213"/>
      <c r="L759" s="213"/>
      <c r="M759" s="213"/>
      <c r="N759" s="213"/>
      <c r="O759" s="213"/>
      <c r="P759" s="213"/>
      <c r="Q759" s="213"/>
      <c r="R759" s="213"/>
      <c r="S759" s="213" t="s">
        <v>609</v>
      </c>
      <c r="T759" s="213" t="s">
        <v>695</v>
      </c>
      <c r="U759" s="213" t="s">
        <v>538</v>
      </c>
      <c r="V759" s="213">
        <v>1</v>
      </c>
      <c r="W759" s="213" t="s">
        <v>539</v>
      </c>
      <c r="X759" s="213" t="s">
        <v>541</v>
      </c>
      <c r="Y759" s="213" t="s">
        <v>540</v>
      </c>
      <c r="Z759" s="212">
        <v>842746</v>
      </c>
      <c r="AA759" s="212">
        <v>26559579</v>
      </c>
      <c r="AB759" s="217">
        <v>0.13223199999999999</v>
      </c>
      <c r="AC759" s="217">
        <v>0.212807</v>
      </c>
      <c r="AD759" s="212">
        <f t="shared" si="11"/>
        <v>3512026.2503279997</v>
      </c>
    </row>
    <row r="760" spans="2:30" x14ac:dyDescent="0.15">
      <c r="B760" s="213">
        <v>17031006395</v>
      </c>
      <c r="C760" s="213">
        <v>17031000649</v>
      </c>
      <c r="D760" s="213">
        <v>17031000679</v>
      </c>
      <c r="E760" s="213" t="s">
        <v>533</v>
      </c>
      <c r="F760" s="213" t="s">
        <v>534</v>
      </c>
      <c r="G760" s="213" t="s">
        <v>365</v>
      </c>
      <c r="H760" s="213" t="s">
        <v>543</v>
      </c>
      <c r="I760" s="213"/>
      <c r="J760" s="213" t="s">
        <v>542</v>
      </c>
      <c r="K760" s="213" t="s">
        <v>547</v>
      </c>
      <c r="L760" s="213"/>
      <c r="M760" s="213"/>
      <c r="N760" s="213"/>
      <c r="O760" s="213"/>
      <c r="P760" s="213"/>
      <c r="Q760" s="213"/>
      <c r="R760" s="213"/>
      <c r="S760" s="213" t="s">
        <v>630</v>
      </c>
      <c r="T760" s="213"/>
      <c r="U760" s="213" t="s">
        <v>538</v>
      </c>
      <c r="V760" s="213">
        <v>2</v>
      </c>
      <c r="W760" s="213" t="s">
        <v>545</v>
      </c>
      <c r="X760" s="213" t="s">
        <v>541</v>
      </c>
      <c r="Y760" s="213" t="s">
        <v>541</v>
      </c>
      <c r="Z760" s="212">
        <v>141680</v>
      </c>
      <c r="AA760" s="212">
        <v>9584979</v>
      </c>
      <c r="AB760" s="217">
        <v>7.1126999999999996E-2</v>
      </c>
      <c r="AC760" s="217">
        <v>0.114467</v>
      </c>
      <c r="AD760" s="212">
        <f t="shared" si="11"/>
        <v>681750.80133299995</v>
      </c>
    </row>
    <row r="761" spans="2:30" x14ac:dyDescent="0.15">
      <c r="B761" s="213">
        <v>17031006402</v>
      </c>
      <c r="C761" s="213">
        <v>17031001045</v>
      </c>
      <c r="D761" s="213">
        <v>17031004690</v>
      </c>
      <c r="E761" s="213" t="s">
        <v>533</v>
      </c>
      <c r="F761" s="213" t="s">
        <v>534</v>
      </c>
      <c r="G761" s="213" t="s">
        <v>365</v>
      </c>
      <c r="H761" s="213" t="s">
        <v>547</v>
      </c>
      <c r="I761" s="213"/>
      <c r="J761" s="213" t="s">
        <v>543</v>
      </c>
      <c r="K761" s="213"/>
      <c r="L761" s="213"/>
      <c r="M761" s="213"/>
      <c r="N761" s="213"/>
      <c r="O761" s="213"/>
      <c r="P761" s="213"/>
      <c r="Q761" s="213"/>
      <c r="R761" s="213"/>
      <c r="S761" s="213" t="s">
        <v>602</v>
      </c>
      <c r="T761" s="213" t="s">
        <v>698</v>
      </c>
      <c r="U761" s="213" t="s">
        <v>538</v>
      </c>
      <c r="V761" s="213">
        <v>1</v>
      </c>
      <c r="W761" s="213" t="s">
        <v>582</v>
      </c>
      <c r="X761" s="213" t="s">
        <v>540</v>
      </c>
      <c r="Y761" s="213" t="s">
        <v>540</v>
      </c>
      <c r="Z761" s="212">
        <v>0</v>
      </c>
      <c r="AA761" s="212">
        <v>0</v>
      </c>
      <c r="AB761" s="217">
        <v>0.23530699999999999</v>
      </c>
      <c r="AC761" s="217">
        <v>0.378691</v>
      </c>
      <c r="AD761" s="212">
        <f t="shared" si="11"/>
        <v>0</v>
      </c>
    </row>
    <row r="762" spans="2:30" x14ac:dyDescent="0.15">
      <c r="B762" s="213">
        <v>17031006413</v>
      </c>
      <c r="C762" s="213">
        <v>17031004707</v>
      </c>
      <c r="D762" s="213">
        <v>17031001078</v>
      </c>
      <c r="E762" s="213" t="s">
        <v>533</v>
      </c>
      <c r="F762" s="213" t="s">
        <v>534</v>
      </c>
      <c r="G762" s="213" t="s">
        <v>365</v>
      </c>
      <c r="H762" s="213" t="s">
        <v>547</v>
      </c>
      <c r="I762" s="213"/>
      <c r="J762" s="213" t="s">
        <v>577</v>
      </c>
      <c r="K762" s="213"/>
      <c r="L762" s="213"/>
      <c r="M762" s="213"/>
      <c r="N762" s="213"/>
      <c r="O762" s="213"/>
      <c r="P762" s="213"/>
      <c r="Q762" s="213"/>
      <c r="R762" s="213"/>
      <c r="S762" s="213" t="s">
        <v>581</v>
      </c>
      <c r="T762" s="213"/>
      <c r="U762" s="213" t="s">
        <v>538</v>
      </c>
      <c r="V762" s="213">
        <v>2</v>
      </c>
      <c r="W762" s="213" t="s">
        <v>582</v>
      </c>
      <c r="X762" s="213" t="s">
        <v>540</v>
      </c>
      <c r="Y762" s="213" t="s">
        <v>541</v>
      </c>
      <c r="Z762" s="212">
        <v>0</v>
      </c>
      <c r="AA762" s="212">
        <v>0</v>
      </c>
      <c r="AB762" s="217">
        <v>0.48847499999999999</v>
      </c>
      <c r="AC762" s="217">
        <v>0.78612599999999999</v>
      </c>
      <c r="AD762" s="212">
        <f t="shared" si="11"/>
        <v>0</v>
      </c>
    </row>
    <row r="763" spans="2:30" x14ac:dyDescent="0.15">
      <c r="B763" s="213">
        <v>17031006415</v>
      </c>
      <c r="C763" s="213">
        <v>17031001559</v>
      </c>
      <c r="D763" s="213">
        <v>17031001562</v>
      </c>
      <c r="E763" s="213" t="s">
        <v>533</v>
      </c>
      <c r="F763" s="213" t="s">
        <v>534</v>
      </c>
      <c r="G763" s="213" t="s">
        <v>365</v>
      </c>
      <c r="H763" s="213" t="s">
        <v>535</v>
      </c>
      <c r="I763" s="213"/>
      <c r="J763" s="213" t="s">
        <v>382</v>
      </c>
      <c r="K763" s="213" t="s">
        <v>536</v>
      </c>
      <c r="L763" s="213"/>
      <c r="M763" s="213"/>
      <c r="N763" s="213"/>
      <c r="O763" s="213"/>
      <c r="P763" s="213"/>
      <c r="Q763" s="213"/>
      <c r="R763" s="213"/>
      <c r="S763" s="213" t="s">
        <v>537</v>
      </c>
      <c r="T763" s="213"/>
      <c r="U763" s="213" t="s">
        <v>538</v>
      </c>
      <c r="V763" s="213">
        <v>2</v>
      </c>
      <c r="W763" s="213" t="s">
        <v>582</v>
      </c>
      <c r="X763" s="213" t="s">
        <v>549</v>
      </c>
      <c r="Y763" s="213" t="s">
        <v>540</v>
      </c>
      <c r="Z763" s="212">
        <v>1960</v>
      </c>
      <c r="AA763" s="212">
        <v>166000</v>
      </c>
      <c r="AB763" s="217">
        <v>0.28319899999999998</v>
      </c>
      <c r="AC763" s="217">
        <v>0.455766</v>
      </c>
      <c r="AD763" s="212">
        <f t="shared" si="11"/>
        <v>47011.034</v>
      </c>
    </row>
    <row r="764" spans="2:30" x14ac:dyDescent="0.15">
      <c r="B764" s="213">
        <v>17031006418</v>
      </c>
      <c r="C764" s="213">
        <v>17031000964</v>
      </c>
      <c r="D764" s="213">
        <v>17031004728</v>
      </c>
      <c r="E764" s="213" t="s">
        <v>533</v>
      </c>
      <c r="F764" s="213" t="s">
        <v>534</v>
      </c>
      <c r="G764" s="213" t="s">
        <v>365</v>
      </c>
      <c r="H764" s="213" t="s">
        <v>571</v>
      </c>
      <c r="I764" s="213"/>
      <c r="J764" s="213" t="s">
        <v>381</v>
      </c>
      <c r="K764" s="213" t="s">
        <v>535</v>
      </c>
      <c r="L764" s="213" t="s">
        <v>552</v>
      </c>
      <c r="M764" s="213" t="s">
        <v>551</v>
      </c>
      <c r="N764" s="213" t="s">
        <v>382</v>
      </c>
      <c r="O764" s="213" t="s">
        <v>563</v>
      </c>
      <c r="P764" s="213"/>
      <c r="Q764" s="213"/>
      <c r="R764" s="213"/>
      <c r="S764" s="213" t="s">
        <v>655</v>
      </c>
      <c r="T764" s="213"/>
      <c r="U764" s="213" t="s">
        <v>538</v>
      </c>
      <c r="V764" s="213">
        <v>2</v>
      </c>
      <c r="W764" s="213" t="s">
        <v>545</v>
      </c>
      <c r="X764" s="213" t="s">
        <v>554</v>
      </c>
      <c r="Y764" s="213" t="s">
        <v>546</v>
      </c>
      <c r="Z764" s="212">
        <v>232320</v>
      </c>
      <c r="AA764" s="212">
        <v>15578987</v>
      </c>
      <c r="AB764" s="217">
        <v>0.21063699999999999</v>
      </c>
      <c r="AC764" s="217">
        <v>0.33898800000000001</v>
      </c>
      <c r="AD764" s="212">
        <f t="shared" si="11"/>
        <v>3281511.0847189999</v>
      </c>
    </row>
    <row r="765" spans="2:30" x14ac:dyDescent="0.15">
      <c r="B765" s="213">
        <v>17031006423</v>
      </c>
      <c r="C765" s="213">
        <v>17031004729</v>
      </c>
      <c r="D765" s="213">
        <v>17031004730</v>
      </c>
      <c r="E765" s="213" t="s">
        <v>533</v>
      </c>
      <c r="F765" s="213" t="s">
        <v>534</v>
      </c>
      <c r="G765" s="213" t="s">
        <v>365</v>
      </c>
      <c r="H765" s="213" t="s">
        <v>571</v>
      </c>
      <c r="I765" s="213"/>
      <c r="J765" s="213" t="s">
        <v>381</v>
      </c>
      <c r="K765" s="213" t="s">
        <v>535</v>
      </c>
      <c r="L765" s="213" t="s">
        <v>552</v>
      </c>
      <c r="M765" s="213" t="s">
        <v>572</v>
      </c>
      <c r="N765" s="213" t="s">
        <v>551</v>
      </c>
      <c r="O765" s="213" t="s">
        <v>555</v>
      </c>
      <c r="P765" s="213" t="s">
        <v>543</v>
      </c>
      <c r="Q765" s="213" t="s">
        <v>382</v>
      </c>
      <c r="R765" s="213" t="s">
        <v>563</v>
      </c>
      <c r="S765" s="213" t="s">
        <v>605</v>
      </c>
      <c r="T765" s="213" t="s">
        <v>574</v>
      </c>
      <c r="U765" s="213" t="s">
        <v>538</v>
      </c>
      <c r="V765" s="213">
        <v>2</v>
      </c>
      <c r="W765" s="213" t="s">
        <v>545</v>
      </c>
      <c r="X765" s="213" t="s">
        <v>554</v>
      </c>
      <c r="Y765" s="213" t="s">
        <v>575</v>
      </c>
      <c r="Z765" s="212">
        <v>268203</v>
      </c>
      <c r="AA765" s="212">
        <v>14969329</v>
      </c>
      <c r="AB765" s="217">
        <v>0.356462</v>
      </c>
      <c r="AC765" s="217">
        <v>0.57367100000000004</v>
      </c>
      <c r="AD765" s="212">
        <f t="shared" si="11"/>
        <v>5335996.9539980004</v>
      </c>
    </row>
    <row r="766" spans="2:30" x14ac:dyDescent="0.15">
      <c r="B766" s="213">
        <v>17031006443</v>
      </c>
      <c r="C766" s="213">
        <v>17031001118</v>
      </c>
      <c r="D766" s="213">
        <v>17031001124</v>
      </c>
      <c r="E766" s="213" t="s">
        <v>533</v>
      </c>
      <c r="F766" s="213" t="s">
        <v>534</v>
      </c>
      <c r="G766" s="213" t="s">
        <v>365</v>
      </c>
      <c r="H766" s="213" t="s">
        <v>543</v>
      </c>
      <c r="I766" s="213"/>
      <c r="J766" s="213" t="s">
        <v>542</v>
      </c>
      <c r="K766" s="213" t="s">
        <v>552</v>
      </c>
      <c r="L766" s="213" t="s">
        <v>557</v>
      </c>
      <c r="M766" s="213" t="s">
        <v>661</v>
      </c>
      <c r="N766" s="213"/>
      <c r="O766" s="213"/>
      <c r="P766" s="213"/>
      <c r="Q766" s="213"/>
      <c r="R766" s="213"/>
      <c r="S766" s="213" t="s">
        <v>630</v>
      </c>
      <c r="T766" s="213"/>
      <c r="U766" s="213" t="s">
        <v>538</v>
      </c>
      <c r="V766" s="213">
        <v>2</v>
      </c>
      <c r="W766" s="213" t="s">
        <v>545</v>
      </c>
      <c r="X766" s="213" t="s">
        <v>540</v>
      </c>
      <c r="Y766" s="213" t="s">
        <v>575</v>
      </c>
      <c r="Z766" s="212">
        <v>2178052</v>
      </c>
      <c r="AA766" s="212">
        <v>63763679</v>
      </c>
      <c r="AB766" s="217">
        <v>5.5612000000000002E-2</v>
      </c>
      <c r="AC766" s="217">
        <v>8.9497999999999994E-2</v>
      </c>
      <c r="AD766" s="212">
        <f t="shared" si="11"/>
        <v>3546025.716548</v>
      </c>
    </row>
    <row r="767" spans="2:30" x14ac:dyDescent="0.15">
      <c r="B767" s="213">
        <v>17031006444</v>
      </c>
      <c r="C767" s="213">
        <v>99999099457</v>
      </c>
      <c r="D767" s="213">
        <v>17031004739</v>
      </c>
      <c r="E767" s="213" t="s">
        <v>533</v>
      </c>
      <c r="F767" s="213" t="s">
        <v>534</v>
      </c>
      <c r="G767" s="213" t="s">
        <v>365</v>
      </c>
      <c r="H767" s="213" t="s">
        <v>543</v>
      </c>
      <c r="I767" s="213"/>
      <c r="J767" s="213" t="s">
        <v>557</v>
      </c>
      <c r="K767" s="213"/>
      <c r="L767" s="213"/>
      <c r="M767" s="213"/>
      <c r="N767" s="213"/>
      <c r="O767" s="213"/>
      <c r="P767" s="213"/>
      <c r="Q767" s="213"/>
      <c r="R767" s="213"/>
      <c r="S767" s="213" t="s">
        <v>630</v>
      </c>
      <c r="T767" s="213" t="s">
        <v>683</v>
      </c>
      <c r="U767" s="213" t="s">
        <v>538</v>
      </c>
      <c r="V767" s="213">
        <v>1</v>
      </c>
      <c r="W767" s="213" t="s">
        <v>545</v>
      </c>
      <c r="X767" s="213" t="s">
        <v>540</v>
      </c>
      <c r="Y767" s="213" t="s">
        <v>575</v>
      </c>
      <c r="Z767" s="212">
        <v>2013372</v>
      </c>
      <c r="AA767" s="212">
        <v>59481486</v>
      </c>
      <c r="AB767" s="217">
        <v>3.3730999999999997E-2</v>
      </c>
      <c r="AC767" s="217">
        <v>5.4286000000000001E-2</v>
      </c>
      <c r="AD767" s="212">
        <f t="shared" si="11"/>
        <v>2006370.0042659999</v>
      </c>
    </row>
    <row r="768" spans="2:30" x14ac:dyDescent="0.15">
      <c r="B768" s="213">
        <v>17031006453</v>
      </c>
      <c r="C768" s="213">
        <v>17031001382</v>
      </c>
      <c r="D768" s="213">
        <v>17031001409</v>
      </c>
      <c r="E768" s="213" t="s">
        <v>533</v>
      </c>
      <c r="F768" s="213" t="s">
        <v>534</v>
      </c>
      <c r="G768" s="213" t="s">
        <v>365</v>
      </c>
      <c r="H768" s="213" t="s">
        <v>382</v>
      </c>
      <c r="I768" s="213"/>
      <c r="J768" s="213" t="s">
        <v>542</v>
      </c>
      <c r="K768" s="213" t="s">
        <v>551</v>
      </c>
      <c r="L768" s="213" t="s">
        <v>555</v>
      </c>
      <c r="M768" s="213" t="s">
        <v>552</v>
      </c>
      <c r="N768" s="213"/>
      <c r="O768" s="213"/>
      <c r="P768" s="213"/>
      <c r="Q768" s="213"/>
      <c r="R768" s="213"/>
      <c r="S768" s="213" t="s">
        <v>556</v>
      </c>
      <c r="T768" s="213" t="s">
        <v>697</v>
      </c>
      <c r="U768" s="213" t="s">
        <v>538</v>
      </c>
      <c r="V768" s="213">
        <v>2</v>
      </c>
      <c r="W768" s="213" t="s">
        <v>545</v>
      </c>
      <c r="X768" s="213" t="s">
        <v>554</v>
      </c>
      <c r="Y768" s="213" t="s">
        <v>580</v>
      </c>
      <c r="Z768" s="212">
        <v>517708</v>
      </c>
      <c r="AA768" s="212">
        <v>28046920</v>
      </c>
      <c r="AB768" s="217">
        <v>0.43574099999999999</v>
      </c>
      <c r="AC768" s="217">
        <v>0.70125800000000005</v>
      </c>
      <c r="AD768" s="212">
        <f t="shared" si="11"/>
        <v>12221192.96772</v>
      </c>
    </row>
    <row r="769" spans="2:30" x14ac:dyDescent="0.15">
      <c r="B769" s="213">
        <v>17031006455</v>
      </c>
      <c r="C769" s="213">
        <v>17031001423</v>
      </c>
      <c r="D769" s="213">
        <v>17031001358</v>
      </c>
      <c r="E769" s="213" t="s">
        <v>533</v>
      </c>
      <c r="F769" s="213" t="s">
        <v>534</v>
      </c>
      <c r="G769" s="213" t="s">
        <v>365</v>
      </c>
      <c r="H769" s="213" t="s">
        <v>382</v>
      </c>
      <c r="I769" s="213"/>
      <c r="J769" s="213" t="s">
        <v>542</v>
      </c>
      <c r="K769" s="213" t="s">
        <v>551</v>
      </c>
      <c r="L769" s="213" t="s">
        <v>555</v>
      </c>
      <c r="M769" s="213" t="s">
        <v>552</v>
      </c>
      <c r="N769" s="213" t="s">
        <v>535</v>
      </c>
      <c r="O769" s="213"/>
      <c r="P769" s="213"/>
      <c r="Q769" s="213"/>
      <c r="R769" s="213"/>
      <c r="S769" s="213" t="s">
        <v>556</v>
      </c>
      <c r="T769" s="213" t="s">
        <v>631</v>
      </c>
      <c r="U769" s="213" t="s">
        <v>538</v>
      </c>
      <c r="V769" s="213">
        <v>2</v>
      </c>
      <c r="W769" s="213" t="s">
        <v>545</v>
      </c>
      <c r="X769" s="213" t="s">
        <v>554</v>
      </c>
      <c r="Y769" s="213" t="s">
        <v>580</v>
      </c>
      <c r="Z769" s="212">
        <v>706508</v>
      </c>
      <c r="AA769" s="212">
        <v>30593120</v>
      </c>
      <c r="AB769" s="217">
        <v>0.40476499999999999</v>
      </c>
      <c r="AC769" s="217">
        <v>0.65140699999999996</v>
      </c>
      <c r="AD769" s="212">
        <f t="shared" si="11"/>
        <v>12383024.216799999</v>
      </c>
    </row>
    <row r="770" spans="2:30" x14ac:dyDescent="0.15">
      <c r="B770" s="213">
        <v>17031006456</v>
      </c>
      <c r="C770" s="213">
        <v>17031001033</v>
      </c>
      <c r="D770" s="213">
        <v>17031001034</v>
      </c>
      <c r="E770" s="213" t="s">
        <v>533</v>
      </c>
      <c r="F770" s="213" t="s">
        <v>534</v>
      </c>
      <c r="G770" s="213" t="s">
        <v>365</v>
      </c>
      <c r="H770" s="213" t="s">
        <v>571</v>
      </c>
      <c r="I770" s="213"/>
      <c r="J770" s="213" t="s">
        <v>542</v>
      </c>
      <c r="K770" s="213" t="s">
        <v>552</v>
      </c>
      <c r="L770" s="213" t="s">
        <v>572</v>
      </c>
      <c r="M770" s="213" t="s">
        <v>555</v>
      </c>
      <c r="N770" s="213" t="s">
        <v>543</v>
      </c>
      <c r="O770" s="213" t="s">
        <v>382</v>
      </c>
      <c r="P770" s="213"/>
      <c r="Q770" s="213"/>
      <c r="R770" s="213"/>
      <c r="S770" s="213" t="s">
        <v>573</v>
      </c>
      <c r="T770" s="213"/>
      <c r="U770" s="213" t="s">
        <v>538</v>
      </c>
      <c r="V770" s="213">
        <v>3</v>
      </c>
      <c r="W770" s="213" t="s">
        <v>545</v>
      </c>
      <c r="X770" s="213" t="s">
        <v>554</v>
      </c>
      <c r="Y770" s="213" t="s">
        <v>575</v>
      </c>
      <c r="Z770" s="212">
        <v>238361</v>
      </c>
      <c r="AA770" s="212">
        <v>7822959</v>
      </c>
      <c r="AB770" s="217">
        <v>3.4653999999999997E-2</v>
      </c>
      <c r="AC770" s="217">
        <v>5.577E-2</v>
      </c>
      <c r="AD770" s="212">
        <f t="shared" si="11"/>
        <v>271096.82118599996</v>
      </c>
    </row>
    <row r="771" spans="2:30" x14ac:dyDescent="0.15">
      <c r="B771" s="213">
        <v>17031006465</v>
      </c>
      <c r="C771" s="213">
        <v>17031000852</v>
      </c>
      <c r="D771" s="213">
        <v>17031000849</v>
      </c>
      <c r="E771" s="213" t="s">
        <v>533</v>
      </c>
      <c r="F771" s="213" t="s">
        <v>534</v>
      </c>
      <c r="G771" s="213" t="s">
        <v>365</v>
      </c>
      <c r="H771" s="213" t="s">
        <v>571</v>
      </c>
      <c r="I771" s="213"/>
      <c r="J771" s="213" t="s">
        <v>535</v>
      </c>
      <c r="K771" s="213" t="s">
        <v>543</v>
      </c>
      <c r="L771" s="213"/>
      <c r="M771" s="213"/>
      <c r="N771" s="213"/>
      <c r="O771" s="213"/>
      <c r="P771" s="213"/>
      <c r="Q771" s="213"/>
      <c r="R771" s="213"/>
      <c r="S771" s="213"/>
      <c r="T771" s="213"/>
      <c r="U771" s="213" t="s">
        <v>559</v>
      </c>
      <c r="V771" s="213">
        <v>1</v>
      </c>
      <c r="W771" s="213" t="s">
        <v>560</v>
      </c>
      <c r="X771" s="213" t="s">
        <v>541</v>
      </c>
      <c r="Y771" s="213" t="s">
        <v>541</v>
      </c>
      <c r="Z771" s="212">
        <v>70404</v>
      </c>
      <c r="AA771" s="212">
        <v>4181500</v>
      </c>
      <c r="AB771" s="217">
        <v>1.9474000000000002E-2</v>
      </c>
      <c r="AC771" s="217">
        <v>3.1341000000000001E-2</v>
      </c>
      <c r="AD771" s="212">
        <f t="shared" si="11"/>
        <v>81430.531000000003</v>
      </c>
    </row>
    <row r="772" spans="2:30" x14ac:dyDescent="0.15">
      <c r="B772" s="213">
        <v>17031006466</v>
      </c>
      <c r="C772" s="213">
        <v>17031000850</v>
      </c>
      <c r="D772" s="213">
        <v>17031000840</v>
      </c>
      <c r="E772" s="213" t="s">
        <v>533</v>
      </c>
      <c r="F772" s="213" t="s">
        <v>534</v>
      </c>
      <c r="G772" s="213" t="s">
        <v>365</v>
      </c>
      <c r="H772" s="213" t="s">
        <v>571</v>
      </c>
      <c r="I772" s="213"/>
      <c r="J772" s="213" t="s">
        <v>381</v>
      </c>
      <c r="K772" s="213" t="s">
        <v>543</v>
      </c>
      <c r="L772" s="213" t="s">
        <v>382</v>
      </c>
      <c r="M772" s="213" t="s">
        <v>535</v>
      </c>
      <c r="N772" s="213" t="s">
        <v>551</v>
      </c>
      <c r="O772" s="213"/>
      <c r="P772" s="213"/>
      <c r="Q772" s="213"/>
      <c r="R772" s="213"/>
      <c r="S772" s="213" t="s">
        <v>654</v>
      </c>
      <c r="T772" s="213"/>
      <c r="U772" s="213" t="s">
        <v>559</v>
      </c>
      <c r="V772" s="213">
        <v>1</v>
      </c>
      <c r="W772" s="213" t="s">
        <v>560</v>
      </c>
      <c r="X772" s="213" t="s">
        <v>541</v>
      </c>
      <c r="Y772" s="213" t="s">
        <v>541</v>
      </c>
      <c r="Z772" s="212">
        <v>70404</v>
      </c>
      <c r="AA772" s="212">
        <v>4181500</v>
      </c>
      <c r="AB772" s="217">
        <v>5.3379000000000003E-2</v>
      </c>
      <c r="AC772" s="217">
        <v>8.5904999999999995E-2</v>
      </c>
      <c r="AD772" s="212">
        <f t="shared" si="11"/>
        <v>223204.28850000002</v>
      </c>
    </row>
    <row r="773" spans="2:30" x14ac:dyDescent="0.15">
      <c r="B773" s="213">
        <v>17031006471</v>
      </c>
      <c r="C773" s="213">
        <v>17031004718</v>
      </c>
      <c r="D773" s="213">
        <v>17031000897</v>
      </c>
      <c r="E773" s="213" t="s">
        <v>533</v>
      </c>
      <c r="F773" s="213" t="s">
        <v>534</v>
      </c>
      <c r="G773" s="213" t="s">
        <v>365</v>
      </c>
      <c r="H773" s="213" t="s">
        <v>551</v>
      </c>
      <c r="I773" s="213"/>
      <c r="J773" s="213" t="s">
        <v>381</v>
      </c>
      <c r="K773" s="213" t="s">
        <v>535</v>
      </c>
      <c r="L773" s="213" t="s">
        <v>552</v>
      </c>
      <c r="M773" s="213" t="s">
        <v>382</v>
      </c>
      <c r="N773" s="213"/>
      <c r="O773" s="213"/>
      <c r="P773" s="213"/>
      <c r="Q773" s="213"/>
      <c r="R773" s="213"/>
      <c r="S773" s="213" t="s">
        <v>600</v>
      </c>
      <c r="T773" s="213" t="s">
        <v>633</v>
      </c>
      <c r="U773" s="213" t="s">
        <v>538</v>
      </c>
      <c r="V773" s="213">
        <v>3</v>
      </c>
      <c r="W773" s="213" t="s">
        <v>582</v>
      </c>
      <c r="X773" s="213" t="s">
        <v>540</v>
      </c>
      <c r="Y773" s="213" t="s">
        <v>549</v>
      </c>
      <c r="Z773" s="212">
        <v>174623</v>
      </c>
      <c r="AA773" s="212">
        <v>7596917</v>
      </c>
      <c r="AB773" s="217">
        <v>0.24382599999999999</v>
      </c>
      <c r="AC773" s="217">
        <v>0.392401</v>
      </c>
      <c r="AD773" s="212">
        <f t="shared" si="11"/>
        <v>1852325.884442</v>
      </c>
    </row>
    <row r="774" spans="2:30" x14ac:dyDescent="0.15">
      <c r="B774" s="213">
        <v>17031006475</v>
      </c>
      <c r="C774" s="213">
        <v>17031001053</v>
      </c>
      <c r="D774" s="213">
        <v>17031004720</v>
      </c>
      <c r="E774" s="213" t="s">
        <v>533</v>
      </c>
      <c r="F774" s="213" t="s">
        <v>534</v>
      </c>
      <c r="G774" s="213" t="s">
        <v>365</v>
      </c>
      <c r="H774" s="213" t="s">
        <v>551</v>
      </c>
      <c r="I774" s="213"/>
      <c r="J774" s="213"/>
      <c r="K774" s="213"/>
      <c r="L774" s="213"/>
      <c r="M774" s="213"/>
      <c r="N774" s="213"/>
      <c r="O774" s="213"/>
      <c r="P774" s="213"/>
      <c r="Q774" s="213"/>
      <c r="R774" s="213"/>
      <c r="S774" s="213" t="s">
        <v>600</v>
      </c>
      <c r="T774" s="213"/>
      <c r="U774" s="213" t="s">
        <v>538</v>
      </c>
      <c r="V774" s="213">
        <v>2</v>
      </c>
      <c r="W774" s="213" t="s">
        <v>582</v>
      </c>
      <c r="X774" s="213" t="s">
        <v>554</v>
      </c>
      <c r="Y774" s="213" t="s">
        <v>575</v>
      </c>
      <c r="Z774" s="212">
        <v>179731</v>
      </c>
      <c r="AA774" s="212">
        <v>7982557</v>
      </c>
      <c r="AB774" s="217">
        <v>1.1197429999999999</v>
      </c>
      <c r="AC774" s="217">
        <v>1.802055</v>
      </c>
      <c r="AD774" s="212">
        <f t="shared" ref="AD774:AD837" si="12">AA774*AB774</f>
        <v>8938412.3228510004</v>
      </c>
    </row>
    <row r="775" spans="2:30" x14ac:dyDescent="0.15">
      <c r="B775" s="213">
        <v>17031006479</v>
      </c>
      <c r="C775" s="213">
        <v>17031004744</v>
      </c>
      <c r="D775" s="213">
        <v>17031001403</v>
      </c>
      <c r="E775" s="213" t="s">
        <v>533</v>
      </c>
      <c r="F775" s="213" t="s">
        <v>534</v>
      </c>
      <c r="G775" s="213" t="s">
        <v>365</v>
      </c>
      <c r="H775" s="213" t="s">
        <v>557</v>
      </c>
      <c r="I775" s="213"/>
      <c r="J775" s="213" t="s">
        <v>552</v>
      </c>
      <c r="K775" s="213"/>
      <c r="L775" s="213"/>
      <c r="M775" s="213"/>
      <c r="N775" s="213"/>
      <c r="O775" s="213"/>
      <c r="P775" s="213"/>
      <c r="Q775" s="213"/>
      <c r="R775" s="213"/>
      <c r="S775" s="213" t="s">
        <v>567</v>
      </c>
      <c r="T775" s="213"/>
      <c r="U775" s="213" t="s">
        <v>559</v>
      </c>
      <c r="V775" s="213">
        <v>1</v>
      </c>
      <c r="W775" s="213" t="s">
        <v>560</v>
      </c>
      <c r="X775" s="213" t="s">
        <v>541</v>
      </c>
      <c r="Y775" s="213" t="s">
        <v>541</v>
      </c>
      <c r="Z775" s="212">
        <v>0</v>
      </c>
      <c r="AA775" s="212">
        <v>0</v>
      </c>
      <c r="AB775" s="217">
        <v>0.17177899999999999</v>
      </c>
      <c r="AC775" s="217">
        <v>0.27645199999999998</v>
      </c>
      <c r="AD775" s="212">
        <f t="shared" si="12"/>
        <v>0</v>
      </c>
    </row>
    <row r="776" spans="2:30" x14ac:dyDescent="0.15">
      <c r="B776" s="213">
        <v>17031006482</v>
      </c>
      <c r="C776" s="213">
        <v>17031001402</v>
      </c>
      <c r="D776" s="213">
        <v>17031004743</v>
      </c>
      <c r="E776" s="213" t="s">
        <v>533</v>
      </c>
      <c r="F776" s="213" t="s">
        <v>534</v>
      </c>
      <c r="G776" s="213" t="s">
        <v>365</v>
      </c>
      <c r="H776" s="213" t="s">
        <v>557</v>
      </c>
      <c r="I776" s="213"/>
      <c r="J776" s="213" t="s">
        <v>552</v>
      </c>
      <c r="K776" s="213"/>
      <c r="L776" s="213"/>
      <c r="M776" s="213"/>
      <c r="N776" s="213"/>
      <c r="O776" s="213"/>
      <c r="P776" s="213"/>
      <c r="Q776" s="213"/>
      <c r="R776" s="213"/>
      <c r="S776" s="213" t="s">
        <v>634</v>
      </c>
      <c r="T776" s="213"/>
      <c r="U776" s="213" t="s">
        <v>559</v>
      </c>
      <c r="V776" s="213">
        <v>1</v>
      </c>
      <c r="W776" s="213" t="s">
        <v>560</v>
      </c>
      <c r="X776" s="213" t="s">
        <v>541</v>
      </c>
      <c r="Y776" s="213" t="s">
        <v>541</v>
      </c>
      <c r="Z776" s="212">
        <v>120</v>
      </c>
      <c r="AA776" s="212">
        <v>10120</v>
      </c>
      <c r="AB776" s="217">
        <v>8.7188000000000002E-2</v>
      </c>
      <c r="AC776" s="217">
        <v>0.140315</v>
      </c>
      <c r="AD776" s="212">
        <f t="shared" si="12"/>
        <v>882.34256000000005</v>
      </c>
    </row>
    <row r="777" spans="2:30" x14ac:dyDescent="0.15">
      <c r="B777" s="213">
        <v>17031006485</v>
      </c>
      <c r="C777" s="213">
        <v>17031001367</v>
      </c>
      <c r="D777" s="213">
        <v>17031004745</v>
      </c>
      <c r="E777" s="213" t="s">
        <v>533</v>
      </c>
      <c r="F777" s="213" t="s">
        <v>534</v>
      </c>
      <c r="G777" s="213" t="s">
        <v>365</v>
      </c>
      <c r="H777" s="213" t="s">
        <v>557</v>
      </c>
      <c r="I777" s="213"/>
      <c r="J777" s="213" t="s">
        <v>569</v>
      </c>
      <c r="K777" s="213" t="s">
        <v>551</v>
      </c>
      <c r="L777" s="213" t="s">
        <v>543</v>
      </c>
      <c r="M777" s="213" t="s">
        <v>552</v>
      </c>
      <c r="N777" s="213"/>
      <c r="O777" s="213"/>
      <c r="P777" s="213"/>
      <c r="Q777" s="213"/>
      <c r="R777" s="213"/>
      <c r="S777" s="213" t="s">
        <v>570</v>
      </c>
      <c r="T777" s="213"/>
      <c r="U777" s="213" t="s">
        <v>538</v>
      </c>
      <c r="V777" s="213">
        <v>2</v>
      </c>
      <c r="W777" s="213" t="s">
        <v>545</v>
      </c>
      <c r="X777" s="213" t="s">
        <v>540</v>
      </c>
      <c r="Y777" s="213" t="s">
        <v>540</v>
      </c>
      <c r="Z777" s="212">
        <v>61452</v>
      </c>
      <c r="AA777" s="212">
        <v>5458245</v>
      </c>
      <c r="AB777" s="217">
        <v>0.54322899999999996</v>
      </c>
      <c r="AC777" s="217">
        <v>0.87424500000000005</v>
      </c>
      <c r="AD777" s="212">
        <f t="shared" si="12"/>
        <v>2965076.9731049999</v>
      </c>
    </row>
    <row r="778" spans="2:30" x14ac:dyDescent="0.15">
      <c r="B778" s="213">
        <v>17031006486</v>
      </c>
      <c r="C778" s="213">
        <v>17031004746</v>
      </c>
      <c r="D778" s="213">
        <v>17031004745</v>
      </c>
      <c r="E778" s="213" t="s">
        <v>533</v>
      </c>
      <c r="F778" s="213" t="s">
        <v>534</v>
      </c>
      <c r="G778" s="213" t="s">
        <v>365</v>
      </c>
      <c r="H778" s="213" t="s">
        <v>551</v>
      </c>
      <c r="I778" s="213"/>
      <c r="J778" s="213"/>
      <c r="K778" s="213"/>
      <c r="L778" s="213"/>
      <c r="M778" s="213"/>
      <c r="N778" s="213"/>
      <c r="O778" s="213"/>
      <c r="P778" s="213"/>
      <c r="Q778" s="213"/>
      <c r="R778" s="213"/>
      <c r="S778" s="213"/>
      <c r="T778" s="213"/>
      <c r="U778" s="213" t="s">
        <v>538</v>
      </c>
      <c r="V778" s="213">
        <v>1</v>
      </c>
      <c r="W778" s="213" t="s">
        <v>545</v>
      </c>
      <c r="X778" s="213" t="s">
        <v>540</v>
      </c>
      <c r="Y778" s="213" t="s">
        <v>541</v>
      </c>
      <c r="Z778" s="212">
        <v>23970</v>
      </c>
      <c r="AA778" s="212">
        <v>2239903</v>
      </c>
      <c r="AB778" s="217">
        <v>0.32526899999999997</v>
      </c>
      <c r="AC778" s="217">
        <v>0.52347100000000002</v>
      </c>
      <c r="AD778" s="212">
        <f t="shared" si="12"/>
        <v>728571.00890699995</v>
      </c>
    </row>
    <row r="779" spans="2:30" x14ac:dyDescent="0.15">
      <c r="B779" s="213">
        <v>17031006510</v>
      </c>
      <c r="C779" s="213">
        <v>17031001080</v>
      </c>
      <c r="D779" s="213">
        <v>17031001103</v>
      </c>
      <c r="E779" s="213" t="s">
        <v>533</v>
      </c>
      <c r="F779" s="213" t="s">
        <v>534</v>
      </c>
      <c r="G779" s="213" t="s">
        <v>365</v>
      </c>
      <c r="H779" s="213" t="s">
        <v>535</v>
      </c>
      <c r="I779" s="213"/>
      <c r="J779" s="213"/>
      <c r="K779" s="213"/>
      <c r="L779" s="213"/>
      <c r="M779" s="213"/>
      <c r="N779" s="213"/>
      <c r="O779" s="213"/>
      <c r="P779" s="213"/>
      <c r="Q779" s="213"/>
      <c r="R779" s="213"/>
      <c r="S779" s="213" t="s">
        <v>597</v>
      </c>
      <c r="T779" s="213"/>
      <c r="U779" s="213" t="s">
        <v>538</v>
      </c>
      <c r="V779" s="213">
        <v>1</v>
      </c>
      <c r="W779" s="213" t="s">
        <v>539</v>
      </c>
      <c r="X779" s="213" t="s">
        <v>541</v>
      </c>
      <c r="Y779" s="213" t="s">
        <v>541</v>
      </c>
      <c r="Z779" s="212">
        <v>240</v>
      </c>
      <c r="AA779" s="212">
        <v>21560</v>
      </c>
      <c r="AB779" s="217">
        <v>0.32413399999999998</v>
      </c>
      <c r="AC779" s="217">
        <v>0.52164500000000003</v>
      </c>
      <c r="AD779" s="212">
        <f t="shared" si="12"/>
        <v>6988.3290399999996</v>
      </c>
    </row>
    <row r="780" spans="2:30" x14ac:dyDescent="0.15">
      <c r="B780" s="213">
        <v>17031006511</v>
      </c>
      <c r="C780" s="213">
        <v>17031001103</v>
      </c>
      <c r="D780" s="213">
        <v>17031001095</v>
      </c>
      <c r="E780" s="213" t="s">
        <v>533</v>
      </c>
      <c r="F780" s="213" t="s">
        <v>534</v>
      </c>
      <c r="G780" s="213" t="s">
        <v>365</v>
      </c>
      <c r="H780" s="213" t="s">
        <v>535</v>
      </c>
      <c r="I780" s="213"/>
      <c r="J780" s="213"/>
      <c r="K780" s="213"/>
      <c r="L780" s="213"/>
      <c r="M780" s="213"/>
      <c r="N780" s="213"/>
      <c r="O780" s="213"/>
      <c r="P780" s="213"/>
      <c r="Q780" s="213"/>
      <c r="R780" s="213"/>
      <c r="S780" s="213" t="s">
        <v>597</v>
      </c>
      <c r="T780" s="213"/>
      <c r="U780" s="213" t="s">
        <v>538</v>
      </c>
      <c r="V780" s="213">
        <v>1</v>
      </c>
      <c r="W780" s="213" t="s">
        <v>539</v>
      </c>
      <c r="X780" s="213" t="s">
        <v>541</v>
      </c>
      <c r="Y780" s="213" t="s">
        <v>541</v>
      </c>
      <c r="Z780" s="212">
        <v>0</v>
      </c>
      <c r="AA780" s="212">
        <v>0</v>
      </c>
      <c r="AB780" s="217">
        <v>4.3005000000000002E-2</v>
      </c>
      <c r="AC780" s="217">
        <v>6.9209000000000007E-2</v>
      </c>
      <c r="AD780" s="212">
        <f t="shared" si="12"/>
        <v>0</v>
      </c>
    </row>
    <row r="781" spans="2:30" x14ac:dyDescent="0.15">
      <c r="B781" s="213">
        <v>17031006513</v>
      </c>
      <c r="C781" s="213">
        <v>17031001073</v>
      </c>
      <c r="D781" s="213">
        <v>17031001092</v>
      </c>
      <c r="E781" s="213" t="s">
        <v>533</v>
      </c>
      <c r="F781" s="213" t="s">
        <v>534</v>
      </c>
      <c r="G781" s="213" t="s">
        <v>365</v>
      </c>
      <c r="H781" s="213" t="s">
        <v>577</v>
      </c>
      <c r="I781" s="213"/>
      <c r="J781" s="213"/>
      <c r="K781" s="213"/>
      <c r="L781" s="213"/>
      <c r="M781" s="213"/>
      <c r="N781" s="213"/>
      <c r="O781" s="213"/>
      <c r="P781" s="213"/>
      <c r="Q781" s="213"/>
      <c r="R781" s="213"/>
      <c r="S781" s="213"/>
      <c r="T781" s="213"/>
      <c r="U781" s="213" t="s">
        <v>538</v>
      </c>
      <c r="V781" s="213">
        <v>1</v>
      </c>
      <c r="W781" s="213" t="s">
        <v>560</v>
      </c>
      <c r="X781" s="213" t="s">
        <v>541</v>
      </c>
      <c r="Y781" s="213" t="s">
        <v>541</v>
      </c>
      <c r="Z781" s="212">
        <v>0</v>
      </c>
      <c r="AA781" s="212">
        <v>0</v>
      </c>
      <c r="AB781" s="217">
        <v>1.3702000000000001E-2</v>
      </c>
      <c r="AC781" s="217">
        <v>2.2051999999999999E-2</v>
      </c>
      <c r="AD781" s="212">
        <f t="shared" si="12"/>
        <v>0</v>
      </c>
    </row>
    <row r="782" spans="2:30" x14ac:dyDescent="0.15">
      <c r="B782" s="213">
        <v>17031006517</v>
      </c>
      <c r="C782" s="213">
        <v>17031001092</v>
      </c>
      <c r="D782" s="213">
        <v>17031001091</v>
      </c>
      <c r="E782" s="213" t="s">
        <v>533</v>
      </c>
      <c r="F782" s="213" t="s">
        <v>534</v>
      </c>
      <c r="G782" s="213" t="s">
        <v>365</v>
      </c>
      <c r="H782" s="213" t="s">
        <v>577</v>
      </c>
      <c r="I782" s="213"/>
      <c r="J782" s="213"/>
      <c r="K782" s="213"/>
      <c r="L782" s="213"/>
      <c r="M782" s="213"/>
      <c r="N782" s="213"/>
      <c r="O782" s="213"/>
      <c r="P782" s="213"/>
      <c r="Q782" s="213"/>
      <c r="R782" s="213"/>
      <c r="S782" s="213"/>
      <c r="T782" s="213"/>
      <c r="U782" s="213" t="s">
        <v>538</v>
      </c>
      <c r="V782" s="213">
        <v>1</v>
      </c>
      <c r="W782" s="213" t="s">
        <v>560</v>
      </c>
      <c r="X782" s="213" t="s">
        <v>541</v>
      </c>
      <c r="Y782" s="213" t="s">
        <v>541</v>
      </c>
      <c r="Z782" s="212">
        <v>0</v>
      </c>
      <c r="AA782" s="212">
        <v>0</v>
      </c>
      <c r="AB782" s="217">
        <v>0.22804099999999999</v>
      </c>
      <c r="AC782" s="217">
        <v>0.36699599999999999</v>
      </c>
      <c r="AD782" s="212">
        <f t="shared" si="12"/>
        <v>0</v>
      </c>
    </row>
    <row r="783" spans="2:30" x14ac:dyDescent="0.15">
      <c r="B783" s="213">
        <v>17031008292</v>
      </c>
      <c r="C783" s="213">
        <v>17031006632</v>
      </c>
      <c r="D783" s="213">
        <v>17031001577</v>
      </c>
      <c r="E783" s="213" t="s">
        <v>533</v>
      </c>
      <c r="F783" s="213" t="s">
        <v>534</v>
      </c>
      <c r="G783" s="213" t="s">
        <v>365</v>
      </c>
      <c r="H783" s="213" t="s">
        <v>382</v>
      </c>
      <c r="I783" s="213"/>
      <c r="J783" s="213"/>
      <c r="K783" s="213"/>
      <c r="L783" s="213"/>
      <c r="M783" s="213"/>
      <c r="N783" s="213"/>
      <c r="O783" s="213"/>
      <c r="P783" s="213"/>
      <c r="Q783" s="213"/>
      <c r="R783" s="213"/>
      <c r="S783" s="213" t="s">
        <v>576</v>
      </c>
      <c r="T783" s="213" t="s">
        <v>599</v>
      </c>
      <c r="U783" s="213" t="s">
        <v>559</v>
      </c>
      <c r="V783" s="213">
        <v>1</v>
      </c>
      <c r="W783" s="213" t="s">
        <v>560</v>
      </c>
      <c r="X783" s="213" t="s">
        <v>541</v>
      </c>
      <c r="Y783" s="213" t="s">
        <v>541</v>
      </c>
      <c r="Z783" s="212">
        <v>0</v>
      </c>
      <c r="AA783" s="212">
        <v>0</v>
      </c>
      <c r="AB783" s="217">
        <v>2.2890000000000001E-2</v>
      </c>
      <c r="AC783" s="217">
        <v>3.6838999999999997E-2</v>
      </c>
      <c r="AD783" s="212">
        <f t="shared" si="12"/>
        <v>0</v>
      </c>
    </row>
    <row r="784" spans="2:30" x14ac:dyDescent="0.15">
      <c r="B784" s="213">
        <v>17031008361</v>
      </c>
      <c r="C784" s="213">
        <v>17031006666</v>
      </c>
      <c r="D784" s="213">
        <v>17031000539</v>
      </c>
      <c r="E784" s="213" t="s">
        <v>533</v>
      </c>
      <c r="F784" s="213" t="s">
        <v>534</v>
      </c>
      <c r="G784" s="213" t="s">
        <v>365</v>
      </c>
      <c r="H784" s="213" t="s">
        <v>382</v>
      </c>
      <c r="I784" s="213"/>
      <c r="J784" s="213"/>
      <c r="K784" s="213"/>
      <c r="L784" s="213"/>
      <c r="M784" s="213"/>
      <c r="N784" s="213"/>
      <c r="O784" s="213"/>
      <c r="P784" s="213"/>
      <c r="Q784" s="213"/>
      <c r="R784" s="213"/>
      <c r="S784" s="213"/>
      <c r="T784" s="213" t="s">
        <v>626</v>
      </c>
      <c r="U784" s="213" t="s">
        <v>559</v>
      </c>
      <c r="V784" s="213">
        <v>1</v>
      </c>
      <c r="W784" s="213" t="s">
        <v>539</v>
      </c>
      <c r="X784" s="213" t="s">
        <v>541</v>
      </c>
      <c r="Y784" s="213" t="s">
        <v>540</v>
      </c>
      <c r="Z784" s="212">
        <v>0</v>
      </c>
      <c r="AA784" s="212">
        <v>0</v>
      </c>
      <c r="AB784" s="217">
        <v>0.144181</v>
      </c>
      <c r="AC784" s="217">
        <v>0.23203699999999999</v>
      </c>
      <c r="AD784" s="212">
        <f t="shared" si="12"/>
        <v>0</v>
      </c>
    </row>
    <row r="785" spans="2:30" x14ac:dyDescent="0.15">
      <c r="B785" s="213">
        <v>17031008459</v>
      </c>
      <c r="C785" s="213">
        <v>17031006970</v>
      </c>
      <c r="D785" s="213">
        <v>17031004678</v>
      </c>
      <c r="E785" s="213" t="s">
        <v>533</v>
      </c>
      <c r="F785" s="213" t="s">
        <v>534</v>
      </c>
      <c r="G785" s="213" t="s">
        <v>365</v>
      </c>
      <c r="H785" s="213" t="s">
        <v>381</v>
      </c>
      <c r="I785" s="213"/>
      <c r="J785" s="213" t="s">
        <v>382</v>
      </c>
      <c r="K785" s="213" t="s">
        <v>535</v>
      </c>
      <c r="L785" s="213" t="s">
        <v>543</v>
      </c>
      <c r="M785" s="213"/>
      <c r="N785" s="213"/>
      <c r="O785" s="213"/>
      <c r="P785" s="213"/>
      <c r="Q785" s="213"/>
      <c r="R785" s="213"/>
      <c r="S785" s="213" t="s">
        <v>647</v>
      </c>
      <c r="T785" s="213" t="s">
        <v>668</v>
      </c>
      <c r="U785" s="213" t="s">
        <v>538</v>
      </c>
      <c r="V785" s="213">
        <v>2</v>
      </c>
      <c r="W785" s="213" t="s">
        <v>539</v>
      </c>
      <c r="X785" s="213" t="s">
        <v>541</v>
      </c>
      <c r="Y785" s="213" t="s">
        <v>580</v>
      </c>
      <c r="Z785" s="212">
        <v>70404</v>
      </c>
      <c r="AA785" s="212">
        <v>4181500</v>
      </c>
      <c r="AB785" s="217">
        <v>5.6672E-2</v>
      </c>
      <c r="AC785" s="217">
        <v>9.1205999999999995E-2</v>
      </c>
      <c r="AD785" s="212">
        <f t="shared" si="12"/>
        <v>236973.96799999999</v>
      </c>
    </row>
    <row r="786" spans="2:30" x14ac:dyDescent="0.15">
      <c r="B786" s="213">
        <v>17031008522</v>
      </c>
      <c r="C786" s="213">
        <v>17031001281</v>
      </c>
      <c r="D786" s="213">
        <v>17031007015</v>
      </c>
      <c r="E786" s="213" t="s">
        <v>533</v>
      </c>
      <c r="F786" s="213" t="s">
        <v>534</v>
      </c>
      <c r="G786" s="213" t="s">
        <v>365</v>
      </c>
      <c r="H786" s="213" t="s">
        <v>543</v>
      </c>
      <c r="I786" s="213"/>
      <c r="J786" s="213"/>
      <c r="K786" s="213"/>
      <c r="L786" s="213"/>
      <c r="M786" s="213"/>
      <c r="N786" s="213"/>
      <c r="O786" s="213"/>
      <c r="P786" s="213"/>
      <c r="Q786" s="213"/>
      <c r="R786" s="213"/>
      <c r="S786" s="213" t="s">
        <v>604</v>
      </c>
      <c r="T786" s="213" t="s">
        <v>669</v>
      </c>
      <c r="U786" s="213" t="s">
        <v>538</v>
      </c>
      <c r="V786" s="213">
        <v>2</v>
      </c>
      <c r="W786" s="213" t="s">
        <v>545</v>
      </c>
      <c r="X786" s="213" t="s">
        <v>554</v>
      </c>
      <c r="Y786" s="213" t="s">
        <v>546</v>
      </c>
      <c r="Z786" s="212">
        <v>4872</v>
      </c>
      <c r="AA786" s="212">
        <v>434024</v>
      </c>
      <c r="AB786" s="217">
        <v>5.0370999999999999E-2</v>
      </c>
      <c r="AC786" s="217">
        <v>8.1063999999999997E-2</v>
      </c>
      <c r="AD786" s="212">
        <f t="shared" si="12"/>
        <v>21862.222903999998</v>
      </c>
    </row>
    <row r="787" spans="2:30" x14ac:dyDescent="0.15">
      <c r="B787" s="213">
        <v>17031008527</v>
      </c>
      <c r="C787" s="213">
        <v>17031001289</v>
      </c>
      <c r="D787" s="213">
        <v>17031007019</v>
      </c>
      <c r="E787" s="213" t="s">
        <v>533</v>
      </c>
      <c r="F787" s="213" t="s">
        <v>534</v>
      </c>
      <c r="G787" s="213" t="s">
        <v>365</v>
      </c>
      <c r="H787" s="213" t="s">
        <v>627</v>
      </c>
      <c r="I787" s="213"/>
      <c r="J787" s="213" t="s">
        <v>572</v>
      </c>
      <c r="K787" s="213"/>
      <c r="L787" s="213"/>
      <c r="M787" s="213"/>
      <c r="N787" s="213"/>
      <c r="O787" s="213"/>
      <c r="P787" s="213"/>
      <c r="Q787" s="213"/>
      <c r="R787" s="213"/>
      <c r="S787" s="213"/>
      <c r="T787" s="213"/>
      <c r="U787" s="213" t="s">
        <v>538</v>
      </c>
      <c r="V787" s="213">
        <v>2</v>
      </c>
      <c r="W787" s="213" t="s">
        <v>545</v>
      </c>
      <c r="X787" s="213" t="s">
        <v>540</v>
      </c>
      <c r="Y787" s="213" t="s">
        <v>541</v>
      </c>
      <c r="Z787" s="212">
        <v>17180</v>
      </c>
      <c r="AA787" s="212">
        <v>1789206</v>
      </c>
      <c r="AB787" s="217">
        <v>0.30891200000000002</v>
      </c>
      <c r="AC787" s="217">
        <v>0.49714599999999998</v>
      </c>
      <c r="AD787" s="212">
        <f t="shared" si="12"/>
        <v>552707.20387199998</v>
      </c>
    </row>
    <row r="788" spans="2:30" x14ac:dyDescent="0.15">
      <c r="B788" s="213">
        <v>17031008544</v>
      </c>
      <c r="C788" s="213">
        <v>17031007030</v>
      </c>
      <c r="D788" s="213">
        <v>17031001385</v>
      </c>
      <c r="E788" s="213" t="s">
        <v>533</v>
      </c>
      <c r="F788" s="213" t="s">
        <v>534</v>
      </c>
      <c r="G788" s="213" t="s">
        <v>365</v>
      </c>
      <c r="H788" s="213" t="s">
        <v>627</v>
      </c>
      <c r="I788" s="213"/>
      <c r="J788" s="213" t="s">
        <v>572</v>
      </c>
      <c r="K788" s="213"/>
      <c r="L788" s="213"/>
      <c r="M788" s="213"/>
      <c r="N788" s="213"/>
      <c r="O788" s="213"/>
      <c r="P788" s="213"/>
      <c r="Q788" s="213"/>
      <c r="R788" s="213"/>
      <c r="S788" s="213"/>
      <c r="T788" s="213"/>
      <c r="U788" s="213" t="s">
        <v>538</v>
      </c>
      <c r="V788" s="213">
        <v>2</v>
      </c>
      <c r="W788" s="213" t="s">
        <v>545</v>
      </c>
      <c r="X788" s="213" t="s">
        <v>540</v>
      </c>
      <c r="Y788" s="213" t="s">
        <v>541</v>
      </c>
      <c r="Z788" s="212">
        <v>17180</v>
      </c>
      <c r="AA788" s="212">
        <v>1789206</v>
      </c>
      <c r="AB788" s="217">
        <v>3.2453999999999997E-2</v>
      </c>
      <c r="AC788" s="217">
        <v>5.2229999999999999E-2</v>
      </c>
      <c r="AD788" s="212">
        <f t="shared" si="12"/>
        <v>58066.891523999991</v>
      </c>
    </row>
    <row r="789" spans="2:30" x14ac:dyDescent="0.15">
      <c r="B789" s="213">
        <v>17031008546</v>
      </c>
      <c r="C789" s="213">
        <v>17031007019</v>
      </c>
      <c r="D789" s="213">
        <v>17031007031</v>
      </c>
      <c r="E789" s="213" t="s">
        <v>533</v>
      </c>
      <c r="F789" s="213" t="s">
        <v>534</v>
      </c>
      <c r="G789" s="213" t="s">
        <v>365</v>
      </c>
      <c r="H789" s="213" t="s">
        <v>627</v>
      </c>
      <c r="I789" s="213"/>
      <c r="J789" s="213" t="s">
        <v>572</v>
      </c>
      <c r="K789" s="213"/>
      <c r="L789" s="213"/>
      <c r="M789" s="213"/>
      <c r="N789" s="213"/>
      <c r="O789" s="213"/>
      <c r="P789" s="213"/>
      <c r="Q789" s="213"/>
      <c r="R789" s="213"/>
      <c r="S789" s="213"/>
      <c r="T789" s="213"/>
      <c r="U789" s="213" t="s">
        <v>538</v>
      </c>
      <c r="V789" s="213">
        <v>2</v>
      </c>
      <c r="W789" s="213" t="s">
        <v>545</v>
      </c>
      <c r="X789" s="213" t="s">
        <v>540</v>
      </c>
      <c r="Y789" s="213" t="s">
        <v>541</v>
      </c>
      <c r="Z789" s="212">
        <v>17180</v>
      </c>
      <c r="AA789" s="212">
        <v>1789206</v>
      </c>
      <c r="AB789" s="217">
        <v>0.196438</v>
      </c>
      <c r="AC789" s="217">
        <v>0.316137</v>
      </c>
      <c r="AD789" s="212">
        <f t="shared" si="12"/>
        <v>351468.048228</v>
      </c>
    </row>
    <row r="790" spans="2:30" x14ac:dyDescent="0.15">
      <c r="B790" s="213">
        <v>17031008549</v>
      </c>
      <c r="C790" s="213">
        <v>17031001336</v>
      </c>
      <c r="D790" s="213">
        <v>17031007033</v>
      </c>
      <c r="E790" s="213" t="s">
        <v>533</v>
      </c>
      <c r="F790" s="213" t="s">
        <v>534</v>
      </c>
      <c r="G790" s="213" t="s">
        <v>365</v>
      </c>
      <c r="H790" s="213" t="s">
        <v>557</v>
      </c>
      <c r="I790" s="213"/>
      <c r="J790" s="213"/>
      <c r="K790" s="213"/>
      <c r="L790" s="213"/>
      <c r="M790" s="213"/>
      <c r="N790" s="213"/>
      <c r="O790" s="213"/>
      <c r="P790" s="213"/>
      <c r="Q790" s="213"/>
      <c r="R790" s="213"/>
      <c r="S790" s="213" t="s">
        <v>567</v>
      </c>
      <c r="T790" s="213" t="s">
        <v>568</v>
      </c>
      <c r="U790" s="213" t="s">
        <v>559</v>
      </c>
      <c r="V790" s="213">
        <v>1</v>
      </c>
      <c r="W790" s="213" t="s">
        <v>560</v>
      </c>
      <c r="X790" s="213" t="s">
        <v>541</v>
      </c>
      <c r="Y790" s="213" t="s">
        <v>541</v>
      </c>
      <c r="Z790" s="212">
        <v>40</v>
      </c>
      <c r="AA790" s="212">
        <v>3520</v>
      </c>
      <c r="AB790" s="217">
        <v>4.2465999999999997E-2</v>
      </c>
      <c r="AC790" s="217">
        <v>6.8342E-2</v>
      </c>
      <c r="AD790" s="212">
        <f t="shared" si="12"/>
        <v>149.48031999999998</v>
      </c>
    </row>
    <row r="791" spans="2:30" x14ac:dyDescent="0.15">
      <c r="B791" s="213">
        <v>17031008564</v>
      </c>
      <c r="C791" s="213">
        <v>17031007042</v>
      </c>
      <c r="D791" s="213">
        <v>17031004710</v>
      </c>
      <c r="E791" s="213" t="s">
        <v>533</v>
      </c>
      <c r="F791" s="213" t="s">
        <v>534</v>
      </c>
      <c r="G791" s="213" t="s">
        <v>365</v>
      </c>
      <c r="H791" s="213" t="s">
        <v>382</v>
      </c>
      <c r="I791" s="213"/>
      <c r="J791" s="213"/>
      <c r="K791" s="213"/>
      <c r="L791" s="213"/>
      <c r="M791" s="213"/>
      <c r="N791" s="213"/>
      <c r="O791" s="213"/>
      <c r="P791" s="213"/>
      <c r="Q791" s="213"/>
      <c r="R791" s="213"/>
      <c r="S791" s="213"/>
      <c r="T791" s="213" t="s">
        <v>675</v>
      </c>
      <c r="U791" s="213" t="s">
        <v>559</v>
      </c>
      <c r="V791" s="213">
        <v>1</v>
      </c>
      <c r="W791" s="213" t="s">
        <v>560</v>
      </c>
      <c r="X791" s="213" t="s">
        <v>541</v>
      </c>
      <c r="Y791" s="213" t="s">
        <v>541</v>
      </c>
      <c r="Z791" s="212">
        <v>0</v>
      </c>
      <c r="AA791" s="212">
        <v>0</v>
      </c>
      <c r="AB791" s="217">
        <v>2.2712E-2</v>
      </c>
      <c r="AC791" s="217">
        <v>3.6551E-2</v>
      </c>
      <c r="AD791" s="212">
        <f t="shared" si="12"/>
        <v>0</v>
      </c>
    </row>
    <row r="792" spans="2:30" x14ac:dyDescent="0.15">
      <c r="B792" s="213">
        <v>17031008579</v>
      </c>
      <c r="C792" s="213">
        <v>17031004698</v>
      </c>
      <c r="D792" s="213">
        <v>17031007051</v>
      </c>
      <c r="E792" s="213" t="s">
        <v>533</v>
      </c>
      <c r="F792" s="213" t="s">
        <v>534</v>
      </c>
      <c r="G792" s="213" t="s">
        <v>365</v>
      </c>
      <c r="H792" s="213" t="s">
        <v>547</v>
      </c>
      <c r="I792" s="213"/>
      <c r="J792" s="213"/>
      <c r="K792" s="213"/>
      <c r="L792" s="213"/>
      <c r="M792" s="213"/>
      <c r="N792" s="213"/>
      <c r="O792" s="213"/>
      <c r="P792" s="213"/>
      <c r="Q792" s="213"/>
      <c r="R792" s="213"/>
      <c r="S792" s="213" t="s">
        <v>611</v>
      </c>
      <c r="T792" s="213"/>
      <c r="U792" s="213" t="s">
        <v>538</v>
      </c>
      <c r="V792" s="213">
        <v>2</v>
      </c>
      <c r="W792" s="213" t="s">
        <v>582</v>
      </c>
      <c r="X792" s="213" t="s">
        <v>540</v>
      </c>
      <c r="Y792" s="213" t="s">
        <v>541</v>
      </c>
      <c r="Z792" s="212">
        <v>0</v>
      </c>
      <c r="AA792" s="212">
        <v>0</v>
      </c>
      <c r="AB792" s="217">
        <v>0.143153</v>
      </c>
      <c r="AC792" s="217">
        <v>0.230383</v>
      </c>
      <c r="AD792" s="212">
        <f t="shared" si="12"/>
        <v>0</v>
      </c>
    </row>
    <row r="793" spans="2:30" x14ac:dyDescent="0.15">
      <c r="B793" s="213">
        <v>17031008619</v>
      </c>
      <c r="C793" s="213">
        <v>17031006704</v>
      </c>
      <c r="D793" s="213">
        <v>17031006699</v>
      </c>
      <c r="E793" s="213" t="s">
        <v>533</v>
      </c>
      <c r="F793" s="213" t="s">
        <v>534</v>
      </c>
      <c r="G793" s="213" t="s">
        <v>365</v>
      </c>
      <c r="H793" s="213" t="s">
        <v>661</v>
      </c>
      <c r="I793" s="213"/>
      <c r="J793" s="213"/>
      <c r="K793" s="213"/>
      <c r="L793" s="213"/>
      <c r="M793" s="213"/>
      <c r="N793" s="213"/>
      <c r="O793" s="213"/>
      <c r="P793" s="213"/>
      <c r="Q793" s="213"/>
      <c r="R793" s="213"/>
      <c r="S793" s="213"/>
      <c r="T793" s="213" t="s">
        <v>662</v>
      </c>
      <c r="U793" s="213" t="s">
        <v>538</v>
      </c>
      <c r="V793" s="213">
        <v>1</v>
      </c>
      <c r="W793" s="213" t="s">
        <v>560</v>
      </c>
      <c r="X793" s="213" t="s">
        <v>541</v>
      </c>
      <c r="Y793" s="213" t="s">
        <v>541</v>
      </c>
      <c r="Z793" s="212">
        <v>0</v>
      </c>
      <c r="AA793" s="212">
        <v>0</v>
      </c>
      <c r="AB793" s="217">
        <v>7.7559999999999999E-3</v>
      </c>
      <c r="AC793" s="217">
        <v>1.2482E-2</v>
      </c>
      <c r="AD793" s="212">
        <f t="shared" si="12"/>
        <v>0</v>
      </c>
    </row>
    <row r="794" spans="2:30" x14ac:dyDescent="0.15">
      <c r="B794" s="213">
        <v>17031008620</v>
      </c>
      <c r="C794" s="213">
        <v>17031006705</v>
      </c>
      <c r="D794" s="213">
        <v>17031001061</v>
      </c>
      <c r="E794" s="213" t="s">
        <v>533</v>
      </c>
      <c r="F794" s="213" t="s">
        <v>534</v>
      </c>
      <c r="G794" s="213" t="s">
        <v>365</v>
      </c>
      <c r="H794" s="213" t="s">
        <v>535</v>
      </c>
      <c r="I794" s="213"/>
      <c r="J794" s="213"/>
      <c r="K794" s="213"/>
      <c r="L794" s="213"/>
      <c r="M794" s="213"/>
      <c r="N794" s="213"/>
      <c r="O794" s="213"/>
      <c r="P794" s="213"/>
      <c r="Q794" s="213"/>
      <c r="R794" s="213"/>
      <c r="S794" s="213" t="s">
        <v>597</v>
      </c>
      <c r="T794" s="213" t="s">
        <v>598</v>
      </c>
      <c r="U794" s="213" t="s">
        <v>538</v>
      </c>
      <c r="V794" s="213">
        <v>1</v>
      </c>
      <c r="W794" s="213" t="s">
        <v>539</v>
      </c>
      <c r="X794" s="213" t="s">
        <v>541</v>
      </c>
      <c r="Y794" s="213" t="s">
        <v>541</v>
      </c>
      <c r="Z794" s="212">
        <v>0</v>
      </c>
      <c r="AA794" s="212">
        <v>0</v>
      </c>
      <c r="AB794" s="217">
        <v>5.8968E-2</v>
      </c>
      <c r="AC794" s="217">
        <v>9.4899999999999998E-2</v>
      </c>
      <c r="AD794" s="212">
        <f t="shared" si="12"/>
        <v>0</v>
      </c>
    </row>
    <row r="795" spans="2:30" x14ac:dyDescent="0.15">
      <c r="B795" s="213">
        <v>17031008720</v>
      </c>
      <c r="C795" s="213">
        <v>17031001029</v>
      </c>
      <c r="D795" s="213">
        <v>17031006777</v>
      </c>
      <c r="E795" s="213" t="s">
        <v>533</v>
      </c>
      <c r="F795" s="213" t="s">
        <v>534</v>
      </c>
      <c r="G795" s="213" t="s">
        <v>365</v>
      </c>
      <c r="H795" s="213" t="s">
        <v>571</v>
      </c>
      <c r="I795" s="213"/>
      <c r="J795" s="213" t="s">
        <v>552</v>
      </c>
      <c r="K795" s="213" t="s">
        <v>572</v>
      </c>
      <c r="L795" s="213" t="s">
        <v>551</v>
      </c>
      <c r="M795" s="213" t="s">
        <v>555</v>
      </c>
      <c r="N795" s="213" t="s">
        <v>543</v>
      </c>
      <c r="O795" s="213" t="s">
        <v>382</v>
      </c>
      <c r="P795" s="213" t="s">
        <v>535</v>
      </c>
      <c r="Q795" s="213" t="s">
        <v>381</v>
      </c>
      <c r="R795" s="213"/>
      <c r="S795" s="213" t="s">
        <v>573</v>
      </c>
      <c r="T795" s="213" t="s">
        <v>677</v>
      </c>
      <c r="U795" s="213" t="s">
        <v>538</v>
      </c>
      <c r="V795" s="213">
        <v>2</v>
      </c>
      <c r="W795" s="213" t="s">
        <v>545</v>
      </c>
      <c r="X795" s="213" t="s">
        <v>554</v>
      </c>
      <c r="Y795" s="213" t="s">
        <v>580</v>
      </c>
      <c r="Z795" s="212">
        <v>368851</v>
      </c>
      <c r="AA795" s="212">
        <v>16478945</v>
      </c>
      <c r="AB795" s="217">
        <v>0.36872700000000003</v>
      </c>
      <c r="AC795" s="217">
        <v>0.59340999999999999</v>
      </c>
      <c r="AD795" s="212">
        <f t="shared" si="12"/>
        <v>6076231.9530150006</v>
      </c>
    </row>
    <row r="796" spans="2:30" x14ac:dyDescent="0.15">
      <c r="B796" s="213">
        <v>17031008783</v>
      </c>
      <c r="C796" s="213">
        <v>17031000695</v>
      </c>
      <c r="D796" s="213">
        <v>17031006831</v>
      </c>
      <c r="E796" s="213" t="s">
        <v>533</v>
      </c>
      <c r="F796" s="213" t="s">
        <v>534</v>
      </c>
      <c r="G796" s="213" t="s">
        <v>365</v>
      </c>
      <c r="H796" s="213" t="s">
        <v>382</v>
      </c>
      <c r="I796" s="213"/>
      <c r="J796" s="213"/>
      <c r="K796" s="213"/>
      <c r="L796" s="213"/>
      <c r="M796" s="213"/>
      <c r="N796" s="213"/>
      <c r="O796" s="213"/>
      <c r="P796" s="213"/>
      <c r="Q796" s="213"/>
      <c r="R796" s="213"/>
      <c r="S796" s="213"/>
      <c r="T796" s="213" t="s">
        <v>664</v>
      </c>
      <c r="U796" s="213" t="s">
        <v>559</v>
      </c>
      <c r="V796" s="213">
        <v>1</v>
      </c>
      <c r="W796" s="213" t="s">
        <v>560</v>
      </c>
      <c r="X796" s="213" t="s">
        <v>541</v>
      </c>
      <c r="Y796" s="213" t="s">
        <v>541</v>
      </c>
      <c r="Z796" s="212">
        <v>640</v>
      </c>
      <c r="AA796" s="212">
        <v>34200</v>
      </c>
      <c r="AB796" s="217">
        <v>0.43651600000000002</v>
      </c>
      <c r="AC796" s="217">
        <v>0.70250599999999996</v>
      </c>
      <c r="AD796" s="212">
        <f t="shared" si="12"/>
        <v>14928.8472</v>
      </c>
    </row>
    <row r="797" spans="2:30" x14ac:dyDescent="0.15">
      <c r="B797" s="213">
        <v>17031009175</v>
      </c>
      <c r="C797" s="213">
        <v>17031000755</v>
      </c>
      <c r="D797" s="213">
        <v>17031007080</v>
      </c>
      <c r="E797" s="213" t="s">
        <v>533</v>
      </c>
      <c r="F797" s="213" t="s">
        <v>534</v>
      </c>
      <c r="G797" s="213" t="s">
        <v>365</v>
      </c>
      <c r="H797" s="213" t="s">
        <v>535</v>
      </c>
      <c r="I797" s="213"/>
      <c r="J797" s="213" t="s">
        <v>571</v>
      </c>
      <c r="K797" s="213"/>
      <c r="L797" s="213"/>
      <c r="M797" s="213"/>
      <c r="N797" s="213"/>
      <c r="O797" s="213"/>
      <c r="P797" s="213"/>
      <c r="Q797" s="213"/>
      <c r="R797" s="213"/>
      <c r="S797" s="213"/>
      <c r="T797" s="213"/>
      <c r="U797" s="213" t="s">
        <v>559</v>
      </c>
      <c r="V797" s="213">
        <v>1</v>
      </c>
      <c r="W797" s="213" t="s">
        <v>560</v>
      </c>
      <c r="X797" s="213" t="s">
        <v>541</v>
      </c>
      <c r="Y797" s="213" t="s">
        <v>541</v>
      </c>
      <c r="Z797" s="212">
        <v>0</v>
      </c>
      <c r="AA797" s="212">
        <v>0</v>
      </c>
      <c r="AB797" s="217">
        <v>1.7198000000000001E-2</v>
      </c>
      <c r="AC797" s="217">
        <v>2.7678000000000001E-2</v>
      </c>
      <c r="AD797" s="212">
        <f t="shared" si="12"/>
        <v>0</v>
      </c>
    </row>
    <row r="798" spans="2:30" x14ac:dyDescent="0.15">
      <c r="B798" s="213">
        <v>17031009229</v>
      </c>
      <c r="C798" s="213">
        <v>17031007116</v>
      </c>
      <c r="D798" s="213">
        <v>17031000974</v>
      </c>
      <c r="E798" s="213" t="s">
        <v>533</v>
      </c>
      <c r="F798" s="213" t="s">
        <v>534</v>
      </c>
      <c r="G798" s="213" t="s">
        <v>365</v>
      </c>
      <c r="H798" s="213" t="s">
        <v>571</v>
      </c>
      <c r="I798" s="213"/>
      <c r="J798" s="213" t="s">
        <v>381</v>
      </c>
      <c r="K798" s="213" t="s">
        <v>535</v>
      </c>
      <c r="L798" s="213" t="s">
        <v>552</v>
      </c>
      <c r="M798" s="213" t="s">
        <v>572</v>
      </c>
      <c r="N798" s="213" t="s">
        <v>551</v>
      </c>
      <c r="O798" s="213" t="s">
        <v>555</v>
      </c>
      <c r="P798" s="213" t="s">
        <v>543</v>
      </c>
      <c r="Q798" s="213" t="s">
        <v>382</v>
      </c>
      <c r="R798" s="213" t="s">
        <v>563</v>
      </c>
      <c r="S798" s="213" t="s">
        <v>605</v>
      </c>
      <c r="T798" s="213" t="s">
        <v>574</v>
      </c>
      <c r="U798" s="213" t="s">
        <v>538</v>
      </c>
      <c r="V798" s="213">
        <v>2</v>
      </c>
      <c r="W798" s="213" t="s">
        <v>545</v>
      </c>
      <c r="X798" s="213" t="s">
        <v>554</v>
      </c>
      <c r="Y798" s="213" t="s">
        <v>575</v>
      </c>
      <c r="Z798" s="212">
        <v>266267</v>
      </c>
      <c r="AA798" s="212">
        <v>14660393</v>
      </c>
      <c r="AB798" s="217">
        <v>5.7042000000000002E-2</v>
      </c>
      <c r="AC798" s="217">
        <v>9.1800000000000007E-2</v>
      </c>
      <c r="AD798" s="212">
        <f t="shared" si="12"/>
        <v>836258.137506</v>
      </c>
    </row>
    <row r="799" spans="2:30" x14ac:dyDescent="0.15">
      <c r="B799" s="213">
        <v>17031009236</v>
      </c>
      <c r="C799" s="213">
        <v>17031000996</v>
      </c>
      <c r="D799" s="213">
        <v>17031007121</v>
      </c>
      <c r="E799" s="213" t="s">
        <v>533</v>
      </c>
      <c r="F799" s="213" t="s">
        <v>534</v>
      </c>
      <c r="G799" s="213" t="s">
        <v>365</v>
      </c>
      <c r="H799" s="213" t="s">
        <v>571</v>
      </c>
      <c r="I799" s="213"/>
      <c r="J799" s="213" t="s">
        <v>381</v>
      </c>
      <c r="K799" s="213" t="s">
        <v>535</v>
      </c>
      <c r="L799" s="213" t="s">
        <v>552</v>
      </c>
      <c r="M799" s="213" t="s">
        <v>551</v>
      </c>
      <c r="N799" s="213" t="s">
        <v>382</v>
      </c>
      <c r="O799" s="213"/>
      <c r="P799" s="213"/>
      <c r="Q799" s="213"/>
      <c r="R799" s="213"/>
      <c r="S799" s="213"/>
      <c r="T799" s="213" t="s">
        <v>574</v>
      </c>
      <c r="U799" s="213" t="s">
        <v>559</v>
      </c>
      <c r="V799" s="213">
        <v>1</v>
      </c>
      <c r="W799" s="213" t="s">
        <v>560</v>
      </c>
      <c r="X799" s="213" t="s">
        <v>541</v>
      </c>
      <c r="Y799" s="213" t="s">
        <v>541</v>
      </c>
      <c r="Z799" s="212">
        <v>0</v>
      </c>
      <c r="AA799" s="212">
        <v>0</v>
      </c>
      <c r="AB799" s="217">
        <v>0.12762499999999999</v>
      </c>
      <c r="AC799" s="217">
        <v>0.20539299999999999</v>
      </c>
      <c r="AD799" s="212">
        <f t="shared" si="12"/>
        <v>0</v>
      </c>
    </row>
    <row r="800" spans="2:30" x14ac:dyDescent="0.15">
      <c r="B800" s="213">
        <v>17031009439</v>
      </c>
      <c r="C800" s="213">
        <v>17031000323</v>
      </c>
      <c r="D800" s="213">
        <v>17031007545</v>
      </c>
      <c r="E800" s="213" t="s">
        <v>533</v>
      </c>
      <c r="F800" s="213" t="s">
        <v>534</v>
      </c>
      <c r="G800" s="213" t="s">
        <v>365</v>
      </c>
      <c r="H800" s="213" t="s">
        <v>552</v>
      </c>
      <c r="I800" s="213"/>
      <c r="J800" s="213" t="s">
        <v>547</v>
      </c>
      <c r="K800" s="213"/>
      <c r="L800" s="213"/>
      <c r="M800" s="213"/>
      <c r="N800" s="213"/>
      <c r="O800" s="213"/>
      <c r="P800" s="213"/>
      <c r="Q800" s="213"/>
      <c r="R800" s="213"/>
      <c r="S800" s="213" t="s">
        <v>589</v>
      </c>
      <c r="T800" s="213"/>
      <c r="U800" s="213" t="s">
        <v>538</v>
      </c>
      <c r="V800" s="213">
        <v>2</v>
      </c>
      <c r="W800" s="213" t="s">
        <v>545</v>
      </c>
      <c r="X800" s="213" t="s">
        <v>549</v>
      </c>
      <c r="Y800" s="213" t="s">
        <v>540</v>
      </c>
      <c r="Z800" s="212">
        <v>36089</v>
      </c>
      <c r="AA800" s="212">
        <v>3395595</v>
      </c>
      <c r="AB800" s="217">
        <v>0.34744999999999998</v>
      </c>
      <c r="AC800" s="217">
        <v>0.55916699999999997</v>
      </c>
      <c r="AD800" s="212">
        <f t="shared" si="12"/>
        <v>1179799.48275</v>
      </c>
    </row>
    <row r="801" spans="2:30" x14ac:dyDescent="0.15">
      <c r="B801" s="213">
        <v>17031009443</v>
      </c>
      <c r="C801" s="213">
        <v>17031007547</v>
      </c>
      <c r="D801" s="213">
        <v>17031000359</v>
      </c>
      <c r="E801" s="213" t="s">
        <v>533</v>
      </c>
      <c r="F801" s="213" t="s">
        <v>534</v>
      </c>
      <c r="G801" s="213" t="s">
        <v>365</v>
      </c>
      <c r="H801" s="213" t="s">
        <v>552</v>
      </c>
      <c r="I801" s="213"/>
      <c r="J801" s="213" t="s">
        <v>547</v>
      </c>
      <c r="K801" s="213"/>
      <c r="L801" s="213"/>
      <c r="M801" s="213"/>
      <c r="N801" s="213"/>
      <c r="O801" s="213"/>
      <c r="P801" s="213"/>
      <c r="Q801" s="213"/>
      <c r="R801" s="213"/>
      <c r="S801" s="213" t="s">
        <v>589</v>
      </c>
      <c r="T801" s="213"/>
      <c r="U801" s="213" t="s">
        <v>538</v>
      </c>
      <c r="V801" s="213">
        <v>2</v>
      </c>
      <c r="W801" s="213" t="s">
        <v>545</v>
      </c>
      <c r="X801" s="213" t="s">
        <v>549</v>
      </c>
      <c r="Y801" s="213" t="s">
        <v>540</v>
      </c>
      <c r="Z801" s="212">
        <v>38058</v>
      </c>
      <c r="AA801" s="212">
        <v>3590544</v>
      </c>
      <c r="AB801" s="217">
        <v>0.57137800000000005</v>
      </c>
      <c r="AC801" s="217">
        <v>0.91954499999999995</v>
      </c>
      <c r="AD801" s="212">
        <f t="shared" si="12"/>
        <v>2051557.8496320001</v>
      </c>
    </row>
    <row r="802" spans="2:30" x14ac:dyDescent="0.15">
      <c r="B802" s="213">
        <v>17031009447</v>
      </c>
      <c r="C802" s="213">
        <v>17031000306</v>
      </c>
      <c r="D802" s="213">
        <v>17031007551</v>
      </c>
      <c r="E802" s="213" t="s">
        <v>533</v>
      </c>
      <c r="F802" s="213" t="s">
        <v>534</v>
      </c>
      <c r="G802" s="213" t="s">
        <v>365</v>
      </c>
      <c r="H802" s="213" t="s">
        <v>382</v>
      </c>
      <c r="I802" s="213"/>
      <c r="J802" s="213" t="s">
        <v>552</v>
      </c>
      <c r="K802" s="213"/>
      <c r="L802" s="213"/>
      <c r="M802" s="213"/>
      <c r="N802" s="213"/>
      <c r="O802" s="213"/>
      <c r="P802" s="213"/>
      <c r="Q802" s="213"/>
      <c r="R802" s="213"/>
      <c r="S802" s="213" t="s">
        <v>586</v>
      </c>
      <c r="T802" s="213"/>
      <c r="U802" s="213" t="s">
        <v>538</v>
      </c>
      <c r="V802" s="213">
        <v>2</v>
      </c>
      <c r="W802" s="213" t="s">
        <v>582</v>
      </c>
      <c r="X802" s="213" t="s">
        <v>549</v>
      </c>
      <c r="Y802" s="213" t="s">
        <v>580</v>
      </c>
      <c r="Z802" s="212">
        <v>533452</v>
      </c>
      <c r="AA802" s="212">
        <v>38090725</v>
      </c>
      <c r="AB802" s="217">
        <v>0.44416099999999997</v>
      </c>
      <c r="AC802" s="217">
        <v>0.71480999999999995</v>
      </c>
      <c r="AD802" s="212">
        <f t="shared" si="12"/>
        <v>16918414.506724998</v>
      </c>
    </row>
    <row r="803" spans="2:30" x14ac:dyDescent="0.15">
      <c r="B803" s="213">
        <v>17031009466</v>
      </c>
      <c r="C803" s="213">
        <v>17031007556</v>
      </c>
      <c r="D803" s="213">
        <v>17031007568</v>
      </c>
      <c r="E803" s="213" t="s">
        <v>533</v>
      </c>
      <c r="F803" s="213" t="s">
        <v>534</v>
      </c>
      <c r="G803" s="213" t="s">
        <v>365</v>
      </c>
      <c r="H803" s="213" t="s">
        <v>590</v>
      </c>
      <c r="I803" s="213"/>
      <c r="J803" s="213"/>
      <c r="K803" s="213"/>
      <c r="L803" s="213"/>
      <c r="M803" s="213"/>
      <c r="N803" s="213"/>
      <c r="O803" s="213"/>
      <c r="P803" s="213"/>
      <c r="Q803" s="213"/>
      <c r="R803" s="213"/>
      <c r="S803" s="213"/>
      <c r="T803" s="213"/>
      <c r="U803" s="213" t="s">
        <v>559</v>
      </c>
      <c r="V803" s="213">
        <v>1</v>
      </c>
      <c r="W803" s="213" t="s">
        <v>560</v>
      </c>
      <c r="X803" s="213" t="s">
        <v>541</v>
      </c>
      <c r="Y803" s="213" t="s">
        <v>541</v>
      </c>
      <c r="Z803" s="212">
        <v>0</v>
      </c>
      <c r="AA803" s="212">
        <v>0</v>
      </c>
      <c r="AB803" s="217">
        <v>2.3248999999999999E-2</v>
      </c>
      <c r="AC803" s="217">
        <v>3.7415999999999998E-2</v>
      </c>
      <c r="AD803" s="212">
        <f t="shared" si="12"/>
        <v>0</v>
      </c>
    </row>
    <row r="804" spans="2:30" x14ac:dyDescent="0.15">
      <c r="B804" s="213">
        <v>17031009491</v>
      </c>
      <c r="C804" s="213">
        <v>17031007589</v>
      </c>
      <c r="D804" s="213">
        <v>17031007579</v>
      </c>
      <c r="E804" s="213" t="s">
        <v>533</v>
      </c>
      <c r="F804" s="213" t="s">
        <v>534</v>
      </c>
      <c r="G804" s="213" t="s">
        <v>365</v>
      </c>
      <c r="H804" s="213" t="s">
        <v>535</v>
      </c>
      <c r="I804" s="213"/>
      <c r="J804" s="213" t="s">
        <v>547</v>
      </c>
      <c r="K804" s="213"/>
      <c r="L804" s="213"/>
      <c r="M804" s="213"/>
      <c r="N804" s="213"/>
      <c r="O804" s="213"/>
      <c r="P804" s="213"/>
      <c r="Q804" s="213"/>
      <c r="R804" s="213"/>
      <c r="S804" s="213" t="s">
        <v>548</v>
      </c>
      <c r="T804" s="213"/>
      <c r="U804" s="213" t="s">
        <v>538</v>
      </c>
      <c r="V804" s="213">
        <v>2</v>
      </c>
      <c r="W804" s="213" t="s">
        <v>545</v>
      </c>
      <c r="X804" s="213" t="s">
        <v>549</v>
      </c>
      <c r="Y804" s="213" t="s">
        <v>546</v>
      </c>
      <c r="Z804" s="212">
        <v>374329</v>
      </c>
      <c r="AA804" s="212">
        <v>22852279</v>
      </c>
      <c r="AB804" s="217">
        <v>0.40125499999999997</v>
      </c>
      <c r="AC804" s="217">
        <v>0.64575800000000005</v>
      </c>
      <c r="AD804" s="212">
        <f t="shared" si="12"/>
        <v>9169591.2101449985</v>
      </c>
    </row>
    <row r="805" spans="2:30" x14ac:dyDescent="0.15">
      <c r="B805" s="213">
        <v>17031009498</v>
      </c>
      <c r="C805" s="213">
        <v>17031007596</v>
      </c>
      <c r="D805" s="213">
        <v>17031007586</v>
      </c>
      <c r="E805" s="213" t="s">
        <v>533</v>
      </c>
      <c r="F805" s="213" t="s">
        <v>534</v>
      </c>
      <c r="G805" s="213" t="s">
        <v>365</v>
      </c>
      <c r="H805" s="213" t="s">
        <v>535</v>
      </c>
      <c r="I805" s="213"/>
      <c r="J805" s="213" t="s">
        <v>547</v>
      </c>
      <c r="K805" s="213"/>
      <c r="L805" s="213"/>
      <c r="M805" s="213"/>
      <c r="N805" s="213"/>
      <c r="O805" s="213"/>
      <c r="P805" s="213"/>
      <c r="Q805" s="213"/>
      <c r="R805" s="213"/>
      <c r="S805" s="213" t="s">
        <v>548</v>
      </c>
      <c r="T805" s="213"/>
      <c r="U805" s="213" t="s">
        <v>538</v>
      </c>
      <c r="V805" s="213">
        <v>2</v>
      </c>
      <c r="W805" s="213" t="s">
        <v>545</v>
      </c>
      <c r="X805" s="213" t="s">
        <v>549</v>
      </c>
      <c r="Y805" s="213" t="s">
        <v>546</v>
      </c>
      <c r="Z805" s="212">
        <v>374329</v>
      </c>
      <c r="AA805" s="212">
        <v>22852279</v>
      </c>
      <c r="AB805" s="217">
        <v>0.60348800000000002</v>
      </c>
      <c r="AC805" s="217">
        <v>0.971221</v>
      </c>
      <c r="AD805" s="212">
        <f t="shared" si="12"/>
        <v>13791076.149152001</v>
      </c>
    </row>
    <row r="806" spans="2:30" x14ac:dyDescent="0.15">
      <c r="B806" s="213">
        <v>17031009500</v>
      </c>
      <c r="C806" s="213">
        <v>17031004604</v>
      </c>
      <c r="D806" s="213">
        <v>17031007598</v>
      </c>
      <c r="E806" s="213" t="s">
        <v>533</v>
      </c>
      <c r="F806" s="213" t="s">
        <v>534</v>
      </c>
      <c r="G806" s="213" t="s">
        <v>365</v>
      </c>
      <c r="H806" s="213" t="s">
        <v>535</v>
      </c>
      <c r="I806" s="213"/>
      <c r="J806" s="213" t="s">
        <v>547</v>
      </c>
      <c r="K806" s="213"/>
      <c r="L806" s="213"/>
      <c r="M806" s="213"/>
      <c r="N806" s="213"/>
      <c r="O806" s="213"/>
      <c r="P806" s="213"/>
      <c r="Q806" s="213"/>
      <c r="R806" s="213"/>
      <c r="S806" s="213" t="s">
        <v>548</v>
      </c>
      <c r="T806" s="213"/>
      <c r="U806" s="213" t="s">
        <v>538</v>
      </c>
      <c r="V806" s="213">
        <v>1</v>
      </c>
      <c r="W806" s="213" t="s">
        <v>545</v>
      </c>
      <c r="X806" s="213" t="s">
        <v>549</v>
      </c>
      <c r="Y806" s="213" t="s">
        <v>546</v>
      </c>
      <c r="Z806" s="212">
        <v>374329</v>
      </c>
      <c r="AA806" s="212">
        <v>22852279</v>
      </c>
      <c r="AB806" s="217">
        <v>0.27657399999999999</v>
      </c>
      <c r="AC806" s="217">
        <v>0.44510300000000003</v>
      </c>
      <c r="AD806" s="212">
        <f t="shared" si="12"/>
        <v>6320346.212146</v>
      </c>
    </row>
    <row r="807" spans="2:30" x14ac:dyDescent="0.15">
      <c r="B807" s="213">
        <v>17031009502</v>
      </c>
      <c r="C807" s="213">
        <v>17031000402</v>
      </c>
      <c r="D807" s="213">
        <v>17031007600</v>
      </c>
      <c r="E807" s="213" t="s">
        <v>533</v>
      </c>
      <c r="F807" s="213" t="s">
        <v>534</v>
      </c>
      <c r="G807" s="213" t="s">
        <v>365</v>
      </c>
      <c r="H807" s="213" t="s">
        <v>382</v>
      </c>
      <c r="I807" s="213"/>
      <c r="J807" s="213"/>
      <c r="K807" s="213"/>
      <c r="L807" s="213"/>
      <c r="M807" s="213"/>
      <c r="N807" s="213"/>
      <c r="O807" s="213"/>
      <c r="P807" s="213"/>
      <c r="Q807" s="213"/>
      <c r="R807" s="213"/>
      <c r="S807" s="213" t="s">
        <v>616</v>
      </c>
      <c r="T807" s="213"/>
      <c r="U807" s="213" t="s">
        <v>559</v>
      </c>
      <c r="V807" s="213">
        <v>1</v>
      </c>
      <c r="W807" s="213" t="s">
        <v>560</v>
      </c>
      <c r="X807" s="213" t="s">
        <v>541</v>
      </c>
      <c r="Y807" s="213" t="s">
        <v>541</v>
      </c>
      <c r="Z807" s="212">
        <v>0</v>
      </c>
      <c r="AA807" s="212">
        <v>0</v>
      </c>
      <c r="AB807" s="217">
        <v>0.208234</v>
      </c>
      <c r="AC807" s="217">
        <v>0.33512199999999998</v>
      </c>
      <c r="AD807" s="212">
        <f t="shared" si="12"/>
        <v>0</v>
      </c>
    </row>
    <row r="808" spans="2:30" x14ac:dyDescent="0.15">
      <c r="B808" s="213">
        <v>17031009508</v>
      </c>
      <c r="C808" s="213">
        <v>17031007607</v>
      </c>
      <c r="D808" s="213">
        <v>17031000548</v>
      </c>
      <c r="E808" s="213" t="s">
        <v>533</v>
      </c>
      <c r="F808" s="213" t="s">
        <v>534</v>
      </c>
      <c r="G808" s="213" t="s">
        <v>365</v>
      </c>
      <c r="H808" s="213" t="s">
        <v>382</v>
      </c>
      <c r="I808" s="213"/>
      <c r="J808" s="213"/>
      <c r="K808" s="213"/>
      <c r="L808" s="213"/>
      <c r="M808" s="213"/>
      <c r="N808" s="213"/>
      <c r="O808" s="213"/>
      <c r="P808" s="213"/>
      <c r="Q808" s="213"/>
      <c r="R808" s="213"/>
      <c r="S808" s="213"/>
      <c r="T808" s="213"/>
      <c r="U808" s="213" t="s">
        <v>559</v>
      </c>
      <c r="V808" s="213">
        <v>1</v>
      </c>
      <c r="W808" s="213" t="s">
        <v>560</v>
      </c>
      <c r="X808" s="213" t="s">
        <v>541</v>
      </c>
      <c r="Y808" s="213" t="s">
        <v>541</v>
      </c>
      <c r="Z808" s="212">
        <v>0</v>
      </c>
      <c r="AA808" s="212">
        <v>0</v>
      </c>
      <c r="AB808" s="217">
        <v>9.7130999999999995E-2</v>
      </c>
      <c r="AC808" s="217">
        <v>0.15631800000000001</v>
      </c>
      <c r="AD808" s="212">
        <f t="shared" si="12"/>
        <v>0</v>
      </c>
    </row>
    <row r="809" spans="2:30" x14ac:dyDescent="0.15">
      <c r="B809" s="213">
        <v>17031009517</v>
      </c>
      <c r="C809" s="213">
        <v>17031007615</v>
      </c>
      <c r="D809" s="213">
        <v>17031001563</v>
      </c>
      <c r="E809" s="213" t="s">
        <v>533</v>
      </c>
      <c r="F809" s="213" t="s">
        <v>534</v>
      </c>
      <c r="G809" s="213" t="s">
        <v>365</v>
      </c>
      <c r="H809" s="213" t="s">
        <v>535</v>
      </c>
      <c r="I809" s="213"/>
      <c r="J809" s="213" t="s">
        <v>382</v>
      </c>
      <c r="K809" s="213" t="s">
        <v>536</v>
      </c>
      <c r="L809" s="213"/>
      <c r="M809" s="213"/>
      <c r="N809" s="213"/>
      <c r="O809" s="213"/>
      <c r="P809" s="213"/>
      <c r="Q809" s="213"/>
      <c r="R809" s="213"/>
      <c r="S809" s="213" t="s">
        <v>537</v>
      </c>
      <c r="T809" s="213"/>
      <c r="U809" s="213" t="s">
        <v>538</v>
      </c>
      <c r="V809" s="213">
        <v>2</v>
      </c>
      <c r="W809" s="213" t="s">
        <v>582</v>
      </c>
      <c r="X809" s="213" t="s">
        <v>549</v>
      </c>
      <c r="Y809" s="213" t="s">
        <v>540</v>
      </c>
      <c r="Z809" s="212">
        <v>10116</v>
      </c>
      <c r="AA809" s="212">
        <v>893960</v>
      </c>
      <c r="AB809" s="217">
        <v>0.15005099999999999</v>
      </c>
      <c r="AC809" s="217">
        <v>0.241484</v>
      </c>
      <c r="AD809" s="212">
        <f t="shared" si="12"/>
        <v>134139.59195999999</v>
      </c>
    </row>
    <row r="810" spans="2:30" x14ac:dyDescent="0.15">
      <c r="B810" s="213">
        <v>17031009524</v>
      </c>
      <c r="C810" s="213">
        <v>17031007625</v>
      </c>
      <c r="D810" s="213">
        <v>99999024146</v>
      </c>
      <c r="E810" s="213" t="s">
        <v>533</v>
      </c>
      <c r="F810" s="213" t="s">
        <v>534</v>
      </c>
      <c r="G810" s="213" t="s">
        <v>365</v>
      </c>
      <c r="H810" s="213" t="s">
        <v>543</v>
      </c>
      <c r="I810" s="213"/>
      <c r="J810" s="213"/>
      <c r="K810" s="213"/>
      <c r="L810" s="213"/>
      <c r="M810" s="213"/>
      <c r="N810" s="213"/>
      <c r="O810" s="213"/>
      <c r="P810" s="213"/>
      <c r="Q810" s="213"/>
      <c r="R810" s="213"/>
      <c r="S810" s="213" t="s">
        <v>670</v>
      </c>
      <c r="T810" s="213"/>
      <c r="U810" s="213" t="s">
        <v>559</v>
      </c>
      <c r="V810" s="213">
        <v>1</v>
      </c>
      <c r="W810" s="213" t="s">
        <v>560</v>
      </c>
      <c r="X810" s="213" t="s">
        <v>541</v>
      </c>
      <c r="Y810" s="213" t="s">
        <v>541</v>
      </c>
      <c r="Z810" s="212">
        <v>0</v>
      </c>
      <c r="AA810" s="212">
        <v>0</v>
      </c>
      <c r="AB810" s="217">
        <v>1.4959309999999999</v>
      </c>
      <c r="AC810" s="217">
        <v>2.4074719999999998</v>
      </c>
      <c r="AD810" s="212">
        <f t="shared" si="12"/>
        <v>0</v>
      </c>
    </row>
    <row r="811" spans="2:30" x14ac:dyDescent="0.15">
      <c r="B811" s="213">
        <v>17031009536</v>
      </c>
      <c r="C811" s="213">
        <v>17031001556</v>
      </c>
      <c r="D811" s="213">
        <v>17031007634</v>
      </c>
      <c r="E811" s="213" t="s">
        <v>533</v>
      </c>
      <c r="F811" s="213" t="s">
        <v>534</v>
      </c>
      <c r="G811" s="213" t="s">
        <v>365</v>
      </c>
      <c r="H811" s="213" t="s">
        <v>382</v>
      </c>
      <c r="I811" s="213"/>
      <c r="J811" s="213"/>
      <c r="K811" s="213"/>
      <c r="L811" s="213"/>
      <c r="M811" s="213"/>
      <c r="N811" s="213"/>
      <c r="O811" s="213"/>
      <c r="P811" s="213"/>
      <c r="Q811" s="213"/>
      <c r="R811" s="213"/>
      <c r="S811" s="213" t="s">
        <v>576</v>
      </c>
      <c r="T811" s="213"/>
      <c r="U811" s="213" t="s">
        <v>559</v>
      </c>
      <c r="V811" s="213">
        <v>1</v>
      </c>
      <c r="W811" s="213" t="s">
        <v>560</v>
      </c>
      <c r="X811" s="213" t="s">
        <v>541</v>
      </c>
      <c r="Y811" s="213" t="s">
        <v>541</v>
      </c>
      <c r="Z811" s="212">
        <v>0</v>
      </c>
      <c r="AA811" s="212">
        <v>0</v>
      </c>
      <c r="AB811" s="217">
        <v>3.2070000000000001E-2</v>
      </c>
      <c r="AC811" s="217">
        <v>5.1610999999999997E-2</v>
      </c>
      <c r="AD811" s="212">
        <f t="shared" si="12"/>
        <v>0</v>
      </c>
    </row>
    <row r="812" spans="2:30" x14ac:dyDescent="0.15">
      <c r="B812" s="213">
        <v>17031009540</v>
      </c>
      <c r="C812" s="213">
        <v>17031007634</v>
      </c>
      <c r="D812" s="213">
        <v>17031007636</v>
      </c>
      <c r="E812" s="213" t="s">
        <v>533</v>
      </c>
      <c r="F812" s="213" t="s">
        <v>534</v>
      </c>
      <c r="G812" s="213" t="s">
        <v>365</v>
      </c>
      <c r="H812" s="213" t="s">
        <v>382</v>
      </c>
      <c r="I812" s="213"/>
      <c r="J812" s="213"/>
      <c r="K812" s="213"/>
      <c r="L812" s="213"/>
      <c r="M812" s="213"/>
      <c r="N812" s="213"/>
      <c r="O812" s="213"/>
      <c r="P812" s="213"/>
      <c r="Q812" s="213"/>
      <c r="R812" s="213"/>
      <c r="S812" s="213" t="s">
        <v>576</v>
      </c>
      <c r="T812" s="213"/>
      <c r="U812" s="213" t="s">
        <v>559</v>
      </c>
      <c r="V812" s="213">
        <v>1</v>
      </c>
      <c r="W812" s="213" t="s">
        <v>560</v>
      </c>
      <c r="X812" s="213" t="s">
        <v>541</v>
      </c>
      <c r="Y812" s="213" t="s">
        <v>541</v>
      </c>
      <c r="Z812" s="212">
        <v>0</v>
      </c>
      <c r="AA812" s="212">
        <v>0</v>
      </c>
      <c r="AB812" s="217">
        <v>3.6511000000000002E-2</v>
      </c>
      <c r="AC812" s="217">
        <v>5.8758999999999999E-2</v>
      </c>
      <c r="AD812" s="212">
        <f t="shared" si="12"/>
        <v>0</v>
      </c>
    </row>
    <row r="813" spans="2:30" x14ac:dyDescent="0.15">
      <c r="B813" s="213">
        <v>17031009547</v>
      </c>
      <c r="C813" s="213">
        <v>17031007643</v>
      </c>
      <c r="D813" s="213">
        <v>17031007641</v>
      </c>
      <c r="E813" s="213" t="s">
        <v>533</v>
      </c>
      <c r="F813" s="213" t="s">
        <v>534</v>
      </c>
      <c r="G813" s="213" t="s">
        <v>365</v>
      </c>
      <c r="H813" s="213" t="s">
        <v>535</v>
      </c>
      <c r="I813" s="213"/>
      <c r="J813" s="213" t="s">
        <v>382</v>
      </c>
      <c r="K813" s="213" t="s">
        <v>536</v>
      </c>
      <c r="L813" s="213"/>
      <c r="M813" s="213"/>
      <c r="N813" s="213"/>
      <c r="O813" s="213"/>
      <c r="P813" s="213"/>
      <c r="Q813" s="213"/>
      <c r="R813" s="213"/>
      <c r="S813" s="213" t="s">
        <v>537</v>
      </c>
      <c r="T813" s="213"/>
      <c r="U813" s="213" t="s">
        <v>538</v>
      </c>
      <c r="V813" s="213">
        <v>2</v>
      </c>
      <c r="W813" s="213" t="s">
        <v>582</v>
      </c>
      <c r="X813" s="213" t="s">
        <v>549</v>
      </c>
      <c r="Y813" s="213" t="s">
        <v>540</v>
      </c>
      <c r="Z813" s="212">
        <v>1960</v>
      </c>
      <c r="AA813" s="212">
        <v>166000</v>
      </c>
      <c r="AB813" s="217">
        <v>0.18862499999999999</v>
      </c>
      <c r="AC813" s="217">
        <v>0.30356300000000003</v>
      </c>
      <c r="AD813" s="212">
        <f t="shared" si="12"/>
        <v>31311.749999999996</v>
      </c>
    </row>
    <row r="814" spans="2:30" x14ac:dyDescent="0.15">
      <c r="B814" s="213">
        <v>17031009561</v>
      </c>
      <c r="C814" s="213">
        <v>17031007656</v>
      </c>
      <c r="D814" s="213">
        <v>17031001489</v>
      </c>
      <c r="E814" s="213" t="s">
        <v>533</v>
      </c>
      <c r="F814" s="213" t="s">
        <v>534</v>
      </c>
      <c r="G814" s="213" t="s">
        <v>365</v>
      </c>
      <c r="H814" s="213" t="s">
        <v>382</v>
      </c>
      <c r="I814" s="213"/>
      <c r="J814" s="213"/>
      <c r="K814" s="213"/>
      <c r="L814" s="213"/>
      <c r="M814" s="213"/>
      <c r="N814" s="213"/>
      <c r="O814" s="213"/>
      <c r="P814" s="213"/>
      <c r="Q814" s="213"/>
      <c r="R814" s="213"/>
      <c r="S814" s="213" t="s">
        <v>576</v>
      </c>
      <c r="T814" s="213"/>
      <c r="U814" s="213" t="s">
        <v>559</v>
      </c>
      <c r="V814" s="213">
        <v>1</v>
      </c>
      <c r="W814" s="213" t="s">
        <v>560</v>
      </c>
      <c r="X814" s="213" t="s">
        <v>541</v>
      </c>
      <c r="Y814" s="213" t="s">
        <v>541</v>
      </c>
      <c r="Z814" s="212">
        <v>0</v>
      </c>
      <c r="AA814" s="212">
        <v>0</v>
      </c>
      <c r="AB814" s="217">
        <v>0.25868999999999998</v>
      </c>
      <c r="AC814" s="217">
        <v>0.41632200000000003</v>
      </c>
      <c r="AD814" s="212">
        <f t="shared" si="12"/>
        <v>0</v>
      </c>
    </row>
    <row r="815" spans="2:30" x14ac:dyDescent="0.15">
      <c r="B815" s="213">
        <v>17031009563</v>
      </c>
      <c r="C815" s="213">
        <v>17031007658</v>
      </c>
      <c r="D815" s="213">
        <v>17031007656</v>
      </c>
      <c r="E815" s="213" t="s">
        <v>533</v>
      </c>
      <c r="F815" s="213" t="s">
        <v>534</v>
      </c>
      <c r="G815" s="213" t="s">
        <v>365</v>
      </c>
      <c r="H815" s="213" t="s">
        <v>382</v>
      </c>
      <c r="I815" s="213"/>
      <c r="J815" s="213"/>
      <c r="K815" s="213"/>
      <c r="L815" s="213"/>
      <c r="M815" s="213"/>
      <c r="N815" s="213"/>
      <c r="O815" s="213"/>
      <c r="P815" s="213"/>
      <c r="Q815" s="213"/>
      <c r="R815" s="213"/>
      <c r="S815" s="213" t="s">
        <v>576</v>
      </c>
      <c r="T815" s="213"/>
      <c r="U815" s="213" t="s">
        <v>559</v>
      </c>
      <c r="V815" s="213">
        <v>1</v>
      </c>
      <c r="W815" s="213" t="s">
        <v>560</v>
      </c>
      <c r="X815" s="213" t="s">
        <v>541</v>
      </c>
      <c r="Y815" s="213" t="s">
        <v>541</v>
      </c>
      <c r="Z815" s="212">
        <v>0</v>
      </c>
      <c r="AA815" s="212">
        <v>0</v>
      </c>
      <c r="AB815" s="217">
        <v>6.1899999999999997E-2</v>
      </c>
      <c r="AC815" s="217">
        <v>9.9618999999999999E-2</v>
      </c>
      <c r="AD815" s="212">
        <f t="shared" si="12"/>
        <v>0</v>
      </c>
    </row>
    <row r="816" spans="2:30" x14ac:dyDescent="0.15">
      <c r="B816" s="213">
        <v>17031009565</v>
      </c>
      <c r="C816" s="213">
        <v>17031007660</v>
      </c>
      <c r="D816" s="213">
        <v>17031001411</v>
      </c>
      <c r="E816" s="213" t="s">
        <v>533</v>
      </c>
      <c r="F816" s="213" t="s">
        <v>534</v>
      </c>
      <c r="G816" s="213" t="s">
        <v>365</v>
      </c>
      <c r="H816" s="213" t="s">
        <v>551</v>
      </c>
      <c r="I816" s="213" t="s">
        <v>535</v>
      </c>
      <c r="J816" s="213" t="s">
        <v>381</v>
      </c>
      <c r="K816" s="213" t="s">
        <v>552</v>
      </c>
      <c r="L816" s="213"/>
      <c r="M816" s="213"/>
      <c r="N816" s="213"/>
      <c r="O816" s="213"/>
      <c r="P816" s="213"/>
      <c r="Q816" s="213"/>
      <c r="R816" s="213"/>
      <c r="S816" s="213" t="s">
        <v>628</v>
      </c>
      <c r="T816" s="213"/>
      <c r="U816" s="213" t="s">
        <v>538</v>
      </c>
      <c r="V816" s="213">
        <v>1</v>
      </c>
      <c r="W816" s="213" t="s">
        <v>539</v>
      </c>
      <c r="X816" s="213" t="s">
        <v>541</v>
      </c>
      <c r="Y816" s="213" t="s">
        <v>541</v>
      </c>
      <c r="Z816" s="212">
        <v>120</v>
      </c>
      <c r="AA816" s="212">
        <v>4800</v>
      </c>
      <c r="AB816" s="217">
        <v>0.89297599999999999</v>
      </c>
      <c r="AC816" s="217">
        <v>1.437109</v>
      </c>
      <c r="AD816" s="212">
        <f t="shared" si="12"/>
        <v>4286.2848000000004</v>
      </c>
    </row>
    <row r="817" spans="2:30" x14ac:dyDescent="0.15">
      <c r="B817" s="213">
        <v>17031009568</v>
      </c>
      <c r="C817" s="213">
        <v>17031007662</v>
      </c>
      <c r="D817" s="213">
        <v>17031001299</v>
      </c>
      <c r="E817" s="213" t="s">
        <v>533</v>
      </c>
      <c r="F817" s="213" t="s">
        <v>534</v>
      </c>
      <c r="G817" s="213" t="s">
        <v>365</v>
      </c>
      <c r="H817" s="213" t="s">
        <v>551</v>
      </c>
      <c r="I817" s="213" t="s">
        <v>535</v>
      </c>
      <c r="J817" s="213"/>
      <c r="K817" s="213"/>
      <c r="L817" s="213"/>
      <c r="M817" s="213"/>
      <c r="N817" s="213"/>
      <c r="O817" s="213"/>
      <c r="P817" s="213"/>
      <c r="Q817" s="213"/>
      <c r="R817" s="213"/>
      <c r="S817" s="213" t="s">
        <v>553</v>
      </c>
      <c r="T817" s="213"/>
      <c r="U817" s="213" t="s">
        <v>538</v>
      </c>
      <c r="V817" s="213">
        <v>2</v>
      </c>
      <c r="W817" s="213" t="s">
        <v>545</v>
      </c>
      <c r="X817" s="213" t="s">
        <v>549</v>
      </c>
      <c r="Y817" s="213" t="s">
        <v>540</v>
      </c>
      <c r="Z817" s="212">
        <v>353092</v>
      </c>
      <c r="AA817" s="212">
        <v>16479500</v>
      </c>
      <c r="AB817" s="217">
        <v>1.1107210000000001</v>
      </c>
      <c r="AC817" s="217">
        <v>1.7875350000000001</v>
      </c>
      <c r="AD817" s="212">
        <f t="shared" si="12"/>
        <v>18304126.719500002</v>
      </c>
    </row>
    <row r="818" spans="2:30" x14ac:dyDescent="0.15">
      <c r="B818" s="213">
        <v>17031009572</v>
      </c>
      <c r="C818" s="213">
        <v>17999023612</v>
      </c>
      <c r="D818" s="213">
        <v>17031007665</v>
      </c>
      <c r="E818" s="213" t="s">
        <v>533</v>
      </c>
      <c r="F818" s="213" t="s">
        <v>534</v>
      </c>
      <c r="G818" s="213" t="s">
        <v>365</v>
      </c>
      <c r="H818" s="213" t="s">
        <v>547</v>
      </c>
      <c r="I818" s="213"/>
      <c r="J818" s="213" t="s">
        <v>543</v>
      </c>
      <c r="K818" s="213"/>
      <c r="L818" s="213"/>
      <c r="M818" s="213"/>
      <c r="N818" s="213"/>
      <c r="O818" s="213"/>
      <c r="P818" s="213"/>
      <c r="Q818" s="213"/>
      <c r="R818" s="213"/>
      <c r="S818" s="213" t="s">
        <v>602</v>
      </c>
      <c r="T818" s="213"/>
      <c r="U818" s="213" t="s">
        <v>538</v>
      </c>
      <c r="V818" s="213">
        <v>1</v>
      </c>
      <c r="W818" s="213" t="s">
        <v>582</v>
      </c>
      <c r="X818" s="213" t="s">
        <v>540</v>
      </c>
      <c r="Y818" s="213" t="s">
        <v>541</v>
      </c>
      <c r="Z818" s="212">
        <v>520</v>
      </c>
      <c r="AA818" s="212">
        <v>37800</v>
      </c>
      <c r="AB818" s="217">
        <v>3.1237999999999998E-2</v>
      </c>
      <c r="AC818" s="217">
        <v>5.0272999999999998E-2</v>
      </c>
      <c r="AD818" s="212">
        <f t="shared" si="12"/>
        <v>1180.7963999999999</v>
      </c>
    </row>
    <row r="819" spans="2:30" x14ac:dyDescent="0.15">
      <c r="B819" s="213">
        <v>17031009600</v>
      </c>
      <c r="C819" s="213">
        <v>17031001236</v>
      </c>
      <c r="D819" s="213">
        <v>17031007688</v>
      </c>
      <c r="E819" s="213" t="s">
        <v>533</v>
      </c>
      <c r="F819" s="213" t="s">
        <v>534</v>
      </c>
      <c r="G819" s="213" t="s">
        <v>365</v>
      </c>
      <c r="H819" s="213" t="s">
        <v>535</v>
      </c>
      <c r="I819" s="213"/>
      <c r="J819" s="213" t="s">
        <v>542</v>
      </c>
      <c r="K819" s="213" t="s">
        <v>572</v>
      </c>
      <c r="L819" s="213" t="s">
        <v>547</v>
      </c>
      <c r="M819" s="213" t="s">
        <v>382</v>
      </c>
      <c r="N819" s="213"/>
      <c r="O819" s="213"/>
      <c r="P819" s="213"/>
      <c r="Q819" s="213"/>
      <c r="R819" s="213"/>
      <c r="S819" s="213" t="s">
        <v>601</v>
      </c>
      <c r="T819" s="213"/>
      <c r="U819" s="213" t="s">
        <v>538</v>
      </c>
      <c r="V819" s="213">
        <v>2</v>
      </c>
      <c r="W819" s="213" t="s">
        <v>545</v>
      </c>
      <c r="X819" s="213" t="s">
        <v>549</v>
      </c>
      <c r="Y819" s="213" t="s">
        <v>540</v>
      </c>
      <c r="Z819" s="212">
        <v>166265</v>
      </c>
      <c r="AA819" s="212">
        <v>7630815</v>
      </c>
      <c r="AB819" s="217">
        <v>0.65871900000000005</v>
      </c>
      <c r="AC819" s="217">
        <v>1.0601069999999999</v>
      </c>
      <c r="AD819" s="212">
        <f t="shared" si="12"/>
        <v>5026562.8259850005</v>
      </c>
    </row>
    <row r="820" spans="2:30" x14ac:dyDescent="0.15">
      <c r="B820" s="213">
        <v>17031009721</v>
      </c>
      <c r="C820" s="213">
        <v>17031001231</v>
      </c>
      <c r="D820" s="213">
        <v>17031007805</v>
      </c>
      <c r="E820" s="213" t="s">
        <v>533</v>
      </c>
      <c r="F820" s="213" t="s">
        <v>534</v>
      </c>
      <c r="G820" s="213" t="s">
        <v>365</v>
      </c>
      <c r="H820" s="213" t="s">
        <v>613</v>
      </c>
      <c r="I820" s="213"/>
      <c r="J820" s="213" t="s">
        <v>577</v>
      </c>
      <c r="K820" s="213" t="s">
        <v>572</v>
      </c>
      <c r="L820" s="213"/>
      <c r="M820" s="213"/>
      <c r="N820" s="213"/>
      <c r="O820" s="213"/>
      <c r="P820" s="213"/>
      <c r="Q820" s="213"/>
      <c r="R820" s="213"/>
      <c r="S820" s="213"/>
      <c r="T820" s="213"/>
      <c r="U820" s="213" t="s">
        <v>559</v>
      </c>
      <c r="V820" s="213">
        <v>1</v>
      </c>
      <c r="W820" s="213" t="s">
        <v>560</v>
      </c>
      <c r="X820" s="213" t="s">
        <v>541</v>
      </c>
      <c r="Y820" s="213" t="s">
        <v>541</v>
      </c>
      <c r="Z820" s="212">
        <v>0</v>
      </c>
      <c r="AA820" s="212">
        <v>0</v>
      </c>
      <c r="AB820" s="217">
        <v>0.204232</v>
      </c>
      <c r="AC820" s="217">
        <v>0.328679</v>
      </c>
      <c r="AD820" s="212">
        <f t="shared" si="12"/>
        <v>0</v>
      </c>
    </row>
    <row r="821" spans="2:30" x14ac:dyDescent="0.15">
      <c r="B821" s="213">
        <v>17031009730</v>
      </c>
      <c r="C821" s="213">
        <v>17031007805</v>
      </c>
      <c r="D821" s="213">
        <v>17031007811</v>
      </c>
      <c r="E821" s="213" t="s">
        <v>533</v>
      </c>
      <c r="F821" s="213" t="s">
        <v>534</v>
      </c>
      <c r="G821" s="213" t="s">
        <v>365</v>
      </c>
      <c r="H821" s="213" t="s">
        <v>613</v>
      </c>
      <c r="I821" s="213"/>
      <c r="J821" s="213" t="s">
        <v>577</v>
      </c>
      <c r="K821" s="213" t="s">
        <v>572</v>
      </c>
      <c r="L821" s="213"/>
      <c r="M821" s="213"/>
      <c r="N821" s="213"/>
      <c r="O821" s="213"/>
      <c r="P821" s="213"/>
      <c r="Q821" s="213"/>
      <c r="R821" s="213"/>
      <c r="S821" s="213"/>
      <c r="T821" s="213"/>
      <c r="U821" s="213" t="s">
        <v>559</v>
      </c>
      <c r="V821" s="213">
        <v>1</v>
      </c>
      <c r="W821" s="213" t="s">
        <v>560</v>
      </c>
      <c r="X821" s="213" t="s">
        <v>541</v>
      </c>
      <c r="Y821" s="213" t="s">
        <v>541</v>
      </c>
      <c r="Z821" s="212">
        <v>0</v>
      </c>
      <c r="AA821" s="212">
        <v>0</v>
      </c>
      <c r="AB821" s="217">
        <v>5.3104999999999999E-2</v>
      </c>
      <c r="AC821" s="217">
        <v>8.5463999999999998E-2</v>
      </c>
      <c r="AD821" s="212">
        <f t="shared" si="12"/>
        <v>0</v>
      </c>
    </row>
    <row r="822" spans="2:30" x14ac:dyDescent="0.15">
      <c r="B822" s="213">
        <v>17031009831</v>
      </c>
      <c r="C822" s="213">
        <v>17031007902</v>
      </c>
      <c r="D822" s="213">
        <v>17031001565</v>
      </c>
      <c r="E822" s="213" t="s">
        <v>533</v>
      </c>
      <c r="F822" s="213" t="s">
        <v>534</v>
      </c>
      <c r="G822" s="213" t="s">
        <v>365</v>
      </c>
      <c r="H822" s="213" t="s">
        <v>535</v>
      </c>
      <c r="I822" s="213"/>
      <c r="J822" s="213" t="s">
        <v>382</v>
      </c>
      <c r="K822" s="213" t="s">
        <v>536</v>
      </c>
      <c r="L822" s="213"/>
      <c r="M822" s="213"/>
      <c r="N822" s="213"/>
      <c r="O822" s="213"/>
      <c r="P822" s="213"/>
      <c r="Q822" s="213"/>
      <c r="R822" s="213"/>
      <c r="S822" s="213" t="s">
        <v>537</v>
      </c>
      <c r="T822" s="213"/>
      <c r="U822" s="213" t="s">
        <v>538</v>
      </c>
      <c r="V822" s="213">
        <v>2</v>
      </c>
      <c r="W822" s="213" t="s">
        <v>582</v>
      </c>
      <c r="X822" s="213" t="s">
        <v>549</v>
      </c>
      <c r="Y822" s="213" t="s">
        <v>540</v>
      </c>
      <c r="Z822" s="212">
        <v>7632</v>
      </c>
      <c r="AA822" s="212">
        <v>665236</v>
      </c>
      <c r="AB822" s="217">
        <v>0.32351000000000002</v>
      </c>
      <c r="AC822" s="217">
        <v>0.52063899999999996</v>
      </c>
      <c r="AD822" s="212">
        <f t="shared" si="12"/>
        <v>215210.49836000003</v>
      </c>
    </row>
    <row r="823" spans="2:30" x14ac:dyDescent="0.15">
      <c r="B823" s="213">
        <v>17031009834</v>
      </c>
      <c r="C823" s="213">
        <v>17031007900</v>
      </c>
      <c r="D823" s="213">
        <v>17031007901</v>
      </c>
      <c r="E823" s="213" t="s">
        <v>533</v>
      </c>
      <c r="F823" s="213" t="s">
        <v>534</v>
      </c>
      <c r="G823" s="213" t="s">
        <v>365</v>
      </c>
      <c r="H823" s="213" t="s">
        <v>535</v>
      </c>
      <c r="I823" s="213"/>
      <c r="J823" s="213" t="s">
        <v>382</v>
      </c>
      <c r="K823" s="213"/>
      <c r="L823" s="213"/>
      <c r="M823" s="213"/>
      <c r="N823" s="213"/>
      <c r="O823" s="213"/>
      <c r="P823" s="213"/>
      <c r="Q823" s="213"/>
      <c r="R823" s="213"/>
      <c r="S823" s="213"/>
      <c r="T823" s="213"/>
      <c r="U823" s="213" t="s">
        <v>538</v>
      </c>
      <c r="V823" s="213">
        <v>1</v>
      </c>
      <c r="W823" s="213" t="s">
        <v>560</v>
      </c>
      <c r="X823" s="213" t="s">
        <v>554</v>
      </c>
      <c r="Y823" s="213" t="s">
        <v>554</v>
      </c>
      <c r="Z823" s="212">
        <v>21470</v>
      </c>
      <c r="AA823" s="212">
        <v>2253704</v>
      </c>
      <c r="AB823" s="217">
        <v>4.1030999999999998E-2</v>
      </c>
      <c r="AC823" s="217">
        <v>6.6032999999999994E-2</v>
      </c>
      <c r="AD823" s="212">
        <f t="shared" si="12"/>
        <v>92471.728823999991</v>
      </c>
    </row>
    <row r="824" spans="2:30" x14ac:dyDescent="0.15">
      <c r="B824" s="213">
        <v>17031009835</v>
      </c>
      <c r="C824" s="213">
        <v>17031007900</v>
      </c>
      <c r="D824" s="213">
        <v>17031001565</v>
      </c>
      <c r="E824" s="213" t="s">
        <v>533</v>
      </c>
      <c r="F824" s="213" t="s">
        <v>534</v>
      </c>
      <c r="G824" s="213" t="s">
        <v>365</v>
      </c>
      <c r="H824" s="213" t="s">
        <v>535</v>
      </c>
      <c r="I824" s="213"/>
      <c r="J824" s="213" t="s">
        <v>382</v>
      </c>
      <c r="K824" s="213"/>
      <c r="L824" s="213"/>
      <c r="M824" s="213"/>
      <c r="N824" s="213"/>
      <c r="O824" s="213"/>
      <c r="P824" s="213"/>
      <c r="Q824" s="213"/>
      <c r="R824" s="213"/>
      <c r="S824" s="213"/>
      <c r="T824" s="213"/>
      <c r="U824" s="213" t="s">
        <v>538</v>
      </c>
      <c r="V824" s="213">
        <v>1</v>
      </c>
      <c r="W824" s="213" t="s">
        <v>560</v>
      </c>
      <c r="X824" s="213" t="s">
        <v>554</v>
      </c>
      <c r="Y824" s="213" t="s">
        <v>554</v>
      </c>
      <c r="Z824" s="212">
        <v>2484</v>
      </c>
      <c r="AA824" s="212">
        <v>228724</v>
      </c>
      <c r="AB824" s="217">
        <v>0.37528299999999998</v>
      </c>
      <c r="AC824" s="217">
        <v>0.60396099999999997</v>
      </c>
      <c r="AD824" s="212">
        <f t="shared" si="12"/>
        <v>85836.228891999999</v>
      </c>
    </row>
    <row r="825" spans="2:30" x14ac:dyDescent="0.15">
      <c r="B825" s="213">
        <v>17031010389</v>
      </c>
      <c r="C825" s="213">
        <v>17031000914</v>
      </c>
      <c r="D825" s="213">
        <v>17031000916</v>
      </c>
      <c r="E825" s="213" t="s">
        <v>533</v>
      </c>
      <c r="F825" s="213" t="s">
        <v>534</v>
      </c>
      <c r="G825" s="213" t="s">
        <v>365</v>
      </c>
      <c r="H825" s="213" t="s">
        <v>535</v>
      </c>
      <c r="I825" s="213"/>
      <c r="J825" s="213"/>
      <c r="K825" s="213"/>
      <c r="L825" s="213"/>
      <c r="M825" s="213"/>
      <c r="N825" s="213"/>
      <c r="O825" s="213"/>
      <c r="P825" s="213"/>
      <c r="Q825" s="213"/>
      <c r="R825" s="213"/>
      <c r="S825" s="213" t="s">
        <v>601</v>
      </c>
      <c r="T825" s="213"/>
      <c r="U825" s="213" t="s">
        <v>538</v>
      </c>
      <c r="V825" s="213">
        <v>1</v>
      </c>
      <c r="W825" s="213" t="s">
        <v>545</v>
      </c>
      <c r="X825" s="213" t="s">
        <v>540</v>
      </c>
      <c r="Y825" s="213" t="s">
        <v>554</v>
      </c>
      <c r="Z825" s="212">
        <v>2468</v>
      </c>
      <c r="AA825" s="212">
        <v>232184</v>
      </c>
      <c r="AB825" s="217">
        <v>0.16822599999999999</v>
      </c>
      <c r="AC825" s="217">
        <v>0.27073399999999997</v>
      </c>
      <c r="AD825" s="212">
        <f t="shared" si="12"/>
        <v>39059.385583999996</v>
      </c>
    </row>
    <row r="826" spans="2:30" x14ac:dyDescent="0.15">
      <c r="B826" s="213">
        <v>17043001985</v>
      </c>
      <c r="C826" s="213">
        <v>17043000579</v>
      </c>
      <c r="D826" s="213">
        <v>17043000541</v>
      </c>
      <c r="E826" s="213" t="s">
        <v>533</v>
      </c>
      <c r="F826" s="213" t="s">
        <v>534</v>
      </c>
      <c r="G826" s="213" t="s">
        <v>367</v>
      </c>
      <c r="H826" s="213" t="s">
        <v>382</v>
      </c>
      <c r="I826" s="213"/>
      <c r="J826" s="213"/>
      <c r="K826" s="213"/>
      <c r="L826" s="213"/>
      <c r="M826" s="213"/>
      <c r="N826" s="213"/>
      <c r="O826" s="213"/>
      <c r="P826" s="213"/>
      <c r="Q826" s="213"/>
      <c r="R826" s="213"/>
      <c r="S826" s="213" t="s">
        <v>653</v>
      </c>
      <c r="T826" s="213"/>
      <c r="U826" s="213" t="s">
        <v>559</v>
      </c>
      <c r="V826" s="213">
        <v>1</v>
      </c>
      <c r="W826" s="213" t="s">
        <v>560</v>
      </c>
      <c r="X826" s="213" t="s">
        <v>541</v>
      </c>
      <c r="Y826" s="213" t="s">
        <v>541</v>
      </c>
      <c r="Z826" s="212">
        <v>0</v>
      </c>
      <c r="AA826" s="212">
        <v>0</v>
      </c>
      <c r="AB826" s="217">
        <v>0.87960400000000005</v>
      </c>
      <c r="AC826" s="217">
        <v>1.4155880000000001</v>
      </c>
      <c r="AD826" s="212">
        <f t="shared" si="12"/>
        <v>0</v>
      </c>
    </row>
    <row r="827" spans="2:30" x14ac:dyDescent="0.15">
      <c r="B827" s="213">
        <v>17043001986</v>
      </c>
      <c r="C827" s="213">
        <v>17043004783</v>
      </c>
      <c r="D827" s="213">
        <v>17999020068</v>
      </c>
      <c r="E827" s="213" t="s">
        <v>533</v>
      </c>
      <c r="F827" s="213" t="s">
        <v>534</v>
      </c>
      <c r="G827" s="213" t="s">
        <v>367</v>
      </c>
      <c r="H827" s="213" t="s">
        <v>382</v>
      </c>
      <c r="I827" s="213"/>
      <c r="J827" s="213"/>
      <c r="K827" s="213"/>
      <c r="L827" s="213"/>
      <c r="M827" s="213"/>
      <c r="N827" s="213"/>
      <c r="O827" s="213"/>
      <c r="P827" s="213"/>
      <c r="Q827" s="213"/>
      <c r="R827" s="213"/>
      <c r="S827" s="213" t="s">
        <v>561</v>
      </c>
      <c r="T827" s="213"/>
      <c r="U827" s="213" t="s">
        <v>538</v>
      </c>
      <c r="V827" s="213">
        <v>1</v>
      </c>
      <c r="W827" s="213" t="s">
        <v>562</v>
      </c>
      <c r="X827" s="213" t="s">
        <v>540</v>
      </c>
      <c r="Y827" s="213" t="s">
        <v>541</v>
      </c>
      <c r="Z827" s="212">
        <v>12200</v>
      </c>
      <c r="AA827" s="212">
        <v>287800</v>
      </c>
      <c r="AB827" s="217">
        <v>1.3813420000000001</v>
      </c>
      <c r="AC827" s="217">
        <v>2.2230599999999998</v>
      </c>
      <c r="AD827" s="212">
        <f t="shared" si="12"/>
        <v>397550.22760000004</v>
      </c>
    </row>
    <row r="828" spans="2:30" x14ac:dyDescent="0.15">
      <c r="B828" s="213">
        <v>17043002069</v>
      </c>
      <c r="C828" s="213">
        <v>17043007276</v>
      </c>
      <c r="D828" s="213">
        <v>17043007283</v>
      </c>
      <c r="E828" s="213" t="s">
        <v>533</v>
      </c>
      <c r="F828" s="213" t="s">
        <v>534</v>
      </c>
      <c r="G828" s="213" t="s">
        <v>367</v>
      </c>
      <c r="H828" s="213" t="s">
        <v>535</v>
      </c>
      <c r="I828" s="213"/>
      <c r="J828" s="213" t="s">
        <v>536</v>
      </c>
      <c r="K828" s="213" t="s">
        <v>382</v>
      </c>
      <c r="L828" s="213"/>
      <c r="M828" s="213"/>
      <c r="N828" s="213"/>
      <c r="O828" s="213"/>
      <c r="P828" s="213"/>
      <c r="Q828" s="213"/>
      <c r="R828" s="213"/>
      <c r="S828" s="213" t="s">
        <v>550</v>
      </c>
      <c r="T828" s="213"/>
      <c r="U828" s="213" t="s">
        <v>538</v>
      </c>
      <c r="V828" s="213">
        <v>1</v>
      </c>
      <c r="W828" s="213" t="s">
        <v>545</v>
      </c>
      <c r="X828" s="213" t="s">
        <v>549</v>
      </c>
      <c r="Y828" s="213" t="s">
        <v>540</v>
      </c>
      <c r="Z828" s="212">
        <v>93779</v>
      </c>
      <c r="AA828" s="212">
        <v>10709215</v>
      </c>
      <c r="AB828" s="217">
        <v>1.095793</v>
      </c>
      <c r="AC828" s="217">
        <v>1.7635110000000001</v>
      </c>
      <c r="AD828" s="212">
        <f t="shared" si="12"/>
        <v>11735082.832495</v>
      </c>
    </row>
    <row r="829" spans="2:30" x14ac:dyDescent="0.15">
      <c r="B829" s="213">
        <v>17043002129</v>
      </c>
      <c r="C829" s="213">
        <v>17999021910</v>
      </c>
      <c r="D829" s="213">
        <v>17043004894</v>
      </c>
      <c r="E829" s="213" t="s">
        <v>533</v>
      </c>
      <c r="F829" s="213" t="s">
        <v>534</v>
      </c>
      <c r="G829" s="213" t="s">
        <v>367</v>
      </c>
      <c r="H829" s="213" t="s">
        <v>535</v>
      </c>
      <c r="I829" s="213"/>
      <c r="J829" s="213" t="s">
        <v>382</v>
      </c>
      <c r="K829" s="213" t="s">
        <v>536</v>
      </c>
      <c r="L829" s="213"/>
      <c r="M829" s="213"/>
      <c r="N829" s="213"/>
      <c r="O829" s="213"/>
      <c r="P829" s="213"/>
      <c r="Q829" s="213"/>
      <c r="R829" s="213"/>
      <c r="S829" s="213" t="s">
        <v>550</v>
      </c>
      <c r="T829" s="213"/>
      <c r="U829" s="213" t="s">
        <v>538</v>
      </c>
      <c r="V829" s="213">
        <v>1</v>
      </c>
      <c r="W829" s="213" t="s">
        <v>545</v>
      </c>
      <c r="X829" s="213" t="s">
        <v>549</v>
      </c>
      <c r="Y829" s="213" t="s">
        <v>540</v>
      </c>
      <c r="Z829" s="212">
        <v>80988</v>
      </c>
      <c r="AA829" s="212">
        <v>9181980</v>
      </c>
      <c r="AB829" s="217">
        <v>0.96832600000000002</v>
      </c>
      <c r="AC829" s="217">
        <v>1.5583720000000001</v>
      </c>
      <c r="AD829" s="212">
        <f t="shared" si="12"/>
        <v>8891149.9654799998</v>
      </c>
    </row>
    <row r="830" spans="2:30" x14ac:dyDescent="0.15">
      <c r="B830" s="213">
        <v>17043002227</v>
      </c>
      <c r="C830" s="213">
        <v>17043000368</v>
      </c>
      <c r="D830" s="213">
        <v>17043000362</v>
      </c>
      <c r="E830" s="213" t="s">
        <v>533</v>
      </c>
      <c r="F830" s="213" t="s">
        <v>534</v>
      </c>
      <c r="G830" s="213" t="s">
        <v>367</v>
      </c>
      <c r="H830" s="213" t="s">
        <v>552</v>
      </c>
      <c r="I830" s="213"/>
      <c r="J830" s="213" t="s">
        <v>547</v>
      </c>
      <c r="K830" s="213"/>
      <c r="L830" s="213"/>
      <c r="M830" s="213"/>
      <c r="N830" s="213"/>
      <c r="O830" s="213"/>
      <c r="P830" s="213"/>
      <c r="Q830" s="213"/>
      <c r="R830" s="213"/>
      <c r="S830" s="213" t="s">
        <v>589</v>
      </c>
      <c r="T830" s="213"/>
      <c r="U830" s="213" t="s">
        <v>538</v>
      </c>
      <c r="V830" s="213">
        <v>2</v>
      </c>
      <c r="W830" s="213" t="s">
        <v>545</v>
      </c>
      <c r="X830" s="213" t="s">
        <v>549</v>
      </c>
      <c r="Y830" s="213" t="s">
        <v>540</v>
      </c>
      <c r="Z830" s="212">
        <v>38298</v>
      </c>
      <c r="AA830" s="212">
        <v>3612264</v>
      </c>
      <c r="AB830" s="217">
        <v>1.2923709999999999</v>
      </c>
      <c r="AC830" s="217">
        <v>2.0798739999999998</v>
      </c>
      <c r="AD830" s="212">
        <f t="shared" si="12"/>
        <v>4668385.2379439995</v>
      </c>
    </row>
    <row r="831" spans="2:30" x14ac:dyDescent="0.15">
      <c r="B831" s="213">
        <v>17043002232</v>
      </c>
      <c r="C831" s="213">
        <v>17043007351</v>
      </c>
      <c r="D831" s="213">
        <v>17043000388</v>
      </c>
      <c r="E831" s="213" t="s">
        <v>533</v>
      </c>
      <c r="F831" s="213" t="s">
        <v>534</v>
      </c>
      <c r="G831" s="213" t="s">
        <v>367</v>
      </c>
      <c r="H831" s="213" t="s">
        <v>552</v>
      </c>
      <c r="I831" s="213"/>
      <c r="J831" s="213" t="s">
        <v>547</v>
      </c>
      <c r="K831" s="213"/>
      <c r="L831" s="213"/>
      <c r="M831" s="213"/>
      <c r="N831" s="213"/>
      <c r="O831" s="213"/>
      <c r="P831" s="213"/>
      <c r="Q831" s="213"/>
      <c r="R831" s="213"/>
      <c r="S831" s="213" t="s">
        <v>589</v>
      </c>
      <c r="T831" s="213"/>
      <c r="U831" s="213" t="s">
        <v>538</v>
      </c>
      <c r="V831" s="213">
        <v>2</v>
      </c>
      <c r="W831" s="213" t="s">
        <v>545</v>
      </c>
      <c r="X831" s="213" t="s">
        <v>549</v>
      </c>
      <c r="Y831" s="213" t="s">
        <v>540</v>
      </c>
      <c r="Z831" s="212">
        <v>38578</v>
      </c>
      <c r="AA831" s="212">
        <v>3630264</v>
      </c>
      <c r="AB831" s="217">
        <v>0.76895899999999995</v>
      </c>
      <c r="AC831" s="217">
        <v>1.2375229999999999</v>
      </c>
      <c r="AD831" s="212">
        <f t="shared" si="12"/>
        <v>2791524.1751759998</v>
      </c>
    </row>
    <row r="832" spans="2:30" x14ac:dyDescent="0.15">
      <c r="B832" s="213">
        <v>17043002283</v>
      </c>
      <c r="C832" s="213">
        <v>17043004776</v>
      </c>
      <c r="D832" s="213">
        <v>17043004775</v>
      </c>
      <c r="E832" s="213" t="s">
        <v>533</v>
      </c>
      <c r="F832" s="213" t="s">
        <v>534</v>
      </c>
      <c r="G832" s="213" t="s">
        <v>367</v>
      </c>
      <c r="H832" s="213" t="s">
        <v>382</v>
      </c>
      <c r="I832" s="213"/>
      <c r="J832" s="213" t="s">
        <v>547</v>
      </c>
      <c r="K832" s="213"/>
      <c r="L832" s="213"/>
      <c r="M832" s="213"/>
      <c r="N832" s="213"/>
      <c r="O832" s="213"/>
      <c r="P832" s="213"/>
      <c r="Q832" s="213"/>
      <c r="R832" s="213"/>
      <c r="S832" s="213" t="s">
        <v>583</v>
      </c>
      <c r="T832" s="213"/>
      <c r="U832" s="213" t="s">
        <v>538</v>
      </c>
      <c r="V832" s="213">
        <v>3</v>
      </c>
      <c r="W832" s="213" t="s">
        <v>588</v>
      </c>
      <c r="X832" s="213" t="s">
        <v>549</v>
      </c>
      <c r="Y832" s="213" t="s">
        <v>575</v>
      </c>
      <c r="Z832" s="212">
        <v>1774964</v>
      </c>
      <c r="AA832" s="212">
        <v>63888874</v>
      </c>
      <c r="AB832" s="217">
        <v>1.8898429999999999</v>
      </c>
      <c r="AC832" s="217">
        <v>3.0414140000000001</v>
      </c>
      <c r="AD832" s="212">
        <f t="shared" si="12"/>
        <v>120739941.30678199</v>
      </c>
    </row>
    <row r="833" spans="2:30" x14ac:dyDescent="0.15">
      <c r="B833" s="213">
        <v>17043002334</v>
      </c>
      <c r="C833" s="213">
        <v>17043004636</v>
      </c>
      <c r="D833" s="213">
        <v>17043004635</v>
      </c>
      <c r="E833" s="213" t="s">
        <v>533</v>
      </c>
      <c r="F833" s="213" t="s">
        <v>534</v>
      </c>
      <c r="G833" s="213" t="s">
        <v>367</v>
      </c>
      <c r="H833" s="213" t="s">
        <v>552</v>
      </c>
      <c r="I833" s="213"/>
      <c r="J833" s="213" t="s">
        <v>547</v>
      </c>
      <c r="K833" s="213"/>
      <c r="L833" s="213"/>
      <c r="M833" s="213"/>
      <c r="N833" s="213"/>
      <c r="O833" s="213"/>
      <c r="P833" s="213"/>
      <c r="Q833" s="213"/>
      <c r="R833" s="213"/>
      <c r="S833" s="213" t="s">
        <v>589</v>
      </c>
      <c r="T833" s="213"/>
      <c r="U833" s="213" t="s">
        <v>538</v>
      </c>
      <c r="V833" s="213">
        <v>2</v>
      </c>
      <c r="W833" s="213" t="s">
        <v>545</v>
      </c>
      <c r="X833" s="213" t="s">
        <v>549</v>
      </c>
      <c r="Y833" s="213" t="s">
        <v>540</v>
      </c>
      <c r="Z833" s="212">
        <v>38578</v>
      </c>
      <c r="AA833" s="212">
        <v>3630264</v>
      </c>
      <c r="AB833" s="217">
        <v>0.22481499999999999</v>
      </c>
      <c r="AC833" s="217">
        <v>0.36180499999999999</v>
      </c>
      <c r="AD833" s="212">
        <f t="shared" si="12"/>
        <v>816137.80115999992</v>
      </c>
    </row>
    <row r="834" spans="2:30" x14ac:dyDescent="0.15">
      <c r="B834" s="213">
        <v>17043002347</v>
      </c>
      <c r="C834" s="213">
        <v>17043000522</v>
      </c>
      <c r="D834" s="213">
        <v>17999020579</v>
      </c>
      <c r="E834" s="213" t="s">
        <v>533</v>
      </c>
      <c r="F834" s="213" t="s">
        <v>534</v>
      </c>
      <c r="G834" s="213" t="s">
        <v>367</v>
      </c>
      <c r="H834" s="213" t="s">
        <v>382</v>
      </c>
      <c r="I834" s="213"/>
      <c r="J834" s="213"/>
      <c r="K834" s="213"/>
      <c r="L834" s="213"/>
      <c r="M834" s="213"/>
      <c r="N834" s="213"/>
      <c r="O834" s="213"/>
      <c r="P834" s="213"/>
      <c r="Q834" s="213"/>
      <c r="R834" s="213"/>
      <c r="S834" s="213" t="s">
        <v>586</v>
      </c>
      <c r="T834" s="213"/>
      <c r="U834" s="213" t="s">
        <v>538</v>
      </c>
      <c r="V834" s="213">
        <v>2</v>
      </c>
      <c r="W834" s="213" t="s">
        <v>582</v>
      </c>
      <c r="X834" s="213" t="s">
        <v>554</v>
      </c>
      <c r="Y834" s="213" t="s">
        <v>540</v>
      </c>
      <c r="Z834" s="212">
        <v>93614</v>
      </c>
      <c r="AA834" s="212">
        <v>10001490</v>
      </c>
      <c r="AB834" s="217">
        <v>0.254359</v>
      </c>
      <c r="AC834" s="217">
        <v>0.40935199999999999</v>
      </c>
      <c r="AD834" s="212">
        <f t="shared" si="12"/>
        <v>2543968.9949099999</v>
      </c>
    </row>
    <row r="835" spans="2:30" x14ac:dyDescent="0.15">
      <c r="B835" s="213">
        <v>17043002348</v>
      </c>
      <c r="C835" s="213">
        <v>17999020593</v>
      </c>
      <c r="D835" s="213">
        <v>17043000522</v>
      </c>
      <c r="E835" s="213" t="s">
        <v>533</v>
      </c>
      <c r="F835" s="213" t="s">
        <v>534</v>
      </c>
      <c r="G835" s="213" t="s">
        <v>367</v>
      </c>
      <c r="H835" s="213" t="s">
        <v>382</v>
      </c>
      <c r="I835" s="213"/>
      <c r="J835" s="213" t="s">
        <v>547</v>
      </c>
      <c r="K835" s="213"/>
      <c r="L835" s="213"/>
      <c r="M835" s="213"/>
      <c r="N835" s="213"/>
      <c r="O835" s="213"/>
      <c r="P835" s="213"/>
      <c r="Q835" s="213"/>
      <c r="R835" s="213"/>
      <c r="S835" s="213" t="s">
        <v>583</v>
      </c>
      <c r="T835" s="213" t="s">
        <v>626</v>
      </c>
      <c r="U835" s="213" t="s">
        <v>538</v>
      </c>
      <c r="V835" s="213">
        <v>3</v>
      </c>
      <c r="W835" s="213" t="s">
        <v>545</v>
      </c>
      <c r="X835" s="213" t="s">
        <v>549</v>
      </c>
      <c r="Y835" s="213" t="s">
        <v>580</v>
      </c>
      <c r="Z835" s="212">
        <v>1359430</v>
      </c>
      <c r="AA835" s="212">
        <v>50225344</v>
      </c>
      <c r="AB835" s="217">
        <v>0.235288</v>
      </c>
      <c r="AC835" s="217">
        <v>0.37866</v>
      </c>
      <c r="AD835" s="212">
        <f t="shared" si="12"/>
        <v>11817420.739072001</v>
      </c>
    </row>
    <row r="836" spans="2:30" x14ac:dyDescent="0.15">
      <c r="B836" s="213">
        <v>17043002350</v>
      </c>
      <c r="C836" s="213">
        <v>17043000552</v>
      </c>
      <c r="D836" s="213">
        <v>17043004776</v>
      </c>
      <c r="E836" s="213" t="s">
        <v>533</v>
      </c>
      <c r="F836" s="213" t="s">
        <v>534</v>
      </c>
      <c r="G836" s="213" t="s">
        <v>367</v>
      </c>
      <c r="H836" s="213" t="s">
        <v>382</v>
      </c>
      <c r="I836" s="213"/>
      <c r="J836" s="213" t="s">
        <v>547</v>
      </c>
      <c r="K836" s="213"/>
      <c r="L836" s="213"/>
      <c r="M836" s="213"/>
      <c r="N836" s="213"/>
      <c r="O836" s="213"/>
      <c r="P836" s="213"/>
      <c r="Q836" s="213"/>
      <c r="R836" s="213"/>
      <c r="S836" s="213" t="s">
        <v>583</v>
      </c>
      <c r="T836" s="213"/>
      <c r="U836" s="213" t="s">
        <v>538</v>
      </c>
      <c r="V836" s="213">
        <v>3</v>
      </c>
      <c r="W836" s="213" t="s">
        <v>588</v>
      </c>
      <c r="X836" s="213" t="s">
        <v>549</v>
      </c>
      <c r="Y836" s="213" t="s">
        <v>575</v>
      </c>
      <c r="Z836" s="212">
        <v>1774964</v>
      </c>
      <c r="AA836" s="212">
        <v>63888874</v>
      </c>
      <c r="AB836" s="217">
        <v>2.2358799999999999</v>
      </c>
      <c r="AC836" s="217">
        <v>3.5983070000000001</v>
      </c>
      <c r="AD836" s="212">
        <f t="shared" si="12"/>
        <v>142847855.59911999</v>
      </c>
    </row>
    <row r="837" spans="2:30" x14ac:dyDescent="0.15">
      <c r="B837" s="213">
        <v>17043002377</v>
      </c>
      <c r="C837" s="213">
        <v>17043004884</v>
      </c>
      <c r="D837" s="213">
        <v>17043004883</v>
      </c>
      <c r="E837" s="213" t="s">
        <v>533</v>
      </c>
      <c r="F837" s="213" t="s">
        <v>534</v>
      </c>
      <c r="G837" s="213" t="s">
        <v>367</v>
      </c>
      <c r="H837" s="213" t="s">
        <v>381</v>
      </c>
      <c r="I837" s="213"/>
      <c r="J837" s="213" t="s">
        <v>542</v>
      </c>
      <c r="K837" s="213" t="s">
        <v>547</v>
      </c>
      <c r="L837" s="213" t="s">
        <v>382</v>
      </c>
      <c r="M837" s="213"/>
      <c r="N837" s="213"/>
      <c r="O837" s="213"/>
      <c r="P837" s="213"/>
      <c r="Q837" s="213"/>
      <c r="R837" s="213"/>
      <c r="S837" s="213" t="s">
        <v>579</v>
      </c>
      <c r="T837" s="213"/>
      <c r="U837" s="213" t="s">
        <v>538</v>
      </c>
      <c r="V837" s="213">
        <v>3</v>
      </c>
      <c r="W837" s="213" t="s">
        <v>545</v>
      </c>
      <c r="X837" s="213" t="s">
        <v>549</v>
      </c>
      <c r="Y837" s="213" t="s">
        <v>580</v>
      </c>
      <c r="Z837" s="212">
        <v>1206807</v>
      </c>
      <c r="AA837" s="212">
        <v>52650967</v>
      </c>
      <c r="AB837" s="217">
        <v>0.52571400000000001</v>
      </c>
      <c r="AC837" s="217">
        <v>0.84605699999999995</v>
      </c>
      <c r="AD837" s="212">
        <f t="shared" si="12"/>
        <v>27679350.465438001</v>
      </c>
    </row>
    <row r="838" spans="2:30" x14ac:dyDescent="0.15">
      <c r="B838" s="213">
        <v>17043002379</v>
      </c>
      <c r="C838" s="213">
        <v>17043004885</v>
      </c>
      <c r="D838" s="213">
        <v>17043000858</v>
      </c>
      <c r="E838" s="213" t="s">
        <v>533</v>
      </c>
      <c r="F838" s="213" t="s">
        <v>534</v>
      </c>
      <c r="G838" s="213" t="s">
        <v>367</v>
      </c>
      <c r="H838" s="213" t="s">
        <v>381</v>
      </c>
      <c r="I838" s="213"/>
      <c r="J838" s="213" t="s">
        <v>542</v>
      </c>
      <c r="K838" s="213" t="s">
        <v>547</v>
      </c>
      <c r="L838" s="213" t="s">
        <v>382</v>
      </c>
      <c r="M838" s="213"/>
      <c r="N838" s="213"/>
      <c r="O838" s="213"/>
      <c r="P838" s="213"/>
      <c r="Q838" s="213"/>
      <c r="R838" s="213"/>
      <c r="S838" s="213" t="s">
        <v>579</v>
      </c>
      <c r="T838" s="213"/>
      <c r="U838" s="213" t="s">
        <v>538</v>
      </c>
      <c r="V838" s="213">
        <v>3</v>
      </c>
      <c r="W838" s="213" t="s">
        <v>545</v>
      </c>
      <c r="X838" s="213" t="s">
        <v>549</v>
      </c>
      <c r="Y838" s="213" t="s">
        <v>580</v>
      </c>
      <c r="Z838" s="212">
        <v>1206807</v>
      </c>
      <c r="AA838" s="212">
        <v>52650967</v>
      </c>
      <c r="AB838" s="217">
        <v>0.48378300000000002</v>
      </c>
      <c r="AC838" s="217">
        <v>0.77857500000000002</v>
      </c>
      <c r="AD838" s="212">
        <f t="shared" ref="AD838:AD901" si="13">AA838*AB838</f>
        <v>25471642.768161003</v>
      </c>
    </row>
    <row r="839" spans="2:30" x14ac:dyDescent="0.15">
      <c r="B839" s="213">
        <v>17043002380</v>
      </c>
      <c r="C839" s="213">
        <v>17043000870</v>
      </c>
      <c r="D839" s="213">
        <v>17043004885</v>
      </c>
      <c r="E839" s="213" t="s">
        <v>533</v>
      </c>
      <c r="F839" s="213" t="s">
        <v>534</v>
      </c>
      <c r="G839" s="213" t="s">
        <v>367</v>
      </c>
      <c r="H839" s="213" t="s">
        <v>381</v>
      </c>
      <c r="I839" s="213"/>
      <c r="J839" s="213" t="s">
        <v>542</v>
      </c>
      <c r="K839" s="213" t="s">
        <v>547</v>
      </c>
      <c r="L839" s="213" t="s">
        <v>382</v>
      </c>
      <c r="M839" s="213"/>
      <c r="N839" s="213"/>
      <c r="O839" s="213"/>
      <c r="P839" s="213"/>
      <c r="Q839" s="213"/>
      <c r="R839" s="213"/>
      <c r="S839" s="213" t="s">
        <v>579</v>
      </c>
      <c r="T839" s="213"/>
      <c r="U839" s="213" t="s">
        <v>538</v>
      </c>
      <c r="V839" s="213">
        <v>3</v>
      </c>
      <c r="W839" s="213" t="s">
        <v>545</v>
      </c>
      <c r="X839" s="213" t="s">
        <v>549</v>
      </c>
      <c r="Y839" s="213" t="s">
        <v>580</v>
      </c>
      <c r="Z839" s="212">
        <v>1206807</v>
      </c>
      <c r="AA839" s="212">
        <v>52650967</v>
      </c>
      <c r="AB839" s="217">
        <v>1.148428</v>
      </c>
      <c r="AC839" s="217">
        <v>1.84822</v>
      </c>
      <c r="AD839" s="212">
        <f t="shared" si="13"/>
        <v>60465844.729875997</v>
      </c>
    </row>
    <row r="840" spans="2:30" x14ac:dyDescent="0.15">
      <c r="B840" s="213">
        <v>17043002382</v>
      </c>
      <c r="C840" s="213">
        <v>17043004886</v>
      </c>
      <c r="D840" s="213">
        <v>17043000872</v>
      </c>
      <c r="E840" s="213" t="s">
        <v>533</v>
      </c>
      <c r="F840" s="213" t="s">
        <v>534</v>
      </c>
      <c r="G840" s="213" t="s">
        <v>367</v>
      </c>
      <c r="H840" s="213" t="s">
        <v>381</v>
      </c>
      <c r="I840" s="213"/>
      <c r="J840" s="213" t="s">
        <v>542</v>
      </c>
      <c r="K840" s="213" t="s">
        <v>547</v>
      </c>
      <c r="L840" s="213" t="s">
        <v>382</v>
      </c>
      <c r="M840" s="213"/>
      <c r="N840" s="213"/>
      <c r="O840" s="213"/>
      <c r="P840" s="213"/>
      <c r="Q840" s="213"/>
      <c r="R840" s="213"/>
      <c r="S840" s="213" t="s">
        <v>579</v>
      </c>
      <c r="T840" s="213"/>
      <c r="U840" s="213" t="s">
        <v>538</v>
      </c>
      <c r="V840" s="213">
        <v>3</v>
      </c>
      <c r="W840" s="213" t="s">
        <v>545</v>
      </c>
      <c r="X840" s="213" t="s">
        <v>549</v>
      </c>
      <c r="Y840" s="213" t="s">
        <v>580</v>
      </c>
      <c r="Z840" s="212">
        <v>1206807</v>
      </c>
      <c r="AA840" s="212">
        <v>52650967</v>
      </c>
      <c r="AB840" s="217">
        <v>0.81995899999999999</v>
      </c>
      <c r="AC840" s="217">
        <v>1.319599</v>
      </c>
      <c r="AD840" s="212">
        <f t="shared" si="13"/>
        <v>43171634.250353001</v>
      </c>
    </row>
    <row r="841" spans="2:30" x14ac:dyDescent="0.15">
      <c r="B841" s="213">
        <v>17043002395</v>
      </c>
      <c r="C841" s="213">
        <v>17043004781</v>
      </c>
      <c r="D841" s="213">
        <v>17043004765</v>
      </c>
      <c r="E841" s="213" t="s">
        <v>533</v>
      </c>
      <c r="F841" s="213" t="s">
        <v>534</v>
      </c>
      <c r="G841" s="213" t="s">
        <v>367</v>
      </c>
      <c r="H841" s="213" t="s">
        <v>382</v>
      </c>
      <c r="I841" s="213"/>
      <c r="J841" s="213"/>
      <c r="K841" s="213"/>
      <c r="L841" s="213"/>
      <c r="M841" s="213"/>
      <c r="N841" s="213"/>
      <c r="O841" s="213"/>
      <c r="P841" s="213"/>
      <c r="Q841" s="213"/>
      <c r="R841" s="213"/>
      <c r="S841" s="213" t="s">
        <v>561</v>
      </c>
      <c r="T841" s="213"/>
      <c r="U841" s="213" t="s">
        <v>538</v>
      </c>
      <c r="V841" s="213">
        <v>1</v>
      </c>
      <c r="W841" s="213" t="s">
        <v>562</v>
      </c>
      <c r="X841" s="213" t="s">
        <v>540</v>
      </c>
      <c r="Y841" s="213" t="s">
        <v>541</v>
      </c>
      <c r="Z841" s="212">
        <v>12200</v>
      </c>
      <c r="AA841" s="212">
        <v>287800</v>
      </c>
      <c r="AB841" s="217">
        <v>0.66666499999999995</v>
      </c>
      <c r="AC841" s="217">
        <v>1.0728960000000001</v>
      </c>
      <c r="AD841" s="212">
        <f t="shared" si="13"/>
        <v>191866.18699999998</v>
      </c>
    </row>
    <row r="842" spans="2:30" x14ac:dyDescent="0.15">
      <c r="B842" s="213">
        <v>17043002396</v>
      </c>
      <c r="C842" s="213">
        <v>17043000594</v>
      </c>
      <c r="D842" s="213">
        <v>17043000591</v>
      </c>
      <c r="E842" s="213" t="s">
        <v>533</v>
      </c>
      <c r="F842" s="213" t="s">
        <v>534</v>
      </c>
      <c r="G842" s="213" t="s">
        <v>367</v>
      </c>
      <c r="H842" s="213" t="s">
        <v>382</v>
      </c>
      <c r="I842" s="213"/>
      <c r="J842" s="213" t="s">
        <v>547</v>
      </c>
      <c r="K842" s="213"/>
      <c r="L842" s="213"/>
      <c r="M842" s="213"/>
      <c r="N842" s="213"/>
      <c r="O842" s="213"/>
      <c r="P842" s="213"/>
      <c r="Q842" s="213"/>
      <c r="R842" s="213"/>
      <c r="S842" s="213" t="s">
        <v>583</v>
      </c>
      <c r="T842" s="213"/>
      <c r="U842" s="213" t="s">
        <v>538</v>
      </c>
      <c r="V842" s="213">
        <v>3</v>
      </c>
      <c r="W842" s="213" t="s">
        <v>545</v>
      </c>
      <c r="X842" s="213" t="s">
        <v>554</v>
      </c>
      <c r="Y842" s="213" t="s">
        <v>575</v>
      </c>
      <c r="Z842" s="212">
        <v>1774964</v>
      </c>
      <c r="AA842" s="212">
        <v>63888874</v>
      </c>
      <c r="AB842" s="217">
        <v>0.30977700000000002</v>
      </c>
      <c r="AC842" s="217">
        <v>0.49853900000000001</v>
      </c>
      <c r="AD842" s="212">
        <f t="shared" si="13"/>
        <v>19791303.721098002</v>
      </c>
    </row>
    <row r="843" spans="2:30" x14ac:dyDescent="0.15">
      <c r="B843" s="213">
        <v>17043002398</v>
      </c>
      <c r="C843" s="213">
        <v>17043000612</v>
      </c>
      <c r="D843" s="213">
        <v>17043004778</v>
      </c>
      <c r="E843" s="213" t="s">
        <v>533</v>
      </c>
      <c r="F843" s="213" t="s">
        <v>534</v>
      </c>
      <c r="G843" s="213" t="s">
        <v>367</v>
      </c>
      <c r="H843" s="213" t="s">
        <v>382</v>
      </c>
      <c r="I843" s="213"/>
      <c r="J843" s="213" t="s">
        <v>547</v>
      </c>
      <c r="K843" s="213"/>
      <c r="L843" s="213"/>
      <c r="M843" s="213"/>
      <c r="N843" s="213"/>
      <c r="O843" s="213"/>
      <c r="P843" s="213"/>
      <c r="Q843" s="213"/>
      <c r="R843" s="213"/>
      <c r="S843" s="213" t="s">
        <v>583</v>
      </c>
      <c r="T843" s="213"/>
      <c r="U843" s="213" t="s">
        <v>538</v>
      </c>
      <c r="V843" s="213">
        <v>3</v>
      </c>
      <c r="W843" s="213" t="s">
        <v>588</v>
      </c>
      <c r="X843" s="213" t="s">
        <v>549</v>
      </c>
      <c r="Y843" s="213" t="s">
        <v>575</v>
      </c>
      <c r="Z843" s="212">
        <v>1774964</v>
      </c>
      <c r="AA843" s="212">
        <v>63888874</v>
      </c>
      <c r="AB843" s="217">
        <v>1.9153480000000001</v>
      </c>
      <c r="AC843" s="217">
        <v>3.0824600000000002</v>
      </c>
      <c r="AD843" s="212">
        <f t="shared" si="13"/>
        <v>122369427.03815201</v>
      </c>
    </row>
    <row r="844" spans="2:30" x14ac:dyDescent="0.15">
      <c r="B844" s="213">
        <v>17043002403</v>
      </c>
      <c r="C844" s="213">
        <v>17043000376</v>
      </c>
      <c r="D844" s="213">
        <v>17043000380</v>
      </c>
      <c r="E844" s="213" t="s">
        <v>533</v>
      </c>
      <c r="F844" s="213" t="s">
        <v>534</v>
      </c>
      <c r="G844" s="213" t="s">
        <v>367</v>
      </c>
      <c r="H844" s="213" t="s">
        <v>638</v>
      </c>
      <c r="I844" s="213"/>
      <c r="J844" s="213"/>
      <c r="K844" s="213"/>
      <c r="L844" s="213"/>
      <c r="M844" s="213"/>
      <c r="N844" s="213"/>
      <c r="O844" s="213"/>
      <c r="P844" s="213"/>
      <c r="Q844" s="213"/>
      <c r="R844" s="213"/>
      <c r="S844" s="213"/>
      <c r="T844" s="213"/>
      <c r="U844" s="213" t="s">
        <v>559</v>
      </c>
      <c r="V844" s="213">
        <v>1</v>
      </c>
      <c r="W844" s="213" t="s">
        <v>560</v>
      </c>
      <c r="X844" s="213" t="s">
        <v>541</v>
      </c>
      <c r="Y844" s="213" t="s">
        <v>541</v>
      </c>
      <c r="Z844" s="212">
        <v>0</v>
      </c>
      <c r="AA844" s="212">
        <v>0</v>
      </c>
      <c r="AB844" s="217">
        <v>1.499852</v>
      </c>
      <c r="AC844" s="217">
        <v>2.4137819999999999</v>
      </c>
      <c r="AD844" s="212">
        <f t="shared" si="13"/>
        <v>0</v>
      </c>
    </row>
    <row r="845" spans="2:30" x14ac:dyDescent="0.15">
      <c r="B845" s="213">
        <v>17043002406</v>
      </c>
      <c r="C845" s="213">
        <v>17043004777</v>
      </c>
      <c r="D845" s="213">
        <v>17043000605</v>
      </c>
      <c r="E845" s="213" t="s">
        <v>533</v>
      </c>
      <c r="F845" s="213" t="s">
        <v>534</v>
      </c>
      <c r="G845" s="213" t="s">
        <v>367</v>
      </c>
      <c r="H845" s="213" t="s">
        <v>382</v>
      </c>
      <c r="I845" s="213"/>
      <c r="J845" s="213" t="s">
        <v>547</v>
      </c>
      <c r="K845" s="213"/>
      <c r="L845" s="213"/>
      <c r="M845" s="213"/>
      <c r="N845" s="213"/>
      <c r="O845" s="213"/>
      <c r="P845" s="213"/>
      <c r="Q845" s="213"/>
      <c r="R845" s="213"/>
      <c r="S845" s="213" t="s">
        <v>583</v>
      </c>
      <c r="T845" s="213"/>
      <c r="U845" s="213" t="s">
        <v>538</v>
      </c>
      <c r="V845" s="213">
        <v>3</v>
      </c>
      <c r="W845" s="213" t="s">
        <v>588</v>
      </c>
      <c r="X845" s="213" t="s">
        <v>549</v>
      </c>
      <c r="Y845" s="213" t="s">
        <v>575</v>
      </c>
      <c r="Z845" s="212">
        <v>1774964</v>
      </c>
      <c r="AA845" s="212">
        <v>63888874</v>
      </c>
      <c r="AB845" s="217">
        <v>1.5429189999999999</v>
      </c>
      <c r="AC845" s="217">
        <v>2.4830920000000001</v>
      </c>
      <c r="AD845" s="212">
        <f t="shared" si="13"/>
        <v>98575357.583205998</v>
      </c>
    </row>
    <row r="846" spans="2:30" x14ac:dyDescent="0.15">
      <c r="B846" s="213">
        <v>17043002407</v>
      </c>
      <c r="C846" s="213">
        <v>17043000635</v>
      </c>
      <c r="D846" s="213">
        <v>17043004777</v>
      </c>
      <c r="E846" s="213" t="s">
        <v>533</v>
      </c>
      <c r="F846" s="213" t="s">
        <v>534</v>
      </c>
      <c r="G846" s="213" t="s">
        <v>367</v>
      </c>
      <c r="H846" s="213" t="s">
        <v>382</v>
      </c>
      <c r="I846" s="213"/>
      <c r="J846" s="213" t="s">
        <v>547</v>
      </c>
      <c r="K846" s="213"/>
      <c r="L846" s="213"/>
      <c r="M846" s="213"/>
      <c r="N846" s="213"/>
      <c r="O846" s="213"/>
      <c r="P846" s="213"/>
      <c r="Q846" s="213"/>
      <c r="R846" s="213"/>
      <c r="S846" s="213" t="s">
        <v>583</v>
      </c>
      <c r="T846" s="213"/>
      <c r="U846" s="213" t="s">
        <v>538</v>
      </c>
      <c r="V846" s="213">
        <v>3</v>
      </c>
      <c r="W846" s="213" t="s">
        <v>588</v>
      </c>
      <c r="X846" s="213" t="s">
        <v>549</v>
      </c>
      <c r="Y846" s="213" t="s">
        <v>575</v>
      </c>
      <c r="Z846" s="212">
        <v>1774964</v>
      </c>
      <c r="AA846" s="212">
        <v>63888874</v>
      </c>
      <c r="AB846" s="217">
        <v>1.1608540000000001</v>
      </c>
      <c r="AC846" s="217">
        <v>1.868217</v>
      </c>
      <c r="AD846" s="212">
        <f t="shared" si="13"/>
        <v>74165654.938396007</v>
      </c>
    </row>
    <row r="847" spans="2:30" x14ac:dyDescent="0.15">
      <c r="B847" s="213">
        <v>17043002542</v>
      </c>
      <c r="C847" s="213">
        <v>17043004896</v>
      </c>
      <c r="D847" s="213">
        <v>17043000391</v>
      </c>
      <c r="E847" s="213" t="s">
        <v>533</v>
      </c>
      <c r="F847" s="213" t="s">
        <v>534</v>
      </c>
      <c r="G847" s="213" t="s">
        <v>367</v>
      </c>
      <c r="H847" s="213" t="s">
        <v>535</v>
      </c>
      <c r="I847" s="213"/>
      <c r="J847" s="213" t="s">
        <v>536</v>
      </c>
      <c r="K847" s="213" t="s">
        <v>382</v>
      </c>
      <c r="L847" s="213"/>
      <c r="M847" s="213"/>
      <c r="N847" s="213"/>
      <c r="O847" s="213"/>
      <c r="P847" s="213"/>
      <c r="Q847" s="213"/>
      <c r="R847" s="213"/>
      <c r="S847" s="213" t="s">
        <v>550</v>
      </c>
      <c r="T847" s="213"/>
      <c r="U847" s="213" t="s">
        <v>538</v>
      </c>
      <c r="V847" s="213">
        <v>1</v>
      </c>
      <c r="W847" s="213" t="s">
        <v>545</v>
      </c>
      <c r="X847" s="213" t="s">
        <v>549</v>
      </c>
      <c r="Y847" s="213" t="s">
        <v>540</v>
      </c>
      <c r="Z847" s="212">
        <v>43627</v>
      </c>
      <c r="AA847" s="212">
        <v>4713541</v>
      </c>
      <c r="AB847" s="217">
        <v>2.6141670000000001</v>
      </c>
      <c r="AC847" s="217">
        <v>4.2071019999999999</v>
      </c>
      <c r="AD847" s="212">
        <f t="shared" si="13"/>
        <v>12321983.335347001</v>
      </c>
    </row>
    <row r="848" spans="2:30" x14ac:dyDescent="0.15">
      <c r="B848" s="213">
        <v>17043002574</v>
      </c>
      <c r="C848" s="213">
        <v>17999020738</v>
      </c>
      <c r="D848" s="213">
        <v>17043000595</v>
      </c>
      <c r="E848" s="213" t="s">
        <v>533</v>
      </c>
      <c r="F848" s="213" t="s">
        <v>534</v>
      </c>
      <c r="G848" s="213" t="s">
        <v>367</v>
      </c>
      <c r="H848" s="213" t="s">
        <v>382</v>
      </c>
      <c r="I848" s="213"/>
      <c r="J848" s="213" t="s">
        <v>547</v>
      </c>
      <c r="K848" s="213"/>
      <c r="L848" s="213"/>
      <c r="M848" s="213"/>
      <c r="N848" s="213"/>
      <c r="O848" s="213"/>
      <c r="P848" s="213"/>
      <c r="Q848" s="213"/>
      <c r="R848" s="213"/>
      <c r="S848" s="213" t="s">
        <v>583</v>
      </c>
      <c r="T848" s="213"/>
      <c r="U848" s="213" t="s">
        <v>538</v>
      </c>
      <c r="V848" s="213">
        <v>3</v>
      </c>
      <c r="W848" s="213" t="s">
        <v>588</v>
      </c>
      <c r="X848" s="213" t="s">
        <v>549</v>
      </c>
      <c r="Y848" s="213" t="s">
        <v>575</v>
      </c>
      <c r="Z848" s="212">
        <v>1876588</v>
      </c>
      <c r="AA848" s="212">
        <v>76118122</v>
      </c>
      <c r="AB848" s="217">
        <v>0.922265</v>
      </c>
      <c r="AC848" s="217">
        <v>1.484245</v>
      </c>
      <c r="AD848" s="212">
        <f t="shared" si="13"/>
        <v>70201079.78633</v>
      </c>
    </row>
    <row r="849" spans="2:30" x14ac:dyDescent="0.15">
      <c r="B849" s="213">
        <v>17043002581</v>
      </c>
      <c r="C849" s="213">
        <v>17043000394</v>
      </c>
      <c r="D849" s="213">
        <v>17999020037</v>
      </c>
      <c r="E849" s="213" t="s">
        <v>533</v>
      </c>
      <c r="F849" s="213" t="s">
        <v>534</v>
      </c>
      <c r="G849" s="213" t="s">
        <v>367</v>
      </c>
      <c r="H849" s="213" t="s">
        <v>535</v>
      </c>
      <c r="I849" s="213"/>
      <c r="J849" s="213"/>
      <c r="K849" s="213"/>
      <c r="L849" s="213"/>
      <c r="M849" s="213"/>
      <c r="N849" s="213"/>
      <c r="O849" s="213"/>
      <c r="P849" s="213"/>
      <c r="Q849" s="213"/>
      <c r="R849" s="213"/>
      <c r="S849" s="213" t="s">
        <v>624</v>
      </c>
      <c r="T849" s="213"/>
      <c r="U849" s="213" t="s">
        <v>538</v>
      </c>
      <c r="V849" s="213">
        <v>1</v>
      </c>
      <c r="W849" s="213" t="s">
        <v>582</v>
      </c>
      <c r="X849" s="213" t="s">
        <v>549</v>
      </c>
      <c r="Y849" s="213" t="s">
        <v>554</v>
      </c>
      <c r="Z849" s="212">
        <v>42612</v>
      </c>
      <c r="AA849" s="212">
        <v>3996491</v>
      </c>
      <c r="AB849" s="217">
        <v>1.501315</v>
      </c>
      <c r="AC849" s="217">
        <v>2.416137</v>
      </c>
      <c r="AD849" s="212">
        <f t="shared" si="13"/>
        <v>5999991.8856649995</v>
      </c>
    </row>
    <row r="850" spans="2:30" x14ac:dyDescent="0.15">
      <c r="B850" s="213">
        <v>17043002588</v>
      </c>
      <c r="C850" s="213">
        <v>17043000431</v>
      </c>
      <c r="D850" s="213">
        <v>17043000394</v>
      </c>
      <c r="E850" s="213" t="s">
        <v>533</v>
      </c>
      <c r="F850" s="213" t="s">
        <v>534</v>
      </c>
      <c r="G850" s="213" t="s">
        <v>367</v>
      </c>
      <c r="H850" s="213" t="s">
        <v>535</v>
      </c>
      <c r="I850" s="213"/>
      <c r="J850" s="213"/>
      <c r="K850" s="213"/>
      <c r="L850" s="213"/>
      <c r="M850" s="213"/>
      <c r="N850" s="213"/>
      <c r="O850" s="213"/>
      <c r="P850" s="213"/>
      <c r="Q850" s="213"/>
      <c r="R850" s="213"/>
      <c r="S850" s="213" t="s">
        <v>624</v>
      </c>
      <c r="T850" s="213"/>
      <c r="U850" s="213" t="s">
        <v>538</v>
      </c>
      <c r="V850" s="213">
        <v>1</v>
      </c>
      <c r="W850" s="213" t="s">
        <v>582</v>
      </c>
      <c r="X850" s="213" t="s">
        <v>540</v>
      </c>
      <c r="Y850" s="213" t="s">
        <v>554</v>
      </c>
      <c r="Z850" s="212">
        <v>160</v>
      </c>
      <c r="AA850" s="212">
        <v>11160</v>
      </c>
      <c r="AB850" s="217">
        <v>6.4217259999999996</v>
      </c>
      <c r="AC850" s="217">
        <v>10.334785999999999</v>
      </c>
      <c r="AD850" s="212">
        <f t="shared" si="13"/>
        <v>71666.462159999995</v>
      </c>
    </row>
    <row r="851" spans="2:30" x14ac:dyDescent="0.15">
      <c r="B851" s="213">
        <v>17043002989</v>
      </c>
      <c r="C851" s="213">
        <v>17043004895</v>
      </c>
      <c r="D851" s="213">
        <v>17043007285</v>
      </c>
      <c r="E851" s="213" t="s">
        <v>533</v>
      </c>
      <c r="F851" s="213" t="s">
        <v>534</v>
      </c>
      <c r="G851" s="213" t="s">
        <v>367</v>
      </c>
      <c r="H851" s="213" t="s">
        <v>535</v>
      </c>
      <c r="I851" s="213"/>
      <c r="J851" s="213" t="s">
        <v>536</v>
      </c>
      <c r="K851" s="213" t="s">
        <v>382</v>
      </c>
      <c r="L851" s="213"/>
      <c r="M851" s="213"/>
      <c r="N851" s="213"/>
      <c r="O851" s="213"/>
      <c r="P851" s="213"/>
      <c r="Q851" s="213"/>
      <c r="R851" s="213"/>
      <c r="S851" s="213" t="s">
        <v>550</v>
      </c>
      <c r="T851" s="213"/>
      <c r="U851" s="213" t="s">
        <v>538</v>
      </c>
      <c r="V851" s="213">
        <v>1</v>
      </c>
      <c r="W851" s="213" t="s">
        <v>545</v>
      </c>
      <c r="X851" s="213" t="s">
        <v>549</v>
      </c>
      <c r="Y851" s="213" t="s">
        <v>540</v>
      </c>
      <c r="Z851" s="212">
        <v>93739</v>
      </c>
      <c r="AA851" s="212">
        <v>10705135</v>
      </c>
      <c r="AB851" s="217">
        <v>3.6689449999999999</v>
      </c>
      <c r="AC851" s="217">
        <v>5.9046070000000004</v>
      </c>
      <c r="AD851" s="212">
        <f t="shared" si="13"/>
        <v>39276551.532574996</v>
      </c>
    </row>
    <row r="852" spans="2:30" x14ac:dyDescent="0.15">
      <c r="B852" s="213">
        <v>17043003108</v>
      </c>
      <c r="C852" s="213">
        <v>17999020140</v>
      </c>
      <c r="D852" s="213">
        <v>17043004634</v>
      </c>
      <c r="E852" s="213" t="s">
        <v>533</v>
      </c>
      <c r="F852" s="213" t="s">
        <v>534</v>
      </c>
      <c r="G852" s="213" t="s">
        <v>367</v>
      </c>
      <c r="H852" s="213" t="s">
        <v>552</v>
      </c>
      <c r="I852" s="213"/>
      <c r="J852" s="213" t="s">
        <v>551</v>
      </c>
      <c r="K852" s="213" t="s">
        <v>547</v>
      </c>
      <c r="L852" s="213" t="s">
        <v>382</v>
      </c>
      <c r="M852" s="213" t="s">
        <v>563</v>
      </c>
      <c r="N852" s="213"/>
      <c r="O852" s="213"/>
      <c r="P852" s="213"/>
      <c r="Q852" s="213"/>
      <c r="R852" s="213"/>
      <c r="S852" s="213" t="s">
        <v>589</v>
      </c>
      <c r="T852" s="213" t="s">
        <v>632</v>
      </c>
      <c r="U852" s="213" t="s">
        <v>538</v>
      </c>
      <c r="V852" s="213">
        <v>2</v>
      </c>
      <c r="W852" s="213" t="s">
        <v>545</v>
      </c>
      <c r="X852" s="213" t="s">
        <v>549</v>
      </c>
      <c r="Y852" s="213" t="s">
        <v>549</v>
      </c>
      <c r="Z852" s="212">
        <v>481121</v>
      </c>
      <c r="AA852" s="212">
        <v>31735951</v>
      </c>
      <c r="AB852" s="217">
        <v>3.4305000000000002E-2</v>
      </c>
      <c r="AC852" s="217">
        <v>5.5209000000000001E-2</v>
      </c>
      <c r="AD852" s="212">
        <f t="shared" si="13"/>
        <v>1088701.7990550001</v>
      </c>
    </row>
    <row r="853" spans="2:30" x14ac:dyDescent="0.15">
      <c r="B853" s="213">
        <v>17043003278</v>
      </c>
      <c r="C853" s="213">
        <v>17043000935</v>
      </c>
      <c r="D853" s="213">
        <v>17043000913</v>
      </c>
      <c r="E853" s="213" t="s">
        <v>533</v>
      </c>
      <c r="F853" s="213" t="s">
        <v>534</v>
      </c>
      <c r="G853" s="213" t="s">
        <v>367</v>
      </c>
      <c r="H853" s="213" t="s">
        <v>535</v>
      </c>
      <c r="I853" s="213"/>
      <c r="J853" s="213" t="s">
        <v>536</v>
      </c>
      <c r="K853" s="213" t="s">
        <v>382</v>
      </c>
      <c r="L853" s="213"/>
      <c r="M853" s="213"/>
      <c r="N853" s="213"/>
      <c r="O853" s="213"/>
      <c r="P853" s="213"/>
      <c r="Q853" s="213"/>
      <c r="R853" s="213"/>
      <c r="S853" s="213" t="s">
        <v>550</v>
      </c>
      <c r="T853" s="213"/>
      <c r="U853" s="213" t="s">
        <v>538</v>
      </c>
      <c r="V853" s="213">
        <v>1</v>
      </c>
      <c r="W853" s="213" t="s">
        <v>560</v>
      </c>
      <c r="X853" s="213" t="s">
        <v>541</v>
      </c>
      <c r="Y853" s="213" t="s">
        <v>549</v>
      </c>
      <c r="Z853" s="212">
        <v>45875</v>
      </c>
      <c r="AA853" s="212">
        <v>5250371</v>
      </c>
      <c r="AB853" s="217">
        <v>0.95493300000000003</v>
      </c>
      <c r="AC853" s="217">
        <v>1.536818</v>
      </c>
      <c r="AD853" s="212">
        <f t="shared" si="13"/>
        <v>5013752.5301430002</v>
      </c>
    </row>
    <row r="854" spans="2:30" x14ac:dyDescent="0.15">
      <c r="B854" s="213">
        <v>17043003330</v>
      </c>
      <c r="C854" s="213">
        <v>17043000935</v>
      </c>
      <c r="D854" s="213">
        <v>17043000939</v>
      </c>
      <c r="E854" s="213" t="s">
        <v>533</v>
      </c>
      <c r="F854" s="213" t="s">
        <v>534</v>
      </c>
      <c r="G854" s="213" t="s">
        <v>367</v>
      </c>
      <c r="H854" s="213" t="s">
        <v>381</v>
      </c>
      <c r="I854" s="213"/>
      <c r="J854" s="213" t="s">
        <v>542</v>
      </c>
      <c r="K854" s="213" t="s">
        <v>535</v>
      </c>
      <c r="L854" s="213" t="s">
        <v>547</v>
      </c>
      <c r="M854" s="213" t="s">
        <v>382</v>
      </c>
      <c r="N854" s="213" t="s">
        <v>536</v>
      </c>
      <c r="O854" s="213"/>
      <c r="P854" s="213"/>
      <c r="Q854" s="213"/>
      <c r="R854" s="213"/>
      <c r="S854" s="213" t="s">
        <v>579</v>
      </c>
      <c r="T854" s="213"/>
      <c r="U854" s="213" t="s">
        <v>538</v>
      </c>
      <c r="V854" s="213">
        <v>3</v>
      </c>
      <c r="W854" s="213" t="s">
        <v>545</v>
      </c>
      <c r="X854" s="213" t="s">
        <v>549</v>
      </c>
      <c r="Y854" s="213" t="s">
        <v>580</v>
      </c>
      <c r="Z854" s="212">
        <v>1207047</v>
      </c>
      <c r="AA854" s="212">
        <v>52673927</v>
      </c>
      <c r="AB854" s="217">
        <v>0.24288899999999999</v>
      </c>
      <c r="AC854" s="217">
        <v>0.39089200000000002</v>
      </c>
      <c r="AD854" s="212">
        <f t="shared" si="13"/>
        <v>12793917.455102999</v>
      </c>
    </row>
    <row r="855" spans="2:30" x14ac:dyDescent="0.15">
      <c r="B855" s="213">
        <v>17043003500</v>
      </c>
      <c r="C855" s="213">
        <v>17043000391</v>
      </c>
      <c r="D855" s="213">
        <v>17999019985</v>
      </c>
      <c r="E855" s="213" t="s">
        <v>533</v>
      </c>
      <c r="F855" s="213" t="s">
        <v>534</v>
      </c>
      <c r="G855" s="213" t="s">
        <v>367</v>
      </c>
      <c r="H855" s="213" t="s">
        <v>535</v>
      </c>
      <c r="I855" s="213"/>
      <c r="J855" s="213" t="s">
        <v>382</v>
      </c>
      <c r="K855" s="213" t="s">
        <v>536</v>
      </c>
      <c r="L855" s="213"/>
      <c r="M855" s="213"/>
      <c r="N855" s="213"/>
      <c r="O855" s="213"/>
      <c r="P855" s="213"/>
      <c r="Q855" s="213"/>
      <c r="R855" s="213"/>
      <c r="S855" s="213" t="s">
        <v>550</v>
      </c>
      <c r="T855" s="213"/>
      <c r="U855" s="213" t="s">
        <v>538</v>
      </c>
      <c r="V855" s="213">
        <v>1</v>
      </c>
      <c r="W855" s="213" t="s">
        <v>545</v>
      </c>
      <c r="X855" s="213" t="s">
        <v>549</v>
      </c>
      <c r="Y855" s="213" t="s">
        <v>540</v>
      </c>
      <c r="Z855" s="212">
        <v>62203</v>
      </c>
      <c r="AA855" s="212">
        <v>6445436</v>
      </c>
      <c r="AB855" s="217">
        <v>0.94401000000000002</v>
      </c>
      <c r="AC855" s="217">
        <v>1.5192399999999999</v>
      </c>
      <c r="AD855" s="212">
        <f t="shared" si="13"/>
        <v>6084556.0383599997</v>
      </c>
    </row>
    <row r="856" spans="2:30" x14ac:dyDescent="0.15">
      <c r="B856" s="213">
        <v>17043003525</v>
      </c>
      <c r="C856" s="213">
        <v>17043000368</v>
      </c>
      <c r="D856" s="213">
        <v>17999019959</v>
      </c>
      <c r="E856" s="213" t="s">
        <v>533</v>
      </c>
      <c r="F856" s="213" t="s">
        <v>534</v>
      </c>
      <c r="G856" s="213" t="s">
        <v>367</v>
      </c>
      <c r="H856" s="213" t="s">
        <v>552</v>
      </c>
      <c r="I856" s="213"/>
      <c r="J856" s="213"/>
      <c r="K856" s="213"/>
      <c r="L856" s="213"/>
      <c r="M856" s="213"/>
      <c r="N856" s="213"/>
      <c r="O856" s="213"/>
      <c r="P856" s="213"/>
      <c r="Q856" s="213"/>
      <c r="R856" s="213"/>
      <c r="S856" s="213"/>
      <c r="T856" s="213"/>
      <c r="U856" s="213" t="s">
        <v>559</v>
      </c>
      <c r="V856" s="213">
        <v>1</v>
      </c>
      <c r="W856" s="213" t="s">
        <v>560</v>
      </c>
      <c r="X856" s="213" t="s">
        <v>541</v>
      </c>
      <c r="Y856" s="213" t="s">
        <v>541</v>
      </c>
      <c r="Z856" s="212">
        <v>0</v>
      </c>
      <c r="AA856" s="212">
        <v>0</v>
      </c>
      <c r="AB856" s="217">
        <v>0.33514699999999997</v>
      </c>
      <c r="AC856" s="217">
        <v>0.53936899999999999</v>
      </c>
      <c r="AD856" s="212">
        <f t="shared" si="13"/>
        <v>0</v>
      </c>
    </row>
    <row r="857" spans="2:30" x14ac:dyDescent="0.15">
      <c r="B857" s="213">
        <v>17043003967</v>
      </c>
      <c r="C857" s="213">
        <v>17043004889</v>
      </c>
      <c r="D857" s="213">
        <v>17043000928</v>
      </c>
      <c r="E857" s="213" t="s">
        <v>533</v>
      </c>
      <c r="F857" s="213" t="s">
        <v>534</v>
      </c>
      <c r="G857" s="213" t="s">
        <v>367</v>
      </c>
      <c r="H857" s="213" t="s">
        <v>381</v>
      </c>
      <c r="I857" s="213"/>
      <c r="J857" s="213" t="s">
        <v>542</v>
      </c>
      <c r="K857" s="213" t="s">
        <v>547</v>
      </c>
      <c r="L857" s="213" t="s">
        <v>382</v>
      </c>
      <c r="M857" s="213"/>
      <c r="N857" s="213"/>
      <c r="O857" s="213"/>
      <c r="P857" s="213"/>
      <c r="Q857" s="213"/>
      <c r="R857" s="213"/>
      <c r="S857" s="213" t="s">
        <v>579</v>
      </c>
      <c r="T857" s="213"/>
      <c r="U857" s="213" t="s">
        <v>538</v>
      </c>
      <c r="V857" s="213">
        <v>3</v>
      </c>
      <c r="W857" s="213" t="s">
        <v>545</v>
      </c>
      <c r="X857" s="213" t="s">
        <v>549</v>
      </c>
      <c r="Y857" s="213" t="s">
        <v>580</v>
      </c>
      <c r="Z857" s="212">
        <v>1207047</v>
      </c>
      <c r="AA857" s="212">
        <v>52673927</v>
      </c>
      <c r="AB857" s="217">
        <v>0.41630400000000001</v>
      </c>
      <c r="AC857" s="217">
        <v>0.66997700000000004</v>
      </c>
      <c r="AD857" s="212">
        <f t="shared" si="13"/>
        <v>21928366.505808</v>
      </c>
    </row>
    <row r="858" spans="2:30" x14ac:dyDescent="0.15">
      <c r="B858" s="213">
        <v>17043004017</v>
      </c>
      <c r="C858" s="213">
        <v>17043004883</v>
      </c>
      <c r="D858" s="213">
        <v>17999021291</v>
      </c>
      <c r="E858" s="213" t="s">
        <v>533</v>
      </c>
      <c r="F858" s="213" t="s">
        <v>534</v>
      </c>
      <c r="G858" s="213" t="s">
        <v>367</v>
      </c>
      <c r="H858" s="213" t="s">
        <v>381</v>
      </c>
      <c r="I858" s="213"/>
      <c r="J858" s="213" t="s">
        <v>542</v>
      </c>
      <c r="K858" s="213" t="s">
        <v>547</v>
      </c>
      <c r="L858" s="213" t="s">
        <v>382</v>
      </c>
      <c r="M858" s="213"/>
      <c r="N858" s="213"/>
      <c r="O858" s="213"/>
      <c r="P858" s="213"/>
      <c r="Q858" s="213"/>
      <c r="R858" s="213"/>
      <c r="S858" s="213" t="s">
        <v>579</v>
      </c>
      <c r="T858" s="213"/>
      <c r="U858" s="213" t="s">
        <v>538</v>
      </c>
      <c r="V858" s="213">
        <v>3</v>
      </c>
      <c r="W858" s="213" t="s">
        <v>545</v>
      </c>
      <c r="X858" s="213" t="s">
        <v>549</v>
      </c>
      <c r="Y858" s="213" t="s">
        <v>580</v>
      </c>
      <c r="Z858" s="212">
        <v>1206807</v>
      </c>
      <c r="AA858" s="212">
        <v>52650967</v>
      </c>
      <c r="AB858" s="217">
        <v>5.1915999999999997E-2</v>
      </c>
      <c r="AC858" s="217">
        <v>8.3549999999999999E-2</v>
      </c>
      <c r="AD858" s="212">
        <f t="shared" si="13"/>
        <v>2733427.6027719998</v>
      </c>
    </row>
    <row r="859" spans="2:30" x14ac:dyDescent="0.15">
      <c r="B859" s="213">
        <v>17043004086</v>
      </c>
      <c r="C859" s="213">
        <v>17043007330</v>
      </c>
      <c r="D859" s="213">
        <v>17043000487</v>
      </c>
      <c r="E859" s="213" t="s">
        <v>533</v>
      </c>
      <c r="F859" s="213" t="s">
        <v>534</v>
      </c>
      <c r="G859" s="213" t="s">
        <v>367</v>
      </c>
      <c r="H859" s="213" t="s">
        <v>535</v>
      </c>
      <c r="I859" s="213"/>
      <c r="J859" s="213"/>
      <c r="K859" s="213"/>
      <c r="L859" s="213"/>
      <c r="M859" s="213"/>
      <c r="N859" s="213"/>
      <c r="O859" s="213"/>
      <c r="P859" s="213"/>
      <c r="Q859" s="213"/>
      <c r="R859" s="213"/>
      <c r="S859" s="213"/>
      <c r="T859" s="213"/>
      <c r="U859" s="213" t="s">
        <v>559</v>
      </c>
      <c r="V859" s="213">
        <v>1</v>
      </c>
      <c r="W859" s="213" t="s">
        <v>560</v>
      </c>
      <c r="X859" s="213" t="s">
        <v>541</v>
      </c>
      <c r="Y859" s="213" t="s">
        <v>541</v>
      </c>
      <c r="Z859" s="212">
        <v>0</v>
      </c>
      <c r="AA859" s="212">
        <v>0</v>
      </c>
      <c r="AB859" s="217">
        <v>0.32865699999999998</v>
      </c>
      <c r="AC859" s="217">
        <v>0.52892300000000003</v>
      </c>
      <c r="AD859" s="212">
        <f t="shared" si="13"/>
        <v>0</v>
      </c>
    </row>
    <row r="860" spans="2:30" x14ac:dyDescent="0.15">
      <c r="B860" s="213">
        <v>17043004087</v>
      </c>
      <c r="C860" s="213">
        <v>17043004781</v>
      </c>
      <c r="D860" s="213">
        <v>17043000588</v>
      </c>
      <c r="E860" s="213" t="s">
        <v>533</v>
      </c>
      <c r="F860" s="213" t="s">
        <v>534</v>
      </c>
      <c r="G860" s="213" t="s">
        <v>367</v>
      </c>
      <c r="H860" s="213" t="s">
        <v>382</v>
      </c>
      <c r="I860" s="213"/>
      <c r="J860" s="213"/>
      <c r="K860" s="213"/>
      <c r="L860" s="213"/>
      <c r="M860" s="213"/>
      <c r="N860" s="213"/>
      <c r="O860" s="213"/>
      <c r="P860" s="213"/>
      <c r="Q860" s="213"/>
      <c r="R860" s="213"/>
      <c r="S860" s="213" t="s">
        <v>561</v>
      </c>
      <c r="T860" s="213"/>
      <c r="U860" s="213" t="s">
        <v>538</v>
      </c>
      <c r="V860" s="213">
        <v>1</v>
      </c>
      <c r="W860" s="213" t="s">
        <v>562</v>
      </c>
      <c r="X860" s="213" t="s">
        <v>540</v>
      </c>
      <c r="Y860" s="213" t="s">
        <v>541</v>
      </c>
      <c r="Z860" s="212">
        <v>12200</v>
      </c>
      <c r="AA860" s="212">
        <v>287800</v>
      </c>
      <c r="AB860" s="217">
        <v>0.32693899999999998</v>
      </c>
      <c r="AC860" s="217">
        <v>0.52615900000000004</v>
      </c>
      <c r="AD860" s="212">
        <f t="shared" si="13"/>
        <v>94093.044199999989</v>
      </c>
    </row>
    <row r="861" spans="2:30" x14ac:dyDescent="0.15">
      <c r="B861" s="213">
        <v>17043004194</v>
      </c>
      <c r="C861" s="213">
        <v>17043004891</v>
      </c>
      <c r="D861" s="213">
        <v>17043000980</v>
      </c>
      <c r="E861" s="213" t="s">
        <v>533</v>
      </c>
      <c r="F861" s="213" t="s">
        <v>534</v>
      </c>
      <c r="G861" s="213" t="s">
        <v>367</v>
      </c>
      <c r="H861" s="213" t="s">
        <v>535</v>
      </c>
      <c r="I861" s="213"/>
      <c r="J861" s="213" t="s">
        <v>536</v>
      </c>
      <c r="K861" s="213" t="s">
        <v>382</v>
      </c>
      <c r="L861" s="213"/>
      <c r="M861" s="213"/>
      <c r="N861" s="213"/>
      <c r="O861" s="213"/>
      <c r="P861" s="213"/>
      <c r="Q861" s="213"/>
      <c r="R861" s="213"/>
      <c r="S861" s="213"/>
      <c r="T861" s="213"/>
      <c r="U861" s="213" t="s">
        <v>538</v>
      </c>
      <c r="V861" s="213">
        <v>1</v>
      </c>
      <c r="W861" s="213" t="s">
        <v>560</v>
      </c>
      <c r="X861" s="213" t="s">
        <v>541</v>
      </c>
      <c r="Y861" s="213" t="s">
        <v>541</v>
      </c>
      <c r="Z861" s="212">
        <v>0</v>
      </c>
      <c r="AA861" s="212">
        <v>0</v>
      </c>
      <c r="AB861" s="217">
        <v>0.74536500000000006</v>
      </c>
      <c r="AC861" s="217">
        <v>1.1995499999999999</v>
      </c>
      <c r="AD861" s="212">
        <f t="shared" si="13"/>
        <v>0</v>
      </c>
    </row>
    <row r="862" spans="2:30" x14ac:dyDescent="0.15">
      <c r="B862" s="213">
        <v>17043005749</v>
      </c>
      <c r="C862" s="213">
        <v>17043006563</v>
      </c>
      <c r="D862" s="213">
        <v>17043000586</v>
      </c>
      <c r="E862" s="213" t="s">
        <v>533</v>
      </c>
      <c r="F862" s="213" t="s">
        <v>534</v>
      </c>
      <c r="G862" s="213" t="s">
        <v>367</v>
      </c>
      <c r="H862" s="213" t="s">
        <v>382</v>
      </c>
      <c r="I862" s="213"/>
      <c r="J862" s="213"/>
      <c r="K862" s="213"/>
      <c r="L862" s="213"/>
      <c r="M862" s="213"/>
      <c r="N862" s="213"/>
      <c r="O862" s="213"/>
      <c r="P862" s="213"/>
      <c r="Q862" s="213"/>
      <c r="R862" s="213"/>
      <c r="S862" s="213" t="s">
        <v>635</v>
      </c>
      <c r="T862" s="213" t="s">
        <v>587</v>
      </c>
      <c r="U862" s="213" t="s">
        <v>559</v>
      </c>
      <c r="V862" s="213">
        <v>1</v>
      </c>
      <c r="W862" s="213" t="s">
        <v>560</v>
      </c>
      <c r="X862" s="213" t="s">
        <v>541</v>
      </c>
      <c r="Y862" s="213" t="s">
        <v>541</v>
      </c>
      <c r="Z862" s="212">
        <v>0</v>
      </c>
      <c r="AA862" s="212">
        <v>0</v>
      </c>
      <c r="AB862" s="217">
        <v>0.44726199999999999</v>
      </c>
      <c r="AC862" s="217">
        <v>0.71979899999999997</v>
      </c>
      <c r="AD862" s="212">
        <f t="shared" si="13"/>
        <v>0</v>
      </c>
    </row>
    <row r="863" spans="2:30" x14ac:dyDescent="0.15">
      <c r="B863" s="213">
        <v>17043005751</v>
      </c>
      <c r="C863" s="213">
        <v>17043007333</v>
      </c>
      <c r="D863" s="213">
        <v>17043000508</v>
      </c>
      <c r="E863" s="213" t="s">
        <v>533</v>
      </c>
      <c r="F863" s="213" t="s">
        <v>534</v>
      </c>
      <c r="G863" s="213" t="s">
        <v>367</v>
      </c>
      <c r="H863" s="213" t="s">
        <v>535</v>
      </c>
      <c r="I863" s="213"/>
      <c r="J863" s="213"/>
      <c r="K863" s="213"/>
      <c r="L863" s="213"/>
      <c r="M863" s="213"/>
      <c r="N863" s="213"/>
      <c r="O863" s="213"/>
      <c r="P863" s="213"/>
      <c r="Q863" s="213"/>
      <c r="R863" s="213"/>
      <c r="S863" s="213"/>
      <c r="T863" s="213"/>
      <c r="U863" s="213" t="s">
        <v>559</v>
      </c>
      <c r="V863" s="213">
        <v>1</v>
      </c>
      <c r="W863" s="213" t="s">
        <v>560</v>
      </c>
      <c r="X863" s="213" t="s">
        <v>541</v>
      </c>
      <c r="Y863" s="213" t="s">
        <v>541</v>
      </c>
      <c r="Z863" s="212">
        <v>0</v>
      </c>
      <c r="AA863" s="212">
        <v>0</v>
      </c>
      <c r="AB863" s="217">
        <v>0.49382399999999999</v>
      </c>
      <c r="AC863" s="217">
        <v>0.79473400000000005</v>
      </c>
      <c r="AD863" s="212">
        <f t="shared" si="13"/>
        <v>0</v>
      </c>
    </row>
    <row r="864" spans="2:30" x14ac:dyDescent="0.15">
      <c r="B864" s="213">
        <v>17043005762</v>
      </c>
      <c r="C864" s="213">
        <v>17043000387</v>
      </c>
      <c r="D864" s="213">
        <v>17043008299</v>
      </c>
      <c r="E864" s="213" t="s">
        <v>533</v>
      </c>
      <c r="F864" s="213" t="s">
        <v>534</v>
      </c>
      <c r="G864" s="213" t="s">
        <v>367</v>
      </c>
      <c r="H864" s="213" t="s">
        <v>638</v>
      </c>
      <c r="I864" s="213"/>
      <c r="J864" s="213"/>
      <c r="K864" s="213"/>
      <c r="L864" s="213"/>
      <c r="M864" s="213"/>
      <c r="N864" s="213"/>
      <c r="O864" s="213"/>
      <c r="P864" s="213"/>
      <c r="Q864" s="213"/>
      <c r="R864" s="213"/>
      <c r="S864" s="213"/>
      <c r="T864" s="213"/>
      <c r="U864" s="213" t="s">
        <v>559</v>
      </c>
      <c r="V864" s="213">
        <v>1</v>
      </c>
      <c r="W864" s="213" t="s">
        <v>560</v>
      </c>
      <c r="X864" s="213" t="s">
        <v>541</v>
      </c>
      <c r="Y864" s="213" t="s">
        <v>541</v>
      </c>
      <c r="Z864" s="212">
        <v>0</v>
      </c>
      <c r="AA864" s="212">
        <v>0</v>
      </c>
      <c r="AB864" s="217">
        <v>3.9412999999999997E-2</v>
      </c>
      <c r="AC864" s="217">
        <v>6.343E-2</v>
      </c>
      <c r="AD864" s="212">
        <f t="shared" si="13"/>
        <v>0</v>
      </c>
    </row>
    <row r="865" spans="2:30" x14ac:dyDescent="0.15">
      <c r="B865" s="213">
        <v>17043005910</v>
      </c>
      <c r="C865" s="213">
        <v>17043000389</v>
      </c>
      <c r="D865" s="213">
        <v>17043008299</v>
      </c>
      <c r="E865" s="213" t="s">
        <v>533</v>
      </c>
      <c r="F865" s="213" t="s">
        <v>534</v>
      </c>
      <c r="G865" s="213" t="s">
        <v>367</v>
      </c>
      <c r="H865" s="213" t="s">
        <v>638</v>
      </c>
      <c r="I865" s="213"/>
      <c r="J865" s="213"/>
      <c r="K865" s="213"/>
      <c r="L865" s="213"/>
      <c r="M865" s="213"/>
      <c r="N865" s="213"/>
      <c r="O865" s="213"/>
      <c r="P865" s="213"/>
      <c r="Q865" s="213"/>
      <c r="R865" s="213"/>
      <c r="S865" s="213"/>
      <c r="T865" s="213"/>
      <c r="U865" s="213" t="s">
        <v>559</v>
      </c>
      <c r="V865" s="213">
        <v>1</v>
      </c>
      <c r="W865" s="213" t="s">
        <v>560</v>
      </c>
      <c r="X865" s="213" t="s">
        <v>541</v>
      </c>
      <c r="Y865" s="213" t="s">
        <v>541</v>
      </c>
      <c r="Z865" s="212">
        <v>0</v>
      </c>
      <c r="AA865" s="212">
        <v>0</v>
      </c>
      <c r="AB865" s="217">
        <v>0.50456100000000004</v>
      </c>
      <c r="AC865" s="217">
        <v>0.81201299999999998</v>
      </c>
      <c r="AD865" s="212">
        <f t="shared" si="13"/>
        <v>0</v>
      </c>
    </row>
    <row r="866" spans="2:30" x14ac:dyDescent="0.15">
      <c r="B866" s="213">
        <v>17043006290</v>
      </c>
      <c r="C866" s="213">
        <v>17043000592</v>
      </c>
      <c r="D866" s="213">
        <v>17043000588</v>
      </c>
      <c r="E866" s="213" t="s">
        <v>533</v>
      </c>
      <c r="F866" s="213" t="s">
        <v>534</v>
      </c>
      <c r="G866" s="213" t="s">
        <v>367</v>
      </c>
      <c r="H866" s="213" t="s">
        <v>382</v>
      </c>
      <c r="I866" s="213"/>
      <c r="J866" s="213"/>
      <c r="K866" s="213"/>
      <c r="L866" s="213"/>
      <c r="M866" s="213"/>
      <c r="N866" s="213"/>
      <c r="O866" s="213"/>
      <c r="P866" s="213"/>
      <c r="Q866" s="213"/>
      <c r="R866" s="213"/>
      <c r="S866" s="213" t="s">
        <v>635</v>
      </c>
      <c r="T866" s="213" t="s">
        <v>587</v>
      </c>
      <c r="U866" s="213" t="s">
        <v>559</v>
      </c>
      <c r="V866" s="213">
        <v>1</v>
      </c>
      <c r="W866" s="213" t="s">
        <v>560</v>
      </c>
      <c r="X866" s="213" t="s">
        <v>541</v>
      </c>
      <c r="Y866" s="213" t="s">
        <v>541</v>
      </c>
      <c r="Z866" s="212">
        <v>50872</v>
      </c>
      <c r="AA866" s="212">
        <v>6068794</v>
      </c>
      <c r="AB866" s="217">
        <v>0.32208599999999998</v>
      </c>
      <c r="AC866" s="217">
        <v>0.51834899999999995</v>
      </c>
      <c r="AD866" s="212">
        <f t="shared" si="13"/>
        <v>1954673.5842839999</v>
      </c>
    </row>
    <row r="867" spans="2:30" x14ac:dyDescent="0.15">
      <c r="B867" s="213">
        <v>17043006291</v>
      </c>
      <c r="C867" s="213">
        <v>17043000586</v>
      </c>
      <c r="D867" s="213">
        <v>17043000592</v>
      </c>
      <c r="E867" s="213" t="s">
        <v>533</v>
      </c>
      <c r="F867" s="213" t="s">
        <v>534</v>
      </c>
      <c r="G867" s="213" t="s">
        <v>367</v>
      </c>
      <c r="H867" s="213" t="s">
        <v>382</v>
      </c>
      <c r="I867" s="213"/>
      <c r="J867" s="213"/>
      <c r="K867" s="213"/>
      <c r="L867" s="213"/>
      <c r="M867" s="213"/>
      <c r="N867" s="213"/>
      <c r="O867" s="213"/>
      <c r="P867" s="213"/>
      <c r="Q867" s="213"/>
      <c r="R867" s="213"/>
      <c r="S867" s="213" t="s">
        <v>635</v>
      </c>
      <c r="T867" s="213" t="s">
        <v>587</v>
      </c>
      <c r="U867" s="213" t="s">
        <v>559</v>
      </c>
      <c r="V867" s="213">
        <v>1</v>
      </c>
      <c r="W867" s="213" t="s">
        <v>560</v>
      </c>
      <c r="X867" s="213" t="s">
        <v>541</v>
      </c>
      <c r="Y867" s="213" t="s">
        <v>541</v>
      </c>
      <c r="Z867" s="212">
        <v>0</v>
      </c>
      <c r="AA867" s="212">
        <v>0</v>
      </c>
      <c r="AB867" s="217">
        <v>3.3617000000000001E-2</v>
      </c>
      <c r="AC867" s="217">
        <v>5.4101999999999997E-2</v>
      </c>
      <c r="AD867" s="212">
        <f t="shared" si="13"/>
        <v>0</v>
      </c>
    </row>
    <row r="868" spans="2:30" x14ac:dyDescent="0.15">
      <c r="B868" s="213">
        <v>17043006345</v>
      </c>
      <c r="C868" s="213">
        <v>17999019973</v>
      </c>
      <c r="D868" s="213">
        <v>17043000366</v>
      </c>
      <c r="E868" s="213" t="s">
        <v>533</v>
      </c>
      <c r="F868" s="213" t="s">
        <v>534</v>
      </c>
      <c r="G868" s="213" t="s">
        <v>367</v>
      </c>
      <c r="H868" s="213" t="s">
        <v>552</v>
      </c>
      <c r="I868" s="213"/>
      <c r="J868" s="213" t="s">
        <v>547</v>
      </c>
      <c r="K868" s="213"/>
      <c r="L868" s="213"/>
      <c r="M868" s="213"/>
      <c r="N868" s="213"/>
      <c r="O868" s="213"/>
      <c r="P868" s="213"/>
      <c r="Q868" s="213"/>
      <c r="R868" s="213"/>
      <c r="S868" s="213" t="s">
        <v>589</v>
      </c>
      <c r="T868" s="213"/>
      <c r="U868" s="213" t="s">
        <v>538</v>
      </c>
      <c r="V868" s="213">
        <v>2</v>
      </c>
      <c r="W868" s="213" t="s">
        <v>545</v>
      </c>
      <c r="X868" s="213" t="s">
        <v>549</v>
      </c>
      <c r="Y868" s="213" t="s">
        <v>540</v>
      </c>
      <c r="Z868" s="212">
        <v>38058</v>
      </c>
      <c r="AA868" s="212">
        <v>3590544</v>
      </c>
      <c r="AB868" s="217">
        <v>0.95486300000000002</v>
      </c>
      <c r="AC868" s="217">
        <v>1.5367059999999999</v>
      </c>
      <c r="AD868" s="212">
        <f t="shared" si="13"/>
        <v>3428477.6154720001</v>
      </c>
    </row>
    <row r="869" spans="2:30" x14ac:dyDescent="0.15">
      <c r="B869" s="213">
        <v>17043006533</v>
      </c>
      <c r="C869" s="213">
        <v>17043000588</v>
      </c>
      <c r="D869" s="213">
        <v>17043000591</v>
      </c>
      <c r="E869" s="213" t="s">
        <v>533</v>
      </c>
      <c r="F869" s="213" t="s">
        <v>534</v>
      </c>
      <c r="G869" s="213" t="s">
        <v>367</v>
      </c>
      <c r="H869" s="213" t="s">
        <v>382</v>
      </c>
      <c r="I869" s="213"/>
      <c r="J869" s="213"/>
      <c r="K869" s="213"/>
      <c r="L869" s="213"/>
      <c r="M869" s="213"/>
      <c r="N869" s="213"/>
      <c r="O869" s="213"/>
      <c r="P869" s="213"/>
      <c r="Q869" s="213"/>
      <c r="R869" s="213"/>
      <c r="S869" s="213" t="s">
        <v>561</v>
      </c>
      <c r="T869" s="213" t="s">
        <v>587</v>
      </c>
      <c r="U869" s="213" t="s">
        <v>538</v>
      </c>
      <c r="V869" s="213">
        <v>1</v>
      </c>
      <c r="W869" s="213" t="s">
        <v>562</v>
      </c>
      <c r="X869" s="213" t="s">
        <v>540</v>
      </c>
      <c r="Y869" s="213" t="s">
        <v>541</v>
      </c>
      <c r="Z869" s="212">
        <v>63072</v>
      </c>
      <c r="AA869" s="212">
        <v>6356594</v>
      </c>
      <c r="AB869" s="217">
        <v>8.0825999999999995E-2</v>
      </c>
      <c r="AC869" s="217">
        <v>0.130077</v>
      </c>
      <c r="AD869" s="212">
        <f t="shared" si="13"/>
        <v>513778.06664399995</v>
      </c>
    </row>
    <row r="870" spans="2:30" x14ac:dyDescent="0.15">
      <c r="B870" s="213">
        <v>17043006535</v>
      </c>
      <c r="C870" s="213">
        <v>17043006561</v>
      </c>
      <c r="D870" s="213">
        <v>17043004780</v>
      </c>
      <c r="E870" s="213" t="s">
        <v>533</v>
      </c>
      <c r="F870" s="213" t="s">
        <v>534</v>
      </c>
      <c r="G870" s="213" t="s">
        <v>367</v>
      </c>
      <c r="H870" s="213" t="s">
        <v>382</v>
      </c>
      <c r="I870" s="213"/>
      <c r="J870" s="213"/>
      <c r="K870" s="213"/>
      <c r="L870" s="213"/>
      <c r="M870" s="213"/>
      <c r="N870" s="213"/>
      <c r="O870" s="213"/>
      <c r="P870" s="213"/>
      <c r="Q870" s="213"/>
      <c r="R870" s="213"/>
      <c r="S870" s="213"/>
      <c r="T870" s="213"/>
      <c r="U870" s="213" t="s">
        <v>559</v>
      </c>
      <c r="V870" s="213">
        <v>1</v>
      </c>
      <c r="W870" s="213" t="s">
        <v>560</v>
      </c>
      <c r="X870" s="213" t="s">
        <v>541</v>
      </c>
      <c r="Y870" s="213" t="s">
        <v>541</v>
      </c>
      <c r="Z870" s="212">
        <v>0</v>
      </c>
      <c r="AA870" s="212">
        <v>0</v>
      </c>
      <c r="AB870" s="217">
        <v>0.121878</v>
      </c>
      <c r="AC870" s="217">
        <v>0.19614400000000001</v>
      </c>
      <c r="AD870" s="212">
        <f t="shared" si="13"/>
        <v>0</v>
      </c>
    </row>
    <row r="871" spans="2:30" x14ac:dyDescent="0.15">
      <c r="B871" s="213">
        <v>17043006540</v>
      </c>
      <c r="C871" s="213">
        <v>17999022163</v>
      </c>
      <c r="D871" s="213">
        <v>17043004881</v>
      </c>
      <c r="E871" s="213" t="s">
        <v>533</v>
      </c>
      <c r="F871" s="213" t="s">
        <v>534</v>
      </c>
      <c r="G871" s="213" t="s">
        <v>367</v>
      </c>
      <c r="H871" s="213" t="s">
        <v>381</v>
      </c>
      <c r="I871" s="213"/>
      <c r="J871" s="213"/>
      <c r="K871" s="213"/>
      <c r="L871" s="213"/>
      <c r="M871" s="213"/>
      <c r="N871" s="213"/>
      <c r="O871" s="213"/>
      <c r="P871" s="213"/>
      <c r="Q871" s="213"/>
      <c r="R871" s="213"/>
      <c r="S871" s="213"/>
      <c r="T871" s="213"/>
      <c r="U871" s="213" t="s">
        <v>559</v>
      </c>
      <c r="V871" s="213">
        <v>1</v>
      </c>
      <c r="W871" s="213" t="s">
        <v>560</v>
      </c>
      <c r="X871" s="213" t="s">
        <v>541</v>
      </c>
      <c r="Y871" s="213" t="s">
        <v>541</v>
      </c>
      <c r="Z871" s="212">
        <v>0</v>
      </c>
      <c r="AA871" s="212">
        <v>0</v>
      </c>
      <c r="AB871" s="217">
        <v>0.64754900000000004</v>
      </c>
      <c r="AC871" s="217">
        <v>1.0421309999999999</v>
      </c>
      <c r="AD871" s="212">
        <f t="shared" si="13"/>
        <v>0</v>
      </c>
    </row>
    <row r="872" spans="2:30" x14ac:dyDescent="0.15">
      <c r="B872" s="213">
        <v>17043008192</v>
      </c>
      <c r="C872" s="213">
        <v>17043006564</v>
      </c>
      <c r="D872" s="213">
        <v>17043004780</v>
      </c>
      <c r="E872" s="213" t="s">
        <v>533</v>
      </c>
      <c r="F872" s="213" t="s">
        <v>534</v>
      </c>
      <c r="G872" s="213" t="s">
        <v>367</v>
      </c>
      <c r="H872" s="213" t="s">
        <v>382</v>
      </c>
      <c r="I872" s="213"/>
      <c r="J872" s="213"/>
      <c r="K872" s="213"/>
      <c r="L872" s="213"/>
      <c r="M872" s="213"/>
      <c r="N872" s="213"/>
      <c r="O872" s="213"/>
      <c r="P872" s="213"/>
      <c r="Q872" s="213"/>
      <c r="R872" s="213"/>
      <c r="S872" s="213" t="s">
        <v>653</v>
      </c>
      <c r="T872" s="213"/>
      <c r="U872" s="213" t="s">
        <v>559</v>
      </c>
      <c r="V872" s="213">
        <v>1</v>
      </c>
      <c r="W872" s="213" t="s">
        <v>560</v>
      </c>
      <c r="X872" s="213" t="s">
        <v>541</v>
      </c>
      <c r="Y872" s="213" t="s">
        <v>541</v>
      </c>
      <c r="Z872" s="212">
        <v>50872</v>
      </c>
      <c r="AA872" s="212">
        <v>6068794</v>
      </c>
      <c r="AB872" s="217">
        <v>3.5143000000000001E-2</v>
      </c>
      <c r="AC872" s="217">
        <v>5.6557000000000003E-2</v>
      </c>
      <c r="AD872" s="212">
        <f t="shared" si="13"/>
        <v>213275.627542</v>
      </c>
    </row>
    <row r="873" spans="2:30" x14ac:dyDescent="0.15">
      <c r="B873" s="213">
        <v>17043008201</v>
      </c>
      <c r="C873" s="213">
        <v>17043006568</v>
      </c>
      <c r="D873" s="213">
        <v>17043006569</v>
      </c>
      <c r="E873" s="213" t="s">
        <v>533</v>
      </c>
      <c r="F873" s="213" t="s">
        <v>534</v>
      </c>
      <c r="G873" s="213" t="s">
        <v>367</v>
      </c>
      <c r="H873" s="213" t="s">
        <v>382</v>
      </c>
      <c r="I873" s="213"/>
      <c r="J873" s="213"/>
      <c r="K873" s="213"/>
      <c r="L873" s="213"/>
      <c r="M873" s="213"/>
      <c r="N873" s="213"/>
      <c r="O873" s="213"/>
      <c r="P873" s="213"/>
      <c r="Q873" s="213"/>
      <c r="R873" s="213"/>
      <c r="S873" s="213" t="s">
        <v>635</v>
      </c>
      <c r="T873" s="213" t="s">
        <v>587</v>
      </c>
      <c r="U873" s="213" t="s">
        <v>559</v>
      </c>
      <c r="V873" s="213">
        <v>1</v>
      </c>
      <c r="W873" s="213" t="s">
        <v>560</v>
      </c>
      <c r="X873" s="213" t="s">
        <v>541</v>
      </c>
      <c r="Y873" s="213" t="s">
        <v>541</v>
      </c>
      <c r="Z873" s="212">
        <v>0</v>
      </c>
      <c r="AA873" s="212">
        <v>0</v>
      </c>
      <c r="AB873" s="217">
        <v>4.6547999999999999E-2</v>
      </c>
      <c r="AC873" s="217">
        <v>7.4912000000000006E-2</v>
      </c>
      <c r="AD873" s="212">
        <f t="shared" si="13"/>
        <v>0</v>
      </c>
    </row>
    <row r="874" spans="2:30" x14ac:dyDescent="0.15">
      <c r="B874" s="213">
        <v>17043009064</v>
      </c>
      <c r="C874" s="213">
        <v>17043000913</v>
      </c>
      <c r="D874" s="213">
        <v>17043007276</v>
      </c>
      <c r="E874" s="213" t="s">
        <v>533</v>
      </c>
      <c r="F874" s="213" t="s">
        <v>534</v>
      </c>
      <c r="G874" s="213" t="s">
        <v>367</v>
      </c>
      <c r="H874" s="213" t="s">
        <v>535</v>
      </c>
      <c r="I874" s="213"/>
      <c r="J874" s="213" t="s">
        <v>536</v>
      </c>
      <c r="K874" s="213" t="s">
        <v>382</v>
      </c>
      <c r="L874" s="213"/>
      <c r="M874" s="213"/>
      <c r="N874" s="213"/>
      <c r="O874" s="213"/>
      <c r="P874" s="213"/>
      <c r="Q874" s="213"/>
      <c r="R874" s="213"/>
      <c r="S874" s="213" t="s">
        <v>550</v>
      </c>
      <c r="T874" s="213"/>
      <c r="U874" s="213" t="s">
        <v>538</v>
      </c>
      <c r="V874" s="213">
        <v>1</v>
      </c>
      <c r="W874" s="213" t="s">
        <v>545</v>
      </c>
      <c r="X874" s="213" t="s">
        <v>549</v>
      </c>
      <c r="Y874" s="213" t="s">
        <v>540</v>
      </c>
      <c r="Z874" s="212">
        <v>93779</v>
      </c>
      <c r="AA874" s="212">
        <v>10709215</v>
      </c>
      <c r="AB874" s="217">
        <v>1.2213130000000001</v>
      </c>
      <c r="AC874" s="217">
        <v>1.965517</v>
      </c>
      <c r="AD874" s="212">
        <f t="shared" si="13"/>
        <v>13079303.499295002</v>
      </c>
    </row>
    <row r="875" spans="2:30" x14ac:dyDescent="0.15">
      <c r="B875" s="213">
        <v>17043009080</v>
      </c>
      <c r="C875" s="213">
        <v>17043000527</v>
      </c>
      <c r="D875" s="213">
        <v>17043007291</v>
      </c>
      <c r="E875" s="213" t="s">
        <v>533</v>
      </c>
      <c r="F875" s="213" t="s">
        <v>534</v>
      </c>
      <c r="G875" s="213" t="s">
        <v>367</v>
      </c>
      <c r="H875" s="213" t="s">
        <v>382</v>
      </c>
      <c r="I875" s="213"/>
      <c r="J875" s="213"/>
      <c r="K875" s="213"/>
      <c r="L875" s="213"/>
      <c r="M875" s="213"/>
      <c r="N875" s="213"/>
      <c r="O875" s="213"/>
      <c r="P875" s="213"/>
      <c r="Q875" s="213"/>
      <c r="R875" s="213"/>
      <c r="S875" s="213"/>
      <c r="T875" s="213"/>
      <c r="U875" s="213" t="s">
        <v>559</v>
      </c>
      <c r="V875" s="213">
        <v>1</v>
      </c>
      <c r="W875" s="213" t="s">
        <v>560</v>
      </c>
      <c r="X875" s="213" t="s">
        <v>541</v>
      </c>
      <c r="Y875" s="213" t="s">
        <v>541</v>
      </c>
      <c r="Z875" s="212">
        <v>0</v>
      </c>
      <c r="AA875" s="212">
        <v>0</v>
      </c>
      <c r="AB875" s="217">
        <v>0.23813400000000001</v>
      </c>
      <c r="AC875" s="217">
        <v>0.38324000000000003</v>
      </c>
      <c r="AD875" s="212">
        <f t="shared" si="13"/>
        <v>0</v>
      </c>
    </row>
    <row r="876" spans="2:30" x14ac:dyDescent="0.15">
      <c r="B876" s="213">
        <v>17043009087</v>
      </c>
      <c r="C876" s="213">
        <v>17043007298</v>
      </c>
      <c r="D876" s="213">
        <v>17043000589</v>
      </c>
      <c r="E876" s="213" t="s">
        <v>533</v>
      </c>
      <c r="F876" s="213" t="s">
        <v>534</v>
      </c>
      <c r="G876" s="213" t="s">
        <v>367</v>
      </c>
      <c r="H876" s="213" t="s">
        <v>382</v>
      </c>
      <c r="I876" s="213"/>
      <c r="J876" s="213"/>
      <c r="K876" s="213"/>
      <c r="L876" s="213"/>
      <c r="M876" s="213"/>
      <c r="N876" s="213"/>
      <c r="O876" s="213"/>
      <c r="P876" s="213"/>
      <c r="Q876" s="213"/>
      <c r="R876" s="213"/>
      <c r="S876" s="213"/>
      <c r="T876" s="213"/>
      <c r="U876" s="213" t="s">
        <v>559</v>
      </c>
      <c r="V876" s="213">
        <v>1</v>
      </c>
      <c r="W876" s="213" t="s">
        <v>560</v>
      </c>
      <c r="X876" s="213" t="s">
        <v>541</v>
      </c>
      <c r="Y876" s="213" t="s">
        <v>541</v>
      </c>
      <c r="Z876" s="212">
        <v>0</v>
      </c>
      <c r="AA876" s="212">
        <v>0</v>
      </c>
      <c r="AB876" s="217">
        <v>0.155059</v>
      </c>
      <c r="AC876" s="217">
        <v>0.24954299999999999</v>
      </c>
      <c r="AD876" s="212">
        <f t="shared" si="13"/>
        <v>0</v>
      </c>
    </row>
    <row r="877" spans="2:30" x14ac:dyDescent="0.15">
      <c r="B877" s="213">
        <v>17043009093</v>
      </c>
      <c r="C877" s="213">
        <v>17043007303</v>
      </c>
      <c r="D877" s="213">
        <v>17043007304</v>
      </c>
      <c r="E877" s="213" t="s">
        <v>533</v>
      </c>
      <c r="F877" s="213" t="s">
        <v>534</v>
      </c>
      <c r="G877" s="213" t="s">
        <v>367</v>
      </c>
      <c r="H877" s="213" t="s">
        <v>381</v>
      </c>
      <c r="I877" s="213"/>
      <c r="J877" s="213"/>
      <c r="K877" s="213"/>
      <c r="L877" s="213"/>
      <c r="M877" s="213"/>
      <c r="N877" s="213"/>
      <c r="O877" s="213"/>
      <c r="P877" s="213"/>
      <c r="Q877" s="213"/>
      <c r="R877" s="213"/>
      <c r="S877" s="213" t="s">
        <v>585</v>
      </c>
      <c r="T877" s="213"/>
      <c r="U877" s="213" t="s">
        <v>559</v>
      </c>
      <c r="V877" s="213">
        <v>1</v>
      </c>
      <c r="W877" s="213" t="s">
        <v>560</v>
      </c>
      <c r="X877" s="213" t="s">
        <v>541</v>
      </c>
      <c r="Y877" s="213" t="s">
        <v>541</v>
      </c>
      <c r="Z877" s="212">
        <v>160</v>
      </c>
      <c r="AA877" s="212">
        <v>16120</v>
      </c>
      <c r="AB877" s="217">
        <v>0.29461799999999999</v>
      </c>
      <c r="AC877" s="217">
        <v>0.47414299999999998</v>
      </c>
      <c r="AD877" s="212">
        <f t="shared" si="13"/>
        <v>4749.2421599999998</v>
      </c>
    </row>
    <row r="878" spans="2:30" x14ac:dyDescent="0.15">
      <c r="B878" s="213">
        <v>17043009095</v>
      </c>
      <c r="C878" s="213">
        <v>17043007304</v>
      </c>
      <c r="D878" s="213">
        <v>17043004766</v>
      </c>
      <c r="E878" s="213" t="s">
        <v>533</v>
      </c>
      <c r="F878" s="213" t="s">
        <v>534</v>
      </c>
      <c r="G878" s="213" t="s">
        <v>367</v>
      </c>
      <c r="H878" s="213" t="s">
        <v>381</v>
      </c>
      <c r="I878" s="213"/>
      <c r="J878" s="213"/>
      <c r="K878" s="213"/>
      <c r="L878" s="213"/>
      <c r="M878" s="213"/>
      <c r="N878" s="213"/>
      <c r="O878" s="213"/>
      <c r="P878" s="213"/>
      <c r="Q878" s="213"/>
      <c r="R878" s="213"/>
      <c r="S878" s="213" t="s">
        <v>585</v>
      </c>
      <c r="T878" s="213"/>
      <c r="U878" s="213" t="s">
        <v>559</v>
      </c>
      <c r="V878" s="213">
        <v>1</v>
      </c>
      <c r="W878" s="213" t="s">
        <v>560</v>
      </c>
      <c r="X878" s="213" t="s">
        <v>541</v>
      </c>
      <c r="Y878" s="213" t="s">
        <v>541</v>
      </c>
      <c r="Z878" s="212">
        <v>160</v>
      </c>
      <c r="AA878" s="212">
        <v>16120</v>
      </c>
      <c r="AB878" s="217">
        <v>8.8806999999999997E-2</v>
      </c>
      <c r="AC878" s="217">
        <v>0.14292099999999999</v>
      </c>
      <c r="AD878" s="212">
        <f t="shared" si="13"/>
        <v>1431.5688399999999</v>
      </c>
    </row>
    <row r="879" spans="2:30" x14ac:dyDescent="0.15">
      <c r="B879" s="213">
        <v>17043009101</v>
      </c>
      <c r="C879" s="213">
        <v>17043007376</v>
      </c>
      <c r="D879" s="213">
        <v>17043000511</v>
      </c>
      <c r="E879" s="213" t="s">
        <v>533</v>
      </c>
      <c r="F879" s="213" t="s">
        <v>534</v>
      </c>
      <c r="G879" s="213" t="s">
        <v>367</v>
      </c>
      <c r="H879" s="213" t="s">
        <v>535</v>
      </c>
      <c r="I879" s="213"/>
      <c r="J879" s="213"/>
      <c r="K879" s="213"/>
      <c r="L879" s="213"/>
      <c r="M879" s="213"/>
      <c r="N879" s="213"/>
      <c r="O879" s="213"/>
      <c r="P879" s="213"/>
      <c r="Q879" s="213"/>
      <c r="R879" s="213"/>
      <c r="S879" s="213" t="s">
        <v>624</v>
      </c>
      <c r="T879" s="213"/>
      <c r="U879" s="213" t="s">
        <v>538</v>
      </c>
      <c r="V879" s="213">
        <v>1</v>
      </c>
      <c r="W879" s="213" t="s">
        <v>582</v>
      </c>
      <c r="X879" s="213" t="s">
        <v>540</v>
      </c>
      <c r="Y879" s="213" t="s">
        <v>554</v>
      </c>
      <c r="Z879" s="212">
        <v>400</v>
      </c>
      <c r="AA879" s="212">
        <v>28360</v>
      </c>
      <c r="AB879" s="217">
        <v>1.1332850000000001</v>
      </c>
      <c r="AC879" s="217">
        <v>1.8238490000000001</v>
      </c>
      <c r="AD879" s="212">
        <f t="shared" si="13"/>
        <v>32139.962600000003</v>
      </c>
    </row>
    <row r="880" spans="2:30" x14ac:dyDescent="0.15">
      <c r="B880" s="213">
        <v>17043009105</v>
      </c>
      <c r="C880" s="213">
        <v>17043007311</v>
      </c>
      <c r="D880" s="213">
        <v>17043007313</v>
      </c>
      <c r="E880" s="213" t="s">
        <v>533</v>
      </c>
      <c r="F880" s="213" t="s">
        <v>534</v>
      </c>
      <c r="G880" s="213" t="s">
        <v>367</v>
      </c>
      <c r="H880" s="213" t="s">
        <v>535</v>
      </c>
      <c r="I880" s="213"/>
      <c r="J880" s="213"/>
      <c r="K880" s="213"/>
      <c r="L880" s="213"/>
      <c r="M880" s="213"/>
      <c r="N880" s="213"/>
      <c r="O880" s="213"/>
      <c r="P880" s="213"/>
      <c r="Q880" s="213"/>
      <c r="R880" s="213"/>
      <c r="S880" s="213" t="s">
        <v>624</v>
      </c>
      <c r="T880" s="213"/>
      <c r="U880" s="213" t="s">
        <v>538</v>
      </c>
      <c r="V880" s="213">
        <v>1</v>
      </c>
      <c r="W880" s="213" t="s">
        <v>582</v>
      </c>
      <c r="X880" s="213" t="s">
        <v>540</v>
      </c>
      <c r="Y880" s="213" t="s">
        <v>554</v>
      </c>
      <c r="Z880" s="212">
        <v>400</v>
      </c>
      <c r="AA880" s="212">
        <v>28360</v>
      </c>
      <c r="AB880" s="217">
        <v>0.491844</v>
      </c>
      <c r="AC880" s="217">
        <v>0.79154800000000003</v>
      </c>
      <c r="AD880" s="212">
        <f t="shared" si="13"/>
        <v>13948.69584</v>
      </c>
    </row>
    <row r="881" spans="2:30" x14ac:dyDescent="0.15">
      <c r="B881" s="213">
        <v>17043009118</v>
      </c>
      <c r="C881" s="213">
        <v>17043007323</v>
      </c>
      <c r="D881" s="213">
        <v>17043007326</v>
      </c>
      <c r="E881" s="213" t="s">
        <v>533</v>
      </c>
      <c r="F881" s="213" t="s">
        <v>534</v>
      </c>
      <c r="G881" s="213" t="s">
        <v>367</v>
      </c>
      <c r="H881" s="213" t="s">
        <v>535</v>
      </c>
      <c r="I881" s="213"/>
      <c r="J881" s="213"/>
      <c r="K881" s="213"/>
      <c r="L881" s="213"/>
      <c r="M881" s="213"/>
      <c r="N881" s="213"/>
      <c r="O881" s="213"/>
      <c r="P881" s="213"/>
      <c r="Q881" s="213"/>
      <c r="R881" s="213"/>
      <c r="S881" s="213"/>
      <c r="T881" s="213"/>
      <c r="U881" s="213" t="s">
        <v>559</v>
      </c>
      <c r="V881" s="213">
        <v>1</v>
      </c>
      <c r="W881" s="213" t="s">
        <v>560</v>
      </c>
      <c r="X881" s="213" t="s">
        <v>541</v>
      </c>
      <c r="Y881" s="213" t="s">
        <v>541</v>
      </c>
      <c r="Z881" s="212">
        <v>0</v>
      </c>
      <c r="AA881" s="212">
        <v>0</v>
      </c>
      <c r="AB881" s="217">
        <v>0.208153</v>
      </c>
      <c r="AC881" s="217">
        <v>0.33499000000000001</v>
      </c>
      <c r="AD881" s="212">
        <f t="shared" si="13"/>
        <v>0</v>
      </c>
    </row>
    <row r="882" spans="2:30" x14ac:dyDescent="0.15">
      <c r="B882" s="213">
        <v>17043009119</v>
      </c>
      <c r="C882" s="213">
        <v>17043007326</v>
      </c>
      <c r="D882" s="213">
        <v>17043007325</v>
      </c>
      <c r="E882" s="213" t="s">
        <v>533</v>
      </c>
      <c r="F882" s="213" t="s">
        <v>534</v>
      </c>
      <c r="G882" s="213" t="s">
        <v>367</v>
      </c>
      <c r="H882" s="213" t="s">
        <v>535</v>
      </c>
      <c r="I882" s="213"/>
      <c r="J882" s="213"/>
      <c r="K882" s="213"/>
      <c r="L882" s="213"/>
      <c r="M882" s="213"/>
      <c r="N882" s="213"/>
      <c r="O882" s="213"/>
      <c r="P882" s="213"/>
      <c r="Q882" s="213"/>
      <c r="R882" s="213"/>
      <c r="S882" s="213"/>
      <c r="T882" s="213"/>
      <c r="U882" s="213" t="s">
        <v>559</v>
      </c>
      <c r="V882" s="213">
        <v>1</v>
      </c>
      <c r="W882" s="213" t="s">
        <v>560</v>
      </c>
      <c r="X882" s="213" t="s">
        <v>541</v>
      </c>
      <c r="Y882" s="213" t="s">
        <v>541</v>
      </c>
      <c r="Z882" s="212">
        <v>0</v>
      </c>
      <c r="AA882" s="212">
        <v>0</v>
      </c>
      <c r="AB882" s="217">
        <v>0.11167000000000001</v>
      </c>
      <c r="AC882" s="217">
        <v>0.17971500000000001</v>
      </c>
      <c r="AD882" s="212">
        <f t="shared" si="13"/>
        <v>0</v>
      </c>
    </row>
    <row r="883" spans="2:30" x14ac:dyDescent="0.15">
      <c r="B883" s="213">
        <v>17043009122</v>
      </c>
      <c r="C883" s="213">
        <v>17043007325</v>
      </c>
      <c r="D883" s="213">
        <v>17043007329</v>
      </c>
      <c r="E883" s="213" t="s">
        <v>533</v>
      </c>
      <c r="F883" s="213" t="s">
        <v>534</v>
      </c>
      <c r="G883" s="213" t="s">
        <v>367</v>
      </c>
      <c r="H883" s="213" t="s">
        <v>535</v>
      </c>
      <c r="I883" s="213"/>
      <c r="J883" s="213"/>
      <c r="K883" s="213"/>
      <c r="L883" s="213"/>
      <c r="M883" s="213"/>
      <c r="N883" s="213"/>
      <c r="O883" s="213"/>
      <c r="P883" s="213"/>
      <c r="Q883" s="213"/>
      <c r="R883" s="213"/>
      <c r="S883" s="213"/>
      <c r="T883" s="213"/>
      <c r="U883" s="213" t="s">
        <v>559</v>
      </c>
      <c r="V883" s="213">
        <v>1</v>
      </c>
      <c r="W883" s="213" t="s">
        <v>560</v>
      </c>
      <c r="X883" s="213" t="s">
        <v>541</v>
      </c>
      <c r="Y883" s="213" t="s">
        <v>541</v>
      </c>
      <c r="Z883" s="212">
        <v>0</v>
      </c>
      <c r="AA883" s="212">
        <v>0</v>
      </c>
      <c r="AB883" s="217">
        <v>0.35470600000000002</v>
      </c>
      <c r="AC883" s="217">
        <v>0.57084500000000005</v>
      </c>
      <c r="AD883" s="212">
        <f t="shared" si="13"/>
        <v>0</v>
      </c>
    </row>
    <row r="884" spans="2:30" x14ac:dyDescent="0.15">
      <c r="B884" s="213">
        <v>17043009128</v>
      </c>
      <c r="C884" s="213">
        <v>17043007335</v>
      </c>
      <c r="D884" s="213">
        <v>17043000362</v>
      </c>
      <c r="E884" s="213" t="s">
        <v>533</v>
      </c>
      <c r="F884" s="213" t="s">
        <v>534</v>
      </c>
      <c r="G884" s="213" t="s">
        <v>367</v>
      </c>
      <c r="H884" s="213" t="s">
        <v>552</v>
      </c>
      <c r="I884" s="213"/>
      <c r="J884" s="213" t="s">
        <v>547</v>
      </c>
      <c r="K884" s="213"/>
      <c r="L884" s="213"/>
      <c r="M884" s="213"/>
      <c r="N884" s="213"/>
      <c r="O884" s="213"/>
      <c r="P884" s="213"/>
      <c r="Q884" s="213"/>
      <c r="R884" s="213"/>
      <c r="S884" s="213" t="s">
        <v>589</v>
      </c>
      <c r="T884" s="213"/>
      <c r="U884" s="213" t="s">
        <v>538</v>
      </c>
      <c r="V884" s="213">
        <v>2</v>
      </c>
      <c r="W884" s="213" t="s">
        <v>545</v>
      </c>
      <c r="X884" s="213" t="s">
        <v>549</v>
      </c>
      <c r="Y884" s="213" t="s">
        <v>540</v>
      </c>
      <c r="Z884" s="212">
        <v>38098</v>
      </c>
      <c r="AA884" s="212">
        <v>3594464</v>
      </c>
      <c r="AB884" s="217">
        <v>0.166546</v>
      </c>
      <c r="AC884" s="217">
        <v>0.26803100000000002</v>
      </c>
      <c r="AD884" s="212">
        <f t="shared" si="13"/>
        <v>598643.60134399997</v>
      </c>
    </row>
    <row r="885" spans="2:30" x14ac:dyDescent="0.15">
      <c r="B885" s="213">
        <v>17043009134</v>
      </c>
      <c r="C885" s="213">
        <v>17043007341</v>
      </c>
      <c r="D885" s="213">
        <v>17043007344</v>
      </c>
      <c r="E885" s="213" t="s">
        <v>533</v>
      </c>
      <c r="F885" s="213" t="s">
        <v>534</v>
      </c>
      <c r="G885" s="213" t="s">
        <v>367</v>
      </c>
      <c r="H885" s="213" t="s">
        <v>552</v>
      </c>
      <c r="I885" s="213"/>
      <c r="J885" s="213"/>
      <c r="K885" s="213"/>
      <c r="L885" s="213"/>
      <c r="M885" s="213"/>
      <c r="N885" s="213"/>
      <c r="O885" s="213"/>
      <c r="P885" s="213"/>
      <c r="Q885" s="213"/>
      <c r="R885" s="213"/>
      <c r="S885" s="213"/>
      <c r="T885" s="213"/>
      <c r="U885" s="213" t="s">
        <v>559</v>
      </c>
      <c r="V885" s="213">
        <v>1</v>
      </c>
      <c r="W885" s="213" t="s">
        <v>560</v>
      </c>
      <c r="X885" s="213" t="s">
        <v>541</v>
      </c>
      <c r="Y885" s="213" t="s">
        <v>541</v>
      </c>
      <c r="Z885" s="212">
        <v>0</v>
      </c>
      <c r="AA885" s="212">
        <v>0</v>
      </c>
      <c r="AB885" s="217">
        <v>0.103613</v>
      </c>
      <c r="AC885" s="217">
        <v>0.16675000000000001</v>
      </c>
      <c r="AD885" s="212">
        <f t="shared" si="13"/>
        <v>0</v>
      </c>
    </row>
    <row r="886" spans="2:30" x14ac:dyDescent="0.15">
      <c r="B886" s="213">
        <v>17043009143</v>
      </c>
      <c r="C886" s="213">
        <v>17043004772</v>
      </c>
      <c r="D886" s="213">
        <v>17043007349</v>
      </c>
      <c r="E886" s="213" t="s">
        <v>533</v>
      </c>
      <c r="F886" s="213" t="s">
        <v>534</v>
      </c>
      <c r="G886" s="213" t="s">
        <v>367</v>
      </c>
      <c r="H886" s="213" t="s">
        <v>552</v>
      </c>
      <c r="I886" s="213"/>
      <c r="J886" s="213" t="s">
        <v>547</v>
      </c>
      <c r="K886" s="213"/>
      <c r="L886" s="213"/>
      <c r="M886" s="213"/>
      <c r="N886" s="213"/>
      <c r="O886" s="213"/>
      <c r="P886" s="213"/>
      <c r="Q886" s="213"/>
      <c r="R886" s="213"/>
      <c r="S886" s="213" t="s">
        <v>589</v>
      </c>
      <c r="T886" s="213"/>
      <c r="U886" s="213" t="s">
        <v>538</v>
      </c>
      <c r="V886" s="213">
        <v>2</v>
      </c>
      <c r="W886" s="213" t="s">
        <v>545</v>
      </c>
      <c r="X886" s="213" t="s">
        <v>549</v>
      </c>
      <c r="Y886" s="213" t="s">
        <v>540</v>
      </c>
      <c r="Z886" s="212">
        <v>38578</v>
      </c>
      <c r="AA886" s="212">
        <v>3630264</v>
      </c>
      <c r="AB886" s="217">
        <v>0.80619099999999999</v>
      </c>
      <c r="AC886" s="217">
        <v>1.2974410000000001</v>
      </c>
      <c r="AD886" s="212">
        <f t="shared" si="13"/>
        <v>2926686.1644239998</v>
      </c>
    </row>
    <row r="887" spans="2:30" x14ac:dyDescent="0.15">
      <c r="B887" s="213">
        <v>17043009173</v>
      </c>
      <c r="C887" s="213">
        <v>17043007379</v>
      </c>
      <c r="D887" s="213">
        <v>17043007376</v>
      </c>
      <c r="E887" s="213" t="s">
        <v>533</v>
      </c>
      <c r="F887" s="213" t="s">
        <v>534</v>
      </c>
      <c r="G887" s="213" t="s">
        <v>367</v>
      </c>
      <c r="H887" s="213" t="s">
        <v>535</v>
      </c>
      <c r="I887" s="213"/>
      <c r="J887" s="213"/>
      <c r="K887" s="213"/>
      <c r="L887" s="213"/>
      <c r="M887" s="213"/>
      <c r="N887" s="213"/>
      <c r="O887" s="213"/>
      <c r="P887" s="213"/>
      <c r="Q887" s="213"/>
      <c r="R887" s="213"/>
      <c r="S887" s="213" t="s">
        <v>624</v>
      </c>
      <c r="T887" s="213"/>
      <c r="U887" s="213" t="s">
        <v>538</v>
      </c>
      <c r="V887" s="213">
        <v>1</v>
      </c>
      <c r="W887" s="213" t="s">
        <v>582</v>
      </c>
      <c r="X887" s="213" t="s">
        <v>540</v>
      </c>
      <c r="Y887" s="213" t="s">
        <v>554</v>
      </c>
      <c r="Z887" s="212">
        <v>400</v>
      </c>
      <c r="AA887" s="212">
        <v>28360</v>
      </c>
      <c r="AB887" s="217">
        <v>0.33169399999999999</v>
      </c>
      <c r="AC887" s="217">
        <v>0.53381100000000004</v>
      </c>
      <c r="AD887" s="212">
        <f t="shared" si="13"/>
        <v>9406.8418399999991</v>
      </c>
    </row>
    <row r="888" spans="2:30" x14ac:dyDescent="0.15">
      <c r="B888" s="213">
        <v>17089001811</v>
      </c>
      <c r="C888" s="213">
        <v>17089000477</v>
      </c>
      <c r="D888" s="213">
        <v>17089000476</v>
      </c>
      <c r="E888" s="213" t="s">
        <v>533</v>
      </c>
      <c r="F888" s="213" t="s">
        <v>534</v>
      </c>
      <c r="G888" s="213" t="s">
        <v>369</v>
      </c>
      <c r="H888" s="213" t="s">
        <v>382</v>
      </c>
      <c r="I888" s="213"/>
      <c r="J888" s="213"/>
      <c r="K888" s="213"/>
      <c r="L888" s="213"/>
      <c r="M888" s="213"/>
      <c r="N888" s="213"/>
      <c r="O888" s="213"/>
      <c r="P888" s="213"/>
      <c r="Q888" s="213"/>
      <c r="R888" s="213"/>
      <c r="S888" s="213" t="s">
        <v>635</v>
      </c>
      <c r="T888" s="213"/>
      <c r="U888" s="213" t="s">
        <v>559</v>
      </c>
      <c r="V888" s="213">
        <v>1</v>
      </c>
      <c r="W888" s="213" t="s">
        <v>560</v>
      </c>
      <c r="X888" s="213" t="s">
        <v>541</v>
      </c>
      <c r="Y888" s="213" t="s">
        <v>541</v>
      </c>
      <c r="Z888" s="212">
        <v>0</v>
      </c>
      <c r="AA888" s="212">
        <v>0</v>
      </c>
      <c r="AB888" s="217">
        <v>0.54022499999999996</v>
      </c>
      <c r="AC888" s="217">
        <v>0.86940899999999999</v>
      </c>
      <c r="AD888" s="212">
        <f t="shared" si="13"/>
        <v>0</v>
      </c>
    </row>
    <row r="889" spans="2:30" x14ac:dyDescent="0.15">
      <c r="B889" s="213">
        <v>17089001824</v>
      </c>
      <c r="C889" s="213">
        <v>17089001056</v>
      </c>
      <c r="D889" s="213">
        <v>17089001012</v>
      </c>
      <c r="E889" s="213" t="s">
        <v>533</v>
      </c>
      <c r="F889" s="213" t="s">
        <v>534</v>
      </c>
      <c r="G889" s="213" t="s">
        <v>369</v>
      </c>
      <c r="H889" s="213" t="s">
        <v>381</v>
      </c>
      <c r="I889" s="213"/>
      <c r="J889" s="213"/>
      <c r="K889" s="213"/>
      <c r="L889" s="213"/>
      <c r="M889" s="213"/>
      <c r="N889" s="213"/>
      <c r="O889" s="213"/>
      <c r="P889" s="213"/>
      <c r="Q889" s="213"/>
      <c r="R889" s="213"/>
      <c r="S889" s="213" t="s">
        <v>595</v>
      </c>
      <c r="T889" s="213"/>
      <c r="U889" s="213" t="s">
        <v>538</v>
      </c>
      <c r="V889" s="213">
        <v>1</v>
      </c>
      <c r="W889" s="213" t="s">
        <v>545</v>
      </c>
      <c r="X889" s="213" t="s">
        <v>549</v>
      </c>
      <c r="Y889" s="213" t="s">
        <v>546</v>
      </c>
      <c r="Z889" s="212">
        <v>890011</v>
      </c>
      <c r="AA889" s="212">
        <v>24228461</v>
      </c>
      <c r="AB889" s="217">
        <v>5.7592350000000003</v>
      </c>
      <c r="AC889" s="217">
        <v>9.2686080000000004</v>
      </c>
      <c r="AD889" s="212">
        <f t="shared" si="13"/>
        <v>139537400.58733502</v>
      </c>
    </row>
    <row r="890" spans="2:30" x14ac:dyDescent="0.15">
      <c r="B890" s="213">
        <v>17089002001</v>
      </c>
      <c r="C890" s="213">
        <v>17089004859</v>
      </c>
      <c r="D890" s="213">
        <v>17089004858</v>
      </c>
      <c r="E890" s="213" t="s">
        <v>533</v>
      </c>
      <c r="F890" s="213" t="s">
        <v>534</v>
      </c>
      <c r="G890" s="213" t="s">
        <v>369</v>
      </c>
      <c r="H890" s="213" t="s">
        <v>381</v>
      </c>
      <c r="I890" s="213"/>
      <c r="J890" s="213"/>
      <c r="K890" s="213"/>
      <c r="L890" s="213"/>
      <c r="M890" s="213"/>
      <c r="N890" s="213"/>
      <c r="O890" s="213"/>
      <c r="P890" s="213"/>
      <c r="Q890" s="213"/>
      <c r="R890" s="213"/>
      <c r="S890" s="213" t="s">
        <v>585</v>
      </c>
      <c r="T890" s="213"/>
      <c r="U890" s="213" t="s">
        <v>559</v>
      </c>
      <c r="V890" s="213">
        <v>1</v>
      </c>
      <c r="W890" s="213" t="s">
        <v>560</v>
      </c>
      <c r="X890" s="213" t="s">
        <v>541</v>
      </c>
      <c r="Y890" s="213" t="s">
        <v>541</v>
      </c>
      <c r="Z890" s="212">
        <v>160</v>
      </c>
      <c r="AA890" s="212">
        <v>16120</v>
      </c>
      <c r="AB890" s="217">
        <v>0.62467399999999995</v>
      </c>
      <c r="AC890" s="217">
        <v>1.005317</v>
      </c>
      <c r="AD890" s="212">
        <f t="shared" si="13"/>
        <v>10069.744879999998</v>
      </c>
    </row>
    <row r="891" spans="2:30" x14ac:dyDescent="0.15">
      <c r="B891" s="213">
        <v>17089002002</v>
      </c>
      <c r="C891" s="213">
        <v>17089000971</v>
      </c>
      <c r="D891" s="213">
        <v>17089000839</v>
      </c>
      <c r="E891" s="213" t="s">
        <v>533</v>
      </c>
      <c r="F891" s="213" t="s">
        <v>534</v>
      </c>
      <c r="G891" s="213" t="s">
        <v>369</v>
      </c>
      <c r="H891" s="213" t="s">
        <v>381</v>
      </c>
      <c r="I891" s="213"/>
      <c r="J891" s="213"/>
      <c r="K891" s="213"/>
      <c r="L891" s="213"/>
      <c r="M891" s="213"/>
      <c r="N891" s="213"/>
      <c r="O891" s="213"/>
      <c r="P891" s="213"/>
      <c r="Q891" s="213"/>
      <c r="R891" s="213"/>
      <c r="S891" s="213" t="s">
        <v>585</v>
      </c>
      <c r="T891" s="213"/>
      <c r="U891" s="213" t="s">
        <v>559</v>
      </c>
      <c r="V891" s="213">
        <v>1</v>
      </c>
      <c r="W891" s="213" t="s">
        <v>560</v>
      </c>
      <c r="X891" s="213" t="s">
        <v>541</v>
      </c>
      <c r="Y891" s="213" t="s">
        <v>541</v>
      </c>
      <c r="Z891" s="212">
        <v>1240</v>
      </c>
      <c r="AA891" s="212">
        <v>115920</v>
      </c>
      <c r="AB891" s="217">
        <v>2.5341490000000002</v>
      </c>
      <c r="AC891" s="217">
        <v>4.0783259999999997</v>
      </c>
      <c r="AD891" s="212">
        <f t="shared" si="13"/>
        <v>293758.55208000005</v>
      </c>
    </row>
    <row r="892" spans="2:30" x14ac:dyDescent="0.15">
      <c r="B892" s="213">
        <v>17089002003</v>
      </c>
      <c r="C892" s="213">
        <v>17089001056</v>
      </c>
      <c r="D892" s="213">
        <v>17089000835</v>
      </c>
      <c r="E892" s="213" t="s">
        <v>533</v>
      </c>
      <c r="F892" s="213" t="s">
        <v>534</v>
      </c>
      <c r="G892" s="213" t="s">
        <v>369</v>
      </c>
      <c r="H892" s="213" t="s">
        <v>381</v>
      </c>
      <c r="I892" s="213"/>
      <c r="J892" s="213"/>
      <c r="K892" s="213"/>
      <c r="L892" s="213"/>
      <c r="M892" s="213"/>
      <c r="N892" s="213"/>
      <c r="O892" s="213"/>
      <c r="P892" s="213"/>
      <c r="Q892" s="213"/>
      <c r="R892" s="213"/>
      <c r="S892" s="213" t="s">
        <v>672</v>
      </c>
      <c r="T892" s="213"/>
      <c r="U892" s="213" t="s">
        <v>559</v>
      </c>
      <c r="V892" s="213">
        <v>1</v>
      </c>
      <c r="W892" s="213" t="s">
        <v>560</v>
      </c>
      <c r="X892" s="213" t="s">
        <v>541</v>
      </c>
      <c r="Y892" s="213" t="s">
        <v>541</v>
      </c>
      <c r="Z892" s="212">
        <v>0</v>
      </c>
      <c r="AA892" s="212">
        <v>0</v>
      </c>
      <c r="AB892" s="217">
        <v>3.5094259999999999</v>
      </c>
      <c r="AC892" s="217">
        <v>5.6478849999999996</v>
      </c>
      <c r="AD892" s="212">
        <f t="shared" si="13"/>
        <v>0</v>
      </c>
    </row>
    <row r="893" spans="2:30" x14ac:dyDescent="0.15">
      <c r="B893" s="213">
        <v>17089002009</v>
      </c>
      <c r="C893" s="213">
        <v>17089004856</v>
      </c>
      <c r="D893" s="213">
        <v>17089001010</v>
      </c>
      <c r="E893" s="213" t="s">
        <v>533</v>
      </c>
      <c r="F893" s="213" t="s">
        <v>534</v>
      </c>
      <c r="G893" s="213" t="s">
        <v>369</v>
      </c>
      <c r="H893" s="213" t="s">
        <v>547</v>
      </c>
      <c r="I893" s="213"/>
      <c r="J893" s="213"/>
      <c r="K893" s="213"/>
      <c r="L893" s="213"/>
      <c r="M893" s="213"/>
      <c r="N893" s="213"/>
      <c r="O893" s="213"/>
      <c r="P893" s="213"/>
      <c r="Q893" s="213"/>
      <c r="R893" s="213"/>
      <c r="S893" s="213"/>
      <c r="T893" s="213"/>
      <c r="U893" s="213" t="s">
        <v>538</v>
      </c>
      <c r="V893" s="213">
        <v>2</v>
      </c>
      <c r="W893" s="213" t="s">
        <v>545</v>
      </c>
      <c r="X893" s="213" t="s">
        <v>554</v>
      </c>
      <c r="Y893" s="213" t="s">
        <v>541</v>
      </c>
      <c r="Z893" s="212">
        <v>0</v>
      </c>
      <c r="AA893" s="212">
        <v>0</v>
      </c>
      <c r="AB893" s="217">
        <v>0.274953</v>
      </c>
      <c r="AC893" s="217">
        <v>0.442494</v>
      </c>
      <c r="AD893" s="212">
        <f t="shared" si="13"/>
        <v>0</v>
      </c>
    </row>
    <row r="894" spans="2:30" x14ac:dyDescent="0.15">
      <c r="B894" s="213">
        <v>17089002010</v>
      </c>
      <c r="C894" s="213">
        <v>17089001055</v>
      </c>
      <c r="D894" s="213">
        <v>17089001050</v>
      </c>
      <c r="E894" s="213" t="s">
        <v>533</v>
      </c>
      <c r="F894" s="213" t="s">
        <v>534</v>
      </c>
      <c r="G894" s="213" t="s">
        <v>369</v>
      </c>
      <c r="H894" s="213" t="s">
        <v>381</v>
      </c>
      <c r="I894" s="213"/>
      <c r="J894" s="213" t="s">
        <v>542</v>
      </c>
      <c r="K894" s="213" t="s">
        <v>578</v>
      </c>
      <c r="L894" s="213" t="s">
        <v>382</v>
      </c>
      <c r="M894" s="213"/>
      <c r="N894" s="213"/>
      <c r="O894" s="213"/>
      <c r="P894" s="213"/>
      <c r="Q894" s="213"/>
      <c r="R894" s="213"/>
      <c r="S894" s="213" t="s">
        <v>579</v>
      </c>
      <c r="T894" s="213"/>
      <c r="U894" s="213" t="s">
        <v>538</v>
      </c>
      <c r="V894" s="213">
        <v>2</v>
      </c>
      <c r="W894" s="213" t="s">
        <v>545</v>
      </c>
      <c r="X894" s="213" t="s">
        <v>549</v>
      </c>
      <c r="Y894" s="213" t="s">
        <v>580</v>
      </c>
      <c r="Z894" s="212">
        <v>409695</v>
      </c>
      <c r="AA894" s="212">
        <v>38878165</v>
      </c>
      <c r="AB894" s="217">
        <v>0.72587900000000005</v>
      </c>
      <c r="AC894" s="217">
        <v>1.1681919999999999</v>
      </c>
      <c r="AD894" s="212">
        <f t="shared" si="13"/>
        <v>28220843.532035001</v>
      </c>
    </row>
    <row r="895" spans="2:30" x14ac:dyDescent="0.15">
      <c r="B895" s="213">
        <v>17089002027</v>
      </c>
      <c r="C895" s="213">
        <v>17999019390</v>
      </c>
      <c r="D895" s="213">
        <v>17089004855</v>
      </c>
      <c r="E895" s="213" t="s">
        <v>533</v>
      </c>
      <c r="F895" s="213" t="s">
        <v>534</v>
      </c>
      <c r="G895" s="213" t="s">
        <v>369</v>
      </c>
      <c r="H895" s="213" t="s">
        <v>552</v>
      </c>
      <c r="I895" s="213"/>
      <c r="J895" s="213"/>
      <c r="K895" s="213"/>
      <c r="L895" s="213"/>
      <c r="M895" s="213"/>
      <c r="N895" s="213"/>
      <c r="O895" s="213"/>
      <c r="P895" s="213"/>
      <c r="Q895" s="213"/>
      <c r="R895" s="213"/>
      <c r="S895" s="213" t="s">
        <v>607</v>
      </c>
      <c r="T895" s="213"/>
      <c r="U895" s="213" t="s">
        <v>538</v>
      </c>
      <c r="V895" s="213">
        <v>1</v>
      </c>
      <c r="W895" s="213" t="s">
        <v>582</v>
      </c>
      <c r="X895" s="213" t="s">
        <v>540</v>
      </c>
      <c r="Y895" s="213" t="s">
        <v>540</v>
      </c>
      <c r="Z895" s="212">
        <v>35969</v>
      </c>
      <c r="AA895" s="212">
        <v>3389195</v>
      </c>
      <c r="AB895" s="217">
        <v>2.9751300000000001</v>
      </c>
      <c r="AC895" s="217">
        <v>4.7880180000000001</v>
      </c>
      <c r="AD895" s="212">
        <f t="shared" si="13"/>
        <v>10083295.720350001</v>
      </c>
    </row>
    <row r="896" spans="2:30" x14ac:dyDescent="0.15">
      <c r="B896" s="213">
        <v>17089002028</v>
      </c>
      <c r="C896" s="213">
        <v>17089000305</v>
      </c>
      <c r="D896" s="213">
        <v>17089000262</v>
      </c>
      <c r="E896" s="213" t="s">
        <v>533</v>
      </c>
      <c r="F896" s="213" t="s">
        <v>534</v>
      </c>
      <c r="G896" s="213" t="s">
        <v>369</v>
      </c>
      <c r="H896" s="213" t="s">
        <v>382</v>
      </c>
      <c r="I896" s="213"/>
      <c r="J896" s="213"/>
      <c r="K896" s="213"/>
      <c r="L896" s="213"/>
      <c r="M896" s="213"/>
      <c r="N896" s="213"/>
      <c r="O896" s="213"/>
      <c r="P896" s="213"/>
      <c r="Q896" s="213"/>
      <c r="R896" s="213"/>
      <c r="S896" s="213" t="s">
        <v>561</v>
      </c>
      <c r="T896" s="213"/>
      <c r="U896" s="213" t="s">
        <v>538</v>
      </c>
      <c r="V896" s="213">
        <v>1</v>
      </c>
      <c r="W896" s="213" t="s">
        <v>562</v>
      </c>
      <c r="X896" s="213" t="s">
        <v>540</v>
      </c>
      <c r="Y896" s="213" t="s">
        <v>541</v>
      </c>
      <c r="Z896" s="212">
        <v>12200</v>
      </c>
      <c r="AA896" s="212">
        <v>287800</v>
      </c>
      <c r="AB896" s="217">
        <v>8.6920459999999995</v>
      </c>
      <c r="AC896" s="217">
        <v>13.988519999999999</v>
      </c>
      <c r="AD896" s="212">
        <f t="shared" si="13"/>
        <v>2501570.8388</v>
      </c>
    </row>
    <row r="897" spans="2:30" x14ac:dyDescent="0.15">
      <c r="B897" s="213">
        <v>17089002030</v>
      </c>
      <c r="C897" s="213">
        <v>17089000287</v>
      </c>
      <c r="D897" s="213">
        <v>17089000284</v>
      </c>
      <c r="E897" s="213" t="s">
        <v>533</v>
      </c>
      <c r="F897" s="213" t="s">
        <v>534</v>
      </c>
      <c r="G897" s="213" t="s">
        <v>369</v>
      </c>
      <c r="H897" s="213" t="s">
        <v>552</v>
      </c>
      <c r="I897" s="213"/>
      <c r="J897" s="213"/>
      <c r="K897" s="213"/>
      <c r="L897" s="213"/>
      <c r="M897" s="213"/>
      <c r="N897" s="213"/>
      <c r="O897" s="213"/>
      <c r="P897" s="213"/>
      <c r="Q897" s="213"/>
      <c r="R897" s="213"/>
      <c r="S897" s="213" t="s">
        <v>607</v>
      </c>
      <c r="T897" s="213"/>
      <c r="U897" s="213" t="s">
        <v>538</v>
      </c>
      <c r="V897" s="213">
        <v>1</v>
      </c>
      <c r="W897" s="213" t="s">
        <v>582</v>
      </c>
      <c r="X897" s="213" t="s">
        <v>540</v>
      </c>
      <c r="Y897" s="213" t="s">
        <v>540</v>
      </c>
      <c r="Z897" s="212">
        <v>36089</v>
      </c>
      <c r="AA897" s="212">
        <v>3395595</v>
      </c>
      <c r="AB897" s="217">
        <v>2.67205</v>
      </c>
      <c r="AC897" s="217">
        <v>4.3002560000000001</v>
      </c>
      <c r="AD897" s="212">
        <f t="shared" si="13"/>
        <v>9073199.6197500005</v>
      </c>
    </row>
    <row r="898" spans="2:30" x14ac:dyDescent="0.15">
      <c r="B898" s="213">
        <v>17089002035</v>
      </c>
      <c r="C898" s="213">
        <v>17089004852</v>
      </c>
      <c r="D898" s="213">
        <v>17089004853</v>
      </c>
      <c r="E898" s="213" t="s">
        <v>533</v>
      </c>
      <c r="F898" s="213" t="s">
        <v>534</v>
      </c>
      <c r="G898" s="213" t="s">
        <v>369</v>
      </c>
      <c r="H898" s="213" t="s">
        <v>552</v>
      </c>
      <c r="I898" s="213"/>
      <c r="J898" s="213" t="s">
        <v>547</v>
      </c>
      <c r="K898" s="213"/>
      <c r="L898" s="213"/>
      <c r="M898" s="213"/>
      <c r="N898" s="213"/>
      <c r="O898" s="213"/>
      <c r="P898" s="213"/>
      <c r="Q898" s="213"/>
      <c r="R898" s="213"/>
      <c r="S898" s="213" t="s">
        <v>589</v>
      </c>
      <c r="T898" s="213"/>
      <c r="U898" s="213" t="s">
        <v>538</v>
      </c>
      <c r="V898" s="213">
        <v>2</v>
      </c>
      <c r="W898" s="213" t="s">
        <v>545</v>
      </c>
      <c r="X898" s="213" t="s">
        <v>549</v>
      </c>
      <c r="Y898" s="213" t="s">
        <v>540</v>
      </c>
      <c r="Z898" s="212">
        <v>36089</v>
      </c>
      <c r="AA898" s="212">
        <v>3395595</v>
      </c>
      <c r="AB898" s="217">
        <v>0.39046799999999998</v>
      </c>
      <c r="AC898" s="217">
        <v>0.62839800000000001</v>
      </c>
      <c r="AD898" s="212">
        <f t="shared" si="13"/>
        <v>1325871.1884599999</v>
      </c>
    </row>
    <row r="899" spans="2:30" x14ac:dyDescent="0.15">
      <c r="B899" s="213">
        <v>17089002036</v>
      </c>
      <c r="C899" s="213">
        <v>17999019825</v>
      </c>
      <c r="D899" s="213">
        <v>17089004851</v>
      </c>
      <c r="E899" s="213" t="s">
        <v>533</v>
      </c>
      <c r="F899" s="213" t="s">
        <v>534</v>
      </c>
      <c r="G899" s="213" t="s">
        <v>369</v>
      </c>
      <c r="H899" s="213" t="s">
        <v>552</v>
      </c>
      <c r="I899" s="213"/>
      <c r="J899" s="213" t="s">
        <v>547</v>
      </c>
      <c r="K899" s="213"/>
      <c r="L899" s="213"/>
      <c r="M899" s="213"/>
      <c r="N899" s="213"/>
      <c r="O899" s="213"/>
      <c r="P899" s="213"/>
      <c r="Q899" s="213"/>
      <c r="R899" s="213"/>
      <c r="S899" s="213" t="s">
        <v>589</v>
      </c>
      <c r="T899" s="213"/>
      <c r="U899" s="213" t="s">
        <v>538</v>
      </c>
      <c r="V899" s="213">
        <v>2</v>
      </c>
      <c r="W899" s="213" t="s">
        <v>545</v>
      </c>
      <c r="X899" s="213" t="s">
        <v>549</v>
      </c>
      <c r="Y899" s="213" t="s">
        <v>540</v>
      </c>
      <c r="Z899" s="212">
        <v>36089</v>
      </c>
      <c r="AA899" s="212">
        <v>3395595</v>
      </c>
      <c r="AB899" s="217">
        <v>0.79066400000000003</v>
      </c>
      <c r="AC899" s="217">
        <v>1.272454</v>
      </c>
      <c r="AD899" s="212">
        <f t="shared" si="13"/>
        <v>2684774.7250800002</v>
      </c>
    </row>
    <row r="900" spans="2:30" x14ac:dyDescent="0.15">
      <c r="B900" s="213">
        <v>17089002046</v>
      </c>
      <c r="C900" s="213">
        <v>17089004846</v>
      </c>
      <c r="D900" s="213">
        <v>17089004845</v>
      </c>
      <c r="E900" s="213" t="s">
        <v>533</v>
      </c>
      <c r="F900" s="213" t="s">
        <v>534</v>
      </c>
      <c r="G900" s="213" t="s">
        <v>369</v>
      </c>
      <c r="H900" s="213" t="s">
        <v>382</v>
      </c>
      <c r="I900" s="213"/>
      <c r="J900" s="213" t="s">
        <v>547</v>
      </c>
      <c r="K900" s="213"/>
      <c r="L900" s="213"/>
      <c r="M900" s="213"/>
      <c r="N900" s="213"/>
      <c r="O900" s="213"/>
      <c r="P900" s="213"/>
      <c r="Q900" s="213"/>
      <c r="R900" s="213"/>
      <c r="S900" s="213" t="s">
        <v>583</v>
      </c>
      <c r="T900" s="213"/>
      <c r="U900" s="213" t="s">
        <v>538</v>
      </c>
      <c r="V900" s="213">
        <v>2</v>
      </c>
      <c r="W900" s="213" t="s">
        <v>588</v>
      </c>
      <c r="X900" s="213" t="s">
        <v>549</v>
      </c>
      <c r="Y900" s="213" t="s">
        <v>575</v>
      </c>
      <c r="Z900" s="212">
        <v>1875948</v>
      </c>
      <c r="AA900" s="212">
        <v>76055962</v>
      </c>
      <c r="AB900" s="217">
        <v>1.7307300000000001</v>
      </c>
      <c r="AC900" s="217">
        <v>2.785345</v>
      </c>
      <c r="AD900" s="212">
        <f t="shared" si="13"/>
        <v>131632335.11226001</v>
      </c>
    </row>
    <row r="901" spans="2:30" x14ac:dyDescent="0.15">
      <c r="B901" s="213">
        <v>17089002065</v>
      </c>
      <c r="C901" s="213">
        <v>17089000297</v>
      </c>
      <c r="D901" s="213">
        <v>17089000295</v>
      </c>
      <c r="E901" s="213" t="s">
        <v>533</v>
      </c>
      <c r="F901" s="213" t="s">
        <v>534</v>
      </c>
      <c r="G901" s="213" t="s">
        <v>369</v>
      </c>
      <c r="H901" s="213" t="s">
        <v>535</v>
      </c>
      <c r="I901" s="213"/>
      <c r="J901" s="213"/>
      <c r="K901" s="213"/>
      <c r="L901" s="213"/>
      <c r="M901" s="213"/>
      <c r="N901" s="213"/>
      <c r="O901" s="213"/>
      <c r="P901" s="213"/>
      <c r="Q901" s="213"/>
      <c r="R901" s="213"/>
      <c r="S901" s="213" t="s">
        <v>624</v>
      </c>
      <c r="T901" s="213"/>
      <c r="U901" s="213" t="s">
        <v>538</v>
      </c>
      <c r="V901" s="213">
        <v>1</v>
      </c>
      <c r="W901" s="213" t="s">
        <v>582</v>
      </c>
      <c r="X901" s="213" t="s">
        <v>549</v>
      </c>
      <c r="Y901" s="213" t="s">
        <v>554</v>
      </c>
      <c r="Z901" s="212">
        <v>42612</v>
      </c>
      <c r="AA901" s="212">
        <v>3996491</v>
      </c>
      <c r="AB901" s="217">
        <v>1.3421810000000001</v>
      </c>
      <c r="AC901" s="217">
        <v>2.1600359999999998</v>
      </c>
      <c r="AD901" s="212">
        <f t="shared" si="13"/>
        <v>5364014.2868710002</v>
      </c>
    </row>
    <row r="902" spans="2:30" x14ac:dyDescent="0.15">
      <c r="B902" s="213">
        <v>17089002072</v>
      </c>
      <c r="C902" s="213">
        <v>17089000474</v>
      </c>
      <c r="D902" s="213">
        <v>17089004844</v>
      </c>
      <c r="E902" s="213" t="s">
        <v>533</v>
      </c>
      <c r="F902" s="213" t="s">
        <v>534</v>
      </c>
      <c r="G902" s="213" t="s">
        <v>369</v>
      </c>
      <c r="H902" s="213" t="s">
        <v>382</v>
      </c>
      <c r="I902" s="213"/>
      <c r="J902" s="213"/>
      <c r="K902" s="213"/>
      <c r="L902" s="213"/>
      <c r="M902" s="213"/>
      <c r="N902" s="213"/>
      <c r="O902" s="213"/>
      <c r="P902" s="213"/>
      <c r="Q902" s="213"/>
      <c r="R902" s="213"/>
      <c r="S902" s="213" t="s">
        <v>635</v>
      </c>
      <c r="T902" s="213"/>
      <c r="U902" s="213" t="s">
        <v>559</v>
      </c>
      <c r="V902" s="213">
        <v>1</v>
      </c>
      <c r="W902" s="213" t="s">
        <v>560</v>
      </c>
      <c r="X902" s="213" t="s">
        <v>541</v>
      </c>
      <c r="Y902" s="213" t="s">
        <v>541</v>
      </c>
      <c r="Z902" s="212">
        <v>0</v>
      </c>
      <c r="AA902" s="212">
        <v>0</v>
      </c>
      <c r="AB902" s="217">
        <v>0.55306900000000003</v>
      </c>
      <c r="AC902" s="217">
        <v>0.89008100000000001</v>
      </c>
      <c r="AD902" s="212">
        <f t="shared" ref="AD902:AD965" si="14">AA902*AB902</f>
        <v>0</v>
      </c>
    </row>
    <row r="903" spans="2:30" x14ac:dyDescent="0.15">
      <c r="B903" s="213">
        <v>17089002073</v>
      </c>
      <c r="C903" s="213">
        <v>17089004846</v>
      </c>
      <c r="D903" s="213">
        <v>17089004847</v>
      </c>
      <c r="E903" s="213" t="s">
        <v>533</v>
      </c>
      <c r="F903" s="213" t="s">
        <v>534</v>
      </c>
      <c r="G903" s="213" t="s">
        <v>369</v>
      </c>
      <c r="H903" s="213" t="s">
        <v>382</v>
      </c>
      <c r="I903" s="213"/>
      <c r="J903" s="213" t="s">
        <v>547</v>
      </c>
      <c r="K903" s="213"/>
      <c r="L903" s="213"/>
      <c r="M903" s="213"/>
      <c r="N903" s="213"/>
      <c r="O903" s="213"/>
      <c r="P903" s="213"/>
      <c r="Q903" s="213"/>
      <c r="R903" s="213"/>
      <c r="S903" s="213" t="s">
        <v>583</v>
      </c>
      <c r="T903" s="213"/>
      <c r="U903" s="213" t="s">
        <v>538</v>
      </c>
      <c r="V903" s="213">
        <v>2</v>
      </c>
      <c r="W903" s="213" t="s">
        <v>588</v>
      </c>
      <c r="X903" s="213" t="s">
        <v>549</v>
      </c>
      <c r="Y903" s="213" t="s">
        <v>575</v>
      </c>
      <c r="Z903" s="212">
        <v>1875948</v>
      </c>
      <c r="AA903" s="212">
        <v>76055962</v>
      </c>
      <c r="AB903" s="217">
        <v>1.051024</v>
      </c>
      <c r="AC903" s="217">
        <v>1.691462</v>
      </c>
      <c r="AD903" s="212">
        <f t="shared" si="14"/>
        <v>79936641.405087993</v>
      </c>
    </row>
    <row r="904" spans="2:30" x14ac:dyDescent="0.15">
      <c r="B904" s="213">
        <v>17089002695</v>
      </c>
      <c r="C904" s="213">
        <v>17999021945</v>
      </c>
      <c r="D904" s="213">
        <v>17089001083</v>
      </c>
      <c r="E904" s="213" t="s">
        <v>533</v>
      </c>
      <c r="F904" s="213" t="s">
        <v>534</v>
      </c>
      <c r="G904" s="213" t="s">
        <v>369</v>
      </c>
      <c r="H904" s="213" t="s">
        <v>578</v>
      </c>
      <c r="I904" s="213"/>
      <c r="J904" s="213"/>
      <c r="K904" s="213"/>
      <c r="L904" s="213"/>
      <c r="M904" s="213"/>
      <c r="N904" s="213"/>
      <c r="O904" s="213"/>
      <c r="P904" s="213"/>
      <c r="Q904" s="213"/>
      <c r="R904" s="213"/>
      <c r="S904" s="213"/>
      <c r="T904" s="213"/>
      <c r="U904" s="213" t="s">
        <v>538</v>
      </c>
      <c r="V904" s="213">
        <v>1</v>
      </c>
      <c r="W904" s="213" t="s">
        <v>560</v>
      </c>
      <c r="X904" s="213" t="s">
        <v>541</v>
      </c>
      <c r="Y904" s="213" t="s">
        <v>541</v>
      </c>
      <c r="Z904" s="212">
        <v>15608</v>
      </c>
      <c r="AA904" s="212">
        <v>1529652</v>
      </c>
      <c r="AB904" s="217">
        <v>0.43187599999999998</v>
      </c>
      <c r="AC904" s="217">
        <v>0.69503800000000004</v>
      </c>
      <c r="AD904" s="212">
        <f t="shared" si="14"/>
        <v>660619.98715199996</v>
      </c>
    </row>
    <row r="905" spans="2:30" x14ac:dyDescent="0.15">
      <c r="B905" s="213">
        <v>17089003257</v>
      </c>
      <c r="C905" s="213">
        <v>17089000982</v>
      </c>
      <c r="D905" s="213">
        <v>17089000965</v>
      </c>
      <c r="E905" s="213" t="s">
        <v>533</v>
      </c>
      <c r="F905" s="213" t="s">
        <v>534</v>
      </c>
      <c r="G905" s="213" t="s">
        <v>369</v>
      </c>
      <c r="H905" s="213" t="s">
        <v>381</v>
      </c>
      <c r="I905" s="213"/>
      <c r="J905" s="213" t="s">
        <v>542</v>
      </c>
      <c r="K905" s="213" t="s">
        <v>578</v>
      </c>
      <c r="L905" s="213" t="s">
        <v>547</v>
      </c>
      <c r="M905" s="213" t="s">
        <v>382</v>
      </c>
      <c r="N905" s="213"/>
      <c r="O905" s="213"/>
      <c r="P905" s="213"/>
      <c r="Q905" s="213"/>
      <c r="R905" s="213"/>
      <c r="S905" s="213" t="s">
        <v>579</v>
      </c>
      <c r="T905" s="213"/>
      <c r="U905" s="213" t="s">
        <v>538</v>
      </c>
      <c r="V905" s="213">
        <v>3</v>
      </c>
      <c r="W905" s="213" t="s">
        <v>545</v>
      </c>
      <c r="X905" s="213" t="s">
        <v>540</v>
      </c>
      <c r="Y905" s="213" t="s">
        <v>575</v>
      </c>
      <c r="Z905" s="212">
        <v>1289946</v>
      </c>
      <c r="AA905" s="212">
        <v>62180706</v>
      </c>
      <c r="AB905" s="217">
        <v>0.28017700000000001</v>
      </c>
      <c r="AC905" s="217">
        <v>0.450903</v>
      </c>
      <c r="AD905" s="212">
        <f t="shared" si="14"/>
        <v>17421603.664962001</v>
      </c>
    </row>
    <row r="906" spans="2:30" x14ac:dyDescent="0.15">
      <c r="B906" s="213">
        <v>17089006563</v>
      </c>
      <c r="C906" s="213">
        <v>17089000473</v>
      </c>
      <c r="D906" s="213">
        <v>17089000474</v>
      </c>
      <c r="E906" s="213" t="s">
        <v>533</v>
      </c>
      <c r="F906" s="213" t="s">
        <v>534</v>
      </c>
      <c r="G906" s="213" t="s">
        <v>369</v>
      </c>
      <c r="H906" s="213" t="s">
        <v>382</v>
      </c>
      <c r="I906" s="213"/>
      <c r="J906" s="213"/>
      <c r="K906" s="213"/>
      <c r="L906" s="213"/>
      <c r="M906" s="213"/>
      <c r="N906" s="213"/>
      <c r="O906" s="213"/>
      <c r="P906" s="213"/>
      <c r="Q906" s="213"/>
      <c r="R906" s="213"/>
      <c r="S906" s="213" t="s">
        <v>635</v>
      </c>
      <c r="T906" s="213"/>
      <c r="U906" s="213" t="s">
        <v>559</v>
      </c>
      <c r="V906" s="213">
        <v>1</v>
      </c>
      <c r="W906" s="213" t="s">
        <v>560</v>
      </c>
      <c r="X906" s="213" t="s">
        <v>541</v>
      </c>
      <c r="Y906" s="213" t="s">
        <v>541</v>
      </c>
      <c r="Z906" s="212">
        <v>0</v>
      </c>
      <c r="AA906" s="212">
        <v>0</v>
      </c>
      <c r="AB906" s="217">
        <v>0.30532799999999999</v>
      </c>
      <c r="AC906" s="217">
        <v>0.49137900000000001</v>
      </c>
      <c r="AD906" s="212">
        <f t="shared" si="14"/>
        <v>0</v>
      </c>
    </row>
    <row r="907" spans="2:30" x14ac:dyDescent="0.15">
      <c r="B907" s="213">
        <v>17089006569</v>
      </c>
      <c r="C907" s="213">
        <v>17999021944</v>
      </c>
      <c r="D907" s="213">
        <v>17089001087</v>
      </c>
      <c r="E907" s="213" t="s">
        <v>533</v>
      </c>
      <c r="F907" s="213" t="s">
        <v>534</v>
      </c>
      <c r="G907" s="213" t="s">
        <v>369</v>
      </c>
      <c r="H907" s="213" t="s">
        <v>381</v>
      </c>
      <c r="I907" s="213"/>
      <c r="J907" s="213" t="s">
        <v>542</v>
      </c>
      <c r="K907" s="213" t="s">
        <v>382</v>
      </c>
      <c r="L907" s="213"/>
      <c r="M907" s="213"/>
      <c r="N907" s="213"/>
      <c r="O907" s="213"/>
      <c r="P907" s="213"/>
      <c r="Q907" s="213"/>
      <c r="R907" s="213"/>
      <c r="S907" s="213" t="s">
        <v>619</v>
      </c>
      <c r="T907" s="213"/>
      <c r="U907" s="213" t="s">
        <v>538</v>
      </c>
      <c r="V907" s="213">
        <v>2</v>
      </c>
      <c r="W907" s="213" t="s">
        <v>545</v>
      </c>
      <c r="X907" s="213" t="s">
        <v>549</v>
      </c>
      <c r="Y907" s="213" t="s">
        <v>580</v>
      </c>
      <c r="Z907" s="212">
        <v>413307</v>
      </c>
      <c r="AA907" s="212">
        <v>39202049</v>
      </c>
      <c r="AB907" s="217">
        <v>0.28369800000000001</v>
      </c>
      <c r="AC907" s="217">
        <v>0.45656799999999997</v>
      </c>
      <c r="AD907" s="212">
        <f t="shared" si="14"/>
        <v>11121542.897202</v>
      </c>
    </row>
    <row r="908" spans="2:30" x14ac:dyDescent="0.15">
      <c r="B908" s="213">
        <v>17093002022</v>
      </c>
      <c r="C908" s="213">
        <v>17093004862</v>
      </c>
      <c r="D908" s="213">
        <v>17093004861</v>
      </c>
      <c r="E908" s="213" t="s">
        <v>533</v>
      </c>
      <c r="F908" s="213" t="s">
        <v>534</v>
      </c>
      <c r="G908" s="213" t="s">
        <v>371</v>
      </c>
      <c r="H908" s="213" t="s">
        <v>578</v>
      </c>
      <c r="I908" s="213"/>
      <c r="J908" s="213"/>
      <c r="K908" s="213"/>
      <c r="L908" s="213"/>
      <c r="M908" s="213"/>
      <c r="N908" s="213"/>
      <c r="O908" s="213"/>
      <c r="P908" s="213"/>
      <c r="Q908" s="213"/>
      <c r="R908" s="213"/>
      <c r="S908" s="213"/>
      <c r="T908" s="213"/>
      <c r="U908" s="213" t="s">
        <v>538</v>
      </c>
      <c r="V908" s="213">
        <v>1</v>
      </c>
      <c r="W908" s="213" t="s">
        <v>560</v>
      </c>
      <c r="X908" s="213" t="s">
        <v>541</v>
      </c>
      <c r="Y908" s="213" t="s">
        <v>541</v>
      </c>
      <c r="Z908" s="212">
        <v>15608</v>
      </c>
      <c r="AA908" s="212">
        <v>1529652</v>
      </c>
      <c r="AB908" s="217">
        <v>3.1747290000000001</v>
      </c>
      <c r="AC908" s="217">
        <v>5.1092420000000001</v>
      </c>
      <c r="AD908" s="212">
        <f t="shared" si="14"/>
        <v>4856230.5643079998</v>
      </c>
    </row>
    <row r="909" spans="2:30" x14ac:dyDescent="0.15">
      <c r="B909" s="213">
        <v>17093002025</v>
      </c>
      <c r="C909" s="213">
        <v>17999024460</v>
      </c>
      <c r="D909" s="213">
        <v>17999024341</v>
      </c>
      <c r="E909" s="213" t="s">
        <v>533</v>
      </c>
      <c r="F909" s="213" t="s">
        <v>534</v>
      </c>
      <c r="G909" s="213" t="s">
        <v>371</v>
      </c>
      <c r="H909" s="213" t="s">
        <v>535</v>
      </c>
      <c r="I909" s="213"/>
      <c r="J909" s="213"/>
      <c r="K909" s="213"/>
      <c r="L909" s="213"/>
      <c r="M909" s="213"/>
      <c r="N909" s="213"/>
      <c r="O909" s="213"/>
      <c r="P909" s="213"/>
      <c r="Q909" s="213"/>
      <c r="R909" s="213"/>
      <c r="S909" s="213" t="s">
        <v>673</v>
      </c>
      <c r="T909" s="213"/>
      <c r="U909" s="213" t="s">
        <v>538</v>
      </c>
      <c r="V909" s="213">
        <v>1</v>
      </c>
      <c r="W909" s="213" t="s">
        <v>560</v>
      </c>
      <c r="X909" s="213" t="s">
        <v>554</v>
      </c>
      <c r="Y909" s="213" t="s">
        <v>541</v>
      </c>
      <c r="Z909" s="212">
        <v>19076</v>
      </c>
      <c r="AA909" s="212">
        <v>1685976</v>
      </c>
      <c r="AB909" s="217">
        <v>1.12005</v>
      </c>
      <c r="AC909" s="217">
        <v>1.8025500000000001</v>
      </c>
      <c r="AD909" s="212">
        <f t="shared" si="14"/>
        <v>1888377.4187999999</v>
      </c>
    </row>
    <row r="910" spans="2:30" x14ac:dyDescent="0.15">
      <c r="B910" s="213">
        <v>17093002071</v>
      </c>
      <c r="C910" s="213">
        <v>17093001283</v>
      </c>
      <c r="D910" s="213">
        <v>17093001271</v>
      </c>
      <c r="E910" s="213" t="s">
        <v>533</v>
      </c>
      <c r="F910" s="213" t="s">
        <v>534</v>
      </c>
      <c r="G910" s="213" t="s">
        <v>371</v>
      </c>
      <c r="H910" s="213" t="s">
        <v>381</v>
      </c>
      <c r="I910" s="213"/>
      <c r="J910" s="213" t="s">
        <v>542</v>
      </c>
      <c r="K910" s="213" t="s">
        <v>382</v>
      </c>
      <c r="L910" s="213"/>
      <c r="M910" s="213"/>
      <c r="N910" s="213"/>
      <c r="O910" s="213"/>
      <c r="P910" s="213"/>
      <c r="Q910" s="213"/>
      <c r="R910" s="213"/>
      <c r="S910" s="213" t="s">
        <v>619</v>
      </c>
      <c r="T910" s="213"/>
      <c r="U910" s="213" t="s">
        <v>538</v>
      </c>
      <c r="V910" s="213">
        <v>2</v>
      </c>
      <c r="W910" s="213" t="s">
        <v>545</v>
      </c>
      <c r="X910" s="213" t="s">
        <v>549</v>
      </c>
      <c r="Y910" s="213" t="s">
        <v>580</v>
      </c>
      <c r="Z910" s="212">
        <v>412467</v>
      </c>
      <c r="AA910" s="212">
        <v>39126329</v>
      </c>
      <c r="AB910" s="217">
        <v>3.2788149999999998</v>
      </c>
      <c r="AC910" s="217">
        <v>5.276751</v>
      </c>
      <c r="AD910" s="212">
        <f t="shared" si="14"/>
        <v>128287994.42013499</v>
      </c>
    </row>
    <row r="911" spans="2:30" x14ac:dyDescent="0.15">
      <c r="B911" s="213">
        <v>17093002926</v>
      </c>
      <c r="C911" s="213">
        <v>17999023611</v>
      </c>
      <c r="D911" s="213">
        <v>17093001444</v>
      </c>
      <c r="E911" s="213" t="s">
        <v>533</v>
      </c>
      <c r="F911" s="213" t="s">
        <v>534</v>
      </c>
      <c r="G911" s="213" t="s">
        <v>371</v>
      </c>
      <c r="H911" s="213" t="s">
        <v>578</v>
      </c>
      <c r="I911" s="213"/>
      <c r="J911" s="213"/>
      <c r="K911" s="213"/>
      <c r="L911" s="213"/>
      <c r="M911" s="213"/>
      <c r="N911" s="213"/>
      <c r="O911" s="213"/>
      <c r="P911" s="213"/>
      <c r="Q911" s="213"/>
      <c r="R911" s="213"/>
      <c r="S911" s="213"/>
      <c r="T911" s="213"/>
      <c r="U911" s="213" t="s">
        <v>538</v>
      </c>
      <c r="V911" s="213">
        <v>1</v>
      </c>
      <c r="W911" s="213" t="s">
        <v>560</v>
      </c>
      <c r="X911" s="213" t="s">
        <v>541</v>
      </c>
      <c r="Y911" s="213" t="s">
        <v>541</v>
      </c>
      <c r="Z911" s="212">
        <v>15608</v>
      </c>
      <c r="AA911" s="212">
        <v>1529652</v>
      </c>
      <c r="AB911" s="217">
        <v>0.15431</v>
      </c>
      <c r="AC911" s="217">
        <v>0.248338</v>
      </c>
      <c r="AD911" s="212">
        <f t="shared" si="14"/>
        <v>236040.60012000002</v>
      </c>
    </row>
    <row r="912" spans="2:30" x14ac:dyDescent="0.15">
      <c r="B912" s="213">
        <v>17097001926</v>
      </c>
      <c r="C912" s="213">
        <v>17097000078</v>
      </c>
      <c r="D912" s="213">
        <v>17097004539</v>
      </c>
      <c r="E912" s="213" t="s">
        <v>533</v>
      </c>
      <c r="F912" s="213" t="s">
        <v>534</v>
      </c>
      <c r="G912" s="213" t="s">
        <v>373</v>
      </c>
      <c r="H912" s="213" t="s">
        <v>552</v>
      </c>
      <c r="I912" s="213"/>
      <c r="J912" s="213" t="s">
        <v>542</v>
      </c>
      <c r="K912" s="213"/>
      <c r="L912" s="213"/>
      <c r="M912" s="213"/>
      <c r="N912" s="213"/>
      <c r="O912" s="213"/>
      <c r="P912" s="213"/>
      <c r="Q912" s="213"/>
      <c r="R912" s="213"/>
      <c r="S912" s="213" t="s">
        <v>564</v>
      </c>
      <c r="T912" s="213"/>
      <c r="U912" s="213" t="s">
        <v>538</v>
      </c>
      <c r="V912" s="213">
        <v>4</v>
      </c>
      <c r="W912" s="213" t="s">
        <v>545</v>
      </c>
      <c r="X912" s="213" t="s">
        <v>549</v>
      </c>
      <c r="Y912" s="213" t="s">
        <v>549</v>
      </c>
      <c r="Z912" s="212">
        <v>423217</v>
      </c>
      <c r="AA912" s="212">
        <v>26259270</v>
      </c>
      <c r="AB912" s="217">
        <v>1.39714</v>
      </c>
      <c r="AC912" s="217">
        <v>2.2484829999999998</v>
      </c>
      <c r="AD912" s="212">
        <f t="shared" si="14"/>
        <v>36687876.487800002</v>
      </c>
    </row>
    <row r="913" spans="2:30" x14ac:dyDescent="0.15">
      <c r="B913" s="213">
        <v>17097001929</v>
      </c>
      <c r="C913" s="213">
        <v>17097000083</v>
      </c>
      <c r="D913" s="213">
        <v>17097000078</v>
      </c>
      <c r="E913" s="213" t="s">
        <v>533</v>
      </c>
      <c r="F913" s="213" t="s">
        <v>534</v>
      </c>
      <c r="G913" s="213" t="s">
        <v>373</v>
      </c>
      <c r="H913" s="213" t="s">
        <v>552</v>
      </c>
      <c r="I913" s="213"/>
      <c r="J913" s="213" t="s">
        <v>542</v>
      </c>
      <c r="K913" s="213" t="s">
        <v>547</v>
      </c>
      <c r="L913" s="213" t="s">
        <v>563</v>
      </c>
      <c r="M913" s="213"/>
      <c r="N913" s="213"/>
      <c r="O913" s="213"/>
      <c r="P913" s="213"/>
      <c r="Q913" s="213"/>
      <c r="R913" s="213"/>
      <c r="S913" s="213" t="s">
        <v>564</v>
      </c>
      <c r="T913" s="213"/>
      <c r="U913" s="213" t="s">
        <v>538</v>
      </c>
      <c r="V913" s="213">
        <v>2</v>
      </c>
      <c r="W913" s="213" t="s">
        <v>545</v>
      </c>
      <c r="X913" s="213" t="s">
        <v>540</v>
      </c>
      <c r="Y913" s="213" t="s">
        <v>549</v>
      </c>
      <c r="Z913" s="212">
        <v>444805</v>
      </c>
      <c r="AA913" s="212">
        <v>28186650</v>
      </c>
      <c r="AB913" s="217">
        <v>0.25256600000000001</v>
      </c>
      <c r="AC913" s="217">
        <v>0.40646700000000002</v>
      </c>
      <c r="AD913" s="212">
        <f t="shared" si="14"/>
        <v>7118989.4439000003</v>
      </c>
    </row>
    <row r="914" spans="2:30" x14ac:dyDescent="0.15">
      <c r="B914" s="213">
        <v>17097001930</v>
      </c>
      <c r="C914" s="213">
        <v>17097004568</v>
      </c>
      <c r="D914" s="213">
        <v>17097000080</v>
      </c>
      <c r="E914" s="213" t="s">
        <v>533</v>
      </c>
      <c r="F914" s="213" t="s">
        <v>534</v>
      </c>
      <c r="G914" s="213" t="s">
        <v>373</v>
      </c>
      <c r="H914" s="213" t="s">
        <v>382</v>
      </c>
      <c r="I914" s="213"/>
      <c r="J914" s="213" t="s">
        <v>547</v>
      </c>
      <c r="K914" s="213"/>
      <c r="L914" s="213"/>
      <c r="M914" s="213"/>
      <c r="N914" s="213"/>
      <c r="O914" s="213"/>
      <c r="P914" s="213"/>
      <c r="Q914" s="213"/>
      <c r="R914" s="213"/>
      <c r="S914" s="213" t="s">
        <v>565</v>
      </c>
      <c r="T914" s="213"/>
      <c r="U914" s="213" t="s">
        <v>538</v>
      </c>
      <c r="V914" s="213">
        <v>2</v>
      </c>
      <c r="W914" s="213" t="s">
        <v>566</v>
      </c>
      <c r="X914" s="213" t="s">
        <v>549</v>
      </c>
      <c r="Y914" s="213" t="s">
        <v>541</v>
      </c>
      <c r="Z914" s="212">
        <v>0</v>
      </c>
      <c r="AA914" s="212">
        <v>0</v>
      </c>
      <c r="AB914" s="217">
        <v>2.081321</v>
      </c>
      <c r="AC914" s="217">
        <v>3.3495680000000001</v>
      </c>
      <c r="AD914" s="212">
        <f t="shared" si="14"/>
        <v>0</v>
      </c>
    </row>
    <row r="915" spans="2:30" x14ac:dyDescent="0.15">
      <c r="B915" s="213">
        <v>17097001932</v>
      </c>
      <c r="C915" s="213">
        <v>17097004569</v>
      </c>
      <c r="D915" s="213">
        <v>17097004568</v>
      </c>
      <c r="E915" s="213" t="s">
        <v>533</v>
      </c>
      <c r="F915" s="213" t="s">
        <v>534</v>
      </c>
      <c r="G915" s="213" t="s">
        <v>373</v>
      </c>
      <c r="H915" s="213" t="s">
        <v>382</v>
      </c>
      <c r="I915" s="213"/>
      <c r="J915" s="213" t="s">
        <v>547</v>
      </c>
      <c r="K915" s="213"/>
      <c r="L915" s="213"/>
      <c r="M915" s="213"/>
      <c r="N915" s="213"/>
      <c r="O915" s="213"/>
      <c r="P915" s="213"/>
      <c r="Q915" s="213"/>
      <c r="R915" s="213"/>
      <c r="S915" s="213" t="s">
        <v>565</v>
      </c>
      <c r="T915" s="213"/>
      <c r="U915" s="213" t="s">
        <v>538</v>
      </c>
      <c r="V915" s="213">
        <v>2</v>
      </c>
      <c r="W915" s="213" t="s">
        <v>566</v>
      </c>
      <c r="X915" s="213" t="s">
        <v>549</v>
      </c>
      <c r="Y915" s="213" t="s">
        <v>541</v>
      </c>
      <c r="Z915" s="212">
        <v>0</v>
      </c>
      <c r="AA915" s="212">
        <v>0</v>
      </c>
      <c r="AB915" s="217">
        <v>2.6220970000000001</v>
      </c>
      <c r="AC915" s="217">
        <v>4.2198640000000003</v>
      </c>
      <c r="AD915" s="212">
        <f t="shared" si="14"/>
        <v>0</v>
      </c>
    </row>
    <row r="916" spans="2:30" x14ac:dyDescent="0.15">
      <c r="B916" s="213">
        <v>17097001935</v>
      </c>
      <c r="C916" s="213">
        <v>17097000082</v>
      </c>
      <c r="D916" s="213">
        <v>17097000079</v>
      </c>
      <c r="E916" s="213" t="s">
        <v>533</v>
      </c>
      <c r="F916" s="213" t="s">
        <v>534</v>
      </c>
      <c r="G916" s="213" t="s">
        <v>373</v>
      </c>
      <c r="H916" s="213" t="s">
        <v>535</v>
      </c>
      <c r="I916" s="213"/>
      <c r="J916" s="213" t="s">
        <v>382</v>
      </c>
      <c r="K916" s="213"/>
      <c r="L916" s="213"/>
      <c r="M916" s="213"/>
      <c r="N916" s="213"/>
      <c r="O916" s="213"/>
      <c r="P916" s="213"/>
      <c r="Q916" s="213"/>
      <c r="R916" s="213"/>
      <c r="S916" s="213" t="s">
        <v>550</v>
      </c>
      <c r="T916" s="213"/>
      <c r="U916" s="213" t="s">
        <v>538</v>
      </c>
      <c r="V916" s="213">
        <v>1</v>
      </c>
      <c r="W916" s="213" t="s">
        <v>560</v>
      </c>
      <c r="X916" s="213" t="s">
        <v>554</v>
      </c>
      <c r="Y916" s="213" t="s">
        <v>541</v>
      </c>
      <c r="Z916" s="212">
        <v>560</v>
      </c>
      <c r="AA916" s="212">
        <v>38520</v>
      </c>
      <c r="AB916" s="217">
        <v>0.22680500000000001</v>
      </c>
      <c r="AC916" s="217">
        <v>0.36500899999999997</v>
      </c>
      <c r="AD916" s="212">
        <f t="shared" si="14"/>
        <v>8736.5285999999996</v>
      </c>
    </row>
    <row r="917" spans="2:30" x14ac:dyDescent="0.15">
      <c r="B917" s="213">
        <v>17097002108</v>
      </c>
      <c r="C917" s="213">
        <v>17097007513</v>
      </c>
      <c r="D917" s="213">
        <v>17097004558</v>
      </c>
      <c r="E917" s="213" t="s">
        <v>533</v>
      </c>
      <c r="F917" s="213" t="s">
        <v>534</v>
      </c>
      <c r="G917" s="213" t="s">
        <v>373</v>
      </c>
      <c r="H917" s="213" t="s">
        <v>535</v>
      </c>
      <c r="I917" s="213"/>
      <c r="J917" s="213" t="s">
        <v>547</v>
      </c>
      <c r="K917" s="213"/>
      <c r="L917" s="213"/>
      <c r="M917" s="213"/>
      <c r="N917" s="213"/>
      <c r="O917" s="213"/>
      <c r="P917" s="213"/>
      <c r="Q917" s="213"/>
      <c r="R917" s="213"/>
      <c r="S917" s="213" t="s">
        <v>548</v>
      </c>
      <c r="T917" s="213"/>
      <c r="U917" s="213" t="s">
        <v>538</v>
      </c>
      <c r="V917" s="213">
        <v>2</v>
      </c>
      <c r="W917" s="213" t="s">
        <v>545</v>
      </c>
      <c r="X917" s="213" t="s">
        <v>549</v>
      </c>
      <c r="Y917" s="213" t="s">
        <v>546</v>
      </c>
      <c r="Z917" s="212">
        <v>371008</v>
      </c>
      <c r="AA917" s="212">
        <v>23163493</v>
      </c>
      <c r="AB917" s="217">
        <v>0.97986700000000004</v>
      </c>
      <c r="AC917" s="217">
        <v>1.5769470000000001</v>
      </c>
      <c r="AD917" s="212">
        <f t="shared" si="14"/>
        <v>22697142.395431001</v>
      </c>
    </row>
    <row r="918" spans="2:30" x14ac:dyDescent="0.15">
      <c r="B918" s="213">
        <v>17097002110</v>
      </c>
      <c r="C918" s="213">
        <v>17097007511</v>
      </c>
      <c r="D918" s="213">
        <v>17097000066</v>
      </c>
      <c r="E918" s="213" t="s">
        <v>533</v>
      </c>
      <c r="F918" s="213" t="s">
        <v>534</v>
      </c>
      <c r="G918" s="213" t="s">
        <v>373</v>
      </c>
      <c r="H918" s="213" t="s">
        <v>535</v>
      </c>
      <c r="I918" s="213"/>
      <c r="J918" s="213" t="s">
        <v>547</v>
      </c>
      <c r="K918" s="213"/>
      <c r="L918" s="213"/>
      <c r="M918" s="213"/>
      <c r="N918" s="213"/>
      <c r="O918" s="213"/>
      <c r="P918" s="213"/>
      <c r="Q918" s="213"/>
      <c r="R918" s="213"/>
      <c r="S918" s="213" t="s">
        <v>548</v>
      </c>
      <c r="T918" s="213"/>
      <c r="U918" s="213" t="s">
        <v>538</v>
      </c>
      <c r="V918" s="213">
        <v>1</v>
      </c>
      <c r="W918" s="213" t="s">
        <v>545</v>
      </c>
      <c r="X918" s="213" t="s">
        <v>549</v>
      </c>
      <c r="Y918" s="213" t="s">
        <v>546</v>
      </c>
      <c r="Z918" s="212">
        <v>371672</v>
      </c>
      <c r="AA918" s="212">
        <v>23230333</v>
      </c>
      <c r="AB918" s="217">
        <v>1.4840629999999999</v>
      </c>
      <c r="AC918" s="217">
        <v>2.3883730000000001</v>
      </c>
      <c r="AD918" s="212">
        <f t="shared" si="14"/>
        <v>34475277.682978995</v>
      </c>
    </row>
    <row r="919" spans="2:30" x14ac:dyDescent="0.15">
      <c r="B919" s="213">
        <v>17097002113</v>
      </c>
      <c r="C919" s="213">
        <v>17097007508</v>
      </c>
      <c r="D919" s="213">
        <v>17097004556</v>
      </c>
      <c r="E919" s="213" t="s">
        <v>533</v>
      </c>
      <c r="F919" s="213" t="s">
        <v>534</v>
      </c>
      <c r="G919" s="213" t="s">
        <v>373</v>
      </c>
      <c r="H919" s="213" t="s">
        <v>535</v>
      </c>
      <c r="I919" s="213"/>
      <c r="J919" s="213" t="s">
        <v>547</v>
      </c>
      <c r="K919" s="213"/>
      <c r="L919" s="213"/>
      <c r="M919" s="213"/>
      <c r="N919" s="213"/>
      <c r="O919" s="213"/>
      <c r="P919" s="213"/>
      <c r="Q919" s="213"/>
      <c r="R919" s="213"/>
      <c r="S919" s="213" t="s">
        <v>548</v>
      </c>
      <c r="T919" s="213"/>
      <c r="U919" s="213" t="s">
        <v>538</v>
      </c>
      <c r="V919" s="213">
        <v>2</v>
      </c>
      <c r="W919" s="213" t="s">
        <v>545</v>
      </c>
      <c r="X919" s="213" t="s">
        <v>549</v>
      </c>
      <c r="Y919" s="213" t="s">
        <v>546</v>
      </c>
      <c r="Z919" s="212">
        <v>374620</v>
      </c>
      <c r="AA919" s="212">
        <v>23516813</v>
      </c>
      <c r="AB919" s="217">
        <v>1.649186</v>
      </c>
      <c r="AC919" s="217">
        <v>2.6541139999999999</v>
      </c>
      <c r="AD919" s="212">
        <f t="shared" si="14"/>
        <v>38783598.764218003</v>
      </c>
    </row>
    <row r="920" spans="2:30" x14ac:dyDescent="0.15">
      <c r="B920" s="213">
        <v>17097002125</v>
      </c>
      <c r="C920" s="213">
        <v>17097000111</v>
      </c>
      <c r="D920" s="213">
        <v>17097000109</v>
      </c>
      <c r="E920" s="213" t="s">
        <v>533</v>
      </c>
      <c r="F920" s="213" t="s">
        <v>534</v>
      </c>
      <c r="G920" s="213" t="s">
        <v>373</v>
      </c>
      <c r="H920" s="213" t="s">
        <v>535</v>
      </c>
      <c r="I920" s="213"/>
      <c r="J920" s="213" t="s">
        <v>547</v>
      </c>
      <c r="K920" s="213"/>
      <c r="L920" s="213"/>
      <c r="M920" s="213"/>
      <c r="N920" s="213"/>
      <c r="O920" s="213"/>
      <c r="P920" s="213"/>
      <c r="Q920" s="213"/>
      <c r="R920" s="213"/>
      <c r="S920" s="213" t="s">
        <v>548</v>
      </c>
      <c r="T920" s="213"/>
      <c r="U920" s="213" t="s">
        <v>538</v>
      </c>
      <c r="V920" s="213">
        <v>2</v>
      </c>
      <c r="W920" s="213" t="s">
        <v>545</v>
      </c>
      <c r="X920" s="213" t="s">
        <v>549</v>
      </c>
      <c r="Y920" s="213" t="s">
        <v>546</v>
      </c>
      <c r="Z920" s="212">
        <v>373849</v>
      </c>
      <c r="AA920" s="212">
        <v>22810399</v>
      </c>
      <c r="AB920" s="217">
        <v>0.21757499999999999</v>
      </c>
      <c r="AC920" s="217">
        <v>0.35015400000000002</v>
      </c>
      <c r="AD920" s="212">
        <f t="shared" si="14"/>
        <v>4962972.5624249997</v>
      </c>
    </row>
    <row r="921" spans="2:30" x14ac:dyDescent="0.15">
      <c r="B921" s="213">
        <v>17097002131</v>
      </c>
      <c r="C921" s="213">
        <v>17097000059</v>
      </c>
      <c r="D921" s="213">
        <v>17097007541</v>
      </c>
      <c r="E921" s="213" t="s">
        <v>533</v>
      </c>
      <c r="F921" s="213" t="s">
        <v>534</v>
      </c>
      <c r="G921" s="213" t="s">
        <v>373</v>
      </c>
      <c r="H921" s="213" t="s">
        <v>382</v>
      </c>
      <c r="I921" s="213"/>
      <c r="J921" s="213"/>
      <c r="K921" s="213"/>
      <c r="L921" s="213"/>
      <c r="M921" s="213"/>
      <c r="N921" s="213"/>
      <c r="O921" s="213"/>
      <c r="P921" s="213"/>
      <c r="Q921" s="213"/>
      <c r="R921" s="213"/>
      <c r="S921" s="213" t="s">
        <v>586</v>
      </c>
      <c r="T921" s="213"/>
      <c r="U921" s="213" t="s">
        <v>538</v>
      </c>
      <c r="V921" s="213">
        <v>2</v>
      </c>
      <c r="W921" s="213" t="s">
        <v>582</v>
      </c>
      <c r="X921" s="213" t="s">
        <v>549</v>
      </c>
      <c r="Y921" s="213" t="s">
        <v>549</v>
      </c>
      <c r="Z921" s="212">
        <v>77408</v>
      </c>
      <c r="AA921" s="212">
        <v>8294727</v>
      </c>
      <c r="AB921" s="217">
        <v>2.055768</v>
      </c>
      <c r="AC921" s="217">
        <v>3.3084449999999999</v>
      </c>
      <c r="AD921" s="212">
        <f t="shared" si="14"/>
        <v>17052034.335336</v>
      </c>
    </row>
    <row r="922" spans="2:30" x14ac:dyDescent="0.15">
      <c r="B922" s="213">
        <v>17097002133</v>
      </c>
      <c r="C922" s="213">
        <v>17097004533</v>
      </c>
      <c r="D922" s="213">
        <v>17097004532</v>
      </c>
      <c r="E922" s="213" t="s">
        <v>533</v>
      </c>
      <c r="F922" s="213" t="s">
        <v>534</v>
      </c>
      <c r="G922" s="213" t="s">
        <v>373</v>
      </c>
      <c r="H922" s="213" t="s">
        <v>552</v>
      </c>
      <c r="I922" s="213"/>
      <c r="J922" s="213" t="s">
        <v>547</v>
      </c>
      <c r="K922" s="213" t="s">
        <v>563</v>
      </c>
      <c r="L922" s="213"/>
      <c r="M922" s="213"/>
      <c r="N922" s="213"/>
      <c r="O922" s="213"/>
      <c r="P922" s="213"/>
      <c r="Q922" s="213"/>
      <c r="R922" s="213"/>
      <c r="S922" s="213" t="s">
        <v>629</v>
      </c>
      <c r="T922" s="213"/>
      <c r="U922" s="213" t="s">
        <v>538</v>
      </c>
      <c r="V922" s="213">
        <v>1</v>
      </c>
      <c r="W922" s="213" t="s">
        <v>582</v>
      </c>
      <c r="X922" s="213" t="s">
        <v>540</v>
      </c>
      <c r="Y922" s="213" t="s">
        <v>554</v>
      </c>
      <c r="Z922" s="212">
        <v>21588</v>
      </c>
      <c r="AA922" s="212">
        <v>1927380</v>
      </c>
      <c r="AB922" s="217">
        <v>3.0207259999999998</v>
      </c>
      <c r="AC922" s="217">
        <v>4.8613960000000001</v>
      </c>
      <c r="AD922" s="212">
        <f t="shared" si="14"/>
        <v>5822086.8778799996</v>
      </c>
    </row>
    <row r="923" spans="2:30" x14ac:dyDescent="0.15">
      <c r="B923" s="213">
        <v>17097002143</v>
      </c>
      <c r="C923" s="213">
        <v>17097000055</v>
      </c>
      <c r="D923" s="213">
        <v>17097004540</v>
      </c>
      <c r="E923" s="213" t="s">
        <v>533</v>
      </c>
      <c r="F923" s="213" t="s">
        <v>534</v>
      </c>
      <c r="G923" s="213" t="s">
        <v>373</v>
      </c>
      <c r="H923" s="213" t="s">
        <v>552</v>
      </c>
      <c r="I923" s="213"/>
      <c r="J923" s="213" t="s">
        <v>542</v>
      </c>
      <c r="K923" s="213"/>
      <c r="L923" s="213"/>
      <c r="M923" s="213"/>
      <c r="N923" s="213"/>
      <c r="O923" s="213"/>
      <c r="P923" s="213"/>
      <c r="Q923" s="213"/>
      <c r="R923" s="213"/>
      <c r="S923" s="213" t="s">
        <v>564</v>
      </c>
      <c r="T923" s="213"/>
      <c r="U923" s="213" t="s">
        <v>538</v>
      </c>
      <c r="V923" s="213">
        <v>2</v>
      </c>
      <c r="W923" s="213" t="s">
        <v>545</v>
      </c>
      <c r="X923" s="213" t="s">
        <v>549</v>
      </c>
      <c r="Y923" s="213" t="s">
        <v>549</v>
      </c>
      <c r="Z923" s="212">
        <v>423217</v>
      </c>
      <c r="AA923" s="212">
        <v>26259270</v>
      </c>
      <c r="AB923" s="217">
        <v>4.3996510000000004</v>
      </c>
      <c r="AC923" s="217">
        <v>7.0805670000000003</v>
      </c>
      <c r="AD923" s="212">
        <f t="shared" si="14"/>
        <v>115531623.51477002</v>
      </c>
    </row>
    <row r="924" spans="2:30" x14ac:dyDescent="0.15">
      <c r="B924" s="213">
        <v>17097002144</v>
      </c>
      <c r="C924" s="213">
        <v>17097004529</v>
      </c>
      <c r="D924" s="213">
        <v>17999017375</v>
      </c>
      <c r="E924" s="213" t="s">
        <v>533</v>
      </c>
      <c r="F924" s="213" t="s">
        <v>534</v>
      </c>
      <c r="G924" s="213" t="s">
        <v>373</v>
      </c>
      <c r="H924" s="213" t="s">
        <v>563</v>
      </c>
      <c r="I924" s="213"/>
      <c r="J924" s="213"/>
      <c r="K924" s="213"/>
      <c r="L924" s="213"/>
      <c r="M924" s="213"/>
      <c r="N924" s="213"/>
      <c r="O924" s="213"/>
      <c r="P924" s="213"/>
      <c r="Q924" s="213"/>
      <c r="R924" s="213"/>
      <c r="S924" s="213" t="s">
        <v>629</v>
      </c>
      <c r="T924" s="213"/>
      <c r="U924" s="213" t="s">
        <v>538</v>
      </c>
      <c r="V924" s="213">
        <v>1</v>
      </c>
      <c r="W924" s="213" t="s">
        <v>562</v>
      </c>
      <c r="X924" s="213" t="s">
        <v>540</v>
      </c>
      <c r="Y924" s="213" t="s">
        <v>554</v>
      </c>
      <c r="Z924" s="212">
        <v>21588</v>
      </c>
      <c r="AA924" s="212">
        <v>1927380</v>
      </c>
      <c r="AB924" s="217">
        <v>1.2516350000000001</v>
      </c>
      <c r="AC924" s="217">
        <v>2.0143149999999999</v>
      </c>
      <c r="AD924" s="212">
        <f t="shared" si="14"/>
        <v>2412376.2663000003</v>
      </c>
    </row>
    <row r="925" spans="2:30" x14ac:dyDescent="0.15">
      <c r="B925" s="213">
        <v>17097002150</v>
      </c>
      <c r="C925" s="213">
        <v>17097000110</v>
      </c>
      <c r="D925" s="213">
        <v>17097000082</v>
      </c>
      <c r="E925" s="213" t="s">
        <v>533</v>
      </c>
      <c r="F925" s="213" t="s">
        <v>534</v>
      </c>
      <c r="G925" s="213" t="s">
        <v>373</v>
      </c>
      <c r="H925" s="213" t="s">
        <v>535</v>
      </c>
      <c r="I925" s="213"/>
      <c r="J925" s="213" t="s">
        <v>382</v>
      </c>
      <c r="K925" s="213" t="s">
        <v>536</v>
      </c>
      <c r="L925" s="213"/>
      <c r="M925" s="213"/>
      <c r="N925" s="213"/>
      <c r="O925" s="213"/>
      <c r="P925" s="213"/>
      <c r="Q925" s="213"/>
      <c r="R925" s="213"/>
      <c r="S925" s="213" t="s">
        <v>550</v>
      </c>
      <c r="T925" s="213"/>
      <c r="U925" s="213" t="s">
        <v>538</v>
      </c>
      <c r="V925" s="213">
        <v>1</v>
      </c>
      <c r="W925" s="213" t="s">
        <v>545</v>
      </c>
      <c r="X925" s="213" t="s">
        <v>541</v>
      </c>
      <c r="Y925" s="213" t="s">
        <v>541</v>
      </c>
      <c r="Z925" s="212">
        <v>2476</v>
      </c>
      <c r="AA925" s="212">
        <v>223156</v>
      </c>
      <c r="AB925" s="217">
        <v>5.2855230000000004</v>
      </c>
      <c r="AC925" s="217">
        <v>8.5062409999999993</v>
      </c>
      <c r="AD925" s="212">
        <f t="shared" si="14"/>
        <v>1179496.170588</v>
      </c>
    </row>
    <row r="926" spans="2:30" x14ac:dyDescent="0.15">
      <c r="B926" s="213">
        <v>17097002153</v>
      </c>
      <c r="C926" s="213">
        <v>17097004538</v>
      </c>
      <c r="D926" s="213">
        <v>17097004537</v>
      </c>
      <c r="E926" s="213" t="s">
        <v>533</v>
      </c>
      <c r="F926" s="213" t="s">
        <v>534</v>
      </c>
      <c r="G926" s="213" t="s">
        <v>373</v>
      </c>
      <c r="H926" s="213" t="s">
        <v>552</v>
      </c>
      <c r="I926" s="213"/>
      <c r="J926" s="213" t="s">
        <v>542</v>
      </c>
      <c r="K926" s="213" t="s">
        <v>547</v>
      </c>
      <c r="L926" s="213" t="s">
        <v>563</v>
      </c>
      <c r="M926" s="213"/>
      <c r="N926" s="213"/>
      <c r="O926" s="213"/>
      <c r="P926" s="213"/>
      <c r="Q926" s="213"/>
      <c r="R926" s="213"/>
      <c r="S926" s="213" t="s">
        <v>564</v>
      </c>
      <c r="T926" s="213"/>
      <c r="U926" s="213" t="s">
        <v>538</v>
      </c>
      <c r="V926" s="213">
        <v>2</v>
      </c>
      <c r="W926" s="213" t="s">
        <v>545</v>
      </c>
      <c r="X926" s="213" t="s">
        <v>540</v>
      </c>
      <c r="Y926" s="213" t="s">
        <v>549</v>
      </c>
      <c r="Z926" s="212">
        <v>444697</v>
      </c>
      <c r="AA926" s="212">
        <v>28179770</v>
      </c>
      <c r="AB926" s="217">
        <v>4.0466819999999997</v>
      </c>
      <c r="AC926" s="217">
        <v>6.5125159999999997</v>
      </c>
      <c r="AD926" s="212">
        <f t="shared" si="14"/>
        <v>114034568.02313998</v>
      </c>
    </row>
    <row r="927" spans="2:30" x14ac:dyDescent="0.15">
      <c r="B927" s="213">
        <v>17097002161</v>
      </c>
      <c r="C927" s="213">
        <v>17999019042</v>
      </c>
      <c r="D927" s="213">
        <v>17097004538</v>
      </c>
      <c r="E927" s="213" t="s">
        <v>533</v>
      </c>
      <c r="F927" s="213" t="s">
        <v>534</v>
      </c>
      <c r="G927" s="213" t="s">
        <v>373</v>
      </c>
      <c r="H927" s="213" t="s">
        <v>552</v>
      </c>
      <c r="I927" s="213"/>
      <c r="J927" s="213" t="s">
        <v>542</v>
      </c>
      <c r="K927" s="213" t="s">
        <v>547</v>
      </c>
      <c r="L927" s="213" t="s">
        <v>563</v>
      </c>
      <c r="M927" s="213"/>
      <c r="N927" s="213"/>
      <c r="O927" s="213"/>
      <c r="P927" s="213"/>
      <c r="Q927" s="213"/>
      <c r="R927" s="213"/>
      <c r="S927" s="213" t="s">
        <v>564</v>
      </c>
      <c r="T927" s="213"/>
      <c r="U927" s="213" t="s">
        <v>538</v>
      </c>
      <c r="V927" s="213">
        <v>2</v>
      </c>
      <c r="W927" s="213" t="s">
        <v>545</v>
      </c>
      <c r="X927" s="213" t="s">
        <v>540</v>
      </c>
      <c r="Y927" s="213" t="s">
        <v>549</v>
      </c>
      <c r="Z927" s="212">
        <v>444697</v>
      </c>
      <c r="AA927" s="212">
        <v>28179770</v>
      </c>
      <c r="AB927" s="217">
        <v>1.133947</v>
      </c>
      <c r="AC927" s="217">
        <v>1.8249139999999999</v>
      </c>
      <c r="AD927" s="212">
        <f t="shared" si="14"/>
        <v>31954365.65219</v>
      </c>
    </row>
    <row r="928" spans="2:30" x14ac:dyDescent="0.15">
      <c r="B928" s="213">
        <v>17097002615</v>
      </c>
      <c r="C928" s="213">
        <v>17097000097</v>
      </c>
      <c r="D928" s="213">
        <v>17097004542</v>
      </c>
      <c r="E928" s="213" t="s">
        <v>533</v>
      </c>
      <c r="F928" s="213" t="s">
        <v>534</v>
      </c>
      <c r="G928" s="213" t="s">
        <v>373</v>
      </c>
      <c r="H928" s="213" t="s">
        <v>382</v>
      </c>
      <c r="I928" s="213"/>
      <c r="J928" s="213"/>
      <c r="K928" s="213"/>
      <c r="L928" s="213"/>
      <c r="M928" s="213"/>
      <c r="N928" s="213"/>
      <c r="O928" s="213"/>
      <c r="P928" s="213"/>
      <c r="Q928" s="213"/>
      <c r="R928" s="213"/>
      <c r="S928" s="213" t="s">
        <v>586</v>
      </c>
      <c r="T928" s="213"/>
      <c r="U928" s="213" t="s">
        <v>538</v>
      </c>
      <c r="V928" s="213">
        <v>1</v>
      </c>
      <c r="W928" s="213" t="s">
        <v>582</v>
      </c>
      <c r="X928" s="213" t="s">
        <v>549</v>
      </c>
      <c r="Y928" s="213" t="s">
        <v>549</v>
      </c>
      <c r="Z928" s="212">
        <v>79676</v>
      </c>
      <c r="AA928" s="212">
        <v>8515511</v>
      </c>
      <c r="AB928" s="217">
        <v>1.6675120000000001</v>
      </c>
      <c r="AC928" s="217">
        <v>2.6836060000000002</v>
      </c>
      <c r="AD928" s="212">
        <f t="shared" si="14"/>
        <v>14199716.778632</v>
      </c>
    </row>
    <row r="929" spans="2:30" x14ac:dyDescent="0.15">
      <c r="B929" s="213">
        <v>17097003092</v>
      </c>
      <c r="C929" s="213">
        <v>17097000071</v>
      </c>
      <c r="D929" s="213">
        <v>17097000065</v>
      </c>
      <c r="E929" s="213" t="s">
        <v>533</v>
      </c>
      <c r="F929" s="213" t="s">
        <v>534</v>
      </c>
      <c r="G929" s="213" t="s">
        <v>373</v>
      </c>
      <c r="H929" s="213" t="s">
        <v>382</v>
      </c>
      <c r="I929" s="213"/>
      <c r="J929" s="213" t="s">
        <v>535</v>
      </c>
      <c r="K929" s="213" t="s">
        <v>547</v>
      </c>
      <c r="L929" s="213"/>
      <c r="M929" s="213"/>
      <c r="N929" s="213"/>
      <c r="O929" s="213"/>
      <c r="P929" s="213"/>
      <c r="Q929" s="213"/>
      <c r="R929" s="213"/>
      <c r="S929" s="213" t="s">
        <v>565</v>
      </c>
      <c r="T929" s="213"/>
      <c r="U929" s="213" t="s">
        <v>538</v>
      </c>
      <c r="V929" s="213">
        <v>2</v>
      </c>
      <c r="W929" s="213" t="s">
        <v>545</v>
      </c>
      <c r="X929" s="213" t="s">
        <v>549</v>
      </c>
      <c r="Y929" s="213" t="s">
        <v>549</v>
      </c>
      <c r="Z929" s="212">
        <v>23972</v>
      </c>
      <c r="AA929" s="212">
        <v>2775064</v>
      </c>
      <c r="AB929" s="217">
        <v>0.70705799999999996</v>
      </c>
      <c r="AC929" s="217">
        <v>1.137902</v>
      </c>
      <c r="AD929" s="212">
        <f t="shared" si="14"/>
        <v>1962131.201712</v>
      </c>
    </row>
    <row r="930" spans="2:30" x14ac:dyDescent="0.15">
      <c r="B930" s="213">
        <v>17097003499</v>
      </c>
      <c r="C930" s="213">
        <v>17999019034</v>
      </c>
      <c r="D930" s="213">
        <v>17097000238</v>
      </c>
      <c r="E930" s="213" t="s">
        <v>533</v>
      </c>
      <c r="F930" s="213" t="s">
        <v>534</v>
      </c>
      <c r="G930" s="213" t="s">
        <v>373</v>
      </c>
      <c r="H930" s="213" t="s">
        <v>535</v>
      </c>
      <c r="I930" s="213"/>
      <c r="J930" s="213" t="s">
        <v>382</v>
      </c>
      <c r="K930" s="213" t="s">
        <v>536</v>
      </c>
      <c r="L930" s="213"/>
      <c r="M930" s="213"/>
      <c r="N930" s="213"/>
      <c r="O930" s="213"/>
      <c r="P930" s="213"/>
      <c r="Q930" s="213"/>
      <c r="R930" s="213"/>
      <c r="S930" s="213" t="s">
        <v>550</v>
      </c>
      <c r="T930" s="213"/>
      <c r="U930" s="213" t="s">
        <v>538</v>
      </c>
      <c r="V930" s="213">
        <v>1</v>
      </c>
      <c r="W930" s="213" t="s">
        <v>545</v>
      </c>
      <c r="X930" s="213" t="s">
        <v>549</v>
      </c>
      <c r="Y930" s="213" t="s">
        <v>540</v>
      </c>
      <c r="Z930" s="212">
        <v>65023</v>
      </c>
      <c r="AA930" s="212">
        <v>6695836</v>
      </c>
      <c r="AB930" s="217">
        <v>0.14211599999999999</v>
      </c>
      <c r="AC930" s="217">
        <v>0.228714</v>
      </c>
      <c r="AD930" s="212">
        <f t="shared" si="14"/>
        <v>951585.42897599994</v>
      </c>
    </row>
    <row r="931" spans="2:30" x14ac:dyDescent="0.15">
      <c r="B931" s="213">
        <v>17097003634</v>
      </c>
      <c r="C931" s="213">
        <v>17097004563</v>
      </c>
      <c r="D931" s="213">
        <v>99999017020</v>
      </c>
      <c r="E931" s="213" t="s">
        <v>533</v>
      </c>
      <c r="F931" s="213" t="s">
        <v>534</v>
      </c>
      <c r="G931" s="213" t="s">
        <v>373</v>
      </c>
      <c r="H931" s="213" t="s">
        <v>382</v>
      </c>
      <c r="I931" s="213"/>
      <c r="J931" s="213" t="s">
        <v>535</v>
      </c>
      <c r="K931" s="213" t="s">
        <v>547</v>
      </c>
      <c r="L931" s="213"/>
      <c r="M931" s="213"/>
      <c r="N931" s="213"/>
      <c r="O931" s="213"/>
      <c r="P931" s="213"/>
      <c r="Q931" s="213"/>
      <c r="R931" s="213"/>
      <c r="S931" s="213" t="s">
        <v>565</v>
      </c>
      <c r="T931" s="213"/>
      <c r="U931" s="213" t="s">
        <v>538</v>
      </c>
      <c r="V931" s="213">
        <v>2</v>
      </c>
      <c r="W931" s="213" t="s">
        <v>566</v>
      </c>
      <c r="X931" s="213" t="s">
        <v>549</v>
      </c>
      <c r="Y931" s="213" t="s">
        <v>540</v>
      </c>
      <c r="Z931" s="212">
        <v>3388</v>
      </c>
      <c r="AA931" s="212">
        <v>316944</v>
      </c>
      <c r="AB931" s="217">
        <v>0.71955999999999998</v>
      </c>
      <c r="AC931" s="217">
        <v>1.1580220000000001</v>
      </c>
      <c r="AD931" s="212">
        <f t="shared" si="14"/>
        <v>228060.22464</v>
      </c>
    </row>
    <row r="932" spans="2:30" x14ac:dyDescent="0.15">
      <c r="B932" s="213">
        <v>17097006323</v>
      </c>
      <c r="C932" s="213">
        <v>17097007475</v>
      </c>
      <c r="D932" s="213">
        <v>17097004551</v>
      </c>
      <c r="E932" s="213" t="s">
        <v>533</v>
      </c>
      <c r="F932" s="213" t="s">
        <v>534</v>
      </c>
      <c r="G932" s="213" t="s">
        <v>373</v>
      </c>
      <c r="H932" s="213" t="s">
        <v>382</v>
      </c>
      <c r="I932" s="213"/>
      <c r="J932" s="213" t="s">
        <v>535</v>
      </c>
      <c r="K932" s="213"/>
      <c r="L932" s="213"/>
      <c r="M932" s="213"/>
      <c r="N932" s="213"/>
      <c r="O932" s="213"/>
      <c r="P932" s="213"/>
      <c r="Q932" s="213"/>
      <c r="R932" s="213"/>
      <c r="S932" s="213"/>
      <c r="T932" s="213"/>
      <c r="U932" s="213" t="s">
        <v>559</v>
      </c>
      <c r="V932" s="213">
        <v>1</v>
      </c>
      <c r="W932" s="213" t="s">
        <v>560</v>
      </c>
      <c r="X932" s="213" t="s">
        <v>541</v>
      </c>
      <c r="Y932" s="213" t="s">
        <v>541</v>
      </c>
      <c r="Z932" s="212">
        <v>0</v>
      </c>
      <c r="AA932" s="212">
        <v>0</v>
      </c>
      <c r="AB932" s="217">
        <v>0.41542699999999999</v>
      </c>
      <c r="AC932" s="217">
        <v>0.66856599999999999</v>
      </c>
      <c r="AD932" s="212">
        <f t="shared" si="14"/>
        <v>0</v>
      </c>
    </row>
    <row r="933" spans="2:30" x14ac:dyDescent="0.15">
      <c r="B933" s="213">
        <v>17097006324</v>
      </c>
      <c r="C933" s="213">
        <v>17097000061</v>
      </c>
      <c r="D933" s="213">
        <v>17097004534</v>
      </c>
      <c r="E933" s="213" t="s">
        <v>533</v>
      </c>
      <c r="F933" s="213" t="s">
        <v>534</v>
      </c>
      <c r="G933" s="213" t="s">
        <v>373</v>
      </c>
      <c r="H933" s="213" t="s">
        <v>552</v>
      </c>
      <c r="I933" s="213"/>
      <c r="J933" s="213"/>
      <c r="K933" s="213"/>
      <c r="L933" s="213"/>
      <c r="M933" s="213"/>
      <c r="N933" s="213"/>
      <c r="O933" s="213"/>
      <c r="P933" s="213"/>
      <c r="Q933" s="213"/>
      <c r="R933" s="213"/>
      <c r="S933" s="213"/>
      <c r="T933" s="213"/>
      <c r="U933" s="213" t="s">
        <v>559</v>
      </c>
      <c r="V933" s="213">
        <v>1</v>
      </c>
      <c r="W933" s="213" t="s">
        <v>560</v>
      </c>
      <c r="X933" s="213" t="s">
        <v>541</v>
      </c>
      <c r="Y933" s="213" t="s">
        <v>541</v>
      </c>
      <c r="Z933" s="212">
        <v>0</v>
      </c>
      <c r="AA933" s="212">
        <v>0</v>
      </c>
      <c r="AB933" s="217">
        <v>7.782E-2</v>
      </c>
      <c r="AC933" s="217">
        <v>0.12523899999999999</v>
      </c>
      <c r="AD933" s="212">
        <f t="shared" si="14"/>
        <v>0</v>
      </c>
    </row>
    <row r="934" spans="2:30" x14ac:dyDescent="0.15">
      <c r="B934" s="213">
        <v>17097009350</v>
      </c>
      <c r="C934" s="213">
        <v>17097004546</v>
      </c>
      <c r="D934" s="213">
        <v>17097007469</v>
      </c>
      <c r="E934" s="213" t="s">
        <v>533</v>
      </c>
      <c r="F934" s="213" t="s">
        <v>534</v>
      </c>
      <c r="G934" s="213" t="s">
        <v>373</v>
      </c>
      <c r="H934" s="213" t="s">
        <v>535</v>
      </c>
      <c r="I934" s="213"/>
      <c r="J934" s="213" t="s">
        <v>382</v>
      </c>
      <c r="K934" s="213" t="s">
        <v>536</v>
      </c>
      <c r="L934" s="213"/>
      <c r="M934" s="213"/>
      <c r="N934" s="213"/>
      <c r="O934" s="213"/>
      <c r="P934" s="213"/>
      <c r="Q934" s="213"/>
      <c r="R934" s="213"/>
      <c r="S934" s="213" t="s">
        <v>550</v>
      </c>
      <c r="T934" s="213"/>
      <c r="U934" s="213" t="s">
        <v>538</v>
      </c>
      <c r="V934" s="213">
        <v>1</v>
      </c>
      <c r="W934" s="213" t="s">
        <v>545</v>
      </c>
      <c r="X934" s="213" t="s">
        <v>549</v>
      </c>
      <c r="Y934" s="213" t="s">
        <v>540</v>
      </c>
      <c r="Z934" s="212">
        <v>65183</v>
      </c>
      <c r="AA934" s="212">
        <v>6709796</v>
      </c>
      <c r="AB934" s="217">
        <v>0.67196900000000004</v>
      </c>
      <c r="AC934" s="217">
        <v>1.0814319999999999</v>
      </c>
      <c r="AD934" s="212">
        <f t="shared" si="14"/>
        <v>4508774.9083240004</v>
      </c>
    </row>
    <row r="935" spans="2:30" x14ac:dyDescent="0.15">
      <c r="B935" s="213">
        <v>17097009352</v>
      </c>
      <c r="C935" s="213">
        <v>17097007471</v>
      </c>
      <c r="D935" s="213">
        <v>17097000110</v>
      </c>
      <c r="E935" s="213" t="s">
        <v>533</v>
      </c>
      <c r="F935" s="213" t="s">
        <v>534</v>
      </c>
      <c r="G935" s="213" t="s">
        <v>373</v>
      </c>
      <c r="H935" s="213" t="s">
        <v>535</v>
      </c>
      <c r="I935" s="213"/>
      <c r="J935" s="213" t="s">
        <v>382</v>
      </c>
      <c r="K935" s="213" t="s">
        <v>536</v>
      </c>
      <c r="L935" s="213"/>
      <c r="M935" s="213"/>
      <c r="N935" s="213"/>
      <c r="O935" s="213"/>
      <c r="P935" s="213"/>
      <c r="Q935" s="213"/>
      <c r="R935" s="213"/>
      <c r="S935" s="213" t="s">
        <v>550</v>
      </c>
      <c r="T935" s="213"/>
      <c r="U935" s="213" t="s">
        <v>538</v>
      </c>
      <c r="V935" s="213">
        <v>2</v>
      </c>
      <c r="W935" s="213" t="s">
        <v>545</v>
      </c>
      <c r="X935" s="213" t="s">
        <v>549</v>
      </c>
      <c r="Y935" s="213" t="s">
        <v>540</v>
      </c>
      <c r="Z935" s="212">
        <v>65183</v>
      </c>
      <c r="AA935" s="212">
        <v>6709796</v>
      </c>
      <c r="AB935" s="217">
        <v>9.6533999999999995E-2</v>
      </c>
      <c r="AC935" s="217">
        <v>0.15535599999999999</v>
      </c>
      <c r="AD935" s="212">
        <f t="shared" si="14"/>
        <v>647723.44706399995</v>
      </c>
    </row>
    <row r="936" spans="2:30" x14ac:dyDescent="0.15">
      <c r="B936" s="213">
        <v>17111001950</v>
      </c>
      <c r="C936" s="213">
        <v>17999017375</v>
      </c>
      <c r="D936" s="213">
        <v>17111004829</v>
      </c>
      <c r="E936" s="213" t="s">
        <v>533</v>
      </c>
      <c r="F936" s="213" t="s">
        <v>534</v>
      </c>
      <c r="G936" s="213" t="s">
        <v>375</v>
      </c>
      <c r="H936" s="213" t="s">
        <v>563</v>
      </c>
      <c r="I936" s="213"/>
      <c r="J936" s="213"/>
      <c r="K936" s="213"/>
      <c r="L936" s="213"/>
      <c r="M936" s="213"/>
      <c r="N936" s="213"/>
      <c r="O936" s="213"/>
      <c r="P936" s="213"/>
      <c r="Q936" s="213"/>
      <c r="R936" s="213"/>
      <c r="S936" s="213" t="s">
        <v>629</v>
      </c>
      <c r="T936" s="213"/>
      <c r="U936" s="213" t="s">
        <v>538</v>
      </c>
      <c r="V936" s="213">
        <v>1</v>
      </c>
      <c r="W936" s="213" t="s">
        <v>562</v>
      </c>
      <c r="X936" s="213" t="s">
        <v>554</v>
      </c>
      <c r="Y936" s="213" t="s">
        <v>554</v>
      </c>
      <c r="Z936" s="212">
        <v>21588</v>
      </c>
      <c r="AA936" s="212">
        <v>1927380</v>
      </c>
      <c r="AB936" s="217">
        <v>2.7005379999999999</v>
      </c>
      <c r="AC936" s="217">
        <v>4.3461040000000004</v>
      </c>
      <c r="AD936" s="212">
        <f t="shared" si="14"/>
        <v>5204962.9304399993</v>
      </c>
    </row>
    <row r="937" spans="2:30" x14ac:dyDescent="0.15">
      <c r="B937" s="213">
        <v>17111001977</v>
      </c>
      <c r="C937" s="213">
        <v>17111004834</v>
      </c>
      <c r="D937" s="213">
        <v>17111007943</v>
      </c>
      <c r="E937" s="213" t="s">
        <v>533</v>
      </c>
      <c r="F937" s="213" t="s">
        <v>534</v>
      </c>
      <c r="G937" s="213" t="s">
        <v>375</v>
      </c>
      <c r="H937" s="213" t="s">
        <v>382</v>
      </c>
      <c r="I937" s="213"/>
      <c r="J937" s="213" t="s">
        <v>547</v>
      </c>
      <c r="K937" s="213"/>
      <c r="L937" s="213"/>
      <c r="M937" s="213"/>
      <c r="N937" s="213"/>
      <c r="O937" s="213"/>
      <c r="P937" s="213"/>
      <c r="Q937" s="213"/>
      <c r="R937" s="213"/>
      <c r="S937" s="213" t="s">
        <v>608</v>
      </c>
      <c r="T937" s="213"/>
      <c r="U937" s="213" t="s">
        <v>538</v>
      </c>
      <c r="V937" s="213">
        <v>2</v>
      </c>
      <c r="W937" s="213" t="s">
        <v>566</v>
      </c>
      <c r="X937" s="213" t="s">
        <v>549</v>
      </c>
      <c r="Y937" s="213" t="s">
        <v>549</v>
      </c>
      <c r="Z937" s="212">
        <v>10111</v>
      </c>
      <c r="AA937" s="212">
        <v>889728</v>
      </c>
      <c r="AB937" s="217">
        <v>3.3047430000000002</v>
      </c>
      <c r="AC937" s="217">
        <v>5.3184779999999998</v>
      </c>
      <c r="AD937" s="212">
        <f t="shared" si="14"/>
        <v>2940322.3799040001</v>
      </c>
    </row>
    <row r="938" spans="2:30" x14ac:dyDescent="0.15">
      <c r="B938" s="213">
        <v>17111001984</v>
      </c>
      <c r="C938" s="213">
        <v>17111004838</v>
      </c>
      <c r="D938" s="213">
        <v>17111000041</v>
      </c>
      <c r="E938" s="213" t="s">
        <v>533</v>
      </c>
      <c r="F938" s="213" t="s">
        <v>534</v>
      </c>
      <c r="G938" s="213" t="s">
        <v>375</v>
      </c>
      <c r="H938" s="213" t="s">
        <v>382</v>
      </c>
      <c r="I938" s="213"/>
      <c r="J938" s="213"/>
      <c r="K938" s="213"/>
      <c r="L938" s="213"/>
      <c r="M938" s="213"/>
      <c r="N938" s="213"/>
      <c r="O938" s="213"/>
      <c r="P938" s="213"/>
      <c r="Q938" s="213"/>
      <c r="R938" s="213"/>
      <c r="S938" s="213" t="s">
        <v>608</v>
      </c>
      <c r="T938" s="213"/>
      <c r="U938" s="213" t="s">
        <v>538</v>
      </c>
      <c r="V938" s="213">
        <v>2</v>
      </c>
      <c r="W938" s="213" t="s">
        <v>566</v>
      </c>
      <c r="X938" s="213" t="s">
        <v>540</v>
      </c>
      <c r="Y938" s="213" t="s">
        <v>549</v>
      </c>
      <c r="Z938" s="212">
        <v>9751</v>
      </c>
      <c r="AA938" s="212">
        <v>862328</v>
      </c>
      <c r="AB938" s="217">
        <v>0.16065399999999999</v>
      </c>
      <c r="AC938" s="217">
        <v>0.25854899999999997</v>
      </c>
      <c r="AD938" s="212">
        <f t="shared" si="14"/>
        <v>138536.44251199998</v>
      </c>
    </row>
    <row r="939" spans="2:30" x14ac:dyDescent="0.15">
      <c r="B939" s="213">
        <v>17111002164</v>
      </c>
      <c r="C939" s="213">
        <v>17111000119</v>
      </c>
      <c r="D939" s="213">
        <v>17111000112</v>
      </c>
      <c r="E939" s="213" t="s">
        <v>533</v>
      </c>
      <c r="F939" s="213" t="s">
        <v>534</v>
      </c>
      <c r="G939" s="213" t="s">
        <v>375</v>
      </c>
      <c r="H939" s="213" t="s">
        <v>382</v>
      </c>
      <c r="I939" s="213"/>
      <c r="J939" s="213"/>
      <c r="K939" s="213"/>
      <c r="L939" s="213"/>
      <c r="M939" s="213"/>
      <c r="N939" s="213"/>
      <c r="O939" s="213"/>
      <c r="P939" s="213"/>
      <c r="Q939" s="213"/>
      <c r="R939" s="213"/>
      <c r="S939" s="213"/>
      <c r="T939" s="213"/>
      <c r="U939" s="213" t="s">
        <v>559</v>
      </c>
      <c r="V939" s="213">
        <v>1</v>
      </c>
      <c r="W939" s="213" t="s">
        <v>560</v>
      </c>
      <c r="X939" s="213" t="s">
        <v>541</v>
      </c>
      <c r="Y939" s="213" t="s">
        <v>541</v>
      </c>
      <c r="Z939" s="212">
        <v>0</v>
      </c>
      <c r="AA939" s="212">
        <v>0</v>
      </c>
      <c r="AB939" s="217">
        <v>0.414821</v>
      </c>
      <c r="AC939" s="217">
        <v>0.66759000000000002</v>
      </c>
      <c r="AD939" s="212">
        <f t="shared" si="14"/>
        <v>0</v>
      </c>
    </row>
    <row r="940" spans="2:30" x14ac:dyDescent="0.15">
      <c r="B940" s="213">
        <v>17111002543</v>
      </c>
      <c r="C940" s="213">
        <v>17111004830</v>
      </c>
      <c r="D940" s="213">
        <v>17111000018</v>
      </c>
      <c r="E940" s="213" t="s">
        <v>533</v>
      </c>
      <c r="F940" s="213" t="s">
        <v>534</v>
      </c>
      <c r="G940" s="213" t="s">
        <v>375</v>
      </c>
      <c r="H940" s="213" t="s">
        <v>563</v>
      </c>
      <c r="I940" s="213"/>
      <c r="J940" s="213"/>
      <c r="K940" s="213"/>
      <c r="L940" s="213"/>
      <c r="M940" s="213"/>
      <c r="N940" s="213"/>
      <c r="O940" s="213"/>
      <c r="P940" s="213"/>
      <c r="Q940" s="213"/>
      <c r="R940" s="213"/>
      <c r="S940" s="213" t="s">
        <v>629</v>
      </c>
      <c r="T940" s="213"/>
      <c r="U940" s="213" t="s">
        <v>538</v>
      </c>
      <c r="V940" s="213">
        <v>1</v>
      </c>
      <c r="W940" s="213" t="s">
        <v>562</v>
      </c>
      <c r="X940" s="213" t="s">
        <v>554</v>
      </c>
      <c r="Y940" s="213" t="s">
        <v>554</v>
      </c>
      <c r="Z940" s="212">
        <v>21028</v>
      </c>
      <c r="AA940" s="212">
        <v>1874420</v>
      </c>
      <c r="AB940" s="217">
        <v>1.965821</v>
      </c>
      <c r="AC940" s="217">
        <v>3.1636880000000001</v>
      </c>
      <c r="AD940" s="212">
        <f t="shared" si="14"/>
        <v>3684774.19882</v>
      </c>
    </row>
    <row r="941" spans="2:30" x14ac:dyDescent="0.15">
      <c r="B941" s="213">
        <v>17111002544</v>
      </c>
      <c r="C941" s="213">
        <v>17111000041</v>
      </c>
      <c r="D941" s="213">
        <v>17999017040</v>
      </c>
      <c r="E941" s="213" t="s">
        <v>533</v>
      </c>
      <c r="F941" s="213" t="s">
        <v>534</v>
      </c>
      <c r="G941" s="213" t="s">
        <v>375</v>
      </c>
      <c r="H941" s="213" t="s">
        <v>382</v>
      </c>
      <c r="I941" s="213"/>
      <c r="J941" s="213"/>
      <c r="K941" s="213"/>
      <c r="L941" s="213"/>
      <c r="M941" s="213"/>
      <c r="N941" s="213"/>
      <c r="O941" s="213"/>
      <c r="P941" s="213"/>
      <c r="Q941" s="213"/>
      <c r="R941" s="213"/>
      <c r="S941" s="213" t="s">
        <v>608</v>
      </c>
      <c r="T941" s="213"/>
      <c r="U941" s="213" t="s">
        <v>538</v>
      </c>
      <c r="V941" s="213">
        <v>1</v>
      </c>
      <c r="W941" s="213" t="s">
        <v>582</v>
      </c>
      <c r="X941" s="213" t="s">
        <v>549</v>
      </c>
      <c r="Y941" s="213" t="s">
        <v>554</v>
      </c>
      <c r="Z941" s="212">
        <v>8857</v>
      </c>
      <c r="AA941" s="212">
        <v>773054</v>
      </c>
      <c r="AB941" s="217">
        <v>6.54779</v>
      </c>
      <c r="AC941" s="217">
        <v>10.537667000000001</v>
      </c>
      <c r="AD941" s="212">
        <f t="shared" si="14"/>
        <v>5061795.2506600004</v>
      </c>
    </row>
    <row r="942" spans="2:30" x14ac:dyDescent="0.15">
      <c r="B942" s="213">
        <v>17111002549</v>
      </c>
      <c r="C942" s="213">
        <v>17111004842</v>
      </c>
      <c r="D942" s="213">
        <v>17999018462</v>
      </c>
      <c r="E942" s="213" t="s">
        <v>533</v>
      </c>
      <c r="F942" s="213" t="s">
        <v>534</v>
      </c>
      <c r="G942" s="213" t="s">
        <v>375</v>
      </c>
      <c r="H942" s="213" t="s">
        <v>382</v>
      </c>
      <c r="I942" s="213"/>
      <c r="J942" s="213"/>
      <c r="K942" s="213"/>
      <c r="L942" s="213"/>
      <c r="M942" s="213"/>
      <c r="N942" s="213"/>
      <c r="O942" s="213"/>
      <c r="P942" s="213"/>
      <c r="Q942" s="213"/>
      <c r="R942" s="213"/>
      <c r="S942" s="213" t="s">
        <v>561</v>
      </c>
      <c r="T942" s="213"/>
      <c r="U942" s="213" t="s">
        <v>538</v>
      </c>
      <c r="V942" s="213">
        <v>1</v>
      </c>
      <c r="W942" s="213" t="s">
        <v>562</v>
      </c>
      <c r="X942" s="213" t="s">
        <v>540</v>
      </c>
      <c r="Y942" s="213" t="s">
        <v>541</v>
      </c>
      <c r="Z942" s="212">
        <v>12120</v>
      </c>
      <c r="AA942" s="212">
        <v>280000</v>
      </c>
      <c r="AB942" s="217">
        <v>4.9888399999999997</v>
      </c>
      <c r="AC942" s="217">
        <v>8.0287749999999996</v>
      </c>
      <c r="AD942" s="212">
        <f t="shared" si="14"/>
        <v>1396875.2</v>
      </c>
    </row>
    <row r="943" spans="2:30" x14ac:dyDescent="0.15">
      <c r="B943" s="213">
        <v>17111002550</v>
      </c>
      <c r="C943" s="213">
        <v>17111000115</v>
      </c>
      <c r="D943" s="213">
        <v>17111000108</v>
      </c>
      <c r="E943" s="213" t="s">
        <v>533</v>
      </c>
      <c r="F943" s="213" t="s">
        <v>534</v>
      </c>
      <c r="G943" s="213" t="s">
        <v>375</v>
      </c>
      <c r="H943" s="213" t="s">
        <v>382</v>
      </c>
      <c r="I943" s="213"/>
      <c r="J943" s="213" t="s">
        <v>547</v>
      </c>
      <c r="K943" s="213"/>
      <c r="L943" s="213"/>
      <c r="M943" s="213"/>
      <c r="N943" s="213"/>
      <c r="O943" s="213"/>
      <c r="P943" s="213"/>
      <c r="Q943" s="213"/>
      <c r="R943" s="213"/>
      <c r="S943" s="213" t="s">
        <v>608</v>
      </c>
      <c r="T943" s="213"/>
      <c r="U943" s="213" t="s">
        <v>538</v>
      </c>
      <c r="V943" s="213">
        <v>2</v>
      </c>
      <c r="W943" s="213" t="s">
        <v>566</v>
      </c>
      <c r="X943" s="213" t="s">
        <v>549</v>
      </c>
      <c r="Y943" s="213" t="s">
        <v>549</v>
      </c>
      <c r="Z943" s="212">
        <v>10111</v>
      </c>
      <c r="AA943" s="212">
        <v>889728</v>
      </c>
      <c r="AB943" s="217">
        <v>0.57832499999999998</v>
      </c>
      <c r="AC943" s="217">
        <v>0.93072500000000002</v>
      </c>
      <c r="AD943" s="212">
        <f t="shared" si="14"/>
        <v>514551.94559999998</v>
      </c>
    </row>
    <row r="944" spans="2:30" x14ac:dyDescent="0.15">
      <c r="B944" s="213">
        <v>17111002551</v>
      </c>
      <c r="C944" s="213">
        <v>17111000045</v>
      </c>
      <c r="D944" s="213">
        <v>17111004838</v>
      </c>
      <c r="E944" s="213" t="s">
        <v>533</v>
      </c>
      <c r="F944" s="213" t="s">
        <v>534</v>
      </c>
      <c r="G944" s="213" t="s">
        <v>375</v>
      </c>
      <c r="H944" s="213" t="s">
        <v>382</v>
      </c>
      <c r="I944" s="213"/>
      <c r="J944" s="213" t="s">
        <v>547</v>
      </c>
      <c r="K944" s="213"/>
      <c r="L944" s="213"/>
      <c r="M944" s="213"/>
      <c r="N944" s="213"/>
      <c r="O944" s="213"/>
      <c r="P944" s="213"/>
      <c r="Q944" s="213"/>
      <c r="R944" s="213"/>
      <c r="S944" s="213" t="s">
        <v>608</v>
      </c>
      <c r="T944" s="213"/>
      <c r="U944" s="213" t="s">
        <v>538</v>
      </c>
      <c r="V944" s="213">
        <v>2</v>
      </c>
      <c r="W944" s="213" t="s">
        <v>566</v>
      </c>
      <c r="X944" s="213" t="s">
        <v>540</v>
      </c>
      <c r="Y944" s="213" t="s">
        <v>549</v>
      </c>
      <c r="Z944" s="212">
        <v>9751</v>
      </c>
      <c r="AA944" s="212">
        <v>862328</v>
      </c>
      <c r="AB944" s="217">
        <v>0.318969</v>
      </c>
      <c r="AC944" s="217">
        <v>0.51333099999999998</v>
      </c>
      <c r="AD944" s="212">
        <f t="shared" si="14"/>
        <v>275055.89983200002</v>
      </c>
    </row>
    <row r="945" spans="2:30" x14ac:dyDescent="0.15">
      <c r="B945" s="213">
        <v>17111002555</v>
      </c>
      <c r="C945" s="213">
        <v>17111000144</v>
      </c>
      <c r="D945" s="213">
        <v>17111000119</v>
      </c>
      <c r="E945" s="213" t="s">
        <v>533</v>
      </c>
      <c r="F945" s="213" t="s">
        <v>534</v>
      </c>
      <c r="G945" s="213" t="s">
        <v>375</v>
      </c>
      <c r="H945" s="213" t="s">
        <v>382</v>
      </c>
      <c r="I945" s="213"/>
      <c r="J945" s="213"/>
      <c r="K945" s="213"/>
      <c r="L945" s="213"/>
      <c r="M945" s="213"/>
      <c r="N945" s="213"/>
      <c r="O945" s="213"/>
      <c r="P945" s="213"/>
      <c r="Q945" s="213"/>
      <c r="R945" s="213"/>
      <c r="S945" s="213" t="s">
        <v>620</v>
      </c>
      <c r="T945" s="213"/>
      <c r="U945" s="213" t="s">
        <v>559</v>
      </c>
      <c r="V945" s="213">
        <v>1</v>
      </c>
      <c r="W945" s="213" t="s">
        <v>560</v>
      </c>
      <c r="X945" s="213" t="s">
        <v>541</v>
      </c>
      <c r="Y945" s="213" t="s">
        <v>541</v>
      </c>
      <c r="Z945" s="212">
        <v>0</v>
      </c>
      <c r="AA945" s="212">
        <v>0</v>
      </c>
      <c r="AB945" s="217">
        <v>0.49689100000000003</v>
      </c>
      <c r="AC945" s="217">
        <v>0.79967100000000002</v>
      </c>
      <c r="AD945" s="212">
        <f t="shared" si="14"/>
        <v>0</v>
      </c>
    </row>
    <row r="946" spans="2:30" x14ac:dyDescent="0.15">
      <c r="B946" s="213">
        <v>17111002618</v>
      </c>
      <c r="C946" s="213">
        <v>17111000144</v>
      </c>
      <c r="D946" s="213">
        <v>17111004831</v>
      </c>
      <c r="E946" s="213" t="s">
        <v>533</v>
      </c>
      <c r="F946" s="213" t="s">
        <v>534</v>
      </c>
      <c r="G946" s="213" t="s">
        <v>375</v>
      </c>
      <c r="H946" s="213" t="s">
        <v>382</v>
      </c>
      <c r="I946" s="213"/>
      <c r="J946" s="213"/>
      <c r="K946" s="213"/>
      <c r="L946" s="213"/>
      <c r="M946" s="213"/>
      <c r="N946" s="213"/>
      <c r="O946" s="213"/>
      <c r="P946" s="213"/>
      <c r="Q946" s="213"/>
      <c r="R946" s="213"/>
      <c r="S946" s="213" t="s">
        <v>620</v>
      </c>
      <c r="T946" s="213"/>
      <c r="U946" s="213" t="s">
        <v>559</v>
      </c>
      <c r="V946" s="213">
        <v>1</v>
      </c>
      <c r="W946" s="213" t="s">
        <v>560</v>
      </c>
      <c r="X946" s="213" t="s">
        <v>541</v>
      </c>
      <c r="Y946" s="213" t="s">
        <v>541</v>
      </c>
      <c r="Z946" s="212">
        <v>0</v>
      </c>
      <c r="AA946" s="212">
        <v>0</v>
      </c>
      <c r="AB946" s="217">
        <v>0.31636999999999998</v>
      </c>
      <c r="AC946" s="217">
        <v>0.50914899999999996</v>
      </c>
      <c r="AD946" s="212">
        <f t="shared" si="14"/>
        <v>0</v>
      </c>
    </row>
    <row r="947" spans="2:30" x14ac:dyDescent="0.15">
      <c r="B947" s="213">
        <v>17111002711</v>
      </c>
      <c r="C947" s="213">
        <v>17111000043</v>
      </c>
      <c r="D947" s="213">
        <v>17111000039</v>
      </c>
      <c r="E947" s="213" t="s">
        <v>533</v>
      </c>
      <c r="F947" s="213" t="s">
        <v>534</v>
      </c>
      <c r="G947" s="213" t="s">
        <v>375</v>
      </c>
      <c r="H947" s="213" t="s">
        <v>636</v>
      </c>
      <c r="I947" s="213"/>
      <c r="J947" s="213"/>
      <c r="K947" s="213"/>
      <c r="L947" s="213"/>
      <c r="M947" s="213"/>
      <c r="N947" s="213"/>
      <c r="O947" s="213"/>
      <c r="P947" s="213"/>
      <c r="Q947" s="213"/>
      <c r="R947" s="213"/>
      <c r="S947" s="213"/>
      <c r="T947" s="213"/>
      <c r="U947" s="213" t="s">
        <v>538</v>
      </c>
      <c r="V947" s="213">
        <v>1</v>
      </c>
      <c r="W947" s="213" t="s">
        <v>560</v>
      </c>
      <c r="X947" s="213" t="s">
        <v>637</v>
      </c>
      <c r="Y947" s="213" t="s">
        <v>541</v>
      </c>
      <c r="Z947" s="212">
        <v>0</v>
      </c>
      <c r="AA947" s="212">
        <v>0</v>
      </c>
      <c r="AB947" s="217">
        <v>2.6914910000000001</v>
      </c>
      <c r="AC947" s="217">
        <v>4.3315440000000001</v>
      </c>
      <c r="AD947" s="212">
        <f t="shared" si="14"/>
        <v>0</v>
      </c>
    </row>
    <row r="948" spans="2:30" x14ac:dyDescent="0.15">
      <c r="B948" s="213">
        <v>17111005928</v>
      </c>
      <c r="C948" s="213">
        <v>17111000151</v>
      </c>
      <c r="D948" s="213">
        <v>17111000154</v>
      </c>
      <c r="E948" s="213" t="s">
        <v>533</v>
      </c>
      <c r="F948" s="213" t="s">
        <v>534</v>
      </c>
      <c r="G948" s="213" t="s">
        <v>375</v>
      </c>
      <c r="H948" s="213" t="s">
        <v>678</v>
      </c>
      <c r="I948" s="213"/>
      <c r="J948" s="213"/>
      <c r="K948" s="213"/>
      <c r="L948" s="213"/>
      <c r="M948" s="213"/>
      <c r="N948" s="213"/>
      <c r="O948" s="213"/>
      <c r="P948" s="213"/>
      <c r="Q948" s="213"/>
      <c r="R948" s="213"/>
      <c r="S948" s="213"/>
      <c r="T948" s="213"/>
      <c r="U948" s="213" t="s">
        <v>538</v>
      </c>
      <c r="V948" s="213">
        <v>1</v>
      </c>
      <c r="W948" s="213" t="s">
        <v>560</v>
      </c>
      <c r="X948" s="213" t="s">
        <v>541</v>
      </c>
      <c r="Y948" s="213" t="s">
        <v>541</v>
      </c>
      <c r="Z948" s="212">
        <v>0</v>
      </c>
      <c r="AA948" s="212">
        <v>0</v>
      </c>
      <c r="AB948" s="217">
        <v>0.16159299999999999</v>
      </c>
      <c r="AC948" s="217">
        <v>0.26005899999999998</v>
      </c>
      <c r="AD948" s="212">
        <f t="shared" si="14"/>
        <v>0</v>
      </c>
    </row>
    <row r="949" spans="2:30" x14ac:dyDescent="0.15">
      <c r="B949" s="213">
        <v>17111005953</v>
      </c>
      <c r="C949" s="213">
        <v>17111004832</v>
      </c>
      <c r="D949" s="213">
        <v>17111000144</v>
      </c>
      <c r="E949" s="213" t="s">
        <v>533</v>
      </c>
      <c r="F949" s="213" t="s">
        <v>534</v>
      </c>
      <c r="G949" s="213" t="s">
        <v>375</v>
      </c>
      <c r="H949" s="213" t="s">
        <v>382</v>
      </c>
      <c r="I949" s="213"/>
      <c r="J949" s="213"/>
      <c r="K949" s="213"/>
      <c r="L949" s="213"/>
      <c r="M949" s="213"/>
      <c r="N949" s="213"/>
      <c r="O949" s="213"/>
      <c r="P949" s="213"/>
      <c r="Q949" s="213"/>
      <c r="R949" s="213"/>
      <c r="S949" s="213" t="s">
        <v>620</v>
      </c>
      <c r="T949" s="213"/>
      <c r="U949" s="213" t="s">
        <v>559</v>
      </c>
      <c r="V949" s="213">
        <v>1</v>
      </c>
      <c r="W949" s="213" t="s">
        <v>560</v>
      </c>
      <c r="X949" s="213" t="s">
        <v>541</v>
      </c>
      <c r="Y949" s="213" t="s">
        <v>541</v>
      </c>
      <c r="Z949" s="212">
        <v>0</v>
      </c>
      <c r="AA949" s="212">
        <v>0</v>
      </c>
      <c r="AB949" s="217">
        <v>0.47721200000000003</v>
      </c>
      <c r="AC949" s="217">
        <v>0.76800000000000002</v>
      </c>
      <c r="AD949" s="212">
        <f t="shared" si="14"/>
        <v>0</v>
      </c>
    </row>
    <row r="950" spans="2:30" x14ac:dyDescent="0.15">
      <c r="B950" s="213">
        <v>17197002011</v>
      </c>
      <c r="C950" s="213">
        <v>17197007461</v>
      </c>
      <c r="D950" s="213">
        <v>17197007445</v>
      </c>
      <c r="E950" s="213" t="s">
        <v>533</v>
      </c>
      <c r="F950" s="213" t="s">
        <v>534</v>
      </c>
      <c r="G950" s="213" t="s">
        <v>377</v>
      </c>
      <c r="H950" s="213" t="s">
        <v>535</v>
      </c>
      <c r="I950" s="213"/>
      <c r="J950" s="213" t="s">
        <v>382</v>
      </c>
      <c r="K950" s="213" t="s">
        <v>536</v>
      </c>
      <c r="L950" s="213"/>
      <c r="M950" s="213"/>
      <c r="N950" s="213"/>
      <c r="O950" s="213"/>
      <c r="P950" s="213"/>
      <c r="Q950" s="213"/>
      <c r="R950" s="213"/>
      <c r="S950" s="213" t="s">
        <v>550</v>
      </c>
      <c r="T950" s="213"/>
      <c r="U950" s="213" t="s">
        <v>538</v>
      </c>
      <c r="V950" s="213">
        <v>1</v>
      </c>
      <c r="W950" s="213" t="s">
        <v>545</v>
      </c>
      <c r="X950" s="213" t="s">
        <v>549</v>
      </c>
      <c r="Y950" s="213" t="s">
        <v>540</v>
      </c>
      <c r="Z950" s="212">
        <v>80988</v>
      </c>
      <c r="AA950" s="212">
        <v>9181980</v>
      </c>
      <c r="AB950" s="217">
        <v>1.916623</v>
      </c>
      <c r="AC950" s="217">
        <v>3.0845120000000001</v>
      </c>
      <c r="AD950" s="212">
        <f t="shared" si="14"/>
        <v>17598394.053539999</v>
      </c>
    </row>
    <row r="951" spans="2:30" x14ac:dyDescent="0.15">
      <c r="B951" s="213">
        <v>17197002051</v>
      </c>
      <c r="C951" s="213">
        <v>17999025833</v>
      </c>
      <c r="D951" s="213">
        <v>17197007380</v>
      </c>
      <c r="E951" s="213" t="s">
        <v>533</v>
      </c>
      <c r="F951" s="213" t="s">
        <v>534</v>
      </c>
      <c r="G951" s="213" t="s">
        <v>377</v>
      </c>
      <c r="H951" s="213" t="s">
        <v>382</v>
      </c>
      <c r="I951" s="213"/>
      <c r="J951" s="213" t="s">
        <v>551</v>
      </c>
      <c r="K951" s="213" t="s">
        <v>555</v>
      </c>
      <c r="L951" s="213"/>
      <c r="M951" s="213"/>
      <c r="N951" s="213"/>
      <c r="O951" s="213"/>
      <c r="P951" s="213"/>
      <c r="Q951" s="213"/>
      <c r="R951" s="213"/>
      <c r="S951" s="213" t="s">
        <v>556</v>
      </c>
      <c r="T951" s="213"/>
      <c r="U951" s="213" t="s">
        <v>538</v>
      </c>
      <c r="V951" s="213">
        <v>2</v>
      </c>
      <c r="W951" s="213" t="s">
        <v>582</v>
      </c>
      <c r="X951" s="213" t="s">
        <v>549</v>
      </c>
      <c r="Y951" s="213" t="s">
        <v>580</v>
      </c>
      <c r="Z951" s="212">
        <v>687866</v>
      </c>
      <c r="AA951" s="212">
        <v>29191196</v>
      </c>
      <c r="AB951" s="217">
        <v>3.636355</v>
      </c>
      <c r="AC951" s="217">
        <v>5.8521580000000002</v>
      </c>
      <c r="AD951" s="212">
        <f t="shared" si="14"/>
        <v>106149551.53058</v>
      </c>
    </row>
    <row r="952" spans="2:30" x14ac:dyDescent="0.15">
      <c r="B952" s="213">
        <v>17197002056</v>
      </c>
      <c r="C952" s="213">
        <v>17197001753</v>
      </c>
      <c r="D952" s="213">
        <v>17197001738</v>
      </c>
      <c r="E952" s="213" t="s">
        <v>533</v>
      </c>
      <c r="F952" s="213" t="s">
        <v>534</v>
      </c>
      <c r="G952" s="213" t="s">
        <v>377</v>
      </c>
      <c r="H952" s="213" t="s">
        <v>382</v>
      </c>
      <c r="I952" s="213"/>
      <c r="J952" s="213" t="s">
        <v>542</v>
      </c>
      <c r="K952" s="213"/>
      <c r="L952" s="213"/>
      <c r="M952" s="213"/>
      <c r="N952" s="213"/>
      <c r="O952" s="213"/>
      <c r="P952" s="213"/>
      <c r="Q952" s="213"/>
      <c r="R952" s="213"/>
      <c r="S952" s="213" t="s">
        <v>606</v>
      </c>
      <c r="T952" s="213"/>
      <c r="U952" s="213" t="s">
        <v>538</v>
      </c>
      <c r="V952" s="213">
        <v>1</v>
      </c>
      <c r="W952" s="213" t="s">
        <v>545</v>
      </c>
      <c r="X952" s="213" t="s">
        <v>549</v>
      </c>
      <c r="Y952" s="213" t="s">
        <v>541</v>
      </c>
      <c r="Z952" s="212">
        <v>80</v>
      </c>
      <c r="AA952" s="212">
        <v>7560</v>
      </c>
      <c r="AB952" s="217">
        <v>0.58857999999999999</v>
      </c>
      <c r="AC952" s="217">
        <v>0.94723000000000002</v>
      </c>
      <c r="AD952" s="212">
        <f t="shared" si="14"/>
        <v>4449.6647999999996</v>
      </c>
    </row>
    <row r="953" spans="2:30" x14ac:dyDescent="0.15">
      <c r="B953" s="213">
        <v>17197002058</v>
      </c>
      <c r="C953" s="213">
        <v>17197001810</v>
      </c>
      <c r="D953" s="213">
        <v>17197001773</v>
      </c>
      <c r="E953" s="213" t="s">
        <v>533</v>
      </c>
      <c r="F953" s="213" t="s">
        <v>534</v>
      </c>
      <c r="G953" s="213" t="s">
        <v>377</v>
      </c>
      <c r="H953" s="213" t="s">
        <v>382</v>
      </c>
      <c r="I953" s="213"/>
      <c r="J953" s="213" t="s">
        <v>542</v>
      </c>
      <c r="K953" s="213"/>
      <c r="L953" s="213"/>
      <c r="M953" s="213"/>
      <c r="N953" s="213"/>
      <c r="O953" s="213"/>
      <c r="P953" s="213"/>
      <c r="Q953" s="213"/>
      <c r="R953" s="213"/>
      <c r="S953" s="213" t="s">
        <v>606</v>
      </c>
      <c r="T953" s="213"/>
      <c r="U953" s="213" t="s">
        <v>538</v>
      </c>
      <c r="V953" s="213">
        <v>1</v>
      </c>
      <c r="W953" s="213" t="s">
        <v>545</v>
      </c>
      <c r="X953" s="213" t="s">
        <v>549</v>
      </c>
      <c r="Y953" s="213" t="s">
        <v>541</v>
      </c>
      <c r="Z953" s="212">
        <v>0</v>
      </c>
      <c r="AA953" s="212">
        <v>0</v>
      </c>
      <c r="AB953" s="217">
        <v>4.3202999999999996</v>
      </c>
      <c r="AC953" s="217">
        <v>6.9528619999999997</v>
      </c>
      <c r="AD953" s="212">
        <f t="shared" si="14"/>
        <v>0</v>
      </c>
    </row>
    <row r="954" spans="2:30" x14ac:dyDescent="0.15">
      <c r="B954" s="213">
        <v>17197002067</v>
      </c>
      <c r="C954" s="213">
        <v>17197004788</v>
      </c>
      <c r="D954" s="213">
        <v>17999099921</v>
      </c>
      <c r="E954" s="213" t="s">
        <v>533</v>
      </c>
      <c r="F954" s="213" t="s">
        <v>534</v>
      </c>
      <c r="G954" s="213" t="s">
        <v>377</v>
      </c>
      <c r="H954" s="213" t="s">
        <v>547</v>
      </c>
      <c r="I954" s="213"/>
      <c r="J954" s="213"/>
      <c r="K954" s="213"/>
      <c r="L954" s="213"/>
      <c r="M954" s="213"/>
      <c r="N954" s="213"/>
      <c r="O954" s="213"/>
      <c r="P954" s="213"/>
      <c r="Q954" s="213"/>
      <c r="R954" s="213"/>
      <c r="S954" s="213"/>
      <c r="T954" s="213"/>
      <c r="U954" s="213" t="s">
        <v>538</v>
      </c>
      <c r="V954" s="213">
        <v>2</v>
      </c>
      <c r="W954" s="213" t="s">
        <v>582</v>
      </c>
      <c r="X954" s="213" t="s">
        <v>540</v>
      </c>
      <c r="Y954" s="213" t="s">
        <v>541</v>
      </c>
      <c r="Z954" s="212">
        <v>0</v>
      </c>
      <c r="AA954" s="212">
        <v>0</v>
      </c>
      <c r="AB954" s="217">
        <v>0.78199200000000002</v>
      </c>
      <c r="AC954" s="217">
        <v>1.258497</v>
      </c>
      <c r="AD954" s="212">
        <f t="shared" si="14"/>
        <v>0</v>
      </c>
    </row>
    <row r="955" spans="2:30" x14ac:dyDescent="0.15">
      <c r="B955" s="213">
        <v>17197002083</v>
      </c>
      <c r="C955" s="213">
        <v>17197001738</v>
      </c>
      <c r="D955" s="213">
        <v>17197001697</v>
      </c>
      <c r="E955" s="213" t="s">
        <v>533</v>
      </c>
      <c r="F955" s="213" t="s">
        <v>534</v>
      </c>
      <c r="G955" s="213" t="s">
        <v>377</v>
      </c>
      <c r="H955" s="213" t="s">
        <v>382</v>
      </c>
      <c r="I955" s="213"/>
      <c r="J955" s="213" t="s">
        <v>542</v>
      </c>
      <c r="K955" s="213"/>
      <c r="L955" s="213"/>
      <c r="M955" s="213"/>
      <c r="N955" s="213"/>
      <c r="O955" s="213"/>
      <c r="P955" s="213"/>
      <c r="Q955" s="213"/>
      <c r="R955" s="213"/>
      <c r="S955" s="213" t="s">
        <v>606</v>
      </c>
      <c r="T955" s="213"/>
      <c r="U955" s="213" t="s">
        <v>538</v>
      </c>
      <c r="V955" s="213">
        <v>1</v>
      </c>
      <c r="W955" s="213" t="s">
        <v>545</v>
      </c>
      <c r="X955" s="213" t="s">
        <v>549</v>
      </c>
      <c r="Y955" s="213" t="s">
        <v>541</v>
      </c>
      <c r="Z955" s="212">
        <v>80</v>
      </c>
      <c r="AA955" s="212">
        <v>7560</v>
      </c>
      <c r="AB955" s="217">
        <v>1.9832879999999999</v>
      </c>
      <c r="AC955" s="217">
        <v>3.1917990000000001</v>
      </c>
      <c r="AD955" s="212">
        <f t="shared" si="14"/>
        <v>14993.657279999999</v>
      </c>
    </row>
    <row r="956" spans="2:30" x14ac:dyDescent="0.15">
      <c r="B956" s="213">
        <v>17197002128</v>
      </c>
      <c r="C956" s="213">
        <v>17197001292</v>
      </c>
      <c r="D956" s="213">
        <v>17999021910</v>
      </c>
      <c r="E956" s="213" t="s">
        <v>533</v>
      </c>
      <c r="F956" s="213" t="s">
        <v>534</v>
      </c>
      <c r="G956" s="213" t="s">
        <v>377</v>
      </c>
      <c r="H956" s="213" t="s">
        <v>535</v>
      </c>
      <c r="I956" s="213"/>
      <c r="J956" s="213" t="s">
        <v>382</v>
      </c>
      <c r="K956" s="213" t="s">
        <v>536</v>
      </c>
      <c r="L956" s="213"/>
      <c r="M956" s="213"/>
      <c r="N956" s="213"/>
      <c r="O956" s="213"/>
      <c r="P956" s="213"/>
      <c r="Q956" s="213"/>
      <c r="R956" s="213"/>
      <c r="S956" s="213" t="s">
        <v>550</v>
      </c>
      <c r="T956" s="213"/>
      <c r="U956" s="213" t="s">
        <v>538</v>
      </c>
      <c r="V956" s="213">
        <v>1</v>
      </c>
      <c r="W956" s="213" t="s">
        <v>545</v>
      </c>
      <c r="X956" s="213" t="s">
        <v>549</v>
      </c>
      <c r="Y956" s="213" t="s">
        <v>540</v>
      </c>
      <c r="Z956" s="212">
        <v>80988</v>
      </c>
      <c r="AA956" s="212">
        <v>9181980</v>
      </c>
      <c r="AB956" s="217">
        <v>4.8100529999999999</v>
      </c>
      <c r="AC956" s="217">
        <v>7.7410449999999997</v>
      </c>
      <c r="AD956" s="212">
        <f t="shared" si="14"/>
        <v>44165810.444940001</v>
      </c>
    </row>
    <row r="957" spans="2:30" x14ac:dyDescent="0.15">
      <c r="B957" s="213">
        <v>17197002415</v>
      </c>
      <c r="C957" s="213">
        <v>17197004803</v>
      </c>
      <c r="D957" s="213">
        <v>17197001488</v>
      </c>
      <c r="E957" s="213" t="s">
        <v>533</v>
      </c>
      <c r="F957" s="213" t="s">
        <v>534</v>
      </c>
      <c r="G957" s="213" t="s">
        <v>377</v>
      </c>
      <c r="H957" s="213" t="s">
        <v>381</v>
      </c>
      <c r="I957" s="213"/>
      <c r="J957" s="213" t="s">
        <v>382</v>
      </c>
      <c r="K957" s="213"/>
      <c r="L957" s="213"/>
      <c r="M957" s="213"/>
      <c r="N957" s="213"/>
      <c r="O957" s="213"/>
      <c r="P957" s="213"/>
      <c r="Q957" s="213"/>
      <c r="R957" s="213"/>
      <c r="S957" s="213" t="s">
        <v>647</v>
      </c>
      <c r="T957" s="213"/>
      <c r="U957" s="213" t="s">
        <v>538</v>
      </c>
      <c r="V957" s="213">
        <v>2</v>
      </c>
      <c r="W957" s="213" t="s">
        <v>545</v>
      </c>
      <c r="X957" s="213" t="s">
        <v>554</v>
      </c>
      <c r="Y957" s="213" t="s">
        <v>580</v>
      </c>
      <c r="Z957" s="212">
        <v>1717030</v>
      </c>
      <c r="AA957" s="212">
        <v>49375514</v>
      </c>
      <c r="AB957" s="217">
        <v>0.153472</v>
      </c>
      <c r="AC957" s="217">
        <v>0.24698999999999999</v>
      </c>
      <c r="AD957" s="212">
        <f t="shared" si="14"/>
        <v>7577758.8846079996</v>
      </c>
    </row>
    <row r="958" spans="2:30" x14ac:dyDescent="0.15">
      <c r="B958" s="213">
        <v>17197002417</v>
      </c>
      <c r="C958" s="213">
        <v>17197001466</v>
      </c>
      <c r="D958" s="213">
        <v>17197001461</v>
      </c>
      <c r="E958" s="213" t="s">
        <v>533</v>
      </c>
      <c r="F958" s="213" t="s">
        <v>534</v>
      </c>
      <c r="G958" s="213" t="s">
        <v>377</v>
      </c>
      <c r="H958" s="213" t="s">
        <v>535</v>
      </c>
      <c r="I958" s="213"/>
      <c r="J958" s="213" t="s">
        <v>382</v>
      </c>
      <c r="K958" s="213" t="s">
        <v>536</v>
      </c>
      <c r="L958" s="213"/>
      <c r="M958" s="213"/>
      <c r="N958" s="213"/>
      <c r="O958" s="213"/>
      <c r="P958" s="213"/>
      <c r="Q958" s="213"/>
      <c r="R958" s="213"/>
      <c r="S958" s="213" t="s">
        <v>537</v>
      </c>
      <c r="T958" s="213"/>
      <c r="U958" s="213" t="s">
        <v>538</v>
      </c>
      <c r="V958" s="213">
        <v>2</v>
      </c>
      <c r="W958" s="213" t="s">
        <v>539</v>
      </c>
      <c r="X958" s="213" t="s">
        <v>541</v>
      </c>
      <c r="Y958" s="213" t="s">
        <v>540</v>
      </c>
      <c r="Z958" s="212">
        <v>42172</v>
      </c>
      <c r="AA958" s="212">
        <v>4204358</v>
      </c>
      <c r="AB958" s="217">
        <v>0.70442199999999999</v>
      </c>
      <c r="AC958" s="217">
        <v>1.1336599999999999</v>
      </c>
      <c r="AD958" s="212">
        <f t="shared" si="14"/>
        <v>2961642.2710759998</v>
      </c>
    </row>
    <row r="959" spans="2:30" x14ac:dyDescent="0.15">
      <c r="B959" s="213">
        <v>17197002591</v>
      </c>
      <c r="C959" s="213">
        <v>17197004796</v>
      </c>
      <c r="D959" s="213">
        <v>17197001420</v>
      </c>
      <c r="E959" s="213" t="s">
        <v>533</v>
      </c>
      <c r="F959" s="213" t="s">
        <v>534</v>
      </c>
      <c r="G959" s="213" t="s">
        <v>377</v>
      </c>
      <c r="H959" s="213" t="s">
        <v>535</v>
      </c>
      <c r="I959" s="213"/>
      <c r="J959" s="213" t="s">
        <v>382</v>
      </c>
      <c r="K959" s="213" t="s">
        <v>536</v>
      </c>
      <c r="L959" s="213"/>
      <c r="M959" s="213"/>
      <c r="N959" s="213"/>
      <c r="O959" s="213"/>
      <c r="P959" s="213"/>
      <c r="Q959" s="213"/>
      <c r="R959" s="213"/>
      <c r="S959" s="213" t="s">
        <v>550</v>
      </c>
      <c r="T959" s="213"/>
      <c r="U959" s="213" t="s">
        <v>538</v>
      </c>
      <c r="V959" s="213">
        <v>1</v>
      </c>
      <c r="W959" s="213" t="s">
        <v>545</v>
      </c>
      <c r="X959" s="213" t="s">
        <v>549</v>
      </c>
      <c r="Y959" s="213" t="s">
        <v>540</v>
      </c>
      <c r="Z959" s="212">
        <v>89616</v>
      </c>
      <c r="AA959" s="212">
        <v>9950908</v>
      </c>
      <c r="AB959" s="217">
        <v>4.0209890000000001</v>
      </c>
      <c r="AC959" s="217">
        <v>6.4711679999999996</v>
      </c>
      <c r="AD959" s="212">
        <f t="shared" si="14"/>
        <v>40012491.608011998</v>
      </c>
    </row>
    <row r="960" spans="2:30" x14ac:dyDescent="0.15">
      <c r="B960" s="213">
        <v>17197002595</v>
      </c>
      <c r="C960" s="213">
        <v>17197006601</v>
      </c>
      <c r="D960" s="213">
        <v>17197004801</v>
      </c>
      <c r="E960" s="213" t="s">
        <v>533</v>
      </c>
      <c r="F960" s="213" t="s">
        <v>534</v>
      </c>
      <c r="G960" s="213" t="s">
        <v>377</v>
      </c>
      <c r="H960" s="213" t="s">
        <v>535</v>
      </c>
      <c r="I960" s="213"/>
      <c r="J960" s="213" t="s">
        <v>382</v>
      </c>
      <c r="K960" s="213" t="s">
        <v>536</v>
      </c>
      <c r="L960" s="213"/>
      <c r="M960" s="213"/>
      <c r="N960" s="213"/>
      <c r="O960" s="213"/>
      <c r="P960" s="213"/>
      <c r="Q960" s="213"/>
      <c r="R960" s="213"/>
      <c r="S960" s="213" t="s">
        <v>537</v>
      </c>
      <c r="T960" s="213" t="s">
        <v>596</v>
      </c>
      <c r="U960" s="213" t="s">
        <v>538</v>
      </c>
      <c r="V960" s="213">
        <v>2</v>
      </c>
      <c r="W960" s="213" t="s">
        <v>539</v>
      </c>
      <c r="X960" s="213" t="s">
        <v>541</v>
      </c>
      <c r="Y960" s="213" t="s">
        <v>540</v>
      </c>
      <c r="Z960" s="212">
        <v>36008</v>
      </c>
      <c r="AA960" s="212">
        <v>3614334</v>
      </c>
      <c r="AB960" s="217">
        <v>9.6442E-2</v>
      </c>
      <c r="AC960" s="217">
        <v>0.15520800000000001</v>
      </c>
      <c r="AD960" s="212">
        <f t="shared" si="14"/>
        <v>348573.599628</v>
      </c>
    </row>
    <row r="961" spans="2:30" x14ac:dyDescent="0.15">
      <c r="B961" s="213">
        <v>17197003219</v>
      </c>
      <c r="C961" s="213">
        <v>17197007399</v>
      </c>
      <c r="D961" s="213">
        <v>17197001483</v>
      </c>
      <c r="E961" s="213" t="s">
        <v>533</v>
      </c>
      <c r="F961" s="213" t="s">
        <v>534</v>
      </c>
      <c r="G961" s="213" t="s">
        <v>377</v>
      </c>
      <c r="H961" s="213" t="s">
        <v>547</v>
      </c>
      <c r="I961" s="213"/>
      <c r="J961" s="213" t="s">
        <v>551</v>
      </c>
      <c r="K961" s="213" t="s">
        <v>615</v>
      </c>
      <c r="L961" s="213" t="s">
        <v>535</v>
      </c>
      <c r="M961" s="213"/>
      <c r="N961" s="213"/>
      <c r="O961" s="213"/>
      <c r="P961" s="213"/>
      <c r="Q961" s="213"/>
      <c r="R961" s="213"/>
      <c r="S961" s="213" t="s">
        <v>581</v>
      </c>
      <c r="T961" s="213"/>
      <c r="U961" s="213" t="s">
        <v>538</v>
      </c>
      <c r="V961" s="213">
        <v>2</v>
      </c>
      <c r="W961" s="213" t="s">
        <v>582</v>
      </c>
      <c r="X961" s="213" t="s">
        <v>540</v>
      </c>
      <c r="Y961" s="213" t="s">
        <v>540</v>
      </c>
      <c r="Z961" s="212">
        <v>35140</v>
      </c>
      <c r="AA961" s="212">
        <v>3383461</v>
      </c>
      <c r="AB961" s="217">
        <v>0.74482899999999996</v>
      </c>
      <c r="AC961" s="217">
        <v>1.1986889999999999</v>
      </c>
      <c r="AD961" s="212">
        <f t="shared" si="14"/>
        <v>2520099.8731689998</v>
      </c>
    </row>
    <row r="962" spans="2:30" x14ac:dyDescent="0.15">
      <c r="B962" s="213">
        <v>17197003220</v>
      </c>
      <c r="C962" s="213">
        <v>17197001580</v>
      </c>
      <c r="D962" s="213">
        <v>17999023612</v>
      </c>
      <c r="E962" s="213" t="s">
        <v>533</v>
      </c>
      <c r="F962" s="213" t="s">
        <v>534</v>
      </c>
      <c r="G962" s="213" t="s">
        <v>377</v>
      </c>
      <c r="H962" s="213" t="s">
        <v>547</v>
      </c>
      <c r="I962" s="213"/>
      <c r="J962" s="213" t="s">
        <v>543</v>
      </c>
      <c r="K962" s="213"/>
      <c r="L962" s="213"/>
      <c r="M962" s="213"/>
      <c r="N962" s="213"/>
      <c r="O962" s="213"/>
      <c r="P962" s="213"/>
      <c r="Q962" s="213"/>
      <c r="R962" s="213"/>
      <c r="S962" s="213" t="s">
        <v>602</v>
      </c>
      <c r="T962" s="213"/>
      <c r="U962" s="213" t="s">
        <v>538</v>
      </c>
      <c r="V962" s="213">
        <v>1</v>
      </c>
      <c r="W962" s="213" t="s">
        <v>582</v>
      </c>
      <c r="X962" s="213" t="s">
        <v>540</v>
      </c>
      <c r="Y962" s="213" t="s">
        <v>541</v>
      </c>
      <c r="Z962" s="212">
        <v>520</v>
      </c>
      <c r="AA962" s="212">
        <v>37800</v>
      </c>
      <c r="AB962" s="217">
        <v>5.8452019999999996</v>
      </c>
      <c r="AC962" s="217">
        <v>9.4069590000000005</v>
      </c>
      <c r="AD962" s="212">
        <f t="shared" si="14"/>
        <v>220948.63559999998</v>
      </c>
    </row>
    <row r="963" spans="2:30" x14ac:dyDescent="0.15">
      <c r="B963" s="213">
        <v>17197003239</v>
      </c>
      <c r="C963" s="213">
        <v>17197007194</v>
      </c>
      <c r="D963" s="213">
        <v>17197004809</v>
      </c>
      <c r="E963" s="213" t="s">
        <v>533</v>
      </c>
      <c r="F963" s="213" t="s">
        <v>534</v>
      </c>
      <c r="G963" s="213" t="s">
        <v>377</v>
      </c>
      <c r="H963" s="213" t="s">
        <v>381</v>
      </c>
      <c r="I963" s="213"/>
      <c r="J963" s="213" t="s">
        <v>382</v>
      </c>
      <c r="K963" s="213"/>
      <c r="L963" s="213"/>
      <c r="M963" s="213"/>
      <c r="N963" s="213"/>
      <c r="O963" s="213"/>
      <c r="P963" s="213"/>
      <c r="Q963" s="213"/>
      <c r="R963" s="213"/>
      <c r="S963" s="213" t="s">
        <v>647</v>
      </c>
      <c r="T963" s="213"/>
      <c r="U963" s="213" t="s">
        <v>538</v>
      </c>
      <c r="V963" s="213">
        <v>1</v>
      </c>
      <c r="W963" s="213" t="s">
        <v>582</v>
      </c>
      <c r="X963" s="213" t="s">
        <v>549</v>
      </c>
      <c r="Y963" s="213" t="s">
        <v>580</v>
      </c>
      <c r="Z963" s="212">
        <v>219540</v>
      </c>
      <c r="AA963" s="212">
        <v>2954280</v>
      </c>
      <c r="AB963" s="217">
        <v>1.366973</v>
      </c>
      <c r="AC963" s="217">
        <v>2.1999339999999998</v>
      </c>
      <c r="AD963" s="212">
        <f t="shared" si="14"/>
        <v>4038420.99444</v>
      </c>
    </row>
    <row r="964" spans="2:30" x14ac:dyDescent="0.15">
      <c r="B964" s="213">
        <v>17197003260</v>
      </c>
      <c r="C964" s="213">
        <v>17197004803</v>
      </c>
      <c r="D964" s="213">
        <v>17197001467</v>
      </c>
      <c r="E964" s="213" t="s">
        <v>533</v>
      </c>
      <c r="F964" s="213" t="s">
        <v>534</v>
      </c>
      <c r="G964" s="213" t="s">
        <v>377</v>
      </c>
      <c r="H964" s="213" t="s">
        <v>381</v>
      </c>
      <c r="I964" s="213"/>
      <c r="J964" s="213"/>
      <c r="K964" s="213"/>
      <c r="L964" s="213"/>
      <c r="M964" s="213"/>
      <c r="N964" s="213"/>
      <c r="O964" s="213"/>
      <c r="P964" s="213"/>
      <c r="Q964" s="213"/>
      <c r="R964" s="213"/>
      <c r="S964" s="213" t="s">
        <v>647</v>
      </c>
      <c r="T964" s="213"/>
      <c r="U964" s="213" t="s">
        <v>538</v>
      </c>
      <c r="V964" s="213">
        <v>2</v>
      </c>
      <c r="W964" s="213" t="s">
        <v>545</v>
      </c>
      <c r="X964" s="213" t="s">
        <v>554</v>
      </c>
      <c r="Y964" s="213" t="s">
        <v>580</v>
      </c>
      <c r="Z964" s="212">
        <v>1669393</v>
      </c>
      <c r="AA964" s="212">
        <v>43906463</v>
      </c>
      <c r="AB964" s="217">
        <v>0.94279500000000005</v>
      </c>
      <c r="AC964" s="217">
        <v>1.517285</v>
      </c>
      <c r="AD964" s="212">
        <f t="shared" si="14"/>
        <v>41394793.784085006</v>
      </c>
    </row>
    <row r="965" spans="2:30" x14ac:dyDescent="0.15">
      <c r="B965" s="213">
        <v>17197003261</v>
      </c>
      <c r="C965" s="213">
        <v>17197001487</v>
      </c>
      <c r="D965" s="213">
        <v>17197004804</v>
      </c>
      <c r="E965" s="213" t="s">
        <v>533</v>
      </c>
      <c r="F965" s="213" t="s">
        <v>534</v>
      </c>
      <c r="G965" s="213" t="s">
        <v>377</v>
      </c>
      <c r="H965" s="213" t="s">
        <v>535</v>
      </c>
      <c r="I965" s="213"/>
      <c r="J965" s="213" t="s">
        <v>542</v>
      </c>
      <c r="K965" s="213" t="s">
        <v>547</v>
      </c>
      <c r="L965" s="213" t="s">
        <v>382</v>
      </c>
      <c r="M965" s="213"/>
      <c r="N965" s="213"/>
      <c r="O965" s="213"/>
      <c r="P965" s="213"/>
      <c r="Q965" s="213"/>
      <c r="R965" s="213"/>
      <c r="S965" s="213" t="s">
        <v>601</v>
      </c>
      <c r="T965" s="213"/>
      <c r="U965" s="213" t="s">
        <v>538</v>
      </c>
      <c r="V965" s="213">
        <v>2</v>
      </c>
      <c r="W965" s="213" t="s">
        <v>539</v>
      </c>
      <c r="X965" s="213" t="s">
        <v>554</v>
      </c>
      <c r="Y965" s="213" t="s">
        <v>540</v>
      </c>
      <c r="Z965" s="212">
        <v>114160</v>
      </c>
      <c r="AA965" s="212">
        <v>1740120</v>
      </c>
      <c r="AB965" s="217">
        <v>0.182169</v>
      </c>
      <c r="AC965" s="217">
        <v>0.29317399999999999</v>
      </c>
      <c r="AD965" s="212">
        <f t="shared" si="14"/>
        <v>316995.92028000002</v>
      </c>
    </row>
    <row r="966" spans="2:30" x14ac:dyDescent="0.15">
      <c r="B966" s="213">
        <v>17197003262</v>
      </c>
      <c r="C966" s="213">
        <v>17197001545</v>
      </c>
      <c r="D966" s="213">
        <v>17197001492</v>
      </c>
      <c r="E966" s="213" t="s">
        <v>533</v>
      </c>
      <c r="F966" s="213" t="s">
        <v>534</v>
      </c>
      <c r="G966" s="213" t="s">
        <v>377</v>
      </c>
      <c r="H966" s="213" t="s">
        <v>535</v>
      </c>
      <c r="I966" s="213"/>
      <c r="J966" s="213" t="s">
        <v>382</v>
      </c>
      <c r="K966" s="213" t="s">
        <v>536</v>
      </c>
      <c r="L966" s="213"/>
      <c r="M966" s="213"/>
      <c r="N966" s="213"/>
      <c r="O966" s="213"/>
      <c r="P966" s="213"/>
      <c r="Q966" s="213"/>
      <c r="R966" s="213"/>
      <c r="S966" s="213" t="s">
        <v>537</v>
      </c>
      <c r="T966" s="213"/>
      <c r="U966" s="213" t="s">
        <v>538</v>
      </c>
      <c r="V966" s="213">
        <v>2</v>
      </c>
      <c r="W966" s="213" t="s">
        <v>545</v>
      </c>
      <c r="X966" s="213" t="s">
        <v>541</v>
      </c>
      <c r="Y966" s="213" t="s">
        <v>540</v>
      </c>
      <c r="Z966" s="212">
        <v>37528</v>
      </c>
      <c r="AA966" s="212">
        <v>3746654</v>
      </c>
      <c r="AB966" s="217">
        <v>0.749085</v>
      </c>
      <c r="AC966" s="217">
        <v>1.2055370000000001</v>
      </c>
      <c r="AD966" s="212">
        <f t="shared" ref="AD966:AD1029" si="15">AA966*AB966</f>
        <v>2806562.3115900001</v>
      </c>
    </row>
    <row r="967" spans="2:30" x14ac:dyDescent="0.15">
      <c r="B967" s="213">
        <v>17197003290</v>
      </c>
      <c r="C967" s="213">
        <v>17197001706</v>
      </c>
      <c r="D967" s="213">
        <v>17197001638</v>
      </c>
      <c r="E967" s="213" t="s">
        <v>533</v>
      </c>
      <c r="F967" s="213" t="s">
        <v>534</v>
      </c>
      <c r="G967" s="213" t="s">
        <v>377</v>
      </c>
      <c r="H967" s="213" t="s">
        <v>382</v>
      </c>
      <c r="I967" s="213"/>
      <c r="J967" s="213" t="s">
        <v>551</v>
      </c>
      <c r="K967" s="213" t="s">
        <v>555</v>
      </c>
      <c r="L967" s="213"/>
      <c r="M967" s="213"/>
      <c r="N967" s="213"/>
      <c r="O967" s="213"/>
      <c r="P967" s="213"/>
      <c r="Q967" s="213"/>
      <c r="R967" s="213"/>
      <c r="S967" s="213" t="s">
        <v>556</v>
      </c>
      <c r="T967" s="213"/>
      <c r="U967" s="213" t="s">
        <v>538</v>
      </c>
      <c r="V967" s="213">
        <v>2</v>
      </c>
      <c r="W967" s="213" t="s">
        <v>545</v>
      </c>
      <c r="X967" s="213" t="s">
        <v>549</v>
      </c>
      <c r="Y967" s="213" t="s">
        <v>580</v>
      </c>
      <c r="Z967" s="212">
        <v>687866</v>
      </c>
      <c r="AA967" s="212">
        <v>29191196</v>
      </c>
      <c r="AB967" s="217">
        <v>1.659875</v>
      </c>
      <c r="AC967" s="217">
        <v>2.6713149999999999</v>
      </c>
      <c r="AD967" s="212">
        <f t="shared" si="15"/>
        <v>48453736.460500002</v>
      </c>
    </row>
    <row r="968" spans="2:30" x14ac:dyDescent="0.15">
      <c r="B968" s="213">
        <v>17197003466</v>
      </c>
      <c r="C968" s="213">
        <v>17197007230</v>
      </c>
      <c r="D968" s="213">
        <v>17197007240</v>
      </c>
      <c r="E968" s="213" t="s">
        <v>533</v>
      </c>
      <c r="F968" s="213" t="s">
        <v>534</v>
      </c>
      <c r="G968" s="213" t="s">
        <v>377</v>
      </c>
      <c r="H968" s="213" t="s">
        <v>381</v>
      </c>
      <c r="I968" s="213"/>
      <c r="J968" s="213"/>
      <c r="K968" s="213"/>
      <c r="L968" s="213"/>
      <c r="M968" s="213"/>
      <c r="N968" s="213"/>
      <c r="O968" s="213"/>
      <c r="P968" s="213"/>
      <c r="Q968" s="213"/>
      <c r="R968" s="213"/>
      <c r="S968" s="213" t="s">
        <v>591</v>
      </c>
      <c r="T968" s="213"/>
      <c r="U968" s="213" t="s">
        <v>559</v>
      </c>
      <c r="V968" s="213">
        <v>1</v>
      </c>
      <c r="W968" s="213" t="s">
        <v>560</v>
      </c>
      <c r="X968" s="213" t="s">
        <v>541</v>
      </c>
      <c r="Y968" s="213" t="s">
        <v>541</v>
      </c>
      <c r="Z968" s="212">
        <v>0</v>
      </c>
      <c r="AA968" s="212">
        <v>0</v>
      </c>
      <c r="AB968" s="217">
        <v>0.392152</v>
      </c>
      <c r="AC968" s="217">
        <v>0.63110900000000003</v>
      </c>
      <c r="AD968" s="212">
        <f t="shared" si="15"/>
        <v>0</v>
      </c>
    </row>
    <row r="969" spans="2:30" x14ac:dyDescent="0.15">
      <c r="B969" s="213">
        <v>17197003553</v>
      </c>
      <c r="C969" s="213">
        <v>17197001623</v>
      </c>
      <c r="D969" s="213">
        <v>17197001571</v>
      </c>
      <c r="E969" s="213" t="s">
        <v>533</v>
      </c>
      <c r="F969" s="213" t="s">
        <v>534</v>
      </c>
      <c r="G969" s="213" t="s">
        <v>377</v>
      </c>
      <c r="H969" s="213" t="s">
        <v>547</v>
      </c>
      <c r="I969" s="213"/>
      <c r="J969" s="213" t="s">
        <v>543</v>
      </c>
      <c r="K969" s="213"/>
      <c r="L969" s="213"/>
      <c r="M969" s="213"/>
      <c r="N969" s="213"/>
      <c r="O969" s="213"/>
      <c r="P969" s="213"/>
      <c r="Q969" s="213"/>
      <c r="R969" s="213"/>
      <c r="S969" s="213" t="s">
        <v>602</v>
      </c>
      <c r="T969" s="213"/>
      <c r="U969" s="213" t="s">
        <v>538</v>
      </c>
      <c r="V969" s="213">
        <v>1</v>
      </c>
      <c r="W969" s="213" t="s">
        <v>582</v>
      </c>
      <c r="X969" s="213" t="s">
        <v>540</v>
      </c>
      <c r="Y969" s="213" t="s">
        <v>541</v>
      </c>
      <c r="Z969" s="212">
        <v>520</v>
      </c>
      <c r="AA969" s="212">
        <v>37800</v>
      </c>
      <c r="AB969" s="217">
        <v>4.7967069999999996</v>
      </c>
      <c r="AC969" s="217">
        <v>7.7195679999999998</v>
      </c>
      <c r="AD969" s="212">
        <f t="shared" si="15"/>
        <v>181315.52459999998</v>
      </c>
    </row>
    <row r="970" spans="2:30" x14ac:dyDescent="0.15">
      <c r="B970" s="213">
        <v>17197003772</v>
      </c>
      <c r="C970" s="213">
        <v>17197001637</v>
      </c>
      <c r="D970" s="213">
        <v>17197004808</v>
      </c>
      <c r="E970" s="213" t="s">
        <v>533</v>
      </c>
      <c r="F970" s="213" t="s">
        <v>534</v>
      </c>
      <c r="G970" s="213" t="s">
        <v>377</v>
      </c>
      <c r="H970" s="213" t="s">
        <v>382</v>
      </c>
      <c r="I970" s="213"/>
      <c r="J970" s="213" t="s">
        <v>542</v>
      </c>
      <c r="K970" s="213"/>
      <c r="L970" s="213"/>
      <c r="M970" s="213"/>
      <c r="N970" s="213"/>
      <c r="O970" s="213"/>
      <c r="P970" s="213"/>
      <c r="Q970" s="213"/>
      <c r="R970" s="213"/>
      <c r="S970" s="213" t="s">
        <v>606</v>
      </c>
      <c r="T970" s="213"/>
      <c r="U970" s="213" t="s">
        <v>538</v>
      </c>
      <c r="V970" s="213">
        <v>1</v>
      </c>
      <c r="W970" s="213" t="s">
        <v>545</v>
      </c>
      <c r="X970" s="213" t="s">
        <v>549</v>
      </c>
      <c r="Y970" s="213" t="s">
        <v>541</v>
      </c>
      <c r="Z970" s="212">
        <v>80</v>
      </c>
      <c r="AA970" s="212">
        <v>7560</v>
      </c>
      <c r="AB970" s="217">
        <v>0.93153799999999998</v>
      </c>
      <c r="AC970" s="217">
        <v>1.4991669999999999</v>
      </c>
      <c r="AD970" s="212">
        <f t="shared" si="15"/>
        <v>7042.4272799999999</v>
      </c>
    </row>
    <row r="971" spans="2:30" x14ac:dyDescent="0.15">
      <c r="B971" s="213">
        <v>17197004002</v>
      </c>
      <c r="C971" s="213">
        <v>17197001626</v>
      </c>
      <c r="D971" s="213">
        <v>17197001617</v>
      </c>
      <c r="E971" s="213" t="s">
        <v>533</v>
      </c>
      <c r="F971" s="213" t="s">
        <v>534</v>
      </c>
      <c r="G971" s="213" t="s">
        <v>377</v>
      </c>
      <c r="H971" s="213" t="s">
        <v>535</v>
      </c>
      <c r="I971" s="213"/>
      <c r="J971" s="213" t="s">
        <v>542</v>
      </c>
      <c r="K971" s="213" t="s">
        <v>543</v>
      </c>
      <c r="L971" s="213"/>
      <c r="M971" s="213"/>
      <c r="N971" s="213"/>
      <c r="O971" s="213"/>
      <c r="P971" s="213"/>
      <c r="Q971" s="213"/>
      <c r="R971" s="213"/>
      <c r="S971" s="213" t="s">
        <v>544</v>
      </c>
      <c r="T971" s="213"/>
      <c r="U971" s="213" t="s">
        <v>538</v>
      </c>
      <c r="V971" s="213">
        <v>1</v>
      </c>
      <c r="W971" s="213" t="s">
        <v>545</v>
      </c>
      <c r="X971" s="213" t="s">
        <v>549</v>
      </c>
      <c r="Y971" s="213" t="s">
        <v>546</v>
      </c>
      <c r="Z971" s="212">
        <v>340397</v>
      </c>
      <c r="AA971" s="212">
        <v>20018462</v>
      </c>
      <c r="AB971" s="217">
        <v>0.20635200000000001</v>
      </c>
      <c r="AC971" s="217">
        <v>0.332092</v>
      </c>
      <c r="AD971" s="212">
        <f t="shared" si="15"/>
        <v>4130849.670624</v>
      </c>
    </row>
    <row r="972" spans="2:30" x14ac:dyDescent="0.15">
      <c r="B972" s="213">
        <v>17197004003</v>
      </c>
      <c r="C972" s="213">
        <v>17197004786</v>
      </c>
      <c r="D972" s="213">
        <v>17197001604</v>
      </c>
      <c r="E972" s="213" t="s">
        <v>533</v>
      </c>
      <c r="F972" s="213" t="s">
        <v>534</v>
      </c>
      <c r="G972" s="213" t="s">
        <v>377</v>
      </c>
      <c r="H972" s="213" t="s">
        <v>535</v>
      </c>
      <c r="I972" s="213"/>
      <c r="J972" s="213" t="s">
        <v>542</v>
      </c>
      <c r="K972" s="213" t="s">
        <v>543</v>
      </c>
      <c r="L972" s="213" t="s">
        <v>382</v>
      </c>
      <c r="M972" s="213"/>
      <c r="N972" s="213"/>
      <c r="O972" s="213"/>
      <c r="P972" s="213"/>
      <c r="Q972" s="213"/>
      <c r="R972" s="213"/>
      <c r="S972" s="213" t="s">
        <v>544</v>
      </c>
      <c r="T972" s="213"/>
      <c r="U972" s="213" t="s">
        <v>538</v>
      </c>
      <c r="V972" s="213">
        <v>2</v>
      </c>
      <c r="W972" s="213" t="s">
        <v>545</v>
      </c>
      <c r="X972" s="213" t="s">
        <v>540</v>
      </c>
      <c r="Y972" s="213" t="s">
        <v>546</v>
      </c>
      <c r="Z972" s="212">
        <v>340397</v>
      </c>
      <c r="AA972" s="212">
        <v>20018462</v>
      </c>
      <c r="AB972" s="217">
        <v>0.46915000000000001</v>
      </c>
      <c r="AC972" s="217">
        <v>0.75502599999999997</v>
      </c>
      <c r="AD972" s="212">
        <f t="shared" si="15"/>
        <v>9391661.4473000001</v>
      </c>
    </row>
    <row r="973" spans="2:30" x14ac:dyDescent="0.15">
      <c r="B973" s="213">
        <v>17197004239</v>
      </c>
      <c r="C973" s="213">
        <v>17197001622</v>
      </c>
      <c r="D973" s="213">
        <v>17197001623</v>
      </c>
      <c r="E973" s="213" t="s">
        <v>533</v>
      </c>
      <c r="F973" s="213" t="s">
        <v>534</v>
      </c>
      <c r="G973" s="213" t="s">
        <v>377</v>
      </c>
      <c r="H973" s="213" t="s">
        <v>547</v>
      </c>
      <c r="I973" s="213"/>
      <c r="J973" s="213"/>
      <c r="K973" s="213"/>
      <c r="L973" s="213"/>
      <c r="M973" s="213"/>
      <c r="N973" s="213"/>
      <c r="O973" s="213"/>
      <c r="P973" s="213"/>
      <c r="Q973" s="213"/>
      <c r="R973" s="213"/>
      <c r="S973" s="213" t="s">
        <v>602</v>
      </c>
      <c r="T973" s="213"/>
      <c r="U973" s="213" t="s">
        <v>538</v>
      </c>
      <c r="V973" s="213">
        <v>1</v>
      </c>
      <c r="W973" s="213" t="s">
        <v>582</v>
      </c>
      <c r="X973" s="213" t="s">
        <v>540</v>
      </c>
      <c r="Y973" s="213" t="s">
        <v>541</v>
      </c>
      <c r="Z973" s="212">
        <v>0</v>
      </c>
      <c r="AA973" s="212">
        <v>0</v>
      </c>
      <c r="AB973" s="217">
        <v>0.10580000000000001</v>
      </c>
      <c r="AC973" s="217">
        <v>0.170268</v>
      </c>
      <c r="AD973" s="212">
        <f t="shared" si="15"/>
        <v>0</v>
      </c>
    </row>
    <row r="974" spans="2:30" x14ac:dyDescent="0.15">
      <c r="B974" s="213">
        <v>17197005463</v>
      </c>
      <c r="C974" s="213">
        <v>17197004789</v>
      </c>
      <c r="D974" s="213">
        <v>17197001484</v>
      </c>
      <c r="E974" s="213" t="s">
        <v>533</v>
      </c>
      <c r="F974" s="213" t="s">
        <v>534</v>
      </c>
      <c r="G974" s="213" t="s">
        <v>377</v>
      </c>
      <c r="H974" s="213" t="s">
        <v>551</v>
      </c>
      <c r="I974" s="213"/>
      <c r="J974" s="213" t="s">
        <v>535</v>
      </c>
      <c r="K974" s="213" t="s">
        <v>615</v>
      </c>
      <c r="L974" s="213"/>
      <c r="M974" s="213"/>
      <c r="N974" s="213"/>
      <c r="O974" s="213"/>
      <c r="P974" s="213"/>
      <c r="Q974" s="213"/>
      <c r="R974" s="213"/>
      <c r="S974" s="213" t="s">
        <v>663</v>
      </c>
      <c r="T974" s="213"/>
      <c r="U974" s="213" t="s">
        <v>538</v>
      </c>
      <c r="V974" s="213">
        <v>1</v>
      </c>
      <c r="W974" s="213" t="s">
        <v>539</v>
      </c>
      <c r="X974" s="213" t="s">
        <v>554</v>
      </c>
      <c r="Y974" s="213" t="s">
        <v>540</v>
      </c>
      <c r="Z974" s="212">
        <v>33660</v>
      </c>
      <c r="AA974" s="212">
        <v>3240061</v>
      </c>
      <c r="AB974" s="217">
        <v>2.0880920000000001</v>
      </c>
      <c r="AC974" s="217">
        <v>3.3604660000000002</v>
      </c>
      <c r="AD974" s="212">
        <f t="shared" si="15"/>
        <v>6765545.4536119998</v>
      </c>
    </row>
    <row r="975" spans="2:30" x14ac:dyDescent="0.15">
      <c r="B975" s="213">
        <v>17197005986</v>
      </c>
      <c r="C975" s="213">
        <v>17197001537</v>
      </c>
      <c r="D975" s="213">
        <v>17197001493</v>
      </c>
      <c r="E975" s="213" t="s">
        <v>533</v>
      </c>
      <c r="F975" s="213" t="s">
        <v>534</v>
      </c>
      <c r="G975" s="213" t="s">
        <v>377</v>
      </c>
      <c r="H975" s="213" t="s">
        <v>535</v>
      </c>
      <c r="I975" s="213"/>
      <c r="J975" s="213" t="s">
        <v>542</v>
      </c>
      <c r="K975" s="213" t="s">
        <v>382</v>
      </c>
      <c r="L975" s="213"/>
      <c r="M975" s="213"/>
      <c r="N975" s="213"/>
      <c r="O975" s="213"/>
      <c r="P975" s="213"/>
      <c r="Q975" s="213"/>
      <c r="R975" s="213"/>
      <c r="S975" s="213" t="s">
        <v>601</v>
      </c>
      <c r="T975" s="213"/>
      <c r="U975" s="213" t="s">
        <v>538</v>
      </c>
      <c r="V975" s="213">
        <v>2</v>
      </c>
      <c r="W975" s="213" t="s">
        <v>582</v>
      </c>
      <c r="X975" s="213" t="s">
        <v>540</v>
      </c>
      <c r="Y975" s="213" t="s">
        <v>540</v>
      </c>
      <c r="Z975" s="212">
        <v>114160</v>
      </c>
      <c r="AA975" s="212">
        <v>1740120</v>
      </c>
      <c r="AB975" s="217">
        <v>1.13364</v>
      </c>
      <c r="AC975" s="217">
        <v>1.8244199999999999</v>
      </c>
      <c r="AD975" s="212">
        <f t="shared" si="15"/>
        <v>1972669.6368</v>
      </c>
    </row>
    <row r="976" spans="2:30" x14ac:dyDescent="0.15">
      <c r="B976" s="213">
        <v>17197006060</v>
      </c>
      <c r="C976" s="213">
        <v>17197001483</v>
      </c>
      <c r="D976" s="213">
        <v>17197004791</v>
      </c>
      <c r="E976" s="213" t="s">
        <v>533</v>
      </c>
      <c r="F976" s="213" t="s">
        <v>534</v>
      </c>
      <c r="G976" s="213" t="s">
        <v>377</v>
      </c>
      <c r="H976" s="213" t="s">
        <v>547</v>
      </c>
      <c r="I976" s="213"/>
      <c r="J976" s="213" t="s">
        <v>551</v>
      </c>
      <c r="K976" s="213" t="s">
        <v>615</v>
      </c>
      <c r="L976" s="213"/>
      <c r="M976" s="213"/>
      <c r="N976" s="213"/>
      <c r="O976" s="213"/>
      <c r="P976" s="213"/>
      <c r="Q976" s="213"/>
      <c r="R976" s="213"/>
      <c r="S976" s="213" t="s">
        <v>581</v>
      </c>
      <c r="T976" s="213"/>
      <c r="U976" s="213" t="s">
        <v>538</v>
      </c>
      <c r="V976" s="213">
        <v>2</v>
      </c>
      <c r="W976" s="213" t="s">
        <v>582</v>
      </c>
      <c r="X976" s="213" t="s">
        <v>540</v>
      </c>
      <c r="Y976" s="213" t="s">
        <v>540</v>
      </c>
      <c r="Z976" s="212">
        <v>35460</v>
      </c>
      <c r="AA976" s="212">
        <v>3412461</v>
      </c>
      <c r="AB976" s="217">
        <v>4.7681589999999998</v>
      </c>
      <c r="AC976" s="217">
        <v>7.6736230000000001</v>
      </c>
      <c r="AD976" s="212">
        <f t="shared" si="15"/>
        <v>16271156.629299</v>
      </c>
    </row>
    <row r="977" spans="2:30" x14ac:dyDescent="0.15">
      <c r="B977" s="213">
        <v>17197006205</v>
      </c>
      <c r="C977" s="213">
        <v>17197001623</v>
      </c>
      <c r="D977" s="213">
        <v>17197001624</v>
      </c>
      <c r="E977" s="213" t="s">
        <v>533</v>
      </c>
      <c r="F977" s="213" t="s">
        <v>534</v>
      </c>
      <c r="G977" s="213" t="s">
        <v>377</v>
      </c>
      <c r="H977" s="213" t="s">
        <v>543</v>
      </c>
      <c r="I977" s="213"/>
      <c r="J977" s="213"/>
      <c r="K977" s="213"/>
      <c r="L977" s="213"/>
      <c r="M977" s="213"/>
      <c r="N977" s="213"/>
      <c r="O977" s="213"/>
      <c r="P977" s="213"/>
      <c r="Q977" s="213"/>
      <c r="R977" s="213"/>
      <c r="S977" s="213"/>
      <c r="T977" s="213"/>
      <c r="U977" s="213" t="s">
        <v>559</v>
      </c>
      <c r="V977" s="213">
        <v>1</v>
      </c>
      <c r="W977" s="213" t="s">
        <v>560</v>
      </c>
      <c r="X977" s="213" t="s">
        <v>541</v>
      </c>
      <c r="Y977" s="213" t="s">
        <v>541</v>
      </c>
      <c r="Z977" s="212">
        <v>0</v>
      </c>
      <c r="AA977" s="212">
        <v>0</v>
      </c>
      <c r="AB977" s="217">
        <v>0.41064299999999998</v>
      </c>
      <c r="AC977" s="217">
        <v>0.66086800000000001</v>
      </c>
      <c r="AD977" s="212">
        <f t="shared" si="15"/>
        <v>0</v>
      </c>
    </row>
    <row r="978" spans="2:30" x14ac:dyDescent="0.15">
      <c r="B978" s="213">
        <v>17197006258</v>
      </c>
      <c r="C978" s="213">
        <v>17197004510</v>
      </c>
      <c r="D978" s="213">
        <v>17197004512</v>
      </c>
      <c r="E978" s="213" t="s">
        <v>533</v>
      </c>
      <c r="F978" s="213" t="s">
        <v>534</v>
      </c>
      <c r="G978" s="213" t="s">
        <v>377</v>
      </c>
      <c r="H978" s="213" t="s">
        <v>381</v>
      </c>
      <c r="I978" s="213"/>
      <c r="J978" s="213" t="s">
        <v>382</v>
      </c>
      <c r="K978" s="213"/>
      <c r="L978" s="213"/>
      <c r="M978" s="213"/>
      <c r="N978" s="213"/>
      <c r="O978" s="213"/>
      <c r="P978" s="213"/>
      <c r="Q978" s="213"/>
      <c r="R978" s="213"/>
      <c r="S978" s="213" t="s">
        <v>651</v>
      </c>
      <c r="T978" s="213"/>
      <c r="U978" s="213" t="s">
        <v>559</v>
      </c>
      <c r="V978" s="213">
        <v>1</v>
      </c>
      <c r="W978" s="213" t="s">
        <v>539</v>
      </c>
      <c r="X978" s="213" t="s">
        <v>541</v>
      </c>
      <c r="Y978" s="213" t="s">
        <v>541</v>
      </c>
      <c r="Z978" s="212">
        <v>611040</v>
      </c>
      <c r="AA978" s="212">
        <v>10838280</v>
      </c>
      <c r="AB978" s="217">
        <v>0.48671500000000001</v>
      </c>
      <c r="AC978" s="217">
        <v>0.78329300000000002</v>
      </c>
      <c r="AD978" s="212">
        <f t="shared" si="15"/>
        <v>5275153.4501999998</v>
      </c>
    </row>
    <row r="979" spans="2:30" x14ac:dyDescent="0.15">
      <c r="B979" s="213">
        <v>17197006537</v>
      </c>
      <c r="C979" s="213">
        <v>17197004787</v>
      </c>
      <c r="D979" s="213">
        <v>17197004788</v>
      </c>
      <c r="E979" s="213" t="s">
        <v>533</v>
      </c>
      <c r="F979" s="213" t="s">
        <v>534</v>
      </c>
      <c r="G979" s="213" t="s">
        <v>377</v>
      </c>
      <c r="H979" s="213" t="s">
        <v>547</v>
      </c>
      <c r="I979" s="213"/>
      <c r="J979" s="213"/>
      <c r="K979" s="213"/>
      <c r="L979" s="213"/>
      <c r="M979" s="213"/>
      <c r="N979" s="213"/>
      <c r="O979" s="213"/>
      <c r="P979" s="213"/>
      <c r="Q979" s="213"/>
      <c r="R979" s="213"/>
      <c r="S979" s="213"/>
      <c r="T979" s="213"/>
      <c r="U979" s="213" t="s">
        <v>538</v>
      </c>
      <c r="V979" s="213">
        <v>2</v>
      </c>
      <c r="W979" s="213" t="s">
        <v>582</v>
      </c>
      <c r="X979" s="213" t="s">
        <v>540</v>
      </c>
      <c r="Y979" s="213" t="s">
        <v>541</v>
      </c>
      <c r="Z979" s="212">
        <v>0</v>
      </c>
      <c r="AA979" s="212">
        <v>0</v>
      </c>
      <c r="AB979" s="217">
        <v>0.205538</v>
      </c>
      <c r="AC979" s="217">
        <v>0.33078200000000002</v>
      </c>
      <c r="AD979" s="212">
        <f t="shared" si="15"/>
        <v>0</v>
      </c>
    </row>
    <row r="980" spans="2:30" x14ac:dyDescent="0.15">
      <c r="B980" s="213">
        <v>17197006538</v>
      </c>
      <c r="C980" s="213">
        <v>17197001571</v>
      </c>
      <c r="D980" s="213">
        <v>17197001580</v>
      </c>
      <c r="E980" s="213" t="s">
        <v>533</v>
      </c>
      <c r="F980" s="213" t="s">
        <v>534</v>
      </c>
      <c r="G980" s="213" t="s">
        <v>377</v>
      </c>
      <c r="H980" s="213" t="s">
        <v>547</v>
      </c>
      <c r="I980" s="213"/>
      <c r="J980" s="213" t="s">
        <v>543</v>
      </c>
      <c r="K980" s="213"/>
      <c r="L980" s="213"/>
      <c r="M980" s="213"/>
      <c r="N980" s="213"/>
      <c r="O980" s="213"/>
      <c r="P980" s="213"/>
      <c r="Q980" s="213"/>
      <c r="R980" s="213"/>
      <c r="S980" s="213" t="s">
        <v>602</v>
      </c>
      <c r="T980" s="213"/>
      <c r="U980" s="213" t="s">
        <v>538</v>
      </c>
      <c r="V980" s="213">
        <v>1</v>
      </c>
      <c r="W980" s="213" t="s">
        <v>582</v>
      </c>
      <c r="X980" s="213" t="s">
        <v>540</v>
      </c>
      <c r="Y980" s="213" t="s">
        <v>541</v>
      </c>
      <c r="Z980" s="212">
        <v>520</v>
      </c>
      <c r="AA980" s="212">
        <v>37800</v>
      </c>
      <c r="AB980" s="217">
        <v>0.37789299999999998</v>
      </c>
      <c r="AC980" s="217">
        <v>0.60816199999999998</v>
      </c>
      <c r="AD980" s="212">
        <f t="shared" si="15"/>
        <v>14284.355399999999</v>
      </c>
    </row>
    <row r="981" spans="2:30" x14ac:dyDescent="0.15">
      <c r="B981" s="213">
        <v>17197006547</v>
      </c>
      <c r="C981" s="213">
        <v>17197004803</v>
      </c>
      <c r="D981" s="213">
        <v>17197004804</v>
      </c>
      <c r="E981" s="213" t="s">
        <v>533</v>
      </c>
      <c r="F981" s="213" t="s">
        <v>534</v>
      </c>
      <c r="G981" s="213" t="s">
        <v>377</v>
      </c>
      <c r="H981" s="213" t="s">
        <v>382</v>
      </c>
      <c r="I981" s="213"/>
      <c r="J981" s="213"/>
      <c r="K981" s="213"/>
      <c r="L981" s="213"/>
      <c r="M981" s="213"/>
      <c r="N981" s="213"/>
      <c r="O981" s="213"/>
      <c r="P981" s="213"/>
      <c r="Q981" s="213"/>
      <c r="R981" s="213"/>
      <c r="S981" s="213"/>
      <c r="T981" s="213"/>
      <c r="U981" s="213" t="s">
        <v>538</v>
      </c>
      <c r="V981" s="213">
        <v>1</v>
      </c>
      <c r="W981" s="213" t="s">
        <v>545</v>
      </c>
      <c r="X981" s="213" t="s">
        <v>541</v>
      </c>
      <c r="Y981" s="213" t="s">
        <v>541</v>
      </c>
      <c r="Z981" s="212">
        <v>47637</v>
      </c>
      <c r="AA981" s="212">
        <v>5469051</v>
      </c>
      <c r="AB981" s="217">
        <v>2.9189E-2</v>
      </c>
      <c r="AC981" s="217">
        <v>4.6975000000000003E-2</v>
      </c>
      <c r="AD981" s="212">
        <f t="shared" si="15"/>
        <v>159636.12963899999</v>
      </c>
    </row>
    <row r="982" spans="2:30" x14ac:dyDescent="0.15">
      <c r="B982" s="213">
        <v>17197006553</v>
      </c>
      <c r="C982" s="213">
        <v>17197004812</v>
      </c>
      <c r="D982" s="213">
        <v>17197004813</v>
      </c>
      <c r="E982" s="213" t="s">
        <v>533</v>
      </c>
      <c r="F982" s="213" t="s">
        <v>534</v>
      </c>
      <c r="G982" s="213" t="s">
        <v>377</v>
      </c>
      <c r="H982" s="213" t="s">
        <v>381</v>
      </c>
      <c r="I982" s="213"/>
      <c r="J982" s="213" t="s">
        <v>382</v>
      </c>
      <c r="K982" s="213"/>
      <c r="L982" s="213"/>
      <c r="M982" s="213"/>
      <c r="N982" s="213"/>
      <c r="O982" s="213"/>
      <c r="P982" s="213"/>
      <c r="Q982" s="213"/>
      <c r="R982" s="213"/>
      <c r="S982" s="213" t="s">
        <v>651</v>
      </c>
      <c r="T982" s="213"/>
      <c r="U982" s="213" t="s">
        <v>559</v>
      </c>
      <c r="V982" s="213">
        <v>1</v>
      </c>
      <c r="W982" s="213" t="s">
        <v>539</v>
      </c>
      <c r="X982" s="213" t="s">
        <v>541</v>
      </c>
      <c r="Y982" s="213" t="s">
        <v>541</v>
      </c>
      <c r="Z982" s="212">
        <v>0</v>
      </c>
      <c r="AA982" s="212">
        <v>0</v>
      </c>
      <c r="AB982" s="217">
        <v>0.97258699999999998</v>
      </c>
      <c r="AC982" s="217">
        <v>1.5652299999999999</v>
      </c>
      <c r="AD982" s="212">
        <f t="shared" si="15"/>
        <v>0</v>
      </c>
    </row>
    <row r="983" spans="2:30" x14ac:dyDescent="0.15">
      <c r="B983" s="213">
        <v>17197006556</v>
      </c>
      <c r="C983" s="213">
        <v>17197004514</v>
      </c>
      <c r="D983" s="213">
        <v>17197006586</v>
      </c>
      <c r="E983" s="213" t="s">
        <v>533</v>
      </c>
      <c r="F983" s="213" t="s">
        <v>534</v>
      </c>
      <c r="G983" s="213" t="s">
        <v>377</v>
      </c>
      <c r="H983" s="213" t="s">
        <v>381</v>
      </c>
      <c r="I983" s="213"/>
      <c r="J983" s="213" t="s">
        <v>382</v>
      </c>
      <c r="K983" s="213"/>
      <c r="L983" s="213"/>
      <c r="M983" s="213"/>
      <c r="N983" s="213"/>
      <c r="O983" s="213"/>
      <c r="P983" s="213"/>
      <c r="Q983" s="213"/>
      <c r="R983" s="213"/>
      <c r="S983" s="213" t="s">
        <v>651</v>
      </c>
      <c r="T983" s="213" t="s">
        <v>651</v>
      </c>
      <c r="U983" s="213" t="s">
        <v>559</v>
      </c>
      <c r="V983" s="213">
        <v>1</v>
      </c>
      <c r="W983" s="213" t="s">
        <v>539</v>
      </c>
      <c r="X983" s="213" t="s">
        <v>541</v>
      </c>
      <c r="Y983" s="213" t="s">
        <v>541</v>
      </c>
      <c r="Z983" s="212">
        <v>830080</v>
      </c>
      <c r="AA983" s="212">
        <v>13752400</v>
      </c>
      <c r="AB983" s="217">
        <v>0.90021099999999998</v>
      </c>
      <c r="AC983" s="217">
        <v>1.4487509999999999</v>
      </c>
      <c r="AD983" s="212">
        <f t="shared" si="15"/>
        <v>12380061.7564</v>
      </c>
    </row>
    <row r="984" spans="2:30" x14ac:dyDescent="0.15">
      <c r="B984" s="213">
        <v>17197007027</v>
      </c>
      <c r="C984" s="213">
        <v>17197005582</v>
      </c>
      <c r="D984" s="213">
        <v>17197005583</v>
      </c>
      <c r="E984" s="213" t="s">
        <v>533</v>
      </c>
      <c r="F984" s="213" t="s">
        <v>534</v>
      </c>
      <c r="G984" s="213" t="s">
        <v>377</v>
      </c>
      <c r="H984" s="213" t="s">
        <v>382</v>
      </c>
      <c r="I984" s="213"/>
      <c r="J984" s="213"/>
      <c r="K984" s="213"/>
      <c r="L984" s="213"/>
      <c r="M984" s="213"/>
      <c r="N984" s="213"/>
      <c r="O984" s="213"/>
      <c r="P984" s="213"/>
      <c r="Q984" s="213"/>
      <c r="R984" s="213"/>
      <c r="S984" s="213" t="s">
        <v>592</v>
      </c>
      <c r="T984" s="213"/>
      <c r="U984" s="213" t="s">
        <v>559</v>
      </c>
      <c r="V984" s="213">
        <v>1</v>
      </c>
      <c r="W984" s="213" t="s">
        <v>539</v>
      </c>
      <c r="X984" s="213" t="s">
        <v>541</v>
      </c>
      <c r="Y984" s="213" t="s">
        <v>541</v>
      </c>
      <c r="Z984" s="212">
        <v>0</v>
      </c>
      <c r="AA984" s="212">
        <v>0</v>
      </c>
      <c r="AB984" s="217">
        <v>3.7377539999999998</v>
      </c>
      <c r="AC984" s="217">
        <v>6.0153439999999998</v>
      </c>
      <c r="AD984" s="212">
        <f t="shared" si="15"/>
        <v>0</v>
      </c>
    </row>
    <row r="985" spans="2:30" x14ac:dyDescent="0.15">
      <c r="B985" s="213">
        <v>17197007028</v>
      </c>
      <c r="C985" s="213">
        <v>17197005583</v>
      </c>
      <c r="D985" s="213">
        <v>17197005584</v>
      </c>
      <c r="E985" s="213" t="s">
        <v>533</v>
      </c>
      <c r="F985" s="213" t="s">
        <v>534</v>
      </c>
      <c r="G985" s="213" t="s">
        <v>377</v>
      </c>
      <c r="H985" s="213" t="s">
        <v>382</v>
      </c>
      <c r="I985" s="213"/>
      <c r="J985" s="213"/>
      <c r="K985" s="213"/>
      <c r="L985" s="213"/>
      <c r="M985" s="213"/>
      <c r="N985" s="213"/>
      <c r="O985" s="213"/>
      <c r="P985" s="213"/>
      <c r="Q985" s="213"/>
      <c r="R985" s="213"/>
      <c r="S985" s="213" t="s">
        <v>592</v>
      </c>
      <c r="T985" s="213"/>
      <c r="U985" s="213" t="s">
        <v>559</v>
      </c>
      <c r="V985" s="213">
        <v>1</v>
      </c>
      <c r="W985" s="213" t="s">
        <v>539</v>
      </c>
      <c r="X985" s="213" t="s">
        <v>541</v>
      </c>
      <c r="Y985" s="213" t="s">
        <v>541</v>
      </c>
      <c r="Z985" s="212">
        <v>0</v>
      </c>
      <c r="AA985" s="212">
        <v>0</v>
      </c>
      <c r="AB985" s="217">
        <v>0.18296200000000001</v>
      </c>
      <c r="AC985" s="217">
        <v>0.29444900000000002</v>
      </c>
      <c r="AD985" s="212">
        <f t="shared" si="15"/>
        <v>0</v>
      </c>
    </row>
    <row r="986" spans="2:30" x14ac:dyDescent="0.15">
      <c r="B986" s="213">
        <v>17197007034</v>
      </c>
      <c r="C986" s="213">
        <v>17197005584</v>
      </c>
      <c r="D986" s="213">
        <v>17197005588</v>
      </c>
      <c r="E986" s="213" t="s">
        <v>533</v>
      </c>
      <c r="F986" s="213" t="s">
        <v>534</v>
      </c>
      <c r="G986" s="213" t="s">
        <v>377</v>
      </c>
      <c r="H986" s="213" t="s">
        <v>382</v>
      </c>
      <c r="I986" s="213"/>
      <c r="J986" s="213"/>
      <c r="K986" s="213"/>
      <c r="L986" s="213"/>
      <c r="M986" s="213"/>
      <c r="N986" s="213"/>
      <c r="O986" s="213"/>
      <c r="P986" s="213"/>
      <c r="Q986" s="213"/>
      <c r="R986" s="213"/>
      <c r="S986" s="213" t="s">
        <v>592</v>
      </c>
      <c r="T986" s="213" t="s">
        <v>593</v>
      </c>
      <c r="U986" s="213" t="s">
        <v>559</v>
      </c>
      <c r="V986" s="213">
        <v>1</v>
      </c>
      <c r="W986" s="213" t="s">
        <v>539</v>
      </c>
      <c r="X986" s="213" t="s">
        <v>541</v>
      </c>
      <c r="Y986" s="213" t="s">
        <v>541</v>
      </c>
      <c r="Z986" s="212">
        <v>0</v>
      </c>
      <c r="AA986" s="212">
        <v>0</v>
      </c>
      <c r="AB986" s="217">
        <v>1.5826519999999999</v>
      </c>
      <c r="AC986" s="217">
        <v>2.547037</v>
      </c>
      <c r="AD986" s="212">
        <f t="shared" si="15"/>
        <v>0</v>
      </c>
    </row>
    <row r="987" spans="2:30" x14ac:dyDescent="0.15">
      <c r="B987" s="213">
        <v>17197007042</v>
      </c>
      <c r="C987" s="213">
        <v>17197005587</v>
      </c>
      <c r="D987" s="213">
        <v>17197005592</v>
      </c>
      <c r="E987" s="213" t="s">
        <v>533</v>
      </c>
      <c r="F987" s="213" t="s">
        <v>534</v>
      </c>
      <c r="G987" s="213" t="s">
        <v>377</v>
      </c>
      <c r="H987" s="213" t="s">
        <v>382</v>
      </c>
      <c r="I987" s="213"/>
      <c r="J987" s="213"/>
      <c r="K987" s="213"/>
      <c r="L987" s="213"/>
      <c r="M987" s="213"/>
      <c r="N987" s="213"/>
      <c r="O987" s="213"/>
      <c r="P987" s="213"/>
      <c r="Q987" s="213"/>
      <c r="R987" s="213"/>
      <c r="S987" s="213" t="s">
        <v>592</v>
      </c>
      <c r="T987" s="213"/>
      <c r="U987" s="213" t="s">
        <v>559</v>
      </c>
      <c r="V987" s="213">
        <v>1</v>
      </c>
      <c r="W987" s="213" t="s">
        <v>539</v>
      </c>
      <c r="X987" s="213" t="s">
        <v>541</v>
      </c>
      <c r="Y987" s="213" t="s">
        <v>541</v>
      </c>
      <c r="Z987" s="212">
        <v>110720</v>
      </c>
      <c r="AA987" s="212">
        <v>1427240</v>
      </c>
      <c r="AB987" s="217">
        <v>0.15121499999999999</v>
      </c>
      <c r="AC987" s="217">
        <v>0.24335799999999999</v>
      </c>
      <c r="AD987" s="212">
        <f t="shared" si="15"/>
        <v>215820.09659999999</v>
      </c>
    </row>
    <row r="988" spans="2:30" x14ac:dyDescent="0.15">
      <c r="B988" s="213">
        <v>17197007043</v>
      </c>
      <c r="C988" s="213">
        <v>17197005592</v>
      </c>
      <c r="D988" s="213">
        <v>17197005593</v>
      </c>
      <c r="E988" s="213" t="s">
        <v>533</v>
      </c>
      <c r="F988" s="213" t="s">
        <v>534</v>
      </c>
      <c r="G988" s="213" t="s">
        <v>377</v>
      </c>
      <c r="H988" s="213" t="s">
        <v>382</v>
      </c>
      <c r="I988" s="213"/>
      <c r="J988" s="213"/>
      <c r="K988" s="213"/>
      <c r="L988" s="213"/>
      <c r="M988" s="213"/>
      <c r="N988" s="213"/>
      <c r="O988" s="213"/>
      <c r="P988" s="213"/>
      <c r="Q988" s="213"/>
      <c r="R988" s="213"/>
      <c r="S988" s="213" t="s">
        <v>592</v>
      </c>
      <c r="T988" s="213"/>
      <c r="U988" s="213" t="s">
        <v>559</v>
      </c>
      <c r="V988" s="213">
        <v>1</v>
      </c>
      <c r="W988" s="213" t="s">
        <v>539</v>
      </c>
      <c r="X988" s="213" t="s">
        <v>541</v>
      </c>
      <c r="Y988" s="213" t="s">
        <v>541</v>
      </c>
      <c r="Z988" s="212">
        <v>110720</v>
      </c>
      <c r="AA988" s="212">
        <v>1427240</v>
      </c>
      <c r="AB988" s="217">
        <v>0.22817899999999999</v>
      </c>
      <c r="AC988" s="217">
        <v>0.36721900000000002</v>
      </c>
      <c r="AD988" s="212">
        <f t="shared" si="15"/>
        <v>325666.19595999998</v>
      </c>
    </row>
    <row r="989" spans="2:30" x14ac:dyDescent="0.15">
      <c r="B989" s="213">
        <v>17197008251</v>
      </c>
      <c r="C989" s="213">
        <v>17197001479</v>
      </c>
      <c r="D989" s="213">
        <v>17197006601</v>
      </c>
      <c r="E989" s="213" t="s">
        <v>533</v>
      </c>
      <c r="F989" s="213" t="s">
        <v>534</v>
      </c>
      <c r="G989" s="213" t="s">
        <v>377</v>
      </c>
      <c r="H989" s="213" t="s">
        <v>535</v>
      </c>
      <c r="I989" s="213"/>
      <c r="J989" s="213" t="s">
        <v>382</v>
      </c>
      <c r="K989" s="213" t="s">
        <v>536</v>
      </c>
      <c r="L989" s="213"/>
      <c r="M989" s="213"/>
      <c r="N989" s="213"/>
      <c r="O989" s="213"/>
      <c r="P989" s="213"/>
      <c r="Q989" s="213"/>
      <c r="R989" s="213"/>
      <c r="S989" s="213" t="s">
        <v>537</v>
      </c>
      <c r="T989" s="213" t="s">
        <v>596</v>
      </c>
      <c r="U989" s="213" t="s">
        <v>538</v>
      </c>
      <c r="V989" s="213">
        <v>2</v>
      </c>
      <c r="W989" s="213" t="s">
        <v>539</v>
      </c>
      <c r="X989" s="213" t="s">
        <v>541</v>
      </c>
      <c r="Y989" s="213" t="s">
        <v>540</v>
      </c>
      <c r="Z989" s="212">
        <v>36008</v>
      </c>
      <c r="AA989" s="212">
        <v>3614334</v>
      </c>
      <c r="AB989" s="217">
        <v>1.7073000000000001E-2</v>
      </c>
      <c r="AC989" s="217">
        <v>2.7477000000000001E-2</v>
      </c>
      <c r="AD989" s="212">
        <f t="shared" si="15"/>
        <v>61707.524382000003</v>
      </c>
    </row>
    <row r="990" spans="2:30" x14ac:dyDescent="0.15">
      <c r="B990" s="213">
        <v>17197008263</v>
      </c>
      <c r="C990" s="213">
        <v>17197004801</v>
      </c>
      <c r="D990" s="213">
        <v>17197006613</v>
      </c>
      <c r="E990" s="213" t="s">
        <v>533</v>
      </c>
      <c r="F990" s="213" t="s">
        <v>534</v>
      </c>
      <c r="G990" s="213" t="s">
        <v>377</v>
      </c>
      <c r="H990" s="213" t="s">
        <v>535</v>
      </c>
      <c r="I990" s="213"/>
      <c r="J990" s="213" t="s">
        <v>382</v>
      </c>
      <c r="K990" s="213" t="s">
        <v>536</v>
      </c>
      <c r="L990" s="213"/>
      <c r="M990" s="213"/>
      <c r="N990" s="213"/>
      <c r="O990" s="213"/>
      <c r="P990" s="213"/>
      <c r="Q990" s="213"/>
      <c r="R990" s="213"/>
      <c r="S990" s="213" t="s">
        <v>537</v>
      </c>
      <c r="T990" s="213" t="s">
        <v>596</v>
      </c>
      <c r="U990" s="213" t="s">
        <v>538</v>
      </c>
      <c r="V990" s="213">
        <v>2</v>
      </c>
      <c r="W990" s="213" t="s">
        <v>539</v>
      </c>
      <c r="X990" s="213" t="s">
        <v>541</v>
      </c>
      <c r="Y990" s="213" t="s">
        <v>540</v>
      </c>
      <c r="Z990" s="212">
        <v>36008</v>
      </c>
      <c r="AA990" s="212">
        <v>3614334</v>
      </c>
      <c r="AB990" s="217">
        <v>0.12364600000000001</v>
      </c>
      <c r="AC990" s="217">
        <v>0.19899</v>
      </c>
      <c r="AD990" s="212">
        <f t="shared" si="15"/>
        <v>446897.94176400005</v>
      </c>
    </row>
    <row r="991" spans="2:30" x14ac:dyDescent="0.15">
      <c r="B991" s="213">
        <v>17197008942</v>
      </c>
      <c r="C991" s="213">
        <v>17197001452</v>
      </c>
      <c r="D991" s="213">
        <v>17197007161</v>
      </c>
      <c r="E991" s="213" t="s">
        <v>533</v>
      </c>
      <c r="F991" s="213" t="s">
        <v>534</v>
      </c>
      <c r="G991" s="213" t="s">
        <v>377</v>
      </c>
      <c r="H991" s="213" t="s">
        <v>535</v>
      </c>
      <c r="I991" s="213"/>
      <c r="J991" s="213"/>
      <c r="K991" s="213"/>
      <c r="L991" s="213"/>
      <c r="M991" s="213"/>
      <c r="N991" s="213"/>
      <c r="O991" s="213"/>
      <c r="P991" s="213"/>
      <c r="Q991" s="213"/>
      <c r="R991" s="213"/>
      <c r="S991" s="213" t="s">
        <v>681</v>
      </c>
      <c r="T991" s="213"/>
      <c r="U991" s="213" t="s">
        <v>559</v>
      </c>
      <c r="V991" s="213">
        <v>1</v>
      </c>
      <c r="W991" s="213" t="s">
        <v>560</v>
      </c>
      <c r="X991" s="213" t="s">
        <v>541</v>
      </c>
      <c r="Y991" s="213" t="s">
        <v>541</v>
      </c>
      <c r="Z991" s="212">
        <v>50552</v>
      </c>
      <c r="AA991" s="212">
        <v>6043850</v>
      </c>
      <c r="AB991" s="217">
        <v>0.48193799999999998</v>
      </c>
      <c r="AC991" s="217">
        <v>0.77560499999999999</v>
      </c>
      <c r="AD991" s="212">
        <f t="shared" si="15"/>
        <v>2912760.9812999996</v>
      </c>
    </row>
    <row r="992" spans="2:30" x14ac:dyDescent="0.15">
      <c r="B992" s="213">
        <v>17197008951</v>
      </c>
      <c r="C992" s="213">
        <v>17197007172</v>
      </c>
      <c r="D992" s="213">
        <v>17197007169</v>
      </c>
      <c r="E992" s="213" t="s">
        <v>533</v>
      </c>
      <c r="F992" s="213" t="s">
        <v>534</v>
      </c>
      <c r="G992" s="213" t="s">
        <v>377</v>
      </c>
      <c r="H992" s="213" t="s">
        <v>381</v>
      </c>
      <c r="I992" s="213"/>
      <c r="J992" s="213" t="s">
        <v>382</v>
      </c>
      <c r="K992" s="213"/>
      <c r="L992" s="213"/>
      <c r="M992" s="213"/>
      <c r="N992" s="213"/>
      <c r="O992" s="213"/>
      <c r="P992" s="213"/>
      <c r="Q992" s="213"/>
      <c r="R992" s="213"/>
      <c r="S992" s="213" t="s">
        <v>647</v>
      </c>
      <c r="T992" s="213"/>
      <c r="U992" s="213" t="s">
        <v>538</v>
      </c>
      <c r="V992" s="213">
        <v>2</v>
      </c>
      <c r="W992" s="213" t="s">
        <v>545</v>
      </c>
      <c r="X992" s="213" t="s">
        <v>549</v>
      </c>
      <c r="Y992" s="213" t="s">
        <v>580</v>
      </c>
      <c r="Z992" s="212">
        <v>1669317</v>
      </c>
      <c r="AA992" s="212">
        <v>43895235</v>
      </c>
      <c r="AB992" s="217">
        <v>0.314635</v>
      </c>
      <c r="AC992" s="217">
        <v>0.50635699999999995</v>
      </c>
      <c r="AD992" s="212">
        <f t="shared" si="15"/>
        <v>13810977.264225001</v>
      </c>
    </row>
    <row r="993" spans="2:30" x14ac:dyDescent="0.15">
      <c r="B993" s="213">
        <v>17197008974</v>
      </c>
      <c r="C993" s="213">
        <v>17197007193</v>
      </c>
      <c r="D993" s="213">
        <v>17197004808</v>
      </c>
      <c r="E993" s="213" t="s">
        <v>533</v>
      </c>
      <c r="F993" s="213" t="s">
        <v>534</v>
      </c>
      <c r="G993" s="213" t="s">
        <v>377</v>
      </c>
      <c r="H993" s="213" t="s">
        <v>382</v>
      </c>
      <c r="I993" s="213"/>
      <c r="J993" s="213" t="s">
        <v>542</v>
      </c>
      <c r="K993" s="213"/>
      <c r="L993" s="213"/>
      <c r="M993" s="213"/>
      <c r="N993" s="213"/>
      <c r="O993" s="213"/>
      <c r="P993" s="213"/>
      <c r="Q993" s="213"/>
      <c r="R993" s="213"/>
      <c r="S993" s="213" t="s">
        <v>606</v>
      </c>
      <c r="T993" s="213"/>
      <c r="U993" s="213" t="s">
        <v>538</v>
      </c>
      <c r="V993" s="213">
        <v>1</v>
      </c>
      <c r="W993" s="213" t="s">
        <v>545</v>
      </c>
      <c r="X993" s="213" t="s">
        <v>549</v>
      </c>
      <c r="Y993" s="213" t="s">
        <v>541</v>
      </c>
      <c r="Z993" s="212">
        <v>360</v>
      </c>
      <c r="AA993" s="212">
        <v>34680</v>
      </c>
      <c r="AB993" s="217">
        <v>0.50942500000000002</v>
      </c>
      <c r="AC993" s="217">
        <v>0.81984299999999999</v>
      </c>
      <c r="AD993" s="212">
        <f t="shared" si="15"/>
        <v>17666.859</v>
      </c>
    </row>
    <row r="994" spans="2:30" x14ac:dyDescent="0.15">
      <c r="B994" s="213">
        <v>17197008978</v>
      </c>
      <c r="C994" s="213">
        <v>17197005582</v>
      </c>
      <c r="D994" s="213">
        <v>17197007194</v>
      </c>
      <c r="E994" s="213" t="s">
        <v>533</v>
      </c>
      <c r="F994" s="213" t="s">
        <v>534</v>
      </c>
      <c r="G994" s="213" t="s">
        <v>377</v>
      </c>
      <c r="H994" s="213" t="s">
        <v>381</v>
      </c>
      <c r="I994" s="213"/>
      <c r="J994" s="213" t="s">
        <v>382</v>
      </c>
      <c r="K994" s="213"/>
      <c r="L994" s="213"/>
      <c r="M994" s="213"/>
      <c r="N994" s="213"/>
      <c r="O994" s="213"/>
      <c r="P994" s="213"/>
      <c r="Q994" s="213"/>
      <c r="R994" s="213"/>
      <c r="S994" s="213" t="s">
        <v>647</v>
      </c>
      <c r="T994" s="213"/>
      <c r="U994" s="213" t="s">
        <v>538</v>
      </c>
      <c r="V994" s="213">
        <v>1</v>
      </c>
      <c r="W994" s="213" t="s">
        <v>582</v>
      </c>
      <c r="X994" s="213" t="s">
        <v>549</v>
      </c>
      <c r="Y994" s="213" t="s">
        <v>580</v>
      </c>
      <c r="Z994" s="212">
        <v>219540</v>
      </c>
      <c r="AA994" s="212">
        <v>2954280</v>
      </c>
      <c r="AB994" s="217">
        <v>9.7706000000000001E-2</v>
      </c>
      <c r="AC994" s="217">
        <v>0.15724299999999999</v>
      </c>
      <c r="AD994" s="212">
        <f t="shared" si="15"/>
        <v>288650.88167999999</v>
      </c>
    </row>
    <row r="995" spans="2:30" x14ac:dyDescent="0.15">
      <c r="B995" s="213">
        <v>17197009012</v>
      </c>
      <c r="C995" s="213">
        <v>17197007227</v>
      </c>
      <c r="D995" s="213">
        <v>17197007239</v>
      </c>
      <c r="E995" s="213" t="s">
        <v>533</v>
      </c>
      <c r="F995" s="213" t="s">
        <v>534</v>
      </c>
      <c r="G995" s="213" t="s">
        <v>377</v>
      </c>
      <c r="H995" s="213" t="s">
        <v>381</v>
      </c>
      <c r="I995" s="213"/>
      <c r="J995" s="213"/>
      <c r="K995" s="213"/>
      <c r="L995" s="213"/>
      <c r="M995" s="213"/>
      <c r="N995" s="213"/>
      <c r="O995" s="213"/>
      <c r="P995" s="213"/>
      <c r="Q995" s="213"/>
      <c r="R995" s="213"/>
      <c r="S995" s="213" t="s">
        <v>591</v>
      </c>
      <c r="T995" s="213"/>
      <c r="U995" s="213" t="s">
        <v>559</v>
      </c>
      <c r="V995" s="213">
        <v>1</v>
      </c>
      <c r="W995" s="213" t="s">
        <v>560</v>
      </c>
      <c r="X995" s="213" t="s">
        <v>541</v>
      </c>
      <c r="Y995" s="213" t="s">
        <v>541</v>
      </c>
      <c r="Z995" s="212">
        <v>0</v>
      </c>
      <c r="AA995" s="212">
        <v>0</v>
      </c>
      <c r="AB995" s="217">
        <v>0.18413099999999999</v>
      </c>
      <c r="AC995" s="217">
        <v>0.29633100000000001</v>
      </c>
      <c r="AD995" s="212">
        <f t="shared" si="15"/>
        <v>0</v>
      </c>
    </row>
    <row r="996" spans="2:30" x14ac:dyDescent="0.15">
      <c r="B996" s="213">
        <v>17197009013</v>
      </c>
      <c r="C996" s="213">
        <v>17197007226</v>
      </c>
      <c r="D996" s="213">
        <v>17197007227</v>
      </c>
      <c r="E996" s="213" t="s">
        <v>533</v>
      </c>
      <c r="F996" s="213" t="s">
        <v>534</v>
      </c>
      <c r="G996" s="213" t="s">
        <v>377</v>
      </c>
      <c r="H996" s="213" t="s">
        <v>381</v>
      </c>
      <c r="I996" s="213"/>
      <c r="J996" s="213"/>
      <c r="K996" s="213"/>
      <c r="L996" s="213"/>
      <c r="M996" s="213"/>
      <c r="N996" s="213"/>
      <c r="O996" s="213"/>
      <c r="P996" s="213"/>
      <c r="Q996" s="213"/>
      <c r="R996" s="213"/>
      <c r="S996" s="213" t="s">
        <v>591</v>
      </c>
      <c r="T996" s="213"/>
      <c r="U996" s="213" t="s">
        <v>559</v>
      </c>
      <c r="V996" s="213">
        <v>1</v>
      </c>
      <c r="W996" s="213" t="s">
        <v>560</v>
      </c>
      <c r="X996" s="213" t="s">
        <v>541</v>
      </c>
      <c r="Y996" s="213" t="s">
        <v>541</v>
      </c>
      <c r="Z996" s="212">
        <v>0</v>
      </c>
      <c r="AA996" s="212">
        <v>0</v>
      </c>
      <c r="AB996" s="217">
        <v>5.7818000000000001E-2</v>
      </c>
      <c r="AC996" s="217">
        <v>9.3049999999999994E-2</v>
      </c>
      <c r="AD996" s="212">
        <f t="shared" si="15"/>
        <v>0</v>
      </c>
    </row>
    <row r="997" spans="2:30" x14ac:dyDescent="0.15">
      <c r="B997" s="213">
        <v>17197009015</v>
      </c>
      <c r="C997" s="213">
        <v>17197007229</v>
      </c>
      <c r="D997" s="213">
        <v>17197007228</v>
      </c>
      <c r="E997" s="213" t="s">
        <v>533</v>
      </c>
      <c r="F997" s="213" t="s">
        <v>534</v>
      </c>
      <c r="G997" s="213" t="s">
        <v>377</v>
      </c>
      <c r="H997" s="213" t="s">
        <v>381</v>
      </c>
      <c r="I997" s="213"/>
      <c r="J997" s="213"/>
      <c r="K997" s="213"/>
      <c r="L997" s="213"/>
      <c r="M997" s="213"/>
      <c r="N997" s="213"/>
      <c r="O997" s="213"/>
      <c r="P997" s="213"/>
      <c r="Q997" s="213"/>
      <c r="R997" s="213"/>
      <c r="S997" s="213" t="s">
        <v>591</v>
      </c>
      <c r="T997" s="213"/>
      <c r="U997" s="213" t="s">
        <v>559</v>
      </c>
      <c r="V997" s="213">
        <v>1</v>
      </c>
      <c r="W997" s="213" t="s">
        <v>560</v>
      </c>
      <c r="X997" s="213" t="s">
        <v>541</v>
      </c>
      <c r="Y997" s="213" t="s">
        <v>541</v>
      </c>
      <c r="Z997" s="212">
        <v>0</v>
      </c>
      <c r="AA997" s="212">
        <v>0</v>
      </c>
      <c r="AB997" s="217">
        <v>6.9569000000000006E-2</v>
      </c>
      <c r="AC997" s="217">
        <v>0.111961</v>
      </c>
      <c r="AD997" s="212">
        <f t="shared" si="15"/>
        <v>0</v>
      </c>
    </row>
    <row r="998" spans="2:30" x14ac:dyDescent="0.15">
      <c r="B998" s="213">
        <v>17197009029</v>
      </c>
      <c r="C998" s="213">
        <v>17197007239</v>
      </c>
      <c r="D998" s="213">
        <v>17197007230</v>
      </c>
      <c r="E998" s="213" t="s">
        <v>533</v>
      </c>
      <c r="F998" s="213" t="s">
        <v>534</v>
      </c>
      <c r="G998" s="213" t="s">
        <v>377</v>
      </c>
      <c r="H998" s="213" t="s">
        <v>381</v>
      </c>
      <c r="I998" s="213"/>
      <c r="J998" s="213"/>
      <c r="K998" s="213"/>
      <c r="L998" s="213"/>
      <c r="M998" s="213"/>
      <c r="N998" s="213"/>
      <c r="O998" s="213"/>
      <c r="P998" s="213"/>
      <c r="Q998" s="213"/>
      <c r="R998" s="213"/>
      <c r="S998" s="213" t="s">
        <v>591</v>
      </c>
      <c r="T998" s="213"/>
      <c r="U998" s="213" t="s">
        <v>559</v>
      </c>
      <c r="V998" s="213">
        <v>1</v>
      </c>
      <c r="W998" s="213" t="s">
        <v>560</v>
      </c>
      <c r="X998" s="213" t="s">
        <v>541</v>
      </c>
      <c r="Y998" s="213" t="s">
        <v>541</v>
      </c>
      <c r="Z998" s="212">
        <v>0</v>
      </c>
      <c r="AA998" s="212">
        <v>0</v>
      </c>
      <c r="AB998" s="217">
        <v>2.9349E-2</v>
      </c>
      <c r="AC998" s="217">
        <v>4.7232000000000003E-2</v>
      </c>
      <c r="AD998" s="212">
        <f t="shared" si="15"/>
        <v>0</v>
      </c>
    </row>
    <row r="999" spans="2:30" x14ac:dyDescent="0.15">
      <c r="B999" s="213">
        <v>17197009033</v>
      </c>
      <c r="C999" s="213">
        <v>17197007240</v>
      </c>
      <c r="D999" s="213">
        <v>17197007217</v>
      </c>
      <c r="E999" s="213" t="s">
        <v>533</v>
      </c>
      <c r="F999" s="213" t="s">
        <v>534</v>
      </c>
      <c r="G999" s="213" t="s">
        <v>377</v>
      </c>
      <c r="H999" s="213" t="s">
        <v>381</v>
      </c>
      <c r="I999" s="213"/>
      <c r="J999" s="213"/>
      <c r="K999" s="213"/>
      <c r="L999" s="213"/>
      <c r="M999" s="213"/>
      <c r="N999" s="213"/>
      <c r="O999" s="213"/>
      <c r="P999" s="213"/>
      <c r="Q999" s="213"/>
      <c r="R999" s="213"/>
      <c r="S999" s="213" t="s">
        <v>591</v>
      </c>
      <c r="T999" s="213"/>
      <c r="U999" s="213" t="s">
        <v>559</v>
      </c>
      <c r="V999" s="213">
        <v>1</v>
      </c>
      <c r="W999" s="213" t="s">
        <v>560</v>
      </c>
      <c r="X999" s="213" t="s">
        <v>541</v>
      </c>
      <c r="Y999" s="213" t="s">
        <v>541</v>
      </c>
      <c r="Z999" s="212">
        <v>0</v>
      </c>
      <c r="AA999" s="212">
        <v>0</v>
      </c>
      <c r="AB999" s="217">
        <v>0.27129999999999999</v>
      </c>
      <c r="AC999" s="217">
        <v>0.436616</v>
      </c>
      <c r="AD999" s="212">
        <f t="shared" si="15"/>
        <v>0</v>
      </c>
    </row>
    <row r="1000" spans="2:30" x14ac:dyDescent="0.15">
      <c r="B1000" s="213">
        <v>17197009253</v>
      </c>
      <c r="C1000" s="213">
        <v>17197007380</v>
      </c>
      <c r="D1000" s="213">
        <v>17197001706</v>
      </c>
      <c r="E1000" s="213" t="s">
        <v>533</v>
      </c>
      <c r="F1000" s="213" t="s">
        <v>534</v>
      </c>
      <c r="G1000" s="213" t="s">
        <v>377</v>
      </c>
      <c r="H1000" s="213" t="s">
        <v>382</v>
      </c>
      <c r="I1000" s="213"/>
      <c r="J1000" s="213" t="s">
        <v>551</v>
      </c>
      <c r="K1000" s="213" t="s">
        <v>555</v>
      </c>
      <c r="L1000" s="213"/>
      <c r="M1000" s="213"/>
      <c r="N1000" s="213"/>
      <c r="O1000" s="213"/>
      <c r="P1000" s="213"/>
      <c r="Q1000" s="213"/>
      <c r="R1000" s="213"/>
      <c r="S1000" s="213" t="s">
        <v>556</v>
      </c>
      <c r="T1000" s="213"/>
      <c r="U1000" s="213" t="s">
        <v>538</v>
      </c>
      <c r="V1000" s="213">
        <v>2</v>
      </c>
      <c r="W1000" s="213" t="s">
        <v>582</v>
      </c>
      <c r="X1000" s="213" t="s">
        <v>549</v>
      </c>
      <c r="Y1000" s="213" t="s">
        <v>580</v>
      </c>
      <c r="Z1000" s="212">
        <v>687866</v>
      </c>
      <c r="AA1000" s="212">
        <v>29191196</v>
      </c>
      <c r="AB1000" s="217">
        <v>1.2709269999999999</v>
      </c>
      <c r="AC1000" s="217">
        <v>2.045363</v>
      </c>
      <c r="AD1000" s="212">
        <f t="shared" si="15"/>
        <v>37099879.158691995</v>
      </c>
    </row>
    <row r="1001" spans="2:30" x14ac:dyDescent="0.15">
      <c r="B1001" s="213">
        <v>17197009260</v>
      </c>
      <c r="C1001" s="213">
        <v>17197007386</v>
      </c>
      <c r="D1001" s="213">
        <v>17197004786</v>
      </c>
      <c r="E1001" s="213" t="s">
        <v>533</v>
      </c>
      <c r="F1001" s="213" t="s">
        <v>534</v>
      </c>
      <c r="G1001" s="213" t="s">
        <v>377</v>
      </c>
      <c r="H1001" s="213" t="s">
        <v>535</v>
      </c>
      <c r="I1001" s="213"/>
      <c r="J1001" s="213" t="s">
        <v>542</v>
      </c>
      <c r="K1001" s="213" t="s">
        <v>543</v>
      </c>
      <c r="L1001" s="213" t="s">
        <v>382</v>
      </c>
      <c r="M1001" s="213"/>
      <c r="N1001" s="213"/>
      <c r="O1001" s="213"/>
      <c r="P1001" s="213"/>
      <c r="Q1001" s="213"/>
      <c r="R1001" s="213"/>
      <c r="S1001" s="213" t="s">
        <v>544</v>
      </c>
      <c r="T1001" s="213"/>
      <c r="U1001" s="213" t="s">
        <v>538</v>
      </c>
      <c r="V1001" s="213">
        <v>1</v>
      </c>
      <c r="W1001" s="213" t="s">
        <v>545</v>
      </c>
      <c r="X1001" s="213" t="s">
        <v>549</v>
      </c>
      <c r="Y1001" s="213" t="s">
        <v>546</v>
      </c>
      <c r="Z1001" s="212">
        <v>340397</v>
      </c>
      <c r="AA1001" s="212">
        <v>20018462</v>
      </c>
      <c r="AB1001" s="217">
        <v>0.47660799999999998</v>
      </c>
      <c r="AC1001" s="217">
        <v>0.76702800000000004</v>
      </c>
      <c r="AD1001" s="212">
        <f t="shared" si="15"/>
        <v>9540959.1368959993</v>
      </c>
    </row>
    <row r="1002" spans="2:30" x14ac:dyDescent="0.15">
      <c r="B1002" s="213">
        <v>17197009303</v>
      </c>
      <c r="C1002" s="213">
        <v>17197007422</v>
      </c>
      <c r="D1002" s="213">
        <v>17197007426</v>
      </c>
      <c r="E1002" s="213" t="s">
        <v>533</v>
      </c>
      <c r="F1002" s="213" t="s">
        <v>534</v>
      </c>
      <c r="G1002" s="213" t="s">
        <v>377</v>
      </c>
      <c r="H1002" s="213" t="s">
        <v>551</v>
      </c>
      <c r="I1002" s="213"/>
      <c r="J1002" s="213" t="s">
        <v>535</v>
      </c>
      <c r="K1002" s="213"/>
      <c r="L1002" s="213"/>
      <c r="M1002" s="213"/>
      <c r="N1002" s="213"/>
      <c r="O1002" s="213"/>
      <c r="P1002" s="213"/>
      <c r="Q1002" s="213"/>
      <c r="R1002" s="213"/>
      <c r="S1002" s="213" t="s">
        <v>594</v>
      </c>
      <c r="T1002" s="213"/>
      <c r="U1002" s="213" t="s">
        <v>559</v>
      </c>
      <c r="V1002" s="213">
        <v>1</v>
      </c>
      <c r="W1002" s="213" t="s">
        <v>560</v>
      </c>
      <c r="X1002" s="213" t="s">
        <v>541</v>
      </c>
      <c r="Y1002" s="213" t="s">
        <v>541</v>
      </c>
      <c r="Z1002" s="212">
        <v>0</v>
      </c>
      <c r="AA1002" s="212">
        <v>0</v>
      </c>
      <c r="AB1002" s="217">
        <v>0.24610000000000001</v>
      </c>
      <c r="AC1002" s="217">
        <v>0.396061</v>
      </c>
      <c r="AD1002" s="212">
        <f t="shared" si="15"/>
        <v>0</v>
      </c>
    </row>
    <row r="1003" spans="2:30" x14ac:dyDescent="0.15">
      <c r="B1003" s="213">
        <v>17197009315</v>
      </c>
      <c r="C1003" s="213">
        <v>17197007436</v>
      </c>
      <c r="D1003" s="213">
        <v>17197004793</v>
      </c>
      <c r="E1003" s="213" t="s">
        <v>533</v>
      </c>
      <c r="F1003" s="213" t="s">
        <v>534</v>
      </c>
      <c r="G1003" s="213" t="s">
        <v>377</v>
      </c>
      <c r="H1003" s="213" t="s">
        <v>535</v>
      </c>
      <c r="I1003" s="213"/>
      <c r="J1003" s="213" t="s">
        <v>382</v>
      </c>
      <c r="K1003" s="213" t="s">
        <v>536</v>
      </c>
      <c r="L1003" s="213"/>
      <c r="M1003" s="213"/>
      <c r="N1003" s="213"/>
      <c r="O1003" s="213"/>
      <c r="P1003" s="213"/>
      <c r="Q1003" s="213"/>
      <c r="R1003" s="213"/>
      <c r="S1003" s="213" t="s">
        <v>537</v>
      </c>
      <c r="T1003" s="213"/>
      <c r="U1003" s="213" t="s">
        <v>538</v>
      </c>
      <c r="V1003" s="213">
        <v>2</v>
      </c>
      <c r="W1003" s="213" t="s">
        <v>545</v>
      </c>
      <c r="X1003" s="213" t="s">
        <v>549</v>
      </c>
      <c r="Y1003" s="213" t="s">
        <v>540</v>
      </c>
      <c r="Z1003" s="212">
        <v>39128</v>
      </c>
      <c r="AA1003" s="212">
        <v>3874614</v>
      </c>
      <c r="AB1003" s="217">
        <v>0.114523</v>
      </c>
      <c r="AC1003" s="217">
        <v>0.184307</v>
      </c>
      <c r="AD1003" s="212">
        <f t="shared" si="15"/>
        <v>443732.41912199999</v>
      </c>
    </row>
    <row r="1004" spans="2:30" x14ac:dyDescent="0.15">
      <c r="B1004" s="213">
        <v>17197009319</v>
      </c>
      <c r="C1004" s="213">
        <v>17197007441</v>
      </c>
      <c r="D1004" s="213">
        <v>17197007439</v>
      </c>
      <c r="E1004" s="213" t="s">
        <v>533</v>
      </c>
      <c r="F1004" s="213" t="s">
        <v>534</v>
      </c>
      <c r="G1004" s="213" t="s">
        <v>377</v>
      </c>
      <c r="H1004" s="213" t="s">
        <v>535</v>
      </c>
      <c r="I1004" s="213"/>
      <c r="J1004" s="213" t="s">
        <v>382</v>
      </c>
      <c r="K1004" s="213" t="s">
        <v>536</v>
      </c>
      <c r="L1004" s="213"/>
      <c r="M1004" s="213"/>
      <c r="N1004" s="213"/>
      <c r="O1004" s="213"/>
      <c r="P1004" s="213"/>
      <c r="Q1004" s="213"/>
      <c r="R1004" s="213"/>
      <c r="S1004" s="213" t="s">
        <v>537</v>
      </c>
      <c r="T1004" s="213"/>
      <c r="U1004" s="213" t="s">
        <v>538</v>
      </c>
      <c r="V1004" s="213">
        <v>2</v>
      </c>
      <c r="W1004" s="213" t="s">
        <v>545</v>
      </c>
      <c r="X1004" s="213" t="s">
        <v>549</v>
      </c>
      <c r="Y1004" s="213" t="s">
        <v>540</v>
      </c>
      <c r="Z1004" s="212">
        <v>37528</v>
      </c>
      <c r="AA1004" s="212">
        <v>3746654</v>
      </c>
      <c r="AB1004" s="217">
        <v>0.21437100000000001</v>
      </c>
      <c r="AC1004" s="217">
        <v>0.344997</v>
      </c>
      <c r="AD1004" s="212">
        <f t="shared" si="15"/>
        <v>803173.96463399997</v>
      </c>
    </row>
    <row r="1005" spans="2:30" x14ac:dyDescent="0.15">
      <c r="B1005" s="213">
        <v>17197009340</v>
      </c>
      <c r="C1005" s="213">
        <v>17197001412</v>
      </c>
      <c r="D1005" s="213">
        <v>17197007461</v>
      </c>
      <c r="E1005" s="213" t="s">
        <v>533</v>
      </c>
      <c r="F1005" s="213" t="s">
        <v>534</v>
      </c>
      <c r="G1005" s="213" t="s">
        <v>377</v>
      </c>
      <c r="H1005" s="213" t="s">
        <v>535</v>
      </c>
      <c r="I1005" s="213"/>
      <c r="J1005" s="213" t="s">
        <v>382</v>
      </c>
      <c r="K1005" s="213" t="s">
        <v>536</v>
      </c>
      <c r="L1005" s="213"/>
      <c r="M1005" s="213"/>
      <c r="N1005" s="213"/>
      <c r="O1005" s="213"/>
      <c r="P1005" s="213"/>
      <c r="Q1005" s="213"/>
      <c r="R1005" s="213"/>
      <c r="S1005" s="213" t="s">
        <v>550</v>
      </c>
      <c r="T1005" s="213"/>
      <c r="U1005" s="213" t="s">
        <v>538</v>
      </c>
      <c r="V1005" s="213">
        <v>1</v>
      </c>
      <c r="W1005" s="213" t="s">
        <v>545</v>
      </c>
      <c r="X1005" s="213" t="s">
        <v>549</v>
      </c>
      <c r="Y1005" s="213" t="s">
        <v>540</v>
      </c>
      <c r="Z1005" s="212">
        <v>80988</v>
      </c>
      <c r="AA1005" s="212">
        <v>9181980</v>
      </c>
      <c r="AB1005" s="217">
        <v>0.72130300000000003</v>
      </c>
      <c r="AC1005" s="217">
        <v>1.1608270000000001</v>
      </c>
      <c r="AD1005" s="212">
        <f t="shared" si="15"/>
        <v>6622989.7199400002</v>
      </c>
    </row>
    <row r="1006" spans="2:30" x14ac:dyDescent="0.15">
      <c r="B1006" s="213">
        <v>17031001509</v>
      </c>
      <c r="C1006" s="213">
        <v>17031000536</v>
      </c>
      <c r="D1006" s="213">
        <v>17031000534</v>
      </c>
      <c r="E1006" s="213" t="s">
        <v>533</v>
      </c>
      <c r="F1006" s="213" t="s">
        <v>534</v>
      </c>
      <c r="G1006" s="213" t="s">
        <v>365</v>
      </c>
      <c r="H1006" s="213" t="s">
        <v>382</v>
      </c>
      <c r="I1006" s="213"/>
      <c r="J1006" s="213" t="s">
        <v>535</v>
      </c>
      <c r="K1006" s="213" t="s">
        <v>552</v>
      </c>
      <c r="L1006" s="213" t="s">
        <v>557</v>
      </c>
      <c r="M1006" s="213" t="s">
        <v>543</v>
      </c>
      <c r="N1006" s="213"/>
      <c r="O1006" s="213"/>
      <c r="P1006" s="213"/>
      <c r="Q1006" s="213"/>
      <c r="R1006" s="213"/>
      <c r="S1006" s="213" t="s">
        <v>650</v>
      </c>
      <c r="T1006" s="213"/>
      <c r="U1006" s="213" t="s">
        <v>559</v>
      </c>
      <c r="V1006" s="213">
        <v>1</v>
      </c>
      <c r="W1006" s="213" t="s">
        <v>539</v>
      </c>
      <c r="X1006" s="213" t="s">
        <v>541</v>
      </c>
      <c r="Y1006" s="213" t="s">
        <v>541</v>
      </c>
      <c r="Z1006" s="212">
        <v>1220</v>
      </c>
      <c r="AA1006" s="212">
        <v>92280</v>
      </c>
      <c r="AB1006" s="217">
        <v>0.13777800000000001</v>
      </c>
      <c r="AC1006" s="217">
        <v>0.22173200000000001</v>
      </c>
      <c r="AD1006" s="212">
        <f t="shared" si="15"/>
        <v>12714.153840000001</v>
      </c>
    </row>
    <row r="1007" spans="2:30" x14ac:dyDescent="0.15">
      <c r="B1007" s="213">
        <v>17031001938</v>
      </c>
      <c r="C1007" s="213">
        <v>17031004657</v>
      </c>
      <c r="D1007" s="213">
        <v>17031004521</v>
      </c>
      <c r="E1007" s="213" t="s">
        <v>533</v>
      </c>
      <c r="F1007" s="213" t="s">
        <v>534</v>
      </c>
      <c r="G1007" s="213" t="s">
        <v>365</v>
      </c>
      <c r="H1007" s="213" t="s">
        <v>381</v>
      </c>
      <c r="I1007" s="213"/>
      <c r="J1007" s="213" t="s">
        <v>542</v>
      </c>
      <c r="K1007" s="213" t="s">
        <v>547</v>
      </c>
      <c r="L1007" s="213" t="s">
        <v>382</v>
      </c>
      <c r="M1007" s="213"/>
      <c r="N1007" s="213"/>
      <c r="O1007" s="213"/>
      <c r="P1007" s="213"/>
      <c r="Q1007" s="213"/>
      <c r="R1007" s="213"/>
      <c r="S1007" s="213" t="s">
        <v>579</v>
      </c>
      <c r="T1007" s="213"/>
      <c r="U1007" s="213" t="s">
        <v>538</v>
      </c>
      <c r="V1007" s="213">
        <v>3</v>
      </c>
      <c r="W1007" s="213" t="s">
        <v>545</v>
      </c>
      <c r="X1007" s="213" t="s">
        <v>549</v>
      </c>
      <c r="Y1007" s="213" t="s">
        <v>580</v>
      </c>
      <c r="Z1007" s="212">
        <v>1206807</v>
      </c>
      <c r="AA1007" s="212">
        <v>52650967</v>
      </c>
      <c r="AB1007" s="217">
        <v>0.42139300000000002</v>
      </c>
      <c r="AC1007" s="217">
        <v>0.67816799999999999</v>
      </c>
      <c r="AD1007" s="212">
        <f t="shared" si="15"/>
        <v>22186748.937031001</v>
      </c>
    </row>
    <row r="1008" spans="2:30" x14ac:dyDescent="0.15">
      <c r="B1008" s="213">
        <v>17031001940</v>
      </c>
      <c r="C1008" s="213">
        <v>17031000824</v>
      </c>
      <c r="D1008" s="213">
        <v>17031000812</v>
      </c>
      <c r="E1008" s="213" t="s">
        <v>533</v>
      </c>
      <c r="F1008" s="213" t="s">
        <v>534</v>
      </c>
      <c r="G1008" s="213" t="s">
        <v>365</v>
      </c>
      <c r="H1008" s="213" t="s">
        <v>535</v>
      </c>
      <c r="I1008" s="213"/>
      <c r="J1008" s="213" t="s">
        <v>542</v>
      </c>
      <c r="K1008" s="213" t="s">
        <v>572</v>
      </c>
      <c r="L1008" s="213" t="s">
        <v>547</v>
      </c>
      <c r="M1008" s="213" t="s">
        <v>382</v>
      </c>
      <c r="N1008" s="213"/>
      <c r="O1008" s="213"/>
      <c r="P1008" s="213"/>
      <c r="Q1008" s="213"/>
      <c r="R1008" s="213"/>
      <c r="S1008" s="213" t="s">
        <v>601</v>
      </c>
      <c r="T1008" s="213"/>
      <c r="U1008" s="213" t="s">
        <v>538</v>
      </c>
      <c r="V1008" s="213">
        <v>2</v>
      </c>
      <c r="W1008" s="213" t="s">
        <v>545</v>
      </c>
      <c r="X1008" s="213" t="s">
        <v>549</v>
      </c>
      <c r="Y1008" s="213" t="s">
        <v>540</v>
      </c>
      <c r="Z1008" s="212">
        <v>2536</v>
      </c>
      <c r="AA1008" s="212">
        <v>238564</v>
      </c>
      <c r="AB1008" s="217">
        <v>1.454353</v>
      </c>
      <c r="AC1008" s="217">
        <v>2.3405589999999998</v>
      </c>
      <c r="AD1008" s="212">
        <f t="shared" si="15"/>
        <v>346956.26909199997</v>
      </c>
    </row>
    <row r="1009" spans="2:30" x14ac:dyDescent="0.15">
      <c r="B1009" s="213">
        <v>17031001943</v>
      </c>
      <c r="C1009" s="213">
        <v>17031000862</v>
      </c>
      <c r="D1009" s="213">
        <v>17031004669</v>
      </c>
      <c r="E1009" s="213" t="s">
        <v>533</v>
      </c>
      <c r="F1009" s="213" t="s">
        <v>534</v>
      </c>
      <c r="G1009" s="213" t="s">
        <v>365</v>
      </c>
      <c r="H1009" s="213" t="s">
        <v>535</v>
      </c>
      <c r="I1009" s="213"/>
      <c r="J1009" s="213" t="s">
        <v>542</v>
      </c>
      <c r="K1009" s="213" t="s">
        <v>572</v>
      </c>
      <c r="L1009" s="213" t="s">
        <v>547</v>
      </c>
      <c r="M1009" s="213" t="s">
        <v>382</v>
      </c>
      <c r="N1009" s="213" t="s">
        <v>552</v>
      </c>
      <c r="O1009" s="213" t="s">
        <v>381</v>
      </c>
      <c r="P1009" s="213"/>
      <c r="Q1009" s="213"/>
      <c r="R1009" s="213"/>
      <c r="S1009" s="213" t="s">
        <v>601</v>
      </c>
      <c r="T1009" s="213" t="s">
        <v>692</v>
      </c>
      <c r="U1009" s="213" t="s">
        <v>538</v>
      </c>
      <c r="V1009" s="213">
        <v>2</v>
      </c>
      <c r="W1009" s="213" t="s">
        <v>545</v>
      </c>
      <c r="X1009" s="213" t="s">
        <v>549</v>
      </c>
      <c r="Y1009" s="213" t="s">
        <v>540</v>
      </c>
      <c r="Z1009" s="212">
        <v>3016</v>
      </c>
      <c r="AA1009" s="212">
        <v>276444</v>
      </c>
      <c r="AB1009" s="217">
        <v>1.7375579999999999</v>
      </c>
      <c r="AC1009" s="217">
        <v>2.7963339999999999</v>
      </c>
      <c r="AD1009" s="212">
        <f t="shared" si="15"/>
        <v>480337.48375199997</v>
      </c>
    </row>
    <row r="1010" spans="2:30" x14ac:dyDescent="0.15">
      <c r="B1010" s="213">
        <v>17031001944</v>
      </c>
      <c r="C1010" s="213">
        <v>17031000914</v>
      </c>
      <c r="D1010" s="213">
        <v>17031000900</v>
      </c>
      <c r="E1010" s="213" t="s">
        <v>533</v>
      </c>
      <c r="F1010" s="213" t="s">
        <v>534</v>
      </c>
      <c r="G1010" s="213" t="s">
        <v>365</v>
      </c>
      <c r="H1010" s="213" t="s">
        <v>557</v>
      </c>
      <c r="I1010" s="213"/>
      <c r="J1010" s="213" t="s">
        <v>381</v>
      </c>
      <c r="K1010" s="213" t="s">
        <v>535</v>
      </c>
      <c r="L1010" s="213" t="s">
        <v>552</v>
      </c>
      <c r="M1010" s="213" t="s">
        <v>551</v>
      </c>
      <c r="N1010" s="213" t="s">
        <v>543</v>
      </c>
      <c r="O1010" s="213" t="s">
        <v>382</v>
      </c>
      <c r="P1010" s="213"/>
      <c r="Q1010" s="213"/>
      <c r="R1010" s="213"/>
      <c r="S1010" s="213" t="s">
        <v>570</v>
      </c>
      <c r="T1010" s="213"/>
      <c r="U1010" s="213" t="s">
        <v>538</v>
      </c>
      <c r="V1010" s="213">
        <v>2</v>
      </c>
      <c r="W1010" s="213" t="s">
        <v>545</v>
      </c>
      <c r="X1010" s="213" t="s">
        <v>540</v>
      </c>
      <c r="Y1010" s="213" t="s">
        <v>575</v>
      </c>
      <c r="Z1010" s="212">
        <v>1224901</v>
      </c>
      <c r="AA1010" s="212">
        <v>76595566</v>
      </c>
      <c r="AB1010" s="217">
        <v>0.53015999999999996</v>
      </c>
      <c r="AC1010" s="217">
        <v>0.85321100000000005</v>
      </c>
      <c r="AD1010" s="212">
        <f t="shared" si="15"/>
        <v>40607905.270559996</v>
      </c>
    </row>
    <row r="1011" spans="2:30" x14ac:dyDescent="0.15">
      <c r="B1011" s="213">
        <v>17031001948</v>
      </c>
      <c r="C1011" s="213">
        <v>17031000936</v>
      </c>
      <c r="D1011" s="213">
        <v>17031000929</v>
      </c>
      <c r="E1011" s="213" t="s">
        <v>533</v>
      </c>
      <c r="F1011" s="213" t="s">
        <v>534</v>
      </c>
      <c r="G1011" s="213" t="s">
        <v>365</v>
      </c>
      <c r="H1011" s="213" t="s">
        <v>557</v>
      </c>
      <c r="I1011" s="213"/>
      <c r="J1011" s="213" t="s">
        <v>381</v>
      </c>
      <c r="K1011" s="213" t="s">
        <v>535</v>
      </c>
      <c r="L1011" s="213" t="s">
        <v>552</v>
      </c>
      <c r="M1011" s="213" t="s">
        <v>551</v>
      </c>
      <c r="N1011" s="213" t="s">
        <v>543</v>
      </c>
      <c r="O1011" s="213" t="s">
        <v>382</v>
      </c>
      <c r="P1011" s="213"/>
      <c r="Q1011" s="213"/>
      <c r="R1011" s="213"/>
      <c r="S1011" s="213" t="s">
        <v>570</v>
      </c>
      <c r="T1011" s="213" t="s">
        <v>690</v>
      </c>
      <c r="U1011" s="213" t="s">
        <v>538</v>
      </c>
      <c r="V1011" s="213">
        <v>2</v>
      </c>
      <c r="W1011" s="213" t="s">
        <v>545</v>
      </c>
      <c r="X1011" s="213" t="s">
        <v>554</v>
      </c>
      <c r="Y1011" s="213" t="s">
        <v>575</v>
      </c>
      <c r="Z1011" s="212">
        <v>1085190</v>
      </c>
      <c r="AA1011" s="212">
        <v>71418537</v>
      </c>
      <c r="AB1011" s="217">
        <v>5.3003000000000002E-2</v>
      </c>
      <c r="AC1011" s="217">
        <v>8.5301000000000002E-2</v>
      </c>
      <c r="AD1011" s="212">
        <f t="shared" si="15"/>
        <v>3785396.7166110002</v>
      </c>
    </row>
    <row r="1012" spans="2:30" x14ac:dyDescent="0.15">
      <c r="B1012" s="213">
        <v>17031001952</v>
      </c>
      <c r="C1012" s="213">
        <v>17031004678</v>
      </c>
      <c r="D1012" s="213">
        <v>17031000783</v>
      </c>
      <c r="E1012" s="213" t="s">
        <v>533</v>
      </c>
      <c r="F1012" s="213" t="s">
        <v>534</v>
      </c>
      <c r="G1012" s="213" t="s">
        <v>365</v>
      </c>
      <c r="H1012" s="213" t="s">
        <v>381</v>
      </c>
      <c r="I1012" s="213"/>
      <c r="J1012" s="213" t="s">
        <v>535</v>
      </c>
      <c r="K1012" s="213" t="s">
        <v>382</v>
      </c>
      <c r="L1012" s="213"/>
      <c r="M1012" s="213"/>
      <c r="N1012" s="213"/>
      <c r="O1012" s="213"/>
      <c r="P1012" s="213"/>
      <c r="Q1012" s="213"/>
      <c r="R1012" s="213"/>
      <c r="S1012" s="213" t="s">
        <v>647</v>
      </c>
      <c r="T1012" s="213"/>
      <c r="U1012" s="213" t="s">
        <v>538</v>
      </c>
      <c r="V1012" s="213">
        <v>2</v>
      </c>
      <c r="W1012" s="213" t="s">
        <v>545</v>
      </c>
      <c r="X1012" s="213" t="s">
        <v>541</v>
      </c>
      <c r="Y1012" s="213" t="s">
        <v>580</v>
      </c>
      <c r="Z1012" s="212">
        <v>2183861</v>
      </c>
      <c r="AA1012" s="212">
        <v>70534302</v>
      </c>
      <c r="AB1012" s="217">
        <v>1.9039E-2</v>
      </c>
      <c r="AC1012" s="217">
        <v>3.0641000000000002E-2</v>
      </c>
      <c r="AD1012" s="212">
        <f t="shared" si="15"/>
        <v>1342902.5757780001</v>
      </c>
    </row>
    <row r="1013" spans="2:30" x14ac:dyDescent="0.15">
      <c r="B1013" s="213">
        <v>17031001961</v>
      </c>
      <c r="C1013" s="213">
        <v>17031001241</v>
      </c>
      <c r="D1013" s="213">
        <v>17031001200</v>
      </c>
      <c r="E1013" s="213" t="s">
        <v>533</v>
      </c>
      <c r="F1013" s="213" t="s">
        <v>534</v>
      </c>
      <c r="G1013" s="213" t="s">
        <v>365</v>
      </c>
      <c r="H1013" s="213" t="s">
        <v>557</v>
      </c>
      <c r="I1013" s="213"/>
      <c r="J1013" s="213" t="s">
        <v>381</v>
      </c>
      <c r="K1013" s="213" t="s">
        <v>535</v>
      </c>
      <c r="L1013" s="213" t="s">
        <v>552</v>
      </c>
      <c r="M1013" s="213" t="s">
        <v>551</v>
      </c>
      <c r="N1013" s="213" t="s">
        <v>543</v>
      </c>
      <c r="O1013" s="213" t="s">
        <v>382</v>
      </c>
      <c r="P1013" s="213"/>
      <c r="Q1013" s="213"/>
      <c r="R1013" s="213"/>
      <c r="S1013" s="213" t="s">
        <v>570</v>
      </c>
      <c r="T1013" s="213"/>
      <c r="U1013" s="213" t="s">
        <v>538</v>
      </c>
      <c r="V1013" s="213">
        <v>2</v>
      </c>
      <c r="W1013" s="213" t="s">
        <v>545</v>
      </c>
      <c r="X1013" s="213" t="s">
        <v>540</v>
      </c>
      <c r="Y1013" s="213" t="s">
        <v>575</v>
      </c>
      <c r="Z1013" s="212">
        <v>883924</v>
      </c>
      <c r="AA1013" s="212">
        <v>56583247</v>
      </c>
      <c r="AB1013" s="217">
        <v>1.7749740000000001</v>
      </c>
      <c r="AC1013" s="217">
        <v>2.8565489999999998</v>
      </c>
      <c r="AD1013" s="212">
        <f t="shared" si="15"/>
        <v>100433792.26057801</v>
      </c>
    </row>
    <row r="1014" spans="2:30" x14ac:dyDescent="0.15">
      <c r="B1014" s="213">
        <v>17031001965</v>
      </c>
      <c r="C1014" s="213">
        <v>17031001453</v>
      </c>
      <c r="D1014" s="213">
        <v>17031004712</v>
      </c>
      <c r="E1014" s="213" t="s">
        <v>533</v>
      </c>
      <c r="F1014" s="213" t="s">
        <v>534</v>
      </c>
      <c r="G1014" s="213" t="s">
        <v>365</v>
      </c>
      <c r="H1014" s="213" t="s">
        <v>551</v>
      </c>
      <c r="I1014" s="213"/>
      <c r="J1014" s="213"/>
      <c r="K1014" s="213"/>
      <c r="L1014" s="213"/>
      <c r="M1014" s="213"/>
      <c r="N1014" s="213"/>
      <c r="O1014" s="213"/>
      <c r="P1014" s="213"/>
      <c r="Q1014" s="213"/>
      <c r="R1014" s="213"/>
      <c r="S1014" s="213" t="s">
        <v>628</v>
      </c>
      <c r="T1014" s="213"/>
      <c r="U1014" s="213" t="s">
        <v>538</v>
      </c>
      <c r="V1014" s="213">
        <v>1</v>
      </c>
      <c r="W1014" s="213" t="s">
        <v>560</v>
      </c>
      <c r="X1014" s="213" t="s">
        <v>541</v>
      </c>
      <c r="Y1014" s="213" t="s">
        <v>541</v>
      </c>
      <c r="Z1014" s="212">
        <v>0</v>
      </c>
      <c r="AA1014" s="212">
        <v>0</v>
      </c>
      <c r="AB1014" s="217">
        <v>1.907653</v>
      </c>
      <c r="AC1014" s="217">
        <v>3.0700759999999998</v>
      </c>
      <c r="AD1014" s="212">
        <f t="shared" si="15"/>
        <v>0</v>
      </c>
    </row>
    <row r="1015" spans="2:30" x14ac:dyDescent="0.15">
      <c r="B1015" s="213">
        <v>17031001974</v>
      </c>
      <c r="C1015" s="213">
        <v>17031000992</v>
      </c>
      <c r="D1015" s="213">
        <v>17031000958</v>
      </c>
      <c r="E1015" s="213" t="s">
        <v>533</v>
      </c>
      <c r="F1015" s="213" t="s">
        <v>534</v>
      </c>
      <c r="G1015" s="213" t="s">
        <v>365</v>
      </c>
      <c r="H1015" s="213" t="s">
        <v>547</v>
      </c>
      <c r="I1015" s="213"/>
      <c r="J1015" s="213"/>
      <c r="K1015" s="213"/>
      <c r="L1015" s="213"/>
      <c r="M1015" s="213"/>
      <c r="N1015" s="213"/>
      <c r="O1015" s="213"/>
      <c r="P1015" s="213"/>
      <c r="Q1015" s="213"/>
      <c r="R1015" s="213"/>
      <c r="S1015" s="213"/>
      <c r="T1015" s="213"/>
      <c r="U1015" s="213" t="s">
        <v>538</v>
      </c>
      <c r="V1015" s="213">
        <v>2</v>
      </c>
      <c r="W1015" s="213" t="s">
        <v>545</v>
      </c>
      <c r="X1015" s="213" t="s">
        <v>540</v>
      </c>
      <c r="Y1015" s="213" t="s">
        <v>541</v>
      </c>
      <c r="Z1015" s="212">
        <v>0</v>
      </c>
      <c r="AA1015" s="212">
        <v>0</v>
      </c>
      <c r="AB1015" s="217">
        <v>0.44772899999999999</v>
      </c>
      <c r="AC1015" s="217">
        <v>0.72055199999999997</v>
      </c>
      <c r="AD1015" s="212">
        <f t="shared" si="15"/>
        <v>0</v>
      </c>
    </row>
    <row r="1016" spans="2:30" x14ac:dyDescent="0.15">
      <c r="B1016" s="213">
        <v>17031001975</v>
      </c>
      <c r="C1016" s="213">
        <v>17031001114</v>
      </c>
      <c r="D1016" s="213">
        <v>17031001023</v>
      </c>
      <c r="E1016" s="213" t="s">
        <v>533</v>
      </c>
      <c r="F1016" s="213" t="s">
        <v>534</v>
      </c>
      <c r="G1016" s="213" t="s">
        <v>365</v>
      </c>
      <c r="H1016" s="213" t="s">
        <v>543</v>
      </c>
      <c r="I1016" s="213"/>
      <c r="J1016" s="213" t="s">
        <v>542</v>
      </c>
      <c r="K1016" s="213"/>
      <c r="L1016" s="213"/>
      <c r="M1016" s="213"/>
      <c r="N1016" s="213"/>
      <c r="O1016" s="213"/>
      <c r="P1016" s="213"/>
      <c r="Q1016" s="213"/>
      <c r="R1016" s="213"/>
      <c r="S1016" s="213" t="s">
        <v>630</v>
      </c>
      <c r="T1016" s="213"/>
      <c r="U1016" s="213" t="s">
        <v>538</v>
      </c>
      <c r="V1016" s="213">
        <v>4</v>
      </c>
      <c r="W1016" s="213" t="s">
        <v>545</v>
      </c>
      <c r="X1016" s="213" t="s">
        <v>549</v>
      </c>
      <c r="Y1016" s="213" t="s">
        <v>580</v>
      </c>
      <c r="Z1016" s="212">
        <v>1962622</v>
      </c>
      <c r="AA1016" s="212">
        <v>56698813</v>
      </c>
      <c r="AB1016" s="217">
        <v>3.7237619999999998</v>
      </c>
      <c r="AC1016" s="217">
        <v>5.992826</v>
      </c>
      <c r="AD1016" s="212">
        <f t="shared" si="15"/>
        <v>211132885.29450598</v>
      </c>
    </row>
    <row r="1017" spans="2:30" x14ac:dyDescent="0.15">
      <c r="B1017" s="213">
        <v>17031002089</v>
      </c>
      <c r="C1017" s="213">
        <v>17031007598</v>
      </c>
      <c r="D1017" s="213">
        <v>17031004626</v>
      </c>
      <c r="E1017" s="213" t="s">
        <v>533</v>
      </c>
      <c r="F1017" s="213" t="s">
        <v>534</v>
      </c>
      <c r="G1017" s="213" t="s">
        <v>365</v>
      </c>
      <c r="H1017" s="213" t="s">
        <v>535</v>
      </c>
      <c r="I1017" s="213"/>
      <c r="J1017" s="213" t="s">
        <v>547</v>
      </c>
      <c r="K1017" s="213"/>
      <c r="L1017" s="213"/>
      <c r="M1017" s="213"/>
      <c r="N1017" s="213"/>
      <c r="O1017" s="213"/>
      <c r="P1017" s="213"/>
      <c r="Q1017" s="213"/>
      <c r="R1017" s="213"/>
      <c r="S1017" s="213" t="s">
        <v>548</v>
      </c>
      <c r="T1017" s="213"/>
      <c r="U1017" s="213" t="s">
        <v>538</v>
      </c>
      <c r="V1017" s="213">
        <v>1</v>
      </c>
      <c r="W1017" s="213" t="s">
        <v>545</v>
      </c>
      <c r="X1017" s="213" t="s">
        <v>549</v>
      </c>
      <c r="Y1017" s="213" t="s">
        <v>546</v>
      </c>
      <c r="Z1017" s="212">
        <v>374329</v>
      </c>
      <c r="AA1017" s="212">
        <v>22852279</v>
      </c>
      <c r="AB1017" s="217">
        <v>1.0150969999999999</v>
      </c>
      <c r="AC1017" s="217">
        <v>1.633643</v>
      </c>
      <c r="AD1017" s="212">
        <f t="shared" si="15"/>
        <v>23197279.856062997</v>
      </c>
    </row>
    <row r="1018" spans="2:30" x14ac:dyDescent="0.15">
      <c r="B1018" s="213">
        <v>17031002091</v>
      </c>
      <c r="C1018" s="213">
        <v>17031004625</v>
      </c>
      <c r="D1018" s="213">
        <v>17031007596</v>
      </c>
      <c r="E1018" s="213" t="s">
        <v>533</v>
      </c>
      <c r="F1018" s="213" t="s">
        <v>534</v>
      </c>
      <c r="G1018" s="213" t="s">
        <v>365</v>
      </c>
      <c r="H1018" s="213" t="s">
        <v>535</v>
      </c>
      <c r="I1018" s="213"/>
      <c r="J1018" s="213" t="s">
        <v>547</v>
      </c>
      <c r="K1018" s="213"/>
      <c r="L1018" s="213"/>
      <c r="M1018" s="213"/>
      <c r="N1018" s="213"/>
      <c r="O1018" s="213"/>
      <c r="P1018" s="213"/>
      <c r="Q1018" s="213"/>
      <c r="R1018" s="213"/>
      <c r="S1018" s="213" t="s">
        <v>548</v>
      </c>
      <c r="T1018" s="213"/>
      <c r="U1018" s="213" t="s">
        <v>538</v>
      </c>
      <c r="V1018" s="213">
        <v>2</v>
      </c>
      <c r="W1018" s="213" t="s">
        <v>545</v>
      </c>
      <c r="X1018" s="213" t="s">
        <v>549</v>
      </c>
      <c r="Y1018" s="213" t="s">
        <v>546</v>
      </c>
      <c r="Z1018" s="212">
        <v>374329</v>
      </c>
      <c r="AA1018" s="212">
        <v>22852279</v>
      </c>
      <c r="AB1018" s="217">
        <v>0.926867</v>
      </c>
      <c r="AC1018" s="217">
        <v>1.4916499999999999</v>
      </c>
      <c r="AD1018" s="212">
        <f t="shared" si="15"/>
        <v>21181023.279893</v>
      </c>
    </row>
    <row r="1019" spans="2:30" x14ac:dyDescent="0.15">
      <c r="B1019" s="213">
        <v>17031002093</v>
      </c>
      <c r="C1019" s="213">
        <v>17031000566</v>
      </c>
      <c r="D1019" s="213">
        <v>17031000565</v>
      </c>
      <c r="E1019" s="213" t="s">
        <v>533</v>
      </c>
      <c r="F1019" s="213" t="s">
        <v>534</v>
      </c>
      <c r="G1019" s="213" t="s">
        <v>365</v>
      </c>
      <c r="H1019" s="213" t="s">
        <v>382</v>
      </c>
      <c r="I1019" s="213"/>
      <c r="J1019" s="213" t="s">
        <v>547</v>
      </c>
      <c r="K1019" s="213"/>
      <c r="L1019" s="213"/>
      <c r="M1019" s="213"/>
      <c r="N1019" s="213"/>
      <c r="O1019" s="213"/>
      <c r="P1019" s="213"/>
      <c r="Q1019" s="213"/>
      <c r="R1019" s="213"/>
      <c r="S1019" s="213" t="s">
        <v>583</v>
      </c>
      <c r="T1019" s="213"/>
      <c r="U1019" s="213" t="s">
        <v>538</v>
      </c>
      <c r="V1019" s="213">
        <v>4</v>
      </c>
      <c r="W1019" s="213" t="s">
        <v>545</v>
      </c>
      <c r="X1019" s="213" t="s">
        <v>540</v>
      </c>
      <c r="Y1019" s="213" t="s">
        <v>541</v>
      </c>
      <c r="Z1019" s="212">
        <v>0</v>
      </c>
      <c r="AA1019" s="212">
        <v>0</v>
      </c>
      <c r="AB1019" s="217">
        <v>1.2385390000000001</v>
      </c>
      <c r="AC1019" s="217">
        <v>1.993239</v>
      </c>
      <c r="AD1019" s="212">
        <f t="shared" si="15"/>
        <v>0</v>
      </c>
    </row>
    <row r="1020" spans="2:30" x14ac:dyDescent="0.15">
      <c r="B1020" s="213">
        <v>17031002095</v>
      </c>
      <c r="C1020" s="213">
        <v>17031000437</v>
      </c>
      <c r="D1020" s="213">
        <v>17031000434</v>
      </c>
      <c r="E1020" s="213" t="s">
        <v>533</v>
      </c>
      <c r="F1020" s="213" t="s">
        <v>534</v>
      </c>
      <c r="G1020" s="213" t="s">
        <v>365</v>
      </c>
      <c r="H1020" s="213" t="s">
        <v>557</v>
      </c>
      <c r="I1020" s="213"/>
      <c r="J1020" s="213" t="s">
        <v>552</v>
      </c>
      <c r="K1020" s="213" t="s">
        <v>543</v>
      </c>
      <c r="L1020" s="213" t="s">
        <v>382</v>
      </c>
      <c r="M1020" s="213"/>
      <c r="N1020" s="213"/>
      <c r="O1020" s="213"/>
      <c r="P1020" s="213"/>
      <c r="Q1020" s="213"/>
      <c r="R1020" s="213"/>
      <c r="S1020" s="213" t="s">
        <v>570</v>
      </c>
      <c r="T1020" s="213"/>
      <c r="U1020" s="213" t="s">
        <v>538</v>
      </c>
      <c r="V1020" s="213">
        <v>2</v>
      </c>
      <c r="W1020" s="213" t="s">
        <v>545</v>
      </c>
      <c r="X1020" s="213" t="s">
        <v>554</v>
      </c>
      <c r="Y1020" s="213" t="s">
        <v>549</v>
      </c>
      <c r="Z1020" s="212">
        <v>162008</v>
      </c>
      <c r="AA1020" s="212">
        <v>11739169</v>
      </c>
      <c r="AB1020" s="217">
        <v>0.54181400000000002</v>
      </c>
      <c r="AC1020" s="217">
        <v>0.87196799999999997</v>
      </c>
      <c r="AD1020" s="212">
        <f t="shared" si="15"/>
        <v>6360446.1125659999</v>
      </c>
    </row>
    <row r="1021" spans="2:30" x14ac:dyDescent="0.15">
      <c r="B1021" s="213">
        <v>17031002096</v>
      </c>
      <c r="C1021" s="213">
        <v>17031000462</v>
      </c>
      <c r="D1021" s="213">
        <v>17031000437</v>
      </c>
      <c r="E1021" s="213" t="s">
        <v>533</v>
      </c>
      <c r="F1021" s="213" t="s">
        <v>534</v>
      </c>
      <c r="G1021" s="213" t="s">
        <v>365</v>
      </c>
      <c r="H1021" s="213" t="s">
        <v>557</v>
      </c>
      <c r="I1021" s="213"/>
      <c r="J1021" s="213" t="s">
        <v>535</v>
      </c>
      <c r="K1021" s="213" t="s">
        <v>552</v>
      </c>
      <c r="L1021" s="213" t="s">
        <v>543</v>
      </c>
      <c r="M1021" s="213" t="s">
        <v>382</v>
      </c>
      <c r="N1021" s="213"/>
      <c r="O1021" s="213"/>
      <c r="P1021" s="213"/>
      <c r="Q1021" s="213"/>
      <c r="R1021" s="213"/>
      <c r="S1021" s="213" t="s">
        <v>570</v>
      </c>
      <c r="T1021" s="213"/>
      <c r="U1021" s="213" t="s">
        <v>538</v>
      </c>
      <c r="V1021" s="213">
        <v>2</v>
      </c>
      <c r="W1021" s="213" t="s">
        <v>545</v>
      </c>
      <c r="X1021" s="213" t="s">
        <v>554</v>
      </c>
      <c r="Y1021" s="213" t="s">
        <v>546</v>
      </c>
      <c r="Z1021" s="212">
        <v>556121</v>
      </c>
      <c r="AA1021" s="212">
        <v>36440608</v>
      </c>
      <c r="AB1021" s="217">
        <v>0.49052000000000001</v>
      </c>
      <c r="AC1021" s="217">
        <v>0.78941799999999995</v>
      </c>
      <c r="AD1021" s="212">
        <f t="shared" si="15"/>
        <v>17874847.03616</v>
      </c>
    </row>
    <row r="1022" spans="2:30" x14ac:dyDescent="0.15">
      <c r="B1022" s="213">
        <v>17031002123</v>
      </c>
      <c r="C1022" s="213">
        <v>17031004607</v>
      </c>
      <c r="D1022" s="213">
        <v>17031004606</v>
      </c>
      <c r="E1022" s="213" t="s">
        <v>533</v>
      </c>
      <c r="F1022" s="213" t="s">
        <v>534</v>
      </c>
      <c r="G1022" s="213" t="s">
        <v>365</v>
      </c>
      <c r="H1022" s="213" t="s">
        <v>382</v>
      </c>
      <c r="I1022" s="213"/>
      <c r="J1022" s="213" t="s">
        <v>547</v>
      </c>
      <c r="K1022" s="213"/>
      <c r="L1022" s="213"/>
      <c r="M1022" s="213"/>
      <c r="N1022" s="213"/>
      <c r="O1022" s="213"/>
      <c r="P1022" s="213"/>
      <c r="Q1022" s="213"/>
      <c r="R1022" s="213"/>
      <c r="S1022" s="213" t="s">
        <v>608</v>
      </c>
      <c r="T1022" s="213"/>
      <c r="U1022" s="213" t="s">
        <v>538</v>
      </c>
      <c r="V1022" s="213">
        <v>3</v>
      </c>
      <c r="W1022" s="213" t="s">
        <v>566</v>
      </c>
      <c r="X1022" s="213" t="s">
        <v>549</v>
      </c>
      <c r="Y1022" s="213" t="s">
        <v>554</v>
      </c>
      <c r="Z1022" s="212">
        <v>0</v>
      </c>
      <c r="AA1022" s="212">
        <v>0</v>
      </c>
      <c r="AB1022" s="217">
        <v>0.87966699999999998</v>
      </c>
      <c r="AC1022" s="217">
        <v>1.415689</v>
      </c>
      <c r="AD1022" s="212">
        <f t="shared" si="15"/>
        <v>0</v>
      </c>
    </row>
    <row r="1023" spans="2:30" x14ac:dyDescent="0.15">
      <c r="B1023" s="213">
        <v>17031002165</v>
      </c>
      <c r="C1023" s="213">
        <v>17031001272</v>
      </c>
      <c r="D1023" s="213">
        <v>17031001241</v>
      </c>
      <c r="E1023" s="213" t="s">
        <v>533</v>
      </c>
      <c r="F1023" s="213" t="s">
        <v>534</v>
      </c>
      <c r="G1023" s="213" t="s">
        <v>365</v>
      </c>
      <c r="H1023" s="213" t="s">
        <v>557</v>
      </c>
      <c r="I1023" s="213" t="s">
        <v>543</v>
      </c>
      <c r="J1023" s="213" t="s">
        <v>381</v>
      </c>
      <c r="K1023" s="213" t="s">
        <v>535</v>
      </c>
      <c r="L1023" s="213" t="s">
        <v>552</v>
      </c>
      <c r="M1023" s="213" t="s">
        <v>551</v>
      </c>
      <c r="N1023" s="213" t="s">
        <v>543</v>
      </c>
      <c r="O1023" s="213" t="s">
        <v>382</v>
      </c>
      <c r="P1023" s="213"/>
      <c r="Q1023" s="213"/>
      <c r="R1023" s="213"/>
      <c r="S1023" s="213" t="s">
        <v>570</v>
      </c>
      <c r="T1023" s="213"/>
      <c r="U1023" s="213" t="s">
        <v>538</v>
      </c>
      <c r="V1023" s="213">
        <v>2</v>
      </c>
      <c r="W1023" s="213" t="s">
        <v>545</v>
      </c>
      <c r="X1023" s="213" t="s">
        <v>540</v>
      </c>
      <c r="Y1023" s="213" t="s">
        <v>575</v>
      </c>
      <c r="Z1023" s="212">
        <v>884524</v>
      </c>
      <c r="AA1023" s="212">
        <v>56637647</v>
      </c>
      <c r="AB1023" s="217">
        <v>1.263585</v>
      </c>
      <c r="AC1023" s="217">
        <v>2.033547</v>
      </c>
      <c r="AD1023" s="212">
        <f t="shared" si="15"/>
        <v>71566481.184495002</v>
      </c>
    </row>
    <row r="1024" spans="2:30" x14ac:dyDescent="0.15">
      <c r="B1024" s="213">
        <v>17031002168</v>
      </c>
      <c r="C1024" s="213">
        <v>17031004697</v>
      </c>
      <c r="D1024" s="213">
        <v>17031001284</v>
      </c>
      <c r="E1024" s="213" t="s">
        <v>533</v>
      </c>
      <c r="F1024" s="213" t="s">
        <v>534</v>
      </c>
      <c r="G1024" s="213" t="s">
        <v>365</v>
      </c>
      <c r="H1024" s="213" t="s">
        <v>547</v>
      </c>
      <c r="I1024" s="213"/>
      <c r="J1024" s="213" t="s">
        <v>577</v>
      </c>
      <c r="K1024" s="213" t="s">
        <v>615</v>
      </c>
      <c r="L1024" s="213"/>
      <c r="M1024" s="213"/>
      <c r="N1024" s="213"/>
      <c r="O1024" s="213"/>
      <c r="P1024" s="213"/>
      <c r="Q1024" s="213"/>
      <c r="R1024" s="213"/>
      <c r="S1024" s="213" t="s">
        <v>581</v>
      </c>
      <c r="T1024" s="213"/>
      <c r="U1024" s="213" t="s">
        <v>538</v>
      </c>
      <c r="V1024" s="213">
        <v>2</v>
      </c>
      <c r="W1024" s="213" t="s">
        <v>582</v>
      </c>
      <c r="X1024" s="213" t="s">
        <v>540</v>
      </c>
      <c r="Y1024" s="213" t="s">
        <v>541</v>
      </c>
      <c r="Z1024" s="212">
        <v>0</v>
      </c>
      <c r="AA1024" s="212">
        <v>0</v>
      </c>
      <c r="AB1024" s="217">
        <v>0.118881</v>
      </c>
      <c r="AC1024" s="217">
        <v>0.19132099999999999</v>
      </c>
      <c r="AD1024" s="212">
        <f t="shared" si="15"/>
        <v>0</v>
      </c>
    </row>
    <row r="1025" spans="2:30" x14ac:dyDescent="0.15">
      <c r="B1025" s="213">
        <v>17031002172</v>
      </c>
      <c r="C1025" s="213">
        <v>17031001375</v>
      </c>
      <c r="D1025" s="213">
        <v>17031001303</v>
      </c>
      <c r="E1025" s="213" t="s">
        <v>533</v>
      </c>
      <c r="F1025" s="213" t="s">
        <v>534</v>
      </c>
      <c r="G1025" s="213" t="s">
        <v>365</v>
      </c>
      <c r="H1025" s="213" t="s">
        <v>557</v>
      </c>
      <c r="I1025" s="213"/>
      <c r="J1025" s="213" t="s">
        <v>381</v>
      </c>
      <c r="K1025" s="213" t="s">
        <v>535</v>
      </c>
      <c r="L1025" s="213" t="s">
        <v>552</v>
      </c>
      <c r="M1025" s="213" t="s">
        <v>551</v>
      </c>
      <c r="N1025" s="213" t="s">
        <v>615</v>
      </c>
      <c r="O1025" s="213" t="s">
        <v>543</v>
      </c>
      <c r="P1025" s="213" t="s">
        <v>382</v>
      </c>
      <c r="Q1025" s="213"/>
      <c r="R1025" s="213"/>
      <c r="S1025" s="213" t="s">
        <v>570</v>
      </c>
      <c r="T1025" s="213"/>
      <c r="U1025" s="213" t="s">
        <v>538</v>
      </c>
      <c r="V1025" s="213">
        <v>2</v>
      </c>
      <c r="W1025" s="213" t="s">
        <v>545</v>
      </c>
      <c r="X1025" s="213" t="s">
        <v>554</v>
      </c>
      <c r="Y1025" s="213" t="s">
        <v>546</v>
      </c>
      <c r="Z1025" s="212">
        <v>403649</v>
      </c>
      <c r="AA1025" s="212">
        <v>28690689</v>
      </c>
      <c r="AB1025" s="217">
        <v>1.1331549999999999</v>
      </c>
      <c r="AC1025" s="217">
        <v>1.8236399999999999</v>
      </c>
      <c r="AD1025" s="212">
        <f t="shared" si="15"/>
        <v>32510997.693794999</v>
      </c>
    </row>
    <row r="1026" spans="2:30" x14ac:dyDescent="0.15">
      <c r="B1026" s="213">
        <v>17031002176</v>
      </c>
      <c r="C1026" s="213">
        <v>17031001357</v>
      </c>
      <c r="D1026" s="213">
        <v>17031001373</v>
      </c>
      <c r="E1026" s="213" t="s">
        <v>533</v>
      </c>
      <c r="F1026" s="213" t="s">
        <v>534</v>
      </c>
      <c r="G1026" s="213" t="s">
        <v>365</v>
      </c>
      <c r="H1026" s="213" t="s">
        <v>551</v>
      </c>
      <c r="I1026" s="213"/>
      <c r="J1026" s="213" t="s">
        <v>381</v>
      </c>
      <c r="K1026" s="213" t="s">
        <v>535</v>
      </c>
      <c r="L1026" s="213" t="s">
        <v>552</v>
      </c>
      <c r="M1026" s="213"/>
      <c r="N1026" s="213"/>
      <c r="O1026" s="213"/>
      <c r="P1026" s="213"/>
      <c r="Q1026" s="213"/>
      <c r="R1026" s="213"/>
      <c r="S1026" s="213" t="s">
        <v>628</v>
      </c>
      <c r="T1026" s="213"/>
      <c r="U1026" s="213" t="s">
        <v>538</v>
      </c>
      <c r="V1026" s="213">
        <v>1</v>
      </c>
      <c r="W1026" s="213" t="s">
        <v>545</v>
      </c>
      <c r="X1026" s="213" t="s">
        <v>541</v>
      </c>
      <c r="Y1026" s="213" t="s">
        <v>541</v>
      </c>
      <c r="Z1026" s="212">
        <v>3940</v>
      </c>
      <c r="AA1026" s="212">
        <v>364936</v>
      </c>
      <c r="AB1026" s="217">
        <v>0.14591899999999999</v>
      </c>
      <c r="AC1026" s="217">
        <v>0.23483399999999999</v>
      </c>
      <c r="AD1026" s="212">
        <f t="shared" si="15"/>
        <v>53251.096183999995</v>
      </c>
    </row>
    <row r="1027" spans="2:30" x14ac:dyDescent="0.15">
      <c r="B1027" s="213">
        <v>17031002191</v>
      </c>
      <c r="C1027" s="213">
        <v>17031000737</v>
      </c>
      <c r="D1027" s="213">
        <v>17031000738</v>
      </c>
      <c r="E1027" s="213" t="s">
        <v>533</v>
      </c>
      <c r="F1027" s="213" t="s">
        <v>534</v>
      </c>
      <c r="G1027" s="213" t="s">
        <v>365</v>
      </c>
      <c r="H1027" s="213" t="s">
        <v>535</v>
      </c>
      <c r="I1027" s="213"/>
      <c r="J1027" s="213"/>
      <c r="K1027" s="213"/>
      <c r="L1027" s="213"/>
      <c r="M1027" s="213"/>
      <c r="N1027" s="213"/>
      <c r="O1027" s="213"/>
      <c r="P1027" s="213"/>
      <c r="Q1027" s="213"/>
      <c r="R1027" s="213"/>
      <c r="S1027" s="213" t="s">
        <v>624</v>
      </c>
      <c r="T1027" s="213" t="s">
        <v>625</v>
      </c>
      <c r="U1027" s="213" t="s">
        <v>538</v>
      </c>
      <c r="V1027" s="213">
        <v>2</v>
      </c>
      <c r="W1027" s="213" t="s">
        <v>582</v>
      </c>
      <c r="X1027" s="213" t="s">
        <v>554</v>
      </c>
      <c r="Y1027" s="213" t="s">
        <v>554</v>
      </c>
      <c r="Z1027" s="212">
        <v>0</v>
      </c>
      <c r="AA1027" s="212">
        <v>0</v>
      </c>
      <c r="AB1027" s="217">
        <v>0.123795</v>
      </c>
      <c r="AC1027" s="217">
        <v>0.19922899999999999</v>
      </c>
      <c r="AD1027" s="212">
        <f t="shared" si="15"/>
        <v>0</v>
      </c>
    </row>
    <row r="1028" spans="2:30" x14ac:dyDescent="0.15">
      <c r="B1028" s="213">
        <v>17031002198</v>
      </c>
      <c r="C1028" s="213">
        <v>17031007571</v>
      </c>
      <c r="D1028" s="213">
        <v>17031000299</v>
      </c>
      <c r="E1028" s="213" t="s">
        <v>533</v>
      </c>
      <c r="F1028" s="213" t="s">
        <v>534</v>
      </c>
      <c r="G1028" s="213" t="s">
        <v>365</v>
      </c>
      <c r="H1028" s="213" t="s">
        <v>382</v>
      </c>
      <c r="I1028" s="213"/>
      <c r="J1028" s="213" t="s">
        <v>552</v>
      </c>
      <c r="K1028" s="213"/>
      <c r="L1028" s="213"/>
      <c r="M1028" s="213"/>
      <c r="N1028" s="213"/>
      <c r="O1028" s="213"/>
      <c r="P1028" s="213"/>
      <c r="Q1028" s="213"/>
      <c r="R1028" s="213"/>
      <c r="S1028" s="213" t="s">
        <v>586</v>
      </c>
      <c r="T1028" s="213"/>
      <c r="U1028" s="213" t="s">
        <v>538</v>
      </c>
      <c r="V1028" s="213">
        <v>2</v>
      </c>
      <c r="W1028" s="213" t="s">
        <v>582</v>
      </c>
      <c r="X1028" s="213" t="s">
        <v>549</v>
      </c>
      <c r="Y1028" s="213" t="s">
        <v>580</v>
      </c>
      <c r="Z1028" s="212">
        <v>522661</v>
      </c>
      <c r="AA1028" s="212">
        <v>37139797</v>
      </c>
      <c r="AB1028" s="217">
        <v>0.61305799999999999</v>
      </c>
      <c r="AC1028" s="217">
        <v>0.98662399999999995</v>
      </c>
      <c r="AD1028" s="212">
        <f t="shared" si="15"/>
        <v>22768849.669225998</v>
      </c>
    </row>
    <row r="1029" spans="2:30" x14ac:dyDescent="0.15">
      <c r="B1029" s="213">
        <v>17031002206</v>
      </c>
      <c r="C1029" s="213">
        <v>17031000301</v>
      </c>
      <c r="D1029" s="213">
        <v>17031000298</v>
      </c>
      <c r="E1029" s="213" t="s">
        <v>533</v>
      </c>
      <c r="F1029" s="213" t="s">
        <v>534</v>
      </c>
      <c r="G1029" s="213" t="s">
        <v>365</v>
      </c>
      <c r="H1029" s="213" t="s">
        <v>382</v>
      </c>
      <c r="I1029" s="213"/>
      <c r="J1029" s="213" t="s">
        <v>547</v>
      </c>
      <c r="K1029" s="213"/>
      <c r="L1029" s="213"/>
      <c r="M1029" s="213"/>
      <c r="N1029" s="213"/>
      <c r="O1029" s="213"/>
      <c r="P1029" s="213"/>
      <c r="Q1029" s="213"/>
      <c r="R1029" s="213"/>
      <c r="S1029" s="213" t="s">
        <v>608</v>
      </c>
      <c r="T1029" s="213"/>
      <c r="U1029" s="213" t="s">
        <v>538</v>
      </c>
      <c r="V1029" s="213">
        <v>3</v>
      </c>
      <c r="W1029" s="213" t="s">
        <v>566</v>
      </c>
      <c r="X1029" s="213" t="s">
        <v>549</v>
      </c>
      <c r="Y1029" s="213" t="s">
        <v>554</v>
      </c>
      <c r="Z1029" s="212">
        <v>1360</v>
      </c>
      <c r="AA1029" s="212">
        <v>125120</v>
      </c>
      <c r="AB1029" s="217">
        <v>0.85831599999999997</v>
      </c>
      <c r="AC1029" s="217">
        <v>1.3813279999999999</v>
      </c>
      <c r="AD1029" s="212">
        <f t="shared" si="15"/>
        <v>107392.49791999999</v>
      </c>
    </row>
    <row r="1030" spans="2:30" x14ac:dyDescent="0.15">
      <c r="B1030" s="213">
        <v>17031002207</v>
      </c>
      <c r="C1030" s="213">
        <v>17031004602</v>
      </c>
      <c r="D1030" s="213">
        <v>17031007754</v>
      </c>
      <c r="E1030" s="213" t="s">
        <v>533</v>
      </c>
      <c r="F1030" s="213" t="s">
        <v>534</v>
      </c>
      <c r="G1030" s="213" t="s">
        <v>365</v>
      </c>
      <c r="H1030" s="213" t="s">
        <v>382</v>
      </c>
      <c r="I1030" s="213"/>
      <c r="J1030" s="213" t="s">
        <v>535</v>
      </c>
      <c r="K1030" s="213" t="s">
        <v>547</v>
      </c>
      <c r="L1030" s="213"/>
      <c r="M1030" s="213"/>
      <c r="N1030" s="213"/>
      <c r="O1030" s="213"/>
      <c r="P1030" s="213"/>
      <c r="Q1030" s="213"/>
      <c r="R1030" s="213"/>
      <c r="S1030" s="213" t="s">
        <v>608</v>
      </c>
      <c r="T1030" s="213"/>
      <c r="U1030" s="213" t="s">
        <v>538</v>
      </c>
      <c r="V1030" s="213">
        <v>3</v>
      </c>
      <c r="W1030" s="213" t="s">
        <v>566</v>
      </c>
      <c r="X1030" s="213" t="s">
        <v>549</v>
      </c>
      <c r="Y1030" s="213" t="s">
        <v>549</v>
      </c>
      <c r="Z1030" s="212">
        <v>10871</v>
      </c>
      <c r="AA1030" s="212">
        <v>957328</v>
      </c>
      <c r="AB1030" s="217">
        <v>2.2397559999999999</v>
      </c>
      <c r="AC1030" s="217">
        <v>3.6045449999999999</v>
      </c>
      <c r="AD1030" s="212">
        <f t="shared" ref="AD1030:AD1093" si="16">AA1030*AB1030</f>
        <v>2144181.131968</v>
      </c>
    </row>
    <row r="1031" spans="2:30" x14ac:dyDescent="0.15">
      <c r="B1031" s="213">
        <v>17031002209</v>
      </c>
      <c r="C1031" s="213">
        <v>17031000293</v>
      </c>
      <c r="D1031" s="213">
        <v>17031004602</v>
      </c>
      <c r="E1031" s="213" t="s">
        <v>533</v>
      </c>
      <c r="F1031" s="213" t="s">
        <v>534</v>
      </c>
      <c r="G1031" s="213" t="s">
        <v>365</v>
      </c>
      <c r="H1031" s="213" t="s">
        <v>382</v>
      </c>
      <c r="I1031" s="213"/>
      <c r="J1031" s="213" t="s">
        <v>535</v>
      </c>
      <c r="K1031" s="213" t="s">
        <v>547</v>
      </c>
      <c r="L1031" s="213"/>
      <c r="M1031" s="213"/>
      <c r="N1031" s="213"/>
      <c r="O1031" s="213"/>
      <c r="P1031" s="213"/>
      <c r="Q1031" s="213"/>
      <c r="R1031" s="213"/>
      <c r="S1031" s="213" t="s">
        <v>608</v>
      </c>
      <c r="T1031" s="213"/>
      <c r="U1031" s="213" t="s">
        <v>538</v>
      </c>
      <c r="V1031" s="213">
        <v>3</v>
      </c>
      <c r="W1031" s="213" t="s">
        <v>566</v>
      </c>
      <c r="X1031" s="213" t="s">
        <v>549</v>
      </c>
      <c r="Y1031" s="213" t="s">
        <v>549</v>
      </c>
      <c r="Z1031" s="212">
        <v>10871</v>
      </c>
      <c r="AA1031" s="212">
        <v>957328</v>
      </c>
      <c r="AB1031" s="217">
        <v>1.2297199999999999</v>
      </c>
      <c r="AC1031" s="217">
        <v>1.979047</v>
      </c>
      <c r="AD1031" s="212">
        <f t="shared" si="16"/>
        <v>1177245.3881599999</v>
      </c>
    </row>
    <row r="1032" spans="2:30" x14ac:dyDescent="0.15">
      <c r="B1032" s="213">
        <v>17031002216</v>
      </c>
      <c r="C1032" s="213">
        <v>17031000601</v>
      </c>
      <c r="D1032" s="213">
        <v>17031000558</v>
      </c>
      <c r="E1032" s="213" t="s">
        <v>533</v>
      </c>
      <c r="F1032" s="213" t="s">
        <v>534</v>
      </c>
      <c r="G1032" s="213" t="s">
        <v>365</v>
      </c>
      <c r="H1032" s="213" t="s">
        <v>557</v>
      </c>
      <c r="I1032" s="213"/>
      <c r="J1032" s="213" t="s">
        <v>535</v>
      </c>
      <c r="K1032" s="213" t="s">
        <v>552</v>
      </c>
      <c r="L1032" s="213" t="s">
        <v>543</v>
      </c>
      <c r="M1032" s="213" t="s">
        <v>382</v>
      </c>
      <c r="N1032" s="213"/>
      <c r="O1032" s="213"/>
      <c r="P1032" s="213"/>
      <c r="Q1032" s="213"/>
      <c r="R1032" s="213"/>
      <c r="S1032" s="213" t="s">
        <v>570</v>
      </c>
      <c r="T1032" s="213"/>
      <c r="U1032" s="213" t="s">
        <v>538</v>
      </c>
      <c r="V1032" s="213">
        <v>2</v>
      </c>
      <c r="W1032" s="213" t="s">
        <v>545</v>
      </c>
      <c r="X1032" s="213" t="s">
        <v>540</v>
      </c>
      <c r="Y1032" s="213" t="s">
        <v>580</v>
      </c>
      <c r="Z1032" s="212">
        <v>895754</v>
      </c>
      <c r="AA1032" s="212">
        <v>51031686</v>
      </c>
      <c r="AB1032" s="217">
        <v>0.55990799999999996</v>
      </c>
      <c r="AC1032" s="217">
        <v>0.90108600000000005</v>
      </c>
      <c r="AD1032" s="212">
        <f t="shared" si="16"/>
        <v>28573049.244887996</v>
      </c>
    </row>
    <row r="1033" spans="2:30" x14ac:dyDescent="0.15">
      <c r="B1033" s="213">
        <v>17031002219</v>
      </c>
      <c r="C1033" s="213">
        <v>17031004578</v>
      </c>
      <c r="D1033" s="213">
        <v>17031004577</v>
      </c>
      <c r="E1033" s="213" t="s">
        <v>533</v>
      </c>
      <c r="F1033" s="213" t="s">
        <v>534</v>
      </c>
      <c r="G1033" s="213" t="s">
        <v>365</v>
      </c>
      <c r="H1033" s="213" t="s">
        <v>382</v>
      </c>
      <c r="I1033" s="213"/>
      <c r="J1033" s="213" t="s">
        <v>547</v>
      </c>
      <c r="K1033" s="213"/>
      <c r="L1033" s="213"/>
      <c r="M1033" s="213"/>
      <c r="N1033" s="213"/>
      <c r="O1033" s="213"/>
      <c r="P1033" s="213"/>
      <c r="Q1033" s="213"/>
      <c r="R1033" s="213"/>
      <c r="S1033" s="213" t="s">
        <v>565</v>
      </c>
      <c r="T1033" s="213"/>
      <c r="U1033" s="213" t="s">
        <v>538</v>
      </c>
      <c r="V1033" s="213">
        <v>2</v>
      </c>
      <c r="W1033" s="213" t="s">
        <v>566</v>
      </c>
      <c r="X1033" s="213" t="s">
        <v>549</v>
      </c>
      <c r="Y1033" s="213" t="s">
        <v>541</v>
      </c>
      <c r="Z1033" s="212">
        <v>0</v>
      </c>
      <c r="AA1033" s="212">
        <v>0</v>
      </c>
      <c r="AB1033" s="217">
        <v>0.67267200000000005</v>
      </c>
      <c r="AC1033" s="217">
        <v>1.0825640000000001</v>
      </c>
      <c r="AD1033" s="212">
        <f t="shared" si="16"/>
        <v>0</v>
      </c>
    </row>
    <row r="1034" spans="2:30" x14ac:dyDescent="0.15">
      <c r="B1034" s="213">
        <v>17031002223</v>
      </c>
      <c r="C1034" s="213">
        <v>17031000543</v>
      </c>
      <c r="D1034" s="213">
        <v>17031006666</v>
      </c>
      <c r="E1034" s="213" t="s">
        <v>533</v>
      </c>
      <c r="F1034" s="213" t="s">
        <v>534</v>
      </c>
      <c r="G1034" s="213" t="s">
        <v>365</v>
      </c>
      <c r="H1034" s="213" t="s">
        <v>382</v>
      </c>
      <c r="I1034" s="213"/>
      <c r="J1034" s="213"/>
      <c r="K1034" s="213"/>
      <c r="L1034" s="213"/>
      <c r="M1034" s="213"/>
      <c r="N1034" s="213"/>
      <c r="O1034" s="213"/>
      <c r="P1034" s="213"/>
      <c r="Q1034" s="213"/>
      <c r="R1034" s="213"/>
      <c r="S1034" s="213"/>
      <c r="T1034" s="213" t="s">
        <v>626</v>
      </c>
      <c r="U1034" s="213" t="s">
        <v>559</v>
      </c>
      <c r="V1034" s="213">
        <v>1</v>
      </c>
      <c r="W1034" s="213" t="s">
        <v>539</v>
      </c>
      <c r="X1034" s="213" t="s">
        <v>541</v>
      </c>
      <c r="Y1034" s="213" t="s">
        <v>541</v>
      </c>
      <c r="Z1034" s="212">
        <v>0</v>
      </c>
      <c r="AA1034" s="212">
        <v>0</v>
      </c>
      <c r="AB1034" s="217">
        <v>0.60232600000000003</v>
      </c>
      <c r="AC1034" s="217">
        <v>0.96935199999999999</v>
      </c>
      <c r="AD1034" s="212">
        <f t="shared" si="16"/>
        <v>0</v>
      </c>
    </row>
    <row r="1035" spans="2:30" x14ac:dyDescent="0.15">
      <c r="B1035" s="213">
        <v>17031002226</v>
      </c>
      <c r="C1035" s="213">
        <v>17031006684</v>
      </c>
      <c r="D1035" s="213">
        <v>17031006673</v>
      </c>
      <c r="E1035" s="213" t="s">
        <v>533</v>
      </c>
      <c r="F1035" s="213" t="s">
        <v>534</v>
      </c>
      <c r="G1035" s="213" t="s">
        <v>365</v>
      </c>
      <c r="H1035" s="213" t="s">
        <v>382</v>
      </c>
      <c r="I1035" s="213"/>
      <c r="J1035" s="213" t="s">
        <v>535</v>
      </c>
      <c r="K1035" s="213" t="s">
        <v>552</v>
      </c>
      <c r="L1035" s="213" t="s">
        <v>572</v>
      </c>
      <c r="M1035" s="213" t="s">
        <v>557</v>
      </c>
      <c r="N1035" s="213" t="s">
        <v>543</v>
      </c>
      <c r="O1035" s="213"/>
      <c r="P1035" s="213"/>
      <c r="Q1035" s="213"/>
      <c r="R1035" s="213"/>
      <c r="S1035" s="213" t="s">
        <v>650</v>
      </c>
      <c r="T1035" s="213" t="s">
        <v>626</v>
      </c>
      <c r="U1035" s="213" t="s">
        <v>559</v>
      </c>
      <c r="V1035" s="213">
        <v>1</v>
      </c>
      <c r="W1035" s="213" t="s">
        <v>539</v>
      </c>
      <c r="X1035" s="213" t="s">
        <v>541</v>
      </c>
      <c r="Y1035" s="213" t="s">
        <v>541</v>
      </c>
      <c r="Z1035" s="212">
        <v>1220</v>
      </c>
      <c r="AA1035" s="212">
        <v>92280</v>
      </c>
      <c r="AB1035" s="217">
        <v>0.81534600000000002</v>
      </c>
      <c r="AC1035" s="217">
        <v>1.3121750000000001</v>
      </c>
      <c r="AD1035" s="212">
        <f t="shared" si="16"/>
        <v>75240.128880000004</v>
      </c>
    </row>
    <row r="1036" spans="2:30" x14ac:dyDescent="0.15">
      <c r="B1036" s="213">
        <v>17031002243</v>
      </c>
      <c r="C1036" s="213">
        <v>17031000512</v>
      </c>
      <c r="D1036" s="213">
        <v>17031000480</v>
      </c>
      <c r="E1036" s="213" t="s">
        <v>533</v>
      </c>
      <c r="F1036" s="213" t="s">
        <v>534</v>
      </c>
      <c r="G1036" s="213" t="s">
        <v>365</v>
      </c>
      <c r="H1036" s="213" t="s">
        <v>590</v>
      </c>
      <c r="I1036" s="213"/>
      <c r="J1036" s="213"/>
      <c r="K1036" s="213"/>
      <c r="L1036" s="213"/>
      <c r="M1036" s="213"/>
      <c r="N1036" s="213"/>
      <c r="O1036" s="213"/>
      <c r="P1036" s="213"/>
      <c r="Q1036" s="213"/>
      <c r="R1036" s="213"/>
      <c r="S1036" s="213"/>
      <c r="T1036" s="213"/>
      <c r="U1036" s="213" t="s">
        <v>559</v>
      </c>
      <c r="V1036" s="213">
        <v>1</v>
      </c>
      <c r="W1036" s="213" t="s">
        <v>560</v>
      </c>
      <c r="X1036" s="213" t="s">
        <v>541</v>
      </c>
      <c r="Y1036" s="213" t="s">
        <v>541</v>
      </c>
      <c r="Z1036" s="212">
        <v>0</v>
      </c>
      <c r="AA1036" s="212">
        <v>0</v>
      </c>
      <c r="AB1036" s="217">
        <v>0.69134799999999996</v>
      </c>
      <c r="AC1036" s="217">
        <v>1.112619</v>
      </c>
      <c r="AD1036" s="212">
        <f t="shared" si="16"/>
        <v>0</v>
      </c>
    </row>
    <row r="1037" spans="2:30" x14ac:dyDescent="0.15">
      <c r="B1037" s="213">
        <v>17031002249</v>
      </c>
      <c r="C1037" s="213">
        <v>17031004652</v>
      </c>
      <c r="D1037" s="213">
        <v>17031004651</v>
      </c>
      <c r="E1037" s="213" t="s">
        <v>533</v>
      </c>
      <c r="F1037" s="213" t="s">
        <v>534</v>
      </c>
      <c r="G1037" s="213" t="s">
        <v>365</v>
      </c>
      <c r="H1037" s="213" t="s">
        <v>382</v>
      </c>
      <c r="I1037" s="213"/>
      <c r="J1037" s="213" t="s">
        <v>572</v>
      </c>
      <c r="K1037" s="213" t="s">
        <v>547</v>
      </c>
      <c r="L1037" s="213"/>
      <c r="M1037" s="213"/>
      <c r="N1037" s="213"/>
      <c r="O1037" s="213"/>
      <c r="P1037" s="213"/>
      <c r="Q1037" s="213"/>
      <c r="R1037" s="213"/>
      <c r="S1037" s="213" t="s">
        <v>583</v>
      </c>
      <c r="T1037" s="213"/>
      <c r="U1037" s="213" t="s">
        <v>538</v>
      </c>
      <c r="V1037" s="213">
        <v>3</v>
      </c>
      <c r="W1037" s="213" t="s">
        <v>545</v>
      </c>
      <c r="X1037" s="213" t="s">
        <v>549</v>
      </c>
      <c r="Y1037" s="213" t="s">
        <v>580</v>
      </c>
      <c r="Z1037" s="212">
        <v>1000337</v>
      </c>
      <c r="AA1037" s="212">
        <v>33341464</v>
      </c>
      <c r="AB1037" s="217">
        <v>0.68447400000000003</v>
      </c>
      <c r="AC1037" s="217">
        <v>1.101556</v>
      </c>
      <c r="AD1037" s="212">
        <f t="shared" si="16"/>
        <v>22821365.229936</v>
      </c>
    </row>
    <row r="1038" spans="2:30" x14ac:dyDescent="0.15">
      <c r="B1038" s="213">
        <v>17031002289</v>
      </c>
      <c r="C1038" s="213">
        <v>17031000665</v>
      </c>
      <c r="D1038" s="213">
        <v>17031000663</v>
      </c>
      <c r="E1038" s="213" t="s">
        <v>533</v>
      </c>
      <c r="F1038" s="213" t="s">
        <v>534</v>
      </c>
      <c r="G1038" s="213" t="s">
        <v>365</v>
      </c>
      <c r="H1038" s="213" t="s">
        <v>381</v>
      </c>
      <c r="I1038" s="213"/>
      <c r="J1038" s="213" t="s">
        <v>542</v>
      </c>
      <c r="K1038" s="213" t="s">
        <v>577</v>
      </c>
      <c r="L1038" s="213" t="s">
        <v>572</v>
      </c>
      <c r="M1038" s="213" t="s">
        <v>547</v>
      </c>
      <c r="N1038" s="213" t="s">
        <v>382</v>
      </c>
      <c r="O1038" s="213"/>
      <c r="P1038" s="213"/>
      <c r="Q1038" s="213"/>
      <c r="R1038" s="213"/>
      <c r="S1038" s="213" t="s">
        <v>579</v>
      </c>
      <c r="T1038" s="213"/>
      <c r="U1038" s="213" t="s">
        <v>538</v>
      </c>
      <c r="V1038" s="213">
        <v>4</v>
      </c>
      <c r="W1038" s="213" t="s">
        <v>545</v>
      </c>
      <c r="X1038" s="213" t="s">
        <v>540</v>
      </c>
      <c r="Y1038" s="213" t="s">
        <v>549</v>
      </c>
      <c r="Z1038" s="212">
        <v>192928</v>
      </c>
      <c r="AA1038" s="212">
        <v>11297387</v>
      </c>
      <c r="AB1038" s="217">
        <v>0.40699600000000002</v>
      </c>
      <c r="AC1038" s="217">
        <v>0.65499799999999997</v>
      </c>
      <c r="AD1038" s="212">
        <f t="shared" si="16"/>
        <v>4597991.3194519999</v>
      </c>
    </row>
    <row r="1039" spans="2:30" x14ac:dyDescent="0.15">
      <c r="B1039" s="213">
        <v>17031002293</v>
      </c>
      <c r="C1039" s="213">
        <v>17031001298</v>
      </c>
      <c r="D1039" s="213">
        <v>17031001287</v>
      </c>
      <c r="E1039" s="213" t="s">
        <v>533</v>
      </c>
      <c r="F1039" s="213" t="s">
        <v>534</v>
      </c>
      <c r="G1039" s="213" t="s">
        <v>365</v>
      </c>
      <c r="H1039" s="213" t="s">
        <v>543</v>
      </c>
      <c r="I1039" s="213"/>
      <c r="J1039" s="213" t="s">
        <v>557</v>
      </c>
      <c r="K1039" s="213"/>
      <c r="L1039" s="213"/>
      <c r="M1039" s="213"/>
      <c r="N1039" s="213"/>
      <c r="O1039" s="213"/>
      <c r="P1039" s="213"/>
      <c r="Q1039" s="213"/>
      <c r="R1039" s="213"/>
      <c r="S1039" s="213" t="s">
        <v>558</v>
      </c>
      <c r="T1039" s="213"/>
      <c r="U1039" s="213" t="s">
        <v>559</v>
      </c>
      <c r="V1039" s="213">
        <v>1</v>
      </c>
      <c r="W1039" s="213" t="s">
        <v>560</v>
      </c>
      <c r="X1039" s="213" t="s">
        <v>541</v>
      </c>
      <c r="Y1039" s="213" t="s">
        <v>541</v>
      </c>
      <c r="Z1039" s="212">
        <v>0</v>
      </c>
      <c r="AA1039" s="212">
        <v>0</v>
      </c>
      <c r="AB1039" s="217">
        <v>0.35377199999999998</v>
      </c>
      <c r="AC1039" s="217">
        <v>0.56934300000000004</v>
      </c>
      <c r="AD1039" s="212">
        <f t="shared" si="16"/>
        <v>0</v>
      </c>
    </row>
    <row r="1040" spans="2:30" x14ac:dyDescent="0.15">
      <c r="B1040" s="213">
        <v>17031002295</v>
      </c>
      <c r="C1040" s="213">
        <v>17031001049</v>
      </c>
      <c r="D1040" s="213">
        <v>17031001025</v>
      </c>
      <c r="E1040" s="213" t="s">
        <v>533</v>
      </c>
      <c r="F1040" s="213" t="s">
        <v>534</v>
      </c>
      <c r="G1040" s="213" t="s">
        <v>365</v>
      </c>
      <c r="H1040" s="213" t="s">
        <v>535</v>
      </c>
      <c r="I1040" s="213"/>
      <c r="J1040" s="213" t="s">
        <v>542</v>
      </c>
      <c r="K1040" s="213" t="s">
        <v>572</v>
      </c>
      <c r="L1040" s="213"/>
      <c r="M1040" s="213"/>
      <c r="N1040" s="213"/>
      <c r="O1040" s="213"/>
      <c r="P1040" s="213"/>
      <c r="Q1040" s="213"/>
      <c r="R1040" s="213"/>
      <c r="S1040" s="213" t="s">
        <v>544</v>
      </c>
      <c r="T1040" s="213"/>
      <c r="U1040" s="213" t="s">
        <v>538</v>
      </c>
      <c r="V1040" s="213">
        <v>2</v>
      </c>
      <c r="W1040" s="213" t="s">
        <v>545</v>
      </c>
      <c r="X1040" s="213" t="s">
        <v>549</v>
      </c>
      <c r="Y1040" s="213" t="s">
        <v>549</v>
      </c>
      <c r="Z1040" s="212">
        <v>13802</v>
      </c>
      <c r="AA1040" s="212">
        <v>1450100</v>
      </c>
      <c r="AB1040" s="217">
        <v>0.652841</v>
      </c>
      <c r="AC1040" s="217">
        <v>1.0506489999999999</v>
      </c>
      <c r="AD1040" s="212">
        <f t="shared" si="16"/>
        <v>946684.7341</v>
      </c>
    </row>
    <row r="1041" spans="2:30" x14ac:dyDescent="0.15">
      <c r="B1041" s="213">
        <v>17031002296</v>
      </c>
      <c r="C1041" s="213">
        <v>17031000668</v>
      </c>
      <c r="D1041" s="213">
        <v>17031000661</v>
      </c>
      <c r="E1041" s="213" t="s">
        <v>533</v>
      </c>
      <c r="F1041" s="213" t="s">
        <v>534</v>
      </c>
      <c r="G1041" s="213" t="s">
        <v>365</v>
      </c>
      <c r="H1041" s="213" t="s">
        <v>535</v>
      </c>
      <c r="I1041" s="213"/>
      <c r="J1041" s="213" t="s">
        <v>572</v>
      </c>
      <c r="K1041" s="213"/>
      <c r="L1041" s="213"/>
      <c r="M1041" s="213"/>
      <c r="N1041" s="213"/>
      <c r="O1041" s="213"/>
      <c r="P1041" s="213"/>
      <c r="Q1041" s="213"/>
      <c r="R1041" s="213"/>
      <c r="S1041" s="213" t="s">
        <v>624</v>
      </c>
      <c r="T1041" s="213"/>
      <c r="U1041" s="213" t="s">
        <v>538</v>
      </c>
      <c r="V1041" s="213">
        <v>2</v>
      </c>
      <c r="W1041" s="213" t="s">
        <v>582</v>
      </c>
      <c r="X1041" s="213" t="s">
        <v>541</v>
      </c>
      <c r="Y1041" s="213" t="s">
        <v>540</v>
      </c>
      <c r="Z1041" s="212">
        <v>760</v>
      </c>
      <c r="AA1041" s="212">
        <v>71920</v>
      </c>
      <c r="AB1041" s="217">
        <v>8.1625000000000003E-2</v>
      </c>
      <c r="AC1041" s="217">
        <v>0.13136200000000001</v>
      </c>
      <c r="AD1041" s="212">
        <f t="shared" si="16"/>
        <v>5870.47</v>
      </c>
    </row>
    <row r="1042" spans="2:30" x14ac:dyDescent="0.15">
      <c r="B1042" s="213">
        <v>17031002297</v>
      </c>
      <c r="C1042" s="213">
        <v>17031001094</v>
      </c>
      <c r="D1042" s="213">
        <v>17031001096</v>
      </c>
      <c r="E1042" s="213" t="s">
        <v>533</v>
      </c>
      <c r="F1042" s="213" t="s">
        <v>534</v>
      </c>
      <c r="G1042" s="213" t="s">
        <v>365</v>
      </c>
      <c r="H1042" s="213" t="s">
        <v>571</v>
      </c>
      <c r="I1042" s="213"/>
      <c r="J1042" s="213" t="s">
        <v>552</v>
      </c>
      <c r="K1042" s="213" t="s">
        <v>577</v>
      </c>
      <c r="L1042" s="213" t="s">
        <v>543</v>
      </c>
      <c r="M1042" s="213"/>
      <c r="N1042" s="213"/>
      <c r="O1042" s="213"/>
      <c r="P1042" s="213"/>
      <c r="Q1042" s="213"/>
      <c r="R1042" s="213"/>
      <c r="S1042" s="213" t="s">
        <v>573</v>
      </c>
      <c r="T1042" s="213"/>
      <c r="U1042" s="213" t="s">
        <v>538</v>
      </c>
      <c r="V1042" s="213">
        <v>1</v>
      </c>
      <c r="W1042" s="213" t="s">
        <v>545</v>
      </c>
      <c r="X1042" s="213" t="s">
        <v>554</v>
      </c>
      <c r="Y1042" s="213" t="s">
        <v>580</v>
      </c>
      <c r="Z1042" s="212">
        <v>220910</v>
      </c>
      <c r="AA1042" s="212">
        <v>7538764</v>
      </c>
      <c r="AB1042" s="217">
        <v>8.3282999999999996E-2</v>
      </c>
      <c r="AC1042" s="217">
        <v>0.13403100000000001</v>
      </c>
      <c r="AD1042" s="212">
        <f t="shared" si="16"/>
        <v>627850.88221199997</v>
      </c>
    </row>
    <row r="1043" spans="2:30" x14ac:dyDescent="0.15">
      <c r="B1043" s="213">
        <v>17031002299</v>
      </c>
      <c r="C1043" s="213">
        <v>17031001349</v>
      </c>
      <c r="D1043" s="213">
        <v>17031001298</v>
      </c>
      <c r="E1043" s="213" t="s">
        <v>533</v>
      </c>
      <c r="F1043" s="213" t="s">
        <v>534</v>
      </c>
      <c r="G1043" s="213" t="s">
        <v>365</v>
      </c>
      <c r="H1043" s="213" t="s">
        <v>543</v>
      </c>
      <c r="I1043" s="213"/>
      <c r="J1043" s="213" t="s">
        <v>557</v>
      </c>
      <c r="K1043" s="213"/>
      <c r="L1043" s="213"/>
      <c r="M1043" s="213"/>
      <c r="N1043" s="213"/>
      <c r="O1043" s="213"/>
      <c r="P1043" s="213"/>
      <c r="Q1043" s="213"/>
      <c r="R1043" s="213"/>
      <c r="S1043" s="213" t="s">
        <v>558</v>
      </c>
      <c r="T1043" s="213"/>
      <c r="U1043" s="213" t="s">
        <v>559</v>
      </c>
      <c r="V1043" s="213">
        <v>1</v>
      </c>
      <c r="W1043" s="213" t="s">
        <v>560</v>
      </c>
      <c r="X1043" s="213" t="s">
        <v>541</v>
      </c>
      <c r="Y1043" s="213" t="s">
        <v>541</v>
      </c>
      <c r="Z1043" s="212">
        <v>0</v>
      </c>
      <c r="AA1043" s="212">
        <v>0</v>
      </c>
      <c r="AB1043" s="217">
        <v>0.51014400000000004</v>
      </c>
      <c r="AC1043" s="217">
        <v>0.82099900000000003</v>
      </c>
      <c r="AD1043" s="212">
        <f t="shared" si="16"/>
        <v>0</v>
      </c>
    </row>
    <row r="1044" spans="2:30" x14ac:dyDescent="0.15">
      <c r="B1044" s="213">
        <v>17031002302</v>
      </c>
      <c r="C1044" s="213">
        <v>99999023008</v>
      </c>
      <c r="D1044" s="213">
        <v>17031001404</v>
      </c>
      <c r="E1044" s="213" t="s">
        <v>533</v>
      </c>
      <c r="F1044" s="213" t="s">
        <v>534</v>
      </c>
      <c r="G1044" s="213" t="s">
        <v>365</v>
      </c>
      <c r="H1044" s="213" t="s">
        <v>557</v>
      </c>
      <c r="I1044" s="213"/>
      <c r="J1044" s="213" t="s">
        <v>569</v>
      </c>
      <c r="K1044" s="213" t="s">
        <v>551</v>
      </c>
      <c r="L1044" s="213" t="s">
        <v>543</v>
      </c>
      <c r="M1044" s="213" t="s">
        <v>382</v>
      </c>
      <c r="N1044" s="213"/>
      <c r="O1044" s="213"/>
      <c r="P1044" s="213"/>
      <c r="Q1044" s="213"/>
      <c r="R1044" s="213"/>
      <c r="S1044" s="213" t="s">
        <v>570</v>
      </c>
      <c r="T1044" s="213"/>
      <c r="U1044" s="213" t="s">
        <v>538</v>
      </c>
      <c r="V1044" s="213">
        <v>2</v>
      </c>
      <c r="W1044" s="213" t="s">
        <v>545</v>
      </c>
      <c r="X1044" s="213" t="s">
        <v>540</v>
      </c>
      <c r="Y1044" s="213" t="s">
        <v>540</v>
      </c>
      <c r="Z1044" s="212">
        <v>37282</v>
      </c>
      <c r="AA1044" s="212">
        <v>3198142</v>
      </c>
      <c r="AB1044" s="217">
        <v>0.40150400000000003</v>
      </c>
      <c r="AC1044" s="217">
        <v>0.64615999999999996</v>
      </c>
      <c r="AD1044" s="212">
        <f t="shared" si="16"/>
        <v>1284066.8055680001</v>
      </c>
    </row>
    <row r="1045" spans="2:30" x14ac:dyDescent="0.15">
      <c r="B1045" s="213">
        <v>17031002304</v>
      </c>
      <c r="C1045" s="213">
        <v>17031007015</v>
      </c>
      <c r="D1045" s="213">
        <v>17031001347</v>
      </c>
      <c r="E1045" s="213" t="s">
        <v>533</v>
      </c>
      <c r="F1045" s="213" t="s">
        <v>534</v>
      </c>
      <c r="G1045" s="213" t="s">
        <v>365</v>
      </c>
      <c r="H1045" s="213" t="s">
        <v>543</v>
      </c>
      <c r="I1045" s="213"/>
      <c r="J1045" s="213"/>
      <c r="K1045" s="213"/>
      <c r="L1045" s="213"/>
      <c r="M1045" s="213"/>
      <c r="N1045" s="213"/>
      <c r="O1045" s="213"/>
      <c r="P1045" s="213"/>
      <c r="Q1045" s="213"/>
      <c r="R1045" s="213"/>
      <c r="S1045" s="213" t="s">
        <v>604</v>
      </c>
      <c r="T1045" s="213" t="s">
        <v>669</v>
      </c>
      <c r="U1045" s="213" t="s">
        <v>538</v>
      </c>
      <c r="V1045" s="213">
        <v>2</v>
      </c>
      <c r="W1045" s="213" t="s">
        <v>545</v>
      </c>
      <c r="X1045" s="213" t="s">
        <v>554</v>
      </c>
      <c r="Y1045" s="213" t="s">
        <v>546</v>
      </c>
      <c r="Z1045" s="212">
        <v>4872</v>
      </c>
      <c r="AA1045" s="212">
        <v>434024</v>
      </c>
      <c r="AB1045" s="217">
        <v>1.0120279999999999</v>
      </c>
      <c r="AC1045" s="217">
        <v>1.6287039999999999</v>
      </c>
      <c r="AD1045" s="212">
        <f t="shared" si="16"/>
        <v>439244.440672</v>
      </c>
    </row>
    <row r="1046" spans="2:30" x14ac:dyDescent="0.15">
      <c r="B1046" s="213">
        <v>17031002307</v>
      </c>
      <c r="C1046" s="213">
        <v>17031001385</v>
      </c>
      <c r="D1046" s="213">
        <v>17031001387</v>
      </c>
      <c r="E1046" s="213" t="s">
        <v>533</v>
      </c>
      <c r="F1046" s="213" t="s">
        <v>534</v>
      </c>
      <c r="G1046" s="213" t="s">
        <v>365</v>
      </c>
      <c r="H1046" s="213" t="s">
        <v>557</v>
      </c>
      <c r="I1046" s="213"/>
      <c r="J1046" s="213"/>
      <c r="K1046" s="213"/>
      <c r="L1046" s="213"/>
      <c r="M1046" s="213"/>
      <c r="N1046" s="213"/>
      <c r="O1046" s="213"/>
      <c r="P1046" s="213"/>
      <c r="Q1046" s="213"/>
      <c r="R1046" s="213"/>
      <c r="S1046" s="213"/>
      <c r="T1046" s="213"/>
      <c r="U1046" s="213" t="s">
        <v>559</v>
      </c>
      <c r="V1046" s="213">
        <v>1</v>
      </c>
      <c r="W1046" s="213" t="s">
        <v>560</v>
      </c>
      <c r="X1046" s="213" t="s">
        <v>541</v>
      </c>
      <c r="Y1046" s="213" t="s">
        <v>541</v>
      </c>
      <c r="Z1046" s="212">
        <v>0</v>
      </c>
      <c r="AA1046" s="212">
        <v>0</v>
      </c>
      <c r="AB1046" s="217">
        <v>0.180342</v>
      </c>
      <c r="AC1046" s="217">
        <v>0.29023199999999999</v>
      </c>
      <c r="AD1046" s="212">
        <f t="shared" si="16"/>
        <v>0</v>
      </c>
    </row>
    <row r="1047" spans="2:30" x14ac:dyDescent="0.15">
      <c r="B1047" s="213">
        <v>17031002313</v>
      </c>
      <c r="C1047" s="213">
        <v>17031001565</v>
      </c>
      <c r="D1047" s="213">
        <v>17031007613</v>
      </c>
      <c r="E1047" s="213" t="s">
        <v>533</v>
      </c>
      <c r="F1047" s="213" t="s">
        <v>534</v>
      </c>
      <c r="G1047" s="213" t="s">
        <v>365</v>
      </c>
      <c r="H1047" s="213" t="s">
        <v>535</v>
      </c>
      <c r="I1047" s="213"/>
      <c r="J1047" s="213" t="s">
        <v>382</v>
      </c>
      <c r="K1047" s="213" t="s">
        <v>536</v>
      </c>
      <c r="L1047" s="213"/>
      <c r="M1047" s="213"/>
      <c r="N1047" s="213"/>
      <c r="O1047" s="213"/>
      <c r="P1047" s="213"/>
      <c r="Q1047" s="213"/>
      <c r="R1047" s="213"/>
      <c r="S1047" s="213" t="s">
        <v>537</v>
      </c>
      <c r="T1047" s="213"/>
      <c r="U1047" s="213" t="s">
        <v>538</v>
      </c>
      <c r="V1047" s="213">
        <v>2</v>
      </c>
      <c r="W1047" s="213" t="s">
        <v>582</v>
      </c>
      <c r="X1047" s="213" t="s">
        <v>549</v>
      </c>
      <c r="Y1047" s="213" t="s">
        <v>540</v>
      </c>
      <c r="Z1047" s="212">
        <v>10116</v>
      </c>
      <c r="AA1047" s="212">
        <v>893960</v>
      </c>
      <c r="AB1047" s="217">
        <v>2.5687509999999998</v>
      </c>
      <c r="AC1047" s="217">
        <v>4.1340120000000002</v>
      </c>
      <c r="AD1047" s="212">
        <f t="shared" si="16"/>
        <v>2296360.64396</v>
      </c>
    </row>
    <row r="1048" spans="2:30" x14ac:dyDescent="0.15">
      <c r="B1048" s="213">
        <v>17031002333</v>
      </c>
      <c r="C1048" s="213">
        <v>17031001543</v>
      </c>
      <c r="D1048" s="213">
        <v>17031001489</v>
      </c>
      <c r="E1048" s="213" t="s">
        <v>533</v>
      </c>
      <c r="F1048" s="213" t="s">
        <v>534</v>
      </c>
      <c r="G1048" s="213" t="s">
        <v>365</v>
      </c>
      <c r="H1048" s="213" t="s">
        <v>382</v>
      </c>
      <c r="I1048" s="213"/>
      <c r="J1048" s="213" t="s">
        <v>551</v>
      </c>
      <c r="K1048" s="213" t="s">
        <v>555</v>
      </c>
      <c r="L1048" s="213" t="s">
        <v>552</v>
      </c>
      <c r="M1048" s="213"/>
      <c r="N1048" s="213"/>
      <c r="O1048" s="213"/>
      <c r="P1048" s="213"/>
      <c r="Q1048" s="213"/>
      <c r="R1048" s="213"/>
      <c r="S1048" s="213" t="s">
        <v>556</v>
      </c>
      <c r="T1048" s="213"/>
      <c r="U1048" s="213" t="s">
        <v>538</v>
      </c>
      <c r="V1048" s="213">
        <v>2</v>
      </c>
      <c r="W1048" s="213" t="s">
        <v>545</v>
      </c>
      <c r="X1048" s="213" t="s">
        <v>540</v>
      </c>
      <c r="Y1048" s="213" t="s">
        <v>580</v>
      </c>
      <c r="Z1048" s="212">
        <v>693994</v>
      </c>
      <c r="AA1048" s="212">
        <v>29546664</v>
      </c>
      <c r="AB1048" s="217">
        <v>1.4970330000000001</v>
      </c>
      <c r="AC1048" s="217">
        <v>2.409246</v>
      </c>
      <c r="AD1048" s="212">
        <f t="shared" si="16"/>
        <v>44232331.047912002</v>
      </c>
    </row>
    <row r="1049" spans="2:30" x14ac:dyDescent="0.15">
      <c r="B1049" s="213">
        <v>17031002340</v>
      </c>
      <c r="C1049" s="213">
        <v>99999024155</v>
      </c>
      <c r="D1049" s="213">
        <v>17031007643</v>
      </c>
      <c r="E1049" s="213" t="s">
        <v>533</v>
      </c>
      <c r="F1049" s="213" t="s">
        <v>534</v>
      </c>
      <c r="G1049" s="213" t="s">
        <v>365</v>
      </c>
      <c r="H1049" s="213" t="s">
        <v>535</v>
      </c>
      <c r="I1049" s="213"/>
      <c r="J1049" s="213" t="s">
        <v>382</v>
      </c>
      <c r="K1049" s="213" t="s">
        <v>536</v>
      </c>
      <c r="L1049" s="213"/>
      <c r="M1049" s="213"/>
      <c r="N1049" s="213"/>
      <c r="O1049" s="213"/>
      <c r="P1049" s="213"/>
      <c r="Q1049" s="213"/>
      <c r="R1049" s="213"/>
      <c r="S1049" s="213" t="s">
        <v>537</v>
      </c>
      <c r="T1049" s="213"/>
      <c r="U1049" s="213" t="s">
        <v>538</v>
      </c>
      <c r="V1049" s="213">
        <v>2</v>
      </c>
      <c r="W1049" s="213" t="s">
        <v>582</v>
      </c>
      <c r="X1049" s="213" t="s">
        <v>549</v>
      </c>
      <c r="Y1049" s="213" t="s">
        <v>540</v>
      </c>
      <c r="Z1049" s="212">
        <v>1960</v>
      </c>
      <c r="AA1049" s="212">
        <v>166000</v>
      </c>
      <c r="AB1049" s="217">
        <v>3.1177619999999999</v>
      </c>
      <c r="AC1049" s="217">
        <v>5.0175609999999997</v>
      </c>
      <c r="AD1049" s="212">
        <f t="shared" si="16"/>
        <v>517548.49199999997</v>
      </c>
    </row>
    <row r="1050" spans="2:30" x14ac:dyDescent="0.15">
      <c r="B1050" s="213">
        <v>17031002341</v>
      </c>
      <c r="C1050" s="213">
        <v>17031001552</v>
      </c>
      <c r="D1050" s="213">
        <v>17031001556</v>
      </c>
      <c r="E1050" s="213" t="s">
        <v>533</v>
      </c>
      <c r="F1050" s="213" t="s">
        <v>534</v>
      </c>
      <c r="G1050" s="213" t="s">
        <v>365</v>
      </c>
      <c r="H1050" s="213" t="s">
        <v>382</v>
      </c>
      <c r="I1050" s="213"/>
      <c r="J1050" s="213"/>
      <c r="K1050" s="213"/>
      <c r="L1050" s="213"/>
      <c r="M1050" s="213"/>
      <c r="N1050" s="213"/>
      <c r="O1050" s="213"/>
      <c r="P1050" s="213"/>
      <c r="Q1050" s="213"/>
      <c r="R1050" s="213"/>
      <c r="S1050" s="213" t="s">
        <v>576</v>
      </c>
      <c r="T1050" s="213"/>
      <c r="U1050" s="213" t="s">
        <v>559</v>
      </c>
      <c r="V1050" s="213">
        <v>1</v>
      </c>
      <c r="W1050" s="213" t="s">
        <v>560</v>
      </c>
      <c r="X1050" s="213" t="s">
        <v>541</v>
      </c>
      <c r="Y1050" s="213" t="s">
        <v>541</v>
      </c>
      <c r="Z1050" s="212">
        <v>0</v>
      </c>
      <c r="AA1050" s="212">
        <v>0</v>
      </c>
      <c r="AB1050" s="217">
        <v>0.17685400000000001</v>
      </c>
      <c r="AC1050" s="217">
        <v>0.28461900000000001</v>
      </c>
      <c r="AD1050" s="212">
        <f t="shared" si="16"/>
        <v>0</v>
      </c>
    </row>
    <row r="1051" spans="2:30" x14ac:dyDescent="0.15">
      <c r="B1051" s="213">
        <v>17031002342</v>
      </c>
      <c r="C1051" s="213">
        <v>17031007636</v>
      </c>
      <c r="D1051" s="213">
        <v>17031001554</v>
      </c>
      <c r="E1051" s="213" t="s">
        <v>533</v>
      </c>
      <c r="F1051" s="213" t="s">
        <v>534</v>
      </c>
      <c r="G1051" s="213" t="s">
        <v>365</v>
      </c>
      <c r="H1051" s="213" t="s">
        <v>382</v>
      </c>
      <c r="I1051" s="213"/>
      <c r="J1051" s="213"/>
      <c r="K1051" s="213"/>
      <c r="L1051" s="213"/>
      <c r="M1051" s="213"/>
      <c r="N1051" s="213"/>
      <c r="O1051" s="213"/>
      <c r="P1051" s="213"/>
      <c r="Q1051" s="213"/>
      <c r="R1051" s="213"/>
      <c r="S1051" s="213" t="s">
        <v>576</v>
      </c>
      <c r="T1051" s="213"/>
      <c r="U1051" s="213" t="s">
        <v>559</v>
      </c>
      <c r="V1051" s="213">
        <v>1</v>
      </c>
      <c r="W1051" s="213" t="s">
        <v>560</v>
      </c>
      <c r="X1051" s="213" t="s">
        <v>541</v>
      </c>
      <c r="Y1051" s="213" t="s">
        <v>541</v>
      </c>
      <c r="Z1051" s="212">
        <v>0</v>
      </c>
      <c r="AA1051" s="212">
        <v>0</v>
      </c>
      <c r="AB1051" s="217">
        <v>8.4518999999999997E-2</v>
      </c>
      <c r="AC1051" s="217">
        <v>0.13602</v>
      </c>
      <c r="AD1051" s="212">
        <f t="shared" si="16"/>
        <v>0</v>
      </c>
    </row>
    <row r="1052" spans="2:30" x14ac:dyDescent="0.15">
      <c r="B1052" s="213">
        <v>17031002359</v>
      </c>
      <c r="C1052" s="213">
        <v>17031000561</v>
      </c>
      <c r="D1052" s="213">
        <v>17031000520</v>
      </c>
      <c r="E1052" s="213" t="s">
        <v>533</v>
      </c>
      <c r="F1052" s="213" t="s">
        <v>534</v>
      </c>
      <c r="G1052" s="213" t="s">
        <v>365</v>
      </c>
      <c r="H1052" s="213" t="s">
        <v>382</v>
      </c>
      <c r="I1052" s="213"/>
      <c r="J1052" s="213" t="s">
        <v>547</v>
      </c>
      <c r="K1052" s="213"/>
      <c r="L1052" s="213"/>
      <c r="M1052" s="213"/>
      <c r="N1052" s="213"/>
      <c r="O1052" s="213"/>
      <c r="P1052" s="213"/>
      <c r="Q1052" s="213"/>
      <c r="R1052" s="213"/>
      <c r="S1052" s="213" t="s">
        <v>608</v>
      </c>
      <c r="T1052" s="213"/>
      <c r="U1052" s="213" t="s">
        <v>538</v>
      </c>
      <c r="V1052" s="213">
        <v>4</v>
      </c>
      <c r="W1052" s="213" t="s">
        <v>566</v>
      </c>
      <c r="X1052" s="213" t="s">
        <v>540</v>
      </c>
      <c r="Y1052" s="213" t="s">
        <v>541</v>
      </c>
      <c r="Z1052" s="212">
        <v>0</v>
      </c>
      <c r="AA1052" s="212">
        <v>0</v>
      </c>
      <c r="AB1052" s="217">
        <v>0.96282100000000004</v>
      </c>
      <c r="AC1052" s="217">
        <v>1.5495140000000001</v>
      </c>
      <c r="AD1052" s="212">
        <f t="shared" si="16"/>
        <v>0</v>
      </c>
    </row>
    <row r="1053" spans="2:30" x14ac:dyDescent="0.15">
      <c r="B1053" s="213">
        <v>17031002376</v>
      </c>
      <c r="C1053" s="213">
        <v>17031001060</v>
      </c>
      <c r="D1053" s="213">
        <v>17031004741</v>
      </c>
      <c r="E1053" s="213" t="s">
        <v>533</v>
      </c>
      <c r="F1053" s="213" t="s">
        <v>534</v>
      </c>
      <c r="G1053" s="213" t="s">
        <v>365</v>
      </c>
      <c r="H1053" s="213" t="s">
        <v>543</v>
      </c>
      <c r="I1053" s="213"/>
      <c r="J1053" s="213"/>
      <c r="K1053" s="213"/>
      <c r="L1053" s="213"/>
      <c r="M1053" s="213"/>
      <c r="N1053" s="213"/>
      <c r="O1053" s="213"/>
      <c r="P1053" s="213"/>
      <c r="Q1053" s="213"/>
      <c r="R1053" s="213"/>
      <c r="S1053" s="213" t="s">
        <v>604</v>
      </c>
      <c r="T1053" s="213"/>
      <c r="U1053" s="213" t="s">
        <v>538</v>
      </c>
      <c r="V1053" s="213">
        <v>2</v>
      </c>
      <c r="W1053" s="213" t="s">
        <v>545</v>
      </c>
      <c r="X1053" s="213" t="s">
        <v>540</v>
      </c>
      <c r="Y1053" s="213" t="s">
        <v>549</v>
      </c>
      <c r="Z1053" s="212">
        <v>0</v>
      </c>
      <c r="AA1053" s="212">
        <v>0</v>
      </c>
      <c r="AB1053" s="217">
        <v>2.6881569999999999</v>
      </c>
      <c r="AC1053" s="217">
        <v>4.3261779999999996</v>
      </c>
      <c r="AD1053" s="212">
        <f t="shared" si="16"/>
        <v>0</v>
      </c>
    </row>
    <row r="1054" spans="2:30" x14ac:dyDescent="0.15">
      <c r="B1054" s="213">
        <v>17031002383</v>
      </c>
      <c r="C1054" s="213">
        <v>17999021964</v>
      </c>
      <c r="D1054" s="213">
        <v>17031001059</v>
      </c>
      <c r="E1054" s="213" t="s">
        <v>533</v>
      </c>
      <c r="F1054" s="213" t="s">
        <v>534</v>
      </c>
      <c r="G1054" s="213" t="s">
        <v>365</v>
      </c>
      <c r="H1054" s="213" t="s">
        <v>381</v>
      </c>
      <c r="I1054" s="213"/>
      <c r="J1054" s="213" t="s">
        <v>382</v>
      </c>
      <c r="K1054" s="213"/>
      <c r="L1054" s="213"/>
      <c r="M1054" s="213"/>
      <c r="N1054" s="213"/>
      <c r="O1054" s="213"/>
      <c r="P1054" s="213"/>
      <c r="Q1054" s="213"/>
      <c r="R1054" s="213"/>
      <c r="S1054" s="213" t="s">
        <v>647</v>
      </c>
      <c r="T1054" s="213"/>
      <c r="U1054" s="213" t="s">
        <v>538</v>
      </c>
      <c r="V1054" s="213">
        <v>2</v>
      </c>
      <c r="W1054" s="213" t="s">
        <v>545</v>
      </c>
      <c r="X1054" s="213" t="s">
        <v>549</v>
      </c>
      <c r="Y1054" s="213" t="s">
        <v>580</v>
      </c>
      <c r="Z1054" s="212">
        <v>1669193</v>
      </c>
      <c r="AA1054" s="212">
        <v>43918951</v>
      </c>
      <c r="AB1054" s="217">
        <v>2.0421819999999999</v>
      </c>
      <c r="AC1054" s="217">
        <v>3.2865799999999998</v>
      </c>
      <c r="AD1054" s="212">
        <f t="shared" si="16"/>
        <v>89690491.191082001</v>
      </c>
    </row>
    <row r="1055" spans="2:30" x14ac:dyDescent="0.15">
      <c r="B1055" s="213">
        <v>17031002384</v>
      </c>
      <c r="C1055" s="213">
        <v>17031001197</v>
      </c>
      <c r="D1055" s="213">
        <v>17031004667</v>
      </c>
      <c r="E1055" s="213" t="s">
        <v>533</v>
      </c>
      <c r="F1055" s="213" t="s">
        <v>534</v>
      </c>
      <c r="G1055" s="213" t="s">
        <v>365</v>
      </c>
      <c r="H1055" s="213" t="s">
        <v>535</v>
      </c>
      <c r="I1055" s="213"/>
      <c r="J1055" s="213" t="s">
        <v>542</v>
      </c>
      <c r="K1055" s="213" t="s">
        <v>572</v>
      </c>
      <c r="L1055" s="213" t="s">
        <v>547</v>
      </c>
      <c r="M1055" s="213" t="s">
        <v>382</v>
      </c>
      <c r="N1055" s="213"/>
      <c r="O1055" s="213"/>
      <c r="P1055" s="213"/>
      <c r="Q1055" s="213"/>
      <c r="R1055" s="213"/>
      <c r="S1055" s="213" t="s">
        <v>601</v>
      </c>
      <c r="T1055" s="213"/>
      <c r="U1055" s="213" t="s">
        <v>538</v>
      </c>
      <c r="V1055" s="213">
        <v>2</v>
      </c>
      <c r="W1055" s="213" t="s">
        <v>545</v>
      </c>
      <c r="X1055" s="213" t="s">
        <v>549</v>
      </c>
      <c r="Y1055" s="213" t="s">
        <v>540</v>
      </c>
      <c r="Z1055" s="212">
        <v>166265</v>
      </c>
      <c r="AA1055" s="212">
        <v>7630815</v>
      </c>
      <c r="AB1055" s="217">
        <v>2.612285</v>
      </c>
      <c r="AC1055" s="217">
        <v>4.2040740000000003</v>
      </c>
      <c r="AD1055" s="212">
        <f t="shared" si="16"/>
        <v>19933863.562275</v>
      </c>
    </row>
    <row r="1056" spans="2:30" x14ac:dyDescent="0.15">
      <c r="B1056" s="213">
        <v>17031002385</v>
      </c>
      <c r="C1056" s="213">
        <v>17031007688</v>
      </c>
      <c r="D1056" s="213">
        <v>17031007694</v>
      </c>
      <c r="E1056" s="213" t="s">
        <v>533</v>
      </c>
      <c r="F1056" s="213" t="s">
        <v>534</v>
      </c>
      <c r="G1056" s="213" t="s">
        <v>365</v>
      </c>
      <c r="H1056" s="213" t="s">
        <v>535</v>
      </c>
      <c r="I1056" s="213"/>
      <c r="J1056" s="213" t="s">
        <v>542</v>
      </c>
      <c r="K1056" s="213" t="s">
        <v>572</v>
      </c>
      <c r="L1056" s="213" t="s">
        <v>547</v>
      </c>
      <c r="M1056" s="213" t="s">
        <v>382</v>
      </c>
      <c r="N1056" s="213"/>
      <c r="O1056" s="213"/>
      <c r="P1056" s="213"/>
      <c r="Q1056" s="213"/>
      <c r="R1056" s="213"/>
      <c r="S1056" s="213" t="s">
        <v>601</v>
      </c>
      <c r="T1056" s="213"/>
      <c r="U1056" s="213" t="s">
        <v>538</v>
      </c>
      <c r="V1056" s="213">
        <v>2</v>
      </c>
      <c r="W1056" s="213" t="s">
        <v>545</v>
      </c>
      <c r="X1056" s="213" t="s">
        <v>549</v>
      </c>
      <c r="Y1056" s="213" t="s">
        <v>540</v>
      </c>
      <c r="Z1056" s="212">
        <v>166265</v>
      </c>
      <c r="AA1056" s="212">
        <v>7630815</v>
      </c>
      <c r="AB1056" s="217">
        <v>1.8986430000000001</v>
      </c>
      <c r="AC1056" s="217">
        <v>3.0555759999999998</v>
      </c>
      <c r="AD1056" s="212">
        <f t="shared" si="16"/>
        <v>14488193.484045001</v>
      </c>
    </row>
    <row r="1057" spans="2:30" x14ac:dyDescent="0.15">
      <c r="B1057" s="213">
        <v>17031002386</v>
      </c>
      <c r="C1057" s="213">
        <v>17031000359</v>
      </c>
      <c r="D1057" s="213">
        <v>17031004595</v>
      </c>
      <c r="E1057" s="213" t="s">
        <v>533</v>
      </c>
      <c r="F1057" s="213" t="s">
        <v>534</v>
      </c>
      <c r="G1057" s="213" t="s">
        <v>365</v>
      </c>
      <c r="H1057" s="213" t="s">
        <v>552</v>
      </c>
      <c r="I1057" s="213"/>
      <c r="J1057" s="213" t="s">
        <v>547</v>
      </c>
      <c r="K1057" s="213"/>
      <c r="L1057" s="213"/>
      <c r="M1057" s="213"/>
      <c r="N1057" s="213"/>
      <c r="O1057" s="213"/>
      <c r="P1057" s="213"/>
      <c r="Q1057" s="213"/>
      <c r="R1057" s="213"/>
      <c r="S1057" s="213" t="s">
        <v>589</v>
      </c>
      <c r="T1057" s="213"/>
      <c r="U1057" s="213" t="s">
        <v>538</v>
      </c>
      <c r="V1057" s="213">
        <v>2</v>
      </c>
      <c r="W1057" s="213" t="s">
        <v>545</v>
      </c>
      <c r="X1057" s="213" t="s">
        <v>549</v>
      </c>
      <c r="Y1057" s="213" t="s">
        <v>540</v>
      </c>
      <c r="Z1057" s="212">
        <v>38058</v>
      </c>
      <c r="AA1057" s="212">
        <v>3590544</v>
      </c>
      <c r="AB1057" s="217">
        <v>0.47289199999999998</v>
      </c>
      <c r="AC1057" s="217">
        <v>0.76104799999999995</v>
      </c>
      <c r="AD1057" s="212">
        <f t="shared" si="16"/>
        <v>1697939.5332479998</v>
      </c>
    </row>
    <row r="1058" spans="2:30" x14ac:dyDescent="0.15">
      <c r="B1058" s="213">
        <v>17031002411</v>
      </c>
      <c r="C1058" s="213">
        <v>17999022435</v>
      </c>
      <c r="D1058" s="213">
        <v>17031001224</v>
      </c>
      <c r="E1058" s="213" t="s">
        <v>533</v>
      </c>
      <c r="F1058" s="213" t="s">
        <v>534</v>
      </c>
      <c r="G1058" s="213" t="s">
        <v>365</v>
      </c>
      <c r="H1058" s="213" t="s">
        <v>381</v>
      </c>
      <c r="I1058" s="213"/>
      <c r="J1058" s="213" t="s">
        <v>382</v>
      </c>
      <c r="K1058" s="213"/>
      <c r="L1058" s="213"/>
      <c r="M1058" s="213"/>
      <c r="N1058" s="213"/>
      <c r="O1058" s="213"/>
      <c r="P1058" s="213"/>
      <c r="Q1058" s="213"/>
      <c r="R1058" s="213"/>
      <c r="S1058" s="213" t="s">
        <v>647</v>
      </c>
      <c r="T1058" s="213"/>
      <c r="U1058" s="213" t="s">
        <v>538</v>
      </c>
      <c r="V1058" s="213">
        <v>2</v>
      </c>
      <c r="W1058" s="213" t="s">
        <v>545</v>
      </c>
      <c r="X1058" s="213" t="s">
        <v>549</v>
      </c>
      <c r="Y1058" s="213" t="s">
        <v>580</v>
      </c>
      <c r="Z1058" s="212">
        <v>1669317</v>
      </c>
      <c r="AA1058" s="212">
        <v>43895235</v>
      </c>
      <c r="AB1058" s="217">
        <v>1.4114739999999999</v>
      </c>
      <c r="AC1058" s="217">
        <v>2.2715529999999999</v>
      </c>
      <c r="AD1058" s="212">
        <f t="shared" si="16"/>
        <v>61956982.926389992</v>
      </c>
    </row>
    <row r="1059" spans="2:30" x14ac:dyDescent="0.15">
      <c r="B1059" s="213">
        <v>17031002418</v>
      </c>
      <c r="C1059" s="213">
        <v>17031000459</v>
      </c>
      <c r="D1059" s="213">
        <v>17031000409</v>
      </c>
      <c r="E1059" s="213" t="s">
        <v>533</v>
      </c>
      <c r="F1059" s="213" t="s">
        <v>534</v>
      </c>
      <c r="G1059" s="213" t="s">
        <v>365</v>
      </c>
      <c r="H1059" s="213" t="s">
        <v>552</v>
      </c>
      <c r="I1059" s="213"/>
      <c r="J1059" s="213" t="s">
        <v>542</v>
      </c>
      <c r="K1059" s="213" t="s">
        <v>547</v>
      </c>
      <c r="L1059" s="213" t="s">
        <v>563</v>
      </c>
      <c r="M1059" s="213"/>
      <c r="N1059" s="213"/>
      <c r="O1059" s="213"/>
      <c r="P1059" s="213"/>
      <c r="Q1059" s="213"/>
      <c r="R1059" s="213"/>
      <c r="S1059" s="213" t="s">
        <v>564</v>
      </c>
      <c r="T1059" s="213"/>
      <c r="U1059" s="213" t="s">
        <v>538</v>
      </c>
      <c r="V1059" s="213">
        <v>2</v>
      </c>
      <c r="W1059" s="213" t="s">
        <v>545</v>
      </c>
      <c r="X1059" s="213" t="s">
        <v>549</v>
      </c>
      <c r="Y1059" s="213" t="s">
        <v>541</v>
      </c>
      <c r="Z1059" s="212">
        <v>21788</v>
      </c>
      <c r="AA1059" s="212">
        <v>1948660</v>
      </c>
      <c r="AB1059" s="217">
        <v>1.709824</v>
      </c>
      <c r="AC1059" s="217">
        <v>2.7517</v>
      </c>
      <c r="AD1059" s="212">
        <f t="shared" si="16"/>
        <v>3331865.6358400001</v>
      </c>
    </row>
    <row r="1060" spans="2:30" x14ac:dyDescent="0.15">
      <c r="B1060" s="213">
        <v>17031002426</v>
      </c>
      <c r="C1060" s="213">
        <v>17031000756</v>
      </c>
      <c r="D1060" s="213">
        <v>17031000752</v>
      </c>
      <c r="E1060" s="213" t="s">
        <v>533</v>
      </c>
      <c r="F1060" s="213" t="s">
        <v>534</v>
      </c>
      <c r="G1060" s="213" t="s">
        <v>365</v>
      </c>
      <c r="H1060" s="213" t="s">
        <v>535</v>
      </c>
      <c r="I1060" s="213"/>
      <c r="J1060" s="213"/>
      <c r="K1060" s="213"/>
      <c r="L1060" s="213"/>
      <c r="M1060" s="213"/>
      <c r="N1060" s="213"/>
      <c r="O1060" s="213"/>
      <c r="P1060" s="213"/>
      <c r="Q1060" s="213"/>
      <c r="R1060" s="213"/>
      <c r="S1060" s="213" t="s">
        <v>624</v>
      </c>
      <c r="T1060" s="213"/>
      <c r="U1060" s="213" t="s">
        <v>538</v>
      </c>
      <c r="V1060" s="213">
        <v>2</v>
      </c>
      <c r="W1060" s="213" t="s">
        <v>582</v>
      </c>
      <c r="X1060" s="213" t="s">
        <v>554</v>
      </c>
      <c r="Y1060" s="213" t="s">
        <v>554</v>
      </c>
      <c r="Z1060" s="212">
        <v>0</v>
      </c>
      <c r="AA1060" s="212">
        <v>0</v>
      </c>
      <c r="AB1060" s="217">
        <v>0.191196</v>
      </c>
      <c r="AC1060" s="217">
        <v>0.30769999999999997</v>
      </c>
      <c r="AD1060" s="212">
        <f t="shared" si="16"/>
        <v>0</v>
      </c>
    </row>
    <row r="1061" spans="2:30" x14ac:dyDescent="0.15">
      <c r="B1061" s="213">
        <v>17031002438</v>
      </c>
      <c r="C1061" s="213">
        <v>17031004711</v>
      </c>
      <c r="D1061" s="213">
        <v>17031007042</v>
      </c>
      <c r="E1061" s="213" t="s">
        <v>533</v>
      </c>
      <c r="F1061" s="213" t="s">
        <v>534</v>
      </c>
      <c r="G1061" s="213" t="s">
        <v>365</v>
      </c>
      <c r="H1061" s="213" t="s">
        <v>382</v>
      </c>
      <c r="I1061" s="213"/>
      <c r="J1061" s="213"/>
      <c r="K1061" s="213"/>
      <c r="L1061" s="213"/>
      <c r="M1061" s="213"/>
      <c r="N1061" s="213"/>
      <c r="O1061" s="213"/>
      <c r="P1061" s="213"/>
      <c r="Q1061" s="213"/>
      <c r="R1061" s="213"/>
      <c r="S1061" s="213"/>
      <c r="T1061" s="213" t="s">
        <v>675</v>
      </c>
      <c r="U1061" s="213" t="s">
        <v>559</v>
      </c>
      <c r="V1061" s="213">
        <v>1</v>
      </c>
      <c r="W1061" s="213" t="s">
        <v>560</v>
      </c>
      <c r="X1061" s="213" t="s">
        <v>541</v>
      </c>
      <c r="Y1061" s="213" t="s">
        <v>541</v>
      </c>
      <c r="Z1061" s="212">
        <v>0</v>
      </c>
      <c r="AA1061" s="212">
        <v>0</v>
      </c>
      <c r="AB1061" s="217">
        <v>0.68272299999999997</v>
      </c>
      <c r="AC1061" s="217">
        <v>1.098738</v>
      </c>
      <c r="AD1061" s="212">
        <f t="shared" si="16"/>
        <v>0</v>
      </c>
    </row>
    <row r="1062" spans="2:30" x14ac:dyDescent="0.15">
      <c r="B1062" s="213">
        <v>17031002577</v>
      </c>
      <c r="C1062" s="213">
        <v>17031000437</v>
      </c>
      <c r="D1062" s="213">
        <v>17031000438</v>
      </c>
      <c r="E1062" s="213" t="s">
        <v>533</v>
      </c>
      <c r="F1062" s="213" t="s">
        <v>534</v>
      </c>
      <c r="G1062" s="213" t="s">
        <v>365</v>
      </c>
      <c r="H1062" s="213" t="s">
        <v>535</v>
      </c>
      <c r="I1062" s="213"/>
      <c r="J1062" s="213"/>
      <c r="K1062" s="213"/>
      <c r="L1062" s="213"/>
      <c r="M1062" s="213"/>
      <c r="N1062" s="213"/>
      <c r="O1062" s="213"/>
      <c r="P1062" s="213"/>
      <c r="Q1062" s="213"/>
      <c r="R1062" s="213"/>
      <c r="S1062" s="213" t="s">
        <v>548</v>
      </c>
      <c r="T1062" s="213"/>
      <c r="U1062" s="213" t="s">
        <v>538</v>
      </c>
      <c r="V1062" s="213">
        <v>2</v>
      </c>
      <c r="W1062" s="213" t="s">
        <v>545</v>
      </c>
      <c r="X1062" s="213" t="s">
        <v>554</v>
      </c>
      <c r="Y1062" s="213" t="s">
        <v>549</v>
      </c>
      <c r="Z1062" s="212">
        <v>374329</v>
      </c>
      <c r="AA1062" s="212">
        <v>22852279</v>
      </c>
      <c r="AB1062" s="217">
        <v>5.5482999999999998E-2</v>
      </c>
      <c r="AC1062" s="217">
        <v>8.9290999999999995E-2</v>
      </c>
      <c r="AD1062" s="212">
        <f t="shared" si="16"/>
        <v>1267912.9957570001</v>
      </c>
    </row>
    <row r="1063" spans="2:30" x14ac:dyDescent="0.15">
      <c r="B1063" s="213">
        <v>17031002578</v>
      </c>
      <c r="C1063" s="213">
        <v>17031000521</v>
      </c>
      <c r="D1063" s="213">
        <v>17031007607</v>
      </c>
      <c r="E1063" s="213" t="s">
        <v>533</v>
      </c>
      <c r="F1063" s="213" t="s">
        <v>534</v>
      </c>
      <c r="G1063" s="213" t="s">
        <v>365</v>
      </c>
      <c r="H1063" s="213" t="s">
        <v>382</v>
      </c>
      <c r="I1063" s="213"/>
      <c r="J1063" s="213"/>
      <c r="K1063" s="213"/>
      <c r="L1063" s="213"/>
      <c r="M1063" s="213"/>
      <c r="N1063" s="213"/>
      <c r="O1063" s="213"/>
      <c r="P1063" s="213"/>
      <c r="Q1063" s="213"/>
      <c r="R1063" s="213"/>
      <c r="S1063" s="213"/>
      <c r="T1063" s="213"/>
      <c r="U1063" s="213" t="s">
        <v>559</v>
      </c>
      <c r="V1063" s="213">
        <v>1</v>
      </c>
      <c r="W1063" s="213" t="s">
        <v>560</v>
      </c>
      <c r="X1063" s="213" t="s">
        <v>541</v>
      </c>
      <c r="Y1063" s="213" t="s">
        <v>541</v>
      </c>
      <c r="Z1063" s="212">
        <v>0</v>
      </c>
      <c r="AA1063" s="212">
        <v>0</v>
      </c>
      <c r="AB1063" s="217">
        <v>0.37201800000000002</v>
      </c>
      <c r="AC1063" s="217">
        <v>0.59870599999999996</v>
      </c>
      <c r="AD1063" s="212">
        <f t="shared" si="16"/>
        <v>0</v>
      </c>
    </row>
    <row r="1064" spans="2:30" x14ac:dyDescent="0.15">
      <c r="B1064" s="213">
        <v>17031002589</v>
      </c>
      <c r="C1064" s="213">
        <v>17031004667</v>
      </c>
      <c r="D1064" s="213">
        <v>17031004668</v>
      </c>
      <c r="E1064" s="213" t="s">
        <v>533</v>
      </c>
      <c r="F1064" s="213" t="s">
        <v>534</v>
      </c>
      <c r="G1064" s="213" t="s">
        <v>365</v>
      </c>
      <c r="H1064" s="213" t="s">
        <v>535</v>
      </c>
      <c r="I1064" s="213"/>
      <c r="J1064" s="213" t="s">
        <v>542</v>
      </c>
      <c r="K1064" s="213" t="s">
        <v>572</v>
      </c>
      <c r="L1064" s="213" t="s">
        <v>547</v>
      </c>
      <c r="M1064" s="213" t="s">
        <v>382</v>
      </c>
      <c r="N1064" s="213"/>
      <c r="O1064" s="213"/>
      <c r="P1064" s="213"/>
      <c r="Q1064" s="213"/>
      <c r="R1064" s="213"/>
      <c r="S1064" s="213" t="s">
        <v>601</v>
      </c>
      <c r="T1064" s="213"/>
      <c r="U1064" s="213" t="s">
        <v>538</v>
      </c>
      <c r="V1064" s="213">
        <v>2</v>
      </c>
      <c r="W1064" s="213" t="s">
        <v>545</v>
      </c>
      <c r="X1064" s="213" t="s">
        <v>549</v>
      </c>
      <c r="Y1064" s="213" t="s">
        <v>540</v>
      </c>
      <c r="Z1064" s="212">
        <v>166265</v>
      </c>
      <c r="AA1064" s="212">
        <v>7630815</v>
      </c>
      <c r="AB1064" s="217">
        <v>2.3972190000000002</v>
      </c>
      <c r="AC1064" s="217">
        <v>3.8579569999999999</v>
      </c>
      <c r="AD1064" s="212">
        <f t="shared" si="16"/>
        <v>18292734.703485001</v>
      </c>
    </row>
    <row r="1065" spans="2:30" x14ac:dyDescent="0.15">
      <c r="B1065" s="213">
        <v>17031002596</v>
      </c>
      <c r="C1065" s="213">
        <v>17031004694</v>
      </c>
      <c r="D1065" s="213">
        <v>17031004695</v>
      </c>
      <c r="E1065" s="213" t="s">
        <v>533</v>
      </c>
      <c r="F1065" s="213" t="s">
        <v>534</v>
      </c>
      <c r="G1065" s="213" t="s">
        <v>365</v>
      </c>
      <c r="H1065" s="213" t="s">
        <v>547</v>
      </c>
      <c r="I1065" s="213"/>
      <c r="J1065" s="213" t="s">
        <v>577</v>
      </c>
      <c r="K1065" s="213" t="s">
        <v>551</v>
      </c>
      <c r="L1065" s="213" t="s">
        <v>615</v>
      </c>
      <c r="M1065" s="213"/>
      <c r="N1065" s="213"/>
      <c r="O1065" s="213"/>
      <c r="P1065" s="213"/>
      <c r="Q1065" s="213"/>
      <c r="R1065" s="213"/>
      <c r="S1065" s="213" t="s">
        <v>581</v>
      </c>
      <c r="T1065" s="213"/>
      <c r="U1065" s="213" t="s">
        <v>538</v>
      </c>
      <c r="V1065" s="213">
        <v>2</v>
      </c>
      <c r="W1065" s="213" t="s">
        <v>582</v>
      </c>
      <c r="X1065" s="213" t="s">
        <v>540</v>
      </c>
      <c r="Y1065" s="213" t="s">
        <v>540</v>
      </c>
      <c r="Z1065" s="212">
        <v>34796</v>
      </c>
      <c r="AA1065" s="212">
        <v>3311897</v>
      </c>
      <c r="AB1065" s="217">
        <v>2.0360149999999999</v>
      </c>
      <c r="AC1065" s="217">
        <v>3.2766549999999999</v>
      </c>
      <c r="AD1065" s="212">
        <f t="shared" si="16"/>
        <v>6743071.9704549992</v>
      </c>
    </row>
    <row r="1066" spans="2:30" x14ac:dyDescent="0.15">
      <c r="B1066" s="213">
        <v>17031002604</v>
      </c>
      <c r="C1066" s="213">
        <v>17031004683</v>
      </c>
      <c r="D1066" s="213">
        <v>17031004684</v>
      </c>
      <c r="E1066" s="213" t="s">
        <v>533</v>
      </c>
      <c r="F1066" s="213" t="s">
        <v>534</v>
      </c>
      <c r="G1066" s="213" t="s">
        <v>365</v>
      </c>
      <c r="H1066" s="213" t="s">
        <v>547</v>
      </c>
      <c r="I1066" s="213"/>
      <c r="J1066" s="213" t="s">
        <v>543</v>
      </c>
      <c r="K1066" s="213"/>
      <c r="L1066" s="213"/>
      <c r="M1066" s="213"/>
      <c r="N1066" s="213"/>
      <c r="O1066" s="213"/>
      <c r="P1066" s="213"/>
      <c r="Q1066" s="213"/>
      <c r="R1066" s="213"/>
      <c r="S1066" s="213" t="s">
        <v>602</v>
      </c>
      <c r="T1066" s="213"/>
      <c r="U1066" s="213" t="s">
        <v>538</v>
      </c>
      <c r="V1066" s="213">
        <v>1</v>
      </c>
      <c r="W1066" s="213" t="s">
        <v>582</v>
      </c>
      <c r="X1066" s="213" t="s">
        <v>540</v>
      </c>
      <c r="Y1066" s="213" t="s">
        <v>541</v>
      </c>
      <c r="Z1066" s="212">
        <v>520</v>
      </c>
      <c r="AA1066" s="212">
        <v>37800</v>
      </c>
      <c r="AB1066" s="217">
        <v>1.8296539999999999</v>
      </c>
      <c r="AC1066" s="217">
        <v>2.9445489999999999</v>
      </c>
      <c r="AD1066" s="212">
        <f t="shared" si="16"/>
        <v>69160.921199999997</v>
      </c>
    </row>
    <row r="1067" spans="2:30" x14ac:dyDescent="0.15">
      <c r="B1067" s="213">
        <v>17031002607</v>
      </c>
      <c r="C1067" s="213">
        <v>17031004685</v>
      </c>
      <c r="D1067" s="213">
        <v>17031004686</v>
      </c>
      <c r="E1067" s="213" t="s">
        <v>533</v>
      </c>
      <c r="F1067" s="213" t="s">
        <v>534</v>
      </c>
      <c r="G1067" s="213" t="s">
        <v>365</v>
      </c>
      <c r="H1067" s="213" t="s">
        <v>547</v>
      </c>
      <c r="I1067" s="213"/>
      <c r="J1067" s="213" t="s">
        <v>543</v>
      </c>
      <c r="K1067" s="213"/>
      <c r="L1067" s="213"/>
      <c r="M1067" s="213"/>
      <c r="N1067" s="213"/>
      <c r="O1067" s="213"/>
      <c r="P1067" s="213"/>
      <c r="Q1067" s="213"/>
      <c r="R1067" s="213"/>
      <c r="S1067" s="213" t="s">
        <v>602</v>
      </c>
      <c r="T1067" s="213"/>
      <c r="U1067" s="213" t="s">
        <v>538</v>
      </c>
      <c r="V1067" s="213">
        <v>2</v>
      </c>
      <c r="W1067" s="213" t="s">
        <v>582</v>
      </c>
      <c r="X1067" s="213" t="s">
        <v>540</v>
      </c>
      <c r="Y1067" s="213" t="s">
        <v>541</v>
      </c>
      <c r="Z1067" s="212">
        <v>520</v>
      </c>
      <c r="AA1067" s="212">
        <v>37800</v>
      </c>
      <c r="AB1067" s="217">
        <v>1.1179749999999999</v>
      </c>
      <c r="AC1067" s="217">
        <v>1.7992109999999999</v>
      </c>
      <c r="AD1067" s="212">
        <f t="shared" si="16"/>
        <v>42259.454999999994</v>
      </c>
    </row>
    <row r="1068" spans="2:30" x14ac:dyDescent="0.15">
      <c r="B1068" s="213">
        <v>17031002683</v>
      </c>
      <c r="C1068" s="213">
        <v>17031001224</v>
      </c>
      <c r="D1068" s="213">
        <v>17999022248</v>
      </c>
      <c r="E1068" s="213" t="s">
        <v>533</v>
      </c>
      <c r="F1068" s="213" t="s">
        <v>534</v>
      </c>
      <c r="G1068" s="213" t="s">
        <v>365</v>
      </c>
      <c r="H1068" s="213" t="s">
        <v>381</v>
      </c>
      <c r="I1068" s="213"/>
      <c r="J1068" s="213" t="s">
        <v>382</v>
      </c>
      <c r="K1068" s="213"/>
      <c r="L1068" s="213"/>
      <c r="M1068" s="213"/>
      <c r="N1068" s="213"/>
      <c r="O1068" s="213"/>
      <c r="P1068" s="213"/>
      <c r="Q1068" s="213"/>
      <c r="R1068" s="213"/>
      <c r="S1068" s="213" t="s">
        <v>647</v>
      </c>
      <c r="T1068" s="213"/>
      <c r="U1068" s="213" t="s">
        <v>538</v>
      </c>
      <c r="V1068" s="213">
        <v>2</v>
      </c>
      <c r="W1068" s="213" t="s">
        <v>545</v>
      </c>
      <c r="X1068" s="213" t="s">
        <v>549</v>
      </c>
      <c r="Y1068" s="213" t="s">
        <v>580</v>
      </c>
      <c r="Z1068" s="212">
        <v>1672273</v>
      </c>
      <c r="AA1068" s="212">
        <v>44165151</v>
      </c>
      <c r="AB1068" s="217">
        <v>0.84669000000000005</v>
      </c>
      <c r="AC1068" s="217">
        <v>1.3626180000000001</v>
      </c>
      <c r="AD1068" s="212">
        <f t="shared" si="16"/>
        <v>37394191.70019</v>
      </c>
    </row>
    <row r="1069" spans="2:30" x14ac:dyDescent="0.15">
      <c r="B1069" s="213">
        <v>17031002779</v>
      </c>
      <c r="C1069" s="213">
        <v>17031001218</v>
      </c>
      <c r="D1069" s="213">
        <v>17031001161</v>
      </c>
      <c r="E1069" s="213" t="s">
        <v>533</v>
      </c>
      <c r="F1069" s="213" t="s">
        <v>534</v>
      </c>
      <c r="G1069" s="213" t="s">
        <v>365</v>
      </c>
      <c r="H1069" s="213" t="s">
        <v>543</v>
      </c>
      <c r="I1069" s="213"/>
      <c r="J1069" s="213" t="s">
        <v>577</v>
      </c>
      <c r="K1069" s="213"/>
      <c r="L1069" s="213"/>
      <c r="M1069" s="213"/>
      <c r="N1069" s="213"/>
      <c r="O1069" s="213"/>
      <c r="P1069" s="213"/>
      <c r="Q1069" s="213"/>
      <c r="R1069" s="213"/>
      <c r="S1069" s="213" t="s">
        <v>656</v>
      </c>
      <c r="T1069" s="213"/>
      <c r="U1069" s="213" t="s">
        <v>559</v>
      </c>
      <c r="V1069" s="213">
        <v>1</v>
      </c>
      <c r="W1069" s="213" t="s">
        <v>560</v>
      </c>
      <c r="X1069" s="213" t="s">
        <v>541</v>
      </c>
      <c r="Y1069" s="213" t="s">
        <v>541</v>
      </c>
      <c r="Z1069" s="212">
        <v>0</v>
      </c>
      <c r="AA1069" s="212">
        <v>0</v>
      </c>
      <c r="AB1069" s="217">
        <v>1.886153</v>
      </c>
      <c r="AC1069" s="217">
        <v>3.0354749999999999</v>
      </c>
      <c r="AD1069" s="212">
        <f t="shared" si="16"/>
        <v>0</v>
      </c>
    </row>
    <row r="1070" spans="2:30" x14ac:dyDescent="0.15">
      <c r="B1070" s="213">
        <v>17031002904</v>
      </c>
      <c r="C1070" s="213">
        <v>17031001105</v>
      </c>
      <c r="D1070" s="213">
        <v>17031001102</v>
      </c>
      <c r="E1070" s="213" t="s">
        <v>533</v>
      </c>
      <c r="F1070" s="213" t="s">
        <v>534</v>
      </c>
      <c r="G1070" s="213" t="s">
        <v>365</v>
      </c>
      <c r="H1070" s="213" t="s">
        <v>577</v>
      </c>
      <c r="I1070" s="213"/>
      <c r="J1070" s="213"/>
      <c r="K1070" s="213"/>
      <c r="L1070" s="213"/>
      <c r="M1070" s="213"/>
      <c r="N1070" s="213"/>
      <c r="O1070" s="213"/>
      <c r="P1070" s="213"/>
      <c r="Q1070" s="213"/>
      <c r="R1070" s="213"/>
      <c r="S1070" s="213"/>
      <c r="T1070" s="213"/>
      <c r="U1070" s="213" t="s">
        <v>538</v>
      </c>
      <c r="V1070" s="213">
        <v>1</v>
      </c>
      <c r="W1070" s="213" t="s">
        <v>560</v>
      </c>
      <c r="X1070" s="213" t="s">
        <v>541</v>
      </c>
      <c r="Y1070" s="213" t="s">
        <v>541</v>
      </c>
      <c r="Z1070" s="212">
        <v>40</v>
      </c>
      <c r="AA1070" s="212">
        <v>3440</v>
      </c>
      <c r="AB1070" s="217">
        <v>0.38063799999999998</v>
      </c>
      <c r="AC1070" s="217">
        <v>0.61257899999999998</v>
      </c>
      <c r="AD1070" s="212">
        <f t="shared" si="16"/>
        <v>1309.39472</v>
      </c>
    </row>
    <row r="1071" spans="2:30" x14ac:dyDescent="0.15">
      <c r="B1071" s="213">
        <v>17031002927</v>
      </c>
      <c r="C1071" s="213">
        <v>17031000634</v>
      </c>
      <c r="D1071" s="213">
        <v>17031000640</v>
      </c>
      <c r="E1071" s="213" t="s">
        <v>533</v>
      </c>
      <c r="F1071" s="213" t="s">
        <v>534</v>
      </c>
      <c r="G1071" s="213" t="s">
        <v>365</v>
      </c>
      <c r="H1071" s="213" t="s">
        <v>547</v>
      </c>
      <c r="I1071" s="213"/>
      <c r="J1071" s="213"/>
      <c r="K1071" s="213"/>
      <c r="L1071" s="213"/>
      <c r="M1071" s="213"/>
      <c r="N1071" s="213"/>
      <c r="O1071" s="213"/>
      <c r="P1071" s="213"/>
      <c r="Q1071" s="213"/>
      <c r="R1071" s="213"/>
      <c r="S1071" s="213" t="s">
        <v>581</v>
      </c>
      <c r="T1071" s="213"/>
      <c r="U1071" s="213" t="s">
        <v>538</v>
      </c>
      <c r="V1071" s="213">
        <v>3</v>
      </c>
      <c r="W1071" s="213" t="s">
        <v>582</v>
      </c>
      <c r="X1071" s="213" t="s">
        <v>554</v>
      </c>
      <c r="Y1071" s="213" t="s">
        <v>541</v>
      </c>
      <c r="Z1071" s="212">
        <v>0</v>
      </c>
      <c r="AA1071" s="212">
        <v>0</v>
      </c>
      <c r="AB1071" s="217">
        <v>0.57788399999999995</v>
      </c>
      <c r="AC1071" s="217">
        <v>0.93001599999999995</v>
      </c>
      <c r="AD1071" s="212">
        <f t="shared" si="16"/>
        <v>0</v>
      </c>
    </row>
    <row r="1072" spans="2:30" x14ac:dyDescent="0.15">
      <c r="B1072" s="213">
        <v>17031002928</v>
      </c>
      <c r="C1072" s="213">
        <v>17031000609</v>
      </c>
      <c r="D1072" s="213">
        <v>17031000634</v>
      </c>
      <c r="E1072" s="213" t="s">
        <v>533</v>
      </c>
      <c r="F1072" s="213" t="s">
        <v>534</v>
      </c>
      <c r="G1072" s="213" t="s">
        <v>365</v>
      </c>
      <c r="H1072" s="213" t="s">
        <v>547</v>
      </c>
      <c r="I1072" s="213"/>
      <c r="J1072" s="213"/>
      <c r="K1072" s="213"/>
      <c r="L1072" s="213"/>
      <c r="M1072" s="213"/>
      <c r="N1072" s="213"/>
      <c r="O1072" s="213"/>
      <c r="P1072" s="213"/>
      <c r="Q1072" s="213"/>
      <c r="R1072" s="213"/>
      <c r="S1072" s="213" t="s">
        <v>581</v>
      </c>
      <c r="T1072" s="213"/>
      <c r="U1072" s="213" t="s">
        <v>538</v>
      </c>
      <c r="V1072" s="213">
        <v>4</v>
      </c>
      <c r="W1072" s="213" t="s">
        <v>582</v>
      </c>
      <c r="X1072" s="213" t="s">
        <v>541</v>
      </c>
      <c r="Y1072" s="213" t="s">
        <v>541</v>
      </c>
      <c r="Z1072" s="212">
        <v>0</v>
      </c>
      <c r="AA1072" s="212">
        <v>0</v>
      </c>
      <c r="AB1072" s="217">
        <v>0.250998</v>
      </c>
      <c r="AC1072" s="217">
        <v>0.40394200000000002</v>
      </c>
      <c r="AD1072" s="212">
        <f t="shared" si="16"/>
        <v>0</v>
      </c>
    </row>
    <row r="1073" spans="2:30" x14ac:dyDescent="0.15">
      <c r="B1073" s="213">
        <v>17031002999</v>
      </c>
      <c r="C1073" s="213">
        <v>17031001299</v>
      </c>
      <c r="D1073" s="213">
        <v>17031001117</v>
      </c>
      <c r="E1073" s="213" t="s">
        <v>533</v>
      </c>
      <c r="F1073" s="213" t="s">
        <v>534</v>
      </c>
      <c r="G1073" s="213" t="s">
        <v>365</v>
      </c>
      <c r="H1073" s="213" t="s">
        <v>551</v>
      </c>
      <c r="I1073" s="213" t="s">
        <v>535</v>
      </c>
      <c r="J1073" s="213"/>
      <c r="K1073" s="213"/>
      <c r="L1073" s="213"/>
      <c r="M1073" s="213"/>
      <c r="N1073" s="213"/>
      <c r="O1073" s="213"/>
      <c r="P1073" s="213"/>
      <c r="Q1073" s="213"/>
      <c r="R1073" s="213"/>
      <c r="S1073" s="213" t="s">
        <v>553</v>
      </c>
      <c r="T1073" s="213"/>
      <c r="U1073" s="213" t="s">
        <v>538</v>
      </c>
      <c r="V1073" s="213">
        <v>2</v>
      </c>
      <c r="W1073" s="213" t="s">
        <v>582</v>
      </c>
      <c r="X1073" s="213" t="s">
        <v>540</v>
      </c>
      <c r="Y1073" s="213" t="s">
        <v>540</v>
      </c>
      <c r="Z1073" s="212">
        <v>0</v>
      </c>
      <c r="AA1073" s="212">
        <v>0</v>
      </c>
      <c r="AB1073" s="217">
        <v>5.0569670000000002</v>
      </c>
      <c r="AC1073" s="217">
        <v>8.1384159999999994</v>
      </c>
      <c r="AD1073" s="212">
        <f t="shared" si="16"/>
        <v>0</v>
      </c>
    </row>
    <row r="1074" spans="2:30" x14ac:dyDescent="0.15">
      <c r="B1074" s="213">
        <v>17031003004</v>
      </c>
      <c r="C1074" s="213">
        <v>17031000909</v>
      </c>
      <c r="D1074" s="213">
        <v>17031000932</v>
      </c>
      <c r="E1074" s="213" t="s">
        <v>533</v>
      </c>
      <c r="F1074" s="213" t="s">
        <v>534</v>
      </c>
      <c r="G1074" s="213" t="s">
        <v>365</v>
      </c>
      <c r="H1074" s="213" t="s">
        <v>557</v>
      </c>
      <c r="I1074" s="213"/>
      <c r="J1074" s="213"/>
      <c r="K1074" s="213"/>
      <c r="L1074" s="213"/>
      <c r="M1074" s="213"/>
      <c r="N1074" s="213"/>
      <c r="O1074" s="213"/>
      <c r="P1074" s="213"/>
      <c r="Q1074" s="213"/>
      <c r="R1074" s="213"/>
      <c r="S1074" s="213" t="s">
        <v>666</v>
      </c>
      <c r="T1074" s="213"/>
      <c r="U1074" s="213" t="s">
        <v>559</v>
      </c>
      <c r="V1074" s="213">
        <v>1</v>
      </c>
      <c r="W1074" s="213" t="s">
        <v>560</v>
      </c>
      <c r="X1074" s="213" t="s">
        <v>541</v>
      </c>
      <c r="Y1074" s="213" t="s">
        <v>541</v>
      </c>
      <c r="Z1074" s="212">
        <v>0</v>
      </c>
      <c r="AA1074" s="212">
        <v>0</v>
      </c>
      <c r="AB1074" s="217">
        <v>0.59883299999999995</v>
      </c>
      <c r="AC1074" s="217">
        <v>0.963731</v>
      </c>
      <c r="AD1074" s="212">
        <f t="shared" si="16"/>
        <v>0</v>
      </c>
    </row>
    <row r="1075" spans="2:30" x14ac:dyDescent="0.15">
      <c r="B1075" s="213">
        <v>17031003007</v>
      </c>
      <c r="C1075" s="213">
        <v>17031000859</v>
      </c>
      <c r="D1075" s="213">
        <v>17031000884</v>
      </c>
      <c r="E1075" s="213" t="s">
        <v>533</v>
      </c>
      <c r="F1075" s="213" t="s">
        <v>534</v>
      </c>
      <c r="G1075" s="213" t="s">
        <v>365</v>
      </c>
      <c r="H1075" s="213" t="s">
        <v>551</v>
      </c>
      <c r="I1075" s="213" t="s">
        <v>535</v>
      </c>
      <c r="J1075" s="213"/>
      <c r="K1075" s="213"/>
      <c r="L1075" s="213"/>
      <c r="M1075" s="213"/>
      <c r="N1075" s="213"/>
      <c r="O1075" s="213"/>
      <c r="P1075" s="213"/>
      <c r="Q1075" s="213"/>
      <c r="R1075" s="213"/>
      <c r="S1075" s="213" t="s">
        <v>553</v>
      </c>
      <c r="T1075" s="213" t="s">
        <v>553</v>
      </c>
      <c r="U1075" s="213" t="s">
        <v>538</v>
      </c>
      <c r="V1075" s="213">
        <v>1</v>
      </c>
      <c r="W1075" s="213" t="s">
        <v>539</v>
      </c>
      <c r="X1075" s="213" t="s">
        <v>554</v>
      </c>
      <c r="Y1075" s="213" t="s">
        <v>541</v>
      </c>
      <c r="Z1075" s="212">
        <v>0</v>
      </c>
      <c r="AA1075" s="212">
        <v>0</v>
      </c>
      <c r="AB1075" s="217">
        <v>0.50601099999999999</v>
      </c>
      <c r="AC1075" s="217">
        <v>0.81434799999999996</v>
      </c>
      <c r="AD1075" s="212">
        <f t="shared" si="16"/>
        <v>0</v>
      </c>
    </row>
    <row r="1076" spans="2:30" x14ac:dyDescent="0.15">
      <c r="B1076" s="213">
        <v>17031003024</v>
      </c>
      <c r="C1076" s="213">
        <v>17031000556</v>
      </c>
      <c r="D1076" s="213">
        <v>17031000554</v>
      </c>
      <c r="E1076" s="213" t="s">
        <v>533</v>
      </c>
      <c r="F1076" s="213" t="s">
        <v>534</v>
      </c>
      <c r="G1076" s="213" t="s">
        <v>365</v>
      </c>
      <c r="H1076" s="213" t="s">
        <v>382</v>
      </c>
      <c r="I1076" s="213"/>
      <c r="J1076" s="213" t="s">
        <v>547</v>
      </c>
      <c r="K1076" s="213"/>
      <c r="L1076" s="213"/>
      <c r="M1076" s="213"/>
      <c r="N1076" s="213"/>
      <c r="O1076" s="213"/>
      <c r="P1076" s="213"/>
      <c r="Q1076" s="213"/>
      <c r="R1076" s="213"/>
      <c r="S1076" s="213" t="s">
        <v>583</v>
      </c>
      <c r="T1076" s="213"/>
      <c r="U1076" s="213" t="s">
        <v>538</v>
      </c>
      <c r="V1076" s="213">
        <v>4</v>
      </c>
      <c r="W1076" s="213" t="s">
        <v>545</v>
      </c>
      <c r="X1076" s="213" t="s">
        <v>554</v>
      </c>
      <c r="Y1076" s="213" t="s">
        <v>541</v>
      </c>
      <c r="Z1076" s="212">
        <v>0</v>
      </c>
      <c r="AA1076" s="212">
        <v>0</v>
      </c>
      <c r="AB1076" s="217">
        <v>0.16600400000000001</v>
      </c>
      <c r="AC1076" s="217">
        <v>0.26715800000000001</v>
      </c>
      <c r="AD1076" s="212">
        <f t="shared" si="16"/>
        <v>0</v>
      </c>
    </row>
    <row r="1077" spans="2:30" x14ac:dyDescent="0.15">
      <c r="B1077" s="213">
        <v>17031003115</v>
      </c>
      <c r="C1077" s="213">
        <v>17031001166</v>
      </c>
      <c r="D1077" s="213">
        <v>17031001100</v>
      </c>
      <c r="E1077" s="213" t="s">
        <v>533</v>
      </c>
      <c r="F1077" s="213" t="s">
        <v>534</v>
      </c>
      <c r="G1077" s="213" t="s">
        <v>365</v>
      </c>
      <c r="H1077" s="213" t="s">
        <v>535</v>
      </c>
      <c r="I1077" s="213"/>
      <c r="J1077" s="213"/>
      <c r="K1077" s="213"/>
      <c r="L1077" s="213"/>
      <c r="M1077" s="213"/>
      <c r="N1077" s="213"/>
      <c r="O1077" s="213"/>
      <c r="P1077" s="213"/>
      <c r="Q1077" s="213"/>
      <c r="R1077" s="213"/>
      <c r="S1077" s="213" t="s">
        <v>597</v>
      </c>
      <c r="T1077" s="213"/>
      <c r="U1077" s="213" t="s">
        <v>538</v>
      </c>
      <c r="V1077" s="213">
        <v>1</v>
      </c>
      <c r="W1077" s="213" t="s">
        <v>539</v>
      </c>
      <c r="X1077" s="213" t="s">
        <v>554</v>
      </c>
      <c r="Y1077" s="213" t="s">
        <v>541</v>
      </c>
      <c r="Z1077" s="212">
        <v>240</v>
      </c>
      <c r="AA1077" s="212">
        <v>21560</v>
      </c>
      <c r="AB1077" s="217">
        <v>1.2001109999999999</v>
      </c>
      <c r="AC1077" s="217">
        <v>1.9313959999999999</v>
      </c>
      <c r="AD1077" s="212">
        <f t="shared" si="16"/>
        <v>25874.39316</v>
      </c>
    </row>
    <row r="1078" spans="2:30" x14ac:dyDescent="0.15">
      <c r="B1078" s="213">
        <v>17031003116</v>
      </c>
      <c r="C1078" s="213">
        <v>17031001131</v>
      </c>
      <c r="D1078" s="213">
        <v>99999022079</v>
      </c>
      <c r="E1078" s="213" t="s">
        <v>533</v>
      </c>
      <c r="F1078" s="213" t="s">
        <v>534</v>
      </c>
      <c r="G1078" s="213" t="s">
        <v>365</v>
      </c>
      <c r="H1078" s="213" t="s">
        <v>551</v>
      </c>
      <c r="I1078" s="213"/>
      <c r="J1078" s="213"/>
      <c r="K1078" s="213"/>
      <c r="L1078" s="213"/>
      <c r="M1078" s="213"/>
      <c r="N1078" s="213"/>
      <c r="O1078" s="213"/>
      <c r="P1078" s="213"/>
      <c r="Q1078" s="213"/>
      <c r="R1078" s="213"/>
      <c r="S1078" s="213" t="s">
        <v>642</v>
      </c>
      <c r="T1078" s="213"/>
      <c r="U1078" s="213" t="s">
        <v>538</v>
      </c>
      <c r="V1078" s="213">
        <v>1</v>
      </c>
      <c r="W1078" s="213" t="s">
        <v>560</v>
      </c>
      <c r="X1078" s="213" t="s">
        <v>554</v>
      </c>
      <c r="Y1078" s="213" t="s">
        <v>541</v>
      </c>
      <c r="Z1078" s="212">
        <v>0</v>
      </c>
      <c r="AA1078" s="212">
        <v>0</v>
      </c>
      <c r="AB1078" s="217">
        <v>0.68635800000000002</v>
      </c>
      <c r="AC1078" s="217">
        <v>1.1045879999999999</v>
      </c>
      <c r="AD1078" s="212">
        <f t="shared" si="16"/>
        <v>0</v>
      </c>
    </row>
    <row r="1079" spans="2:30" x14ac:dyDescent="0.15">
      <c r="B1079" s="213">
        <v>17031003211</v>
      </c>
      <c r="C1079" s="213">
        <v>17031000355</v>
      </c>
      <c r="D1079" s="213">
        <v>17031000328</v>
      </c>
      <c r="E1079" s="213" t="s">
        <v>533</v>
      </c>
      <c r="F1079" s="213" t="s">
        <v>534</v>
      </c>
      <c r="G1079" s="213" t="s">
        <v>365</v>
      </c>
      <c r="H1079" s="213" t="s">
        <v>552</v>
      </c>
      <c r="I1079" s="213"/>
      <c r="J1079" s="213"/>
      <c r="K1079" s="213"/>
      <c r="L1079" s="213"/>
      <c r="M1079" s="213"/>
      <c r="N1079" s="213"/>
      <c r="O1079" s="213"/>
      <c r="P1079" s="213"/>
      <c r="Q1079" s="213"/>
      <c r="R1079" s="213"/>
      <c r="S1079" s="213"/>
      <c r="T1079" s="213"/>
      <c r="U1079" s="213" t="s">
        <v>559</v>
      </c>
      <c r="V1079" s="213">
        <v>1</v>
      </c>
      <c r="W1079" s="213" t="s">
        <v>560</v>
      </c>
      <c r="X1079" s="213" t="s">
        <v>541</v>
      </c>
      <c r="Y1079" s="213" t="s">
        <v>541</v>
      </c>
      <c r="Z1079" s="212">
        <v>0</v>
      </c>
      <c r="AA1079" s="212">
        <v>0</v>
      </c>
      <c r="AB1079" s="217">
        <v>0.67341799999999996</v>
      </c>
      <c r="AC1079" s="217">
        <v>1.0837639999999999</v>
      </c>
      <c r="AD1079" s="212">
        <f t="shared" si="16"/>
        <v>0</v>
      </c>
    </row>
    <row r="1080" spans="2:30" x14ac:dyDescent="0.15">
      <c r="B1080" s="213">
        <v>17031003212</v>
      </c>
      <c r="C1080" s="213">
        <v>17031000353</v>
      </c>
      <c r="D1080" s="213">
        <v>17031000355</v>
      </c>
      <c r="E1080" s="213" t="s">
        <v>533</v>
      </c>
      <c r="F1080" s="213" t="s">
        <v>534</v>
      </c>
      <c r="G1080" s="213" t="s">
        <v>365</v>
      </c>
      <c r="H1080" s="213" t="s">
        <v>552</v>
      </c>
      <c r="I1080" s="213"/>
      <c r="J1080" s="213"/>
      <c r="K1080" s="213"/>
      <c r="L1080" s="213"/>
      <c r="M1080" s="213"/>
      <c r="N1080" s="213"/>
      <c r="O1080" s="213"/>
      <c r="P1080" s="213"/>
      <c r="Q1080" s="213"/>
      <c r="R1080" s="213"/>
      <c r="S1080" s="213"/>
      <c r="T1080" s="213"/>
      <c r="U1080" s="213" t="s">
        <v>559</v>
      </c>
      <c r="V1080" s="213">
        <v>1</v>
      </c>
      <c r="W1080" s="213" t="s">
        <v>560</v>
      </c>
      <c r="X1080" s="213" t="s">
        <v>541</v>
      </c>
      <c r="Y1080" s="213" t="s">
        <v>541</v>
      </c>
      <c r="Z1080" s="212">
        <v>0</v>
      </c>
      <c r="AA1080" s="212">
        <v>0</v>
      </c>
      <c r="AB1080" s="217">
        <v>0.752197</v>
      </c>
      <c r="AC1080" s="217">
        <v>1.210547</v>
      </c>
      <c r="AD1080" s="212">
        <f t="shared" si="16"/>
        <v>0</v>
      </c>
    </row>
    <row r="1081" spans="2:30" x14ac:dyDescent="0.15">
      <c r="B1081" s="213">
        <v>17031003224</v>
      </c>
      <c r="C1081" s="213">
        <v>17031000934</v>
      </c>
      <c r="D1081" s="213">
        <v>17031000882</v>
      </c>
      <c r="E1081" s="213" t="s">
        <v>533</v>
      </c>
      <c r="F1081" s="213" t="s">
        <v>534</v>
      </c>
      <c r="G1081" s="213" t="s">
        <v>365</v>
      </c>
      <c r="H1081" s="213" t="s">
        <v>535</v>
      </c>
      <c r="I1081" s="213"/>
      <c r="J1081" s="213" t="s">
        <v>542</v>
      </c>
      <c r="K1081" s="213" t="s">
        <v>572</v>
      </c>
      <c r="L1081" s="213" t="s">
        <v>547</v>
      </c>
      <c r="M1081" s="213" t="s">
        <v>382</v>
      </c>
      <c r="N1081" s="213" t="s">
        <v>552</v>
      </c>
      <c r="O1081" s="213" t="s">
        <v>381</v>
      </c>
      <c r="P1081" s="213"/>
      <c r="Q1081" s="213"/>
      <c r="R1081" s="213"/>
      <c r="S1081" s="213" t="s">
        <v>601</v>
      </c>
      <c r="T1081" s="213"/>
      <c r="U1081" s="213" t="s">
        <v>538</v>
      </c>
      <c r="V1081" s="213">
        <v>2</v>
      </c>
      <c r="W1081" s="213" t="s">
        <v>545</v>
      </c>
      <c r="X1081" s="213" t="s">
        <v>549</v>
      </c>
      <c r="Y1081" s="213" t="s">
        <v>540</v>
      </c>
      <c r="Z1081" s="212">
        <v>3016</v>
      </c>
      <c r="AA1081" s="212">
        <v>276444</v>
      </c>
      <c r="AB1081" s="217">
        <v>1.0298499999999999</v>
      </c>
      <c r="AC1081" s="217">
        <v>1.6573869999999999</v>
      </c>
      <c r="AD1081" s="212">
        <f t="shared" si="16"/>
        <v>284695.85339999996</v>
      </c>
    </row>
    <row r="1082" spans="2:30" x14ac:dyDescent="0.15">
      <c r="B1082" s="213">
        <v>17031003227</v>
      </c>
      <c r="C1082" s="213">
        <v>17031004583</v>
      </c>
      <c r="D1082" s="213">
        <v>17031004582</v>
      </c>
      <c r="E1082" s="213" t="s">
        <v>533</v>
      </c>
      <c r="F1082" s="213" t="s">
        <v>534</v>
      </c>
      <c r="G1082" s="213" t="s">
        <v>365</v>
      </c>
      <c r="H1082" s="213" t="s">
        <v>382</v>
      </c>
      <c r="I1082" s="213"/>
      <c r="J1082" s="213" t="s">
        <v>547</v>
      </c>
      <c r="K1082" s="213"/>
      <c r="L1082" s="213"/>
      <c r="M1082" s="213"/>
      <c r="N1082" s="213"/>
      <c r="O1082" s="213"/>
      <c r="P1082" s="213"/>
      <c r="Q1082" s="213"/>
      <c r="R1082" s="213"/>
      <c r="S1082" s="213" t="s">
        <v>565</v>
      </c>
      <c r="T1082" s="213"/>
      <c r="U1082" s="213" t="s">
        <v>538</v>
      </c>
      <c r="V1082" s="213">
        <v>2</v>
      </c>
      <c r="W1082" s="213" t="s">
        <v>566</v>
      </c>
      <c r="X1082" s="213" t="s">
        <v>549</v>
      </c>
      <c r="Y1082" s="213" t="s">
        <v>541</v>
      </c>
      <c r="Z1082" s="212">
        <v>0</v>
      </c>
      <c r="AA1082" s="212">
        <v>0</v>
      </c>
      <c r="AB1082" s="217">
        <v>1.6621999999999999</v>
      </c>
      <c r="AC1082" s="217">
        <v>2.6750569999999998</v>
      </c>
      <c r="AD1082" s="212">
        <f t="shared" si="16"/>
        <v>0</v>
      </c>
    </row>
    <row r="1083" spans="2:30" x14ac:dyDescent="0.15">
      <c r="B1083" s="213">
        <v>17031003235</v>
      </c>
      <c r="C1083" s="213">
        <v>17031000665</v>
      </c>
      <c r="D1083" s="213">
        <v>17031000679</v>
      </c>
      <c r="E1083" s="213" t="s">
        <v>533</v>
      </c>
      <c r="F1083" s="213" t="s">
        <v>534</v>
      </c>
      <c r="G1083" s="213" t="s">
        <v>365</v>
      </c>
      <c r="H1083" s="213" t="s">
        <v>381</v>
      </c>
      <c r="I1083" s="213"/>
      <c r="J1083" s="213" t="s">
        <v>382</v>
      </c>
      <c r="K1083" s="213"/>
      <c r="L1083" s="213"/>
      <c r="M1083" s="213"/>
      <c r="N1083" s="213"/>
      <c r="O1083" s="213"/>
      <c r="P1083" s="213"/>
      <c r="Q1083" s="213"/>
      <c r="R1083" s="213"/>
      <c r="S1083" s="213" t="s">
        <v>579</v>
      </c>
      <c r="T1083" s="213"/>
      <c r="U1083" s="213" t="s">
        <v>538</v>
      </c>
      <c r="V1083" s="213">
        <v>2</v>
      </c>
      <c r="W1083" s="213" t="s">
        <v>545</v>
      </c>
      <c r="X1083" s="213" t="s">
        <v>541</v>
      </c>
      <c r="Y1083" s="213" t="s">
        <v>549</v>
      </c>
      <c r="Z1083" s="212">
        <v>75096</v>
      </c>
      <c r="AA1083" s="212">
        <v>2742040</v>
      </c>
      <c r="AB1083" s="217">
        <v>0.16564200000000001</v>
      </c>
      <c r="AC1083" s="217">
        <v>0.26657500000000001</v>
      </c>
      <c r="AD1083" s="212">
        <f t="shared" si="16"/>
        <v>454196.98968000006</v>
      </c>
    </row>
    <row r="1084" spans="2:30" x14ac:dyDescent="0.15">
      <c r="B1084" s="213">
        <v>17031003236</v>
      </c>
      <c r="C1084" s="213">
        <v>17031000578</v>
      </c>
      <c r="D1084" s="213">
        <v>17031004653</v>
      </c>
      <c r="E1084" s="213" t="s">
        <v>533</v>
      </c>
      <c r="F1084" s="213" t="s">
        <v>534</v>
      </c>
      <c r="G1084" s="213" t="s">
        <v>365</v>
      </c>
      <c r="H1084" s="213" t="s">
        <v>382</v>
      </c>
      <c r="I1084" s="213"/>
      <c r="J1084" s="213" t="s">
        <v>572</v>
      </c>
      <c r="K1084" s="213" t="s">
        <v>547</v>
      </c>
      <c r="L1084" s="213"/>
      <c r="M1084" s="213"/>
      <c r="N1084" s="213"/>
      <c r="O1084" s="213"/>
      <c r="P1084" s="213"/>
      <c r="Q1084" s="213"/>
      <c r="R1084" s="213"/>
      <c r="S1084" s="213" t="s">
        <v>583</v>
      </c>
      <c r="T1084" s="213"/>
      <c r="U1084" s="213" t="s">
        <v>538</v>
      </c>
      <c r="V1084" s="213">
        <v>3</v>
      </c>
      <c r="W1084" s="213" t="s">
        <v>545</v>
      </c>
      <c r="X1084" s="213" t="s">
        <v>549</v>
      </c>
      <c r="Y1084" s="213" t="s">
        <v>580</v>
      </c>
      <c r="Z1084" s="212">
        <v>999857</v>
      </c>
      <c r="AA1084" s="212">
        <v>33304864</v>
      </c>
      <c r="AB1084" s="217">
        <v>1.3149900000000001</v>
      </c>
      <c r="AC1084" s="217">
        <v>2.1162749999999999</v>
      </c>
      <c r="AD1084" s="212">
        <f t="shared" si="16"/>
        <v>43795563.111360006</v>
      </c>
    </row>
    <row r="1085" spans="2:30" x14ac:dyDescent="0.15">
      <c r="B1085" s="213">
        <v>17031003240</v>
      </c>
      <c r="C1085" s="213">
        <v>17031000733</v>
      </c>
      <c r="D1085" s="213">
        <v>17031000681</v>
      </c>
      <c r="E1085" s="213" t="s">
        <v>533</v>
      </c>
      <c r="F1085" s="213" t="s">
        <v>534</v>
      </c>
      <c r="G1085" s="213" t="s">
        <v>365</v>
      </c>
      <c r="H1085" s="213" t="s">
        <v>535</v>
      </c>
      <c r="I1085" s="213"/>
      <c r="J1085" s="213" t="s">
        <v>542</v>
      </c>
      <c r="K1085" s="213" t="s">
        <v>572</v>
      </c>
      <c r="L1085" s="213"/>
      <c r="M1085" s="213"/>
      <c r="N1085" s="213"/>
      <c r="O1085" s="213"/>
      <c r="P1085" s="213"/>
      <c r="Q1085" s="213"/>
      <c r="R1085" s="213"/>
      <c r="S1085" s="213" t="s">
        <v>544</v>
      </c>
      <c r="T1085" s="213"/>
      <c r="U1085" s="213" t="s">
        <v>538</v>
      </c>
      <c r="V1085" s="213">
        <v>2</v>
      </c>
      <c r="W1085" s="213" t="s">
        <v>545</v>
      </c>
      <c r="X1085" s="213" t="s">
        <v>554</v>
      </c>
      <c r="Y1085" s="213" t="s">
        <v>549</v>
      </c>
      <c r="Z1085" s="212">
        <v>13802</v>
      </c>
      <c r="AA1085" s="212">
        <v>1450100</v>
      </c>
      <c r="AB1085" s="217">
        <v>1.3835489999999999</v>
      </c>
      <c r="AC1085" s="217">
        <v>2.2266110000000001</v>
      </c>
      <c r="AD1085" s="212">
        <f t="shared" si="16"/>
        <v>2006284.4049</v>
      </c>
    </row>
    <row r="1086" spans="2:30" x14ac:dyDescent="0.15">
      <c r="B1086" s="213">
        <v>17031003248</v>
      </c>
      <c r="C1086" s="213">
        <v>17031004597</v>
      </c>
      <c r="D1086" s="213">
        <v>17031004596</v>
      </c>
      <c r="E1086" s="213" t="s">
        <v>533</v>
      </c>
      <c r="F1086" s="213" t="s">
        <v>534</v>
      </c>
      <c r="G1086" s="213" t="s">
        <v>365</v>
      </c>
      <c r="H1086" s="213" t="s">
        <v>382</v>
      </c>
      <c r="I1086" s="213"/>
      <c r="J1086" s="213" t="s">
        <v>535</v>
      </c>
      <c r="K1086" s="213" t="s">
        <v>547</v>
      </c>
      <c r="L1086" s="213"/>
      <c r="M1086" s="213"/>
      <c r="N1086" s="213"/>
      <c r="O1086" s="213"/>
      <c r="P1086" s="213"/>
      <c r="Q1086" s="213"/>
      <c r="R1086" s="213"/>
      <c r="S1086" s="213" t="s">
        <v>608</v>
      </c>
      <c r="T1086" s="213"/>
      <c r="U1086" s="213" t="s">
        <v>538</v>
      </c>
      <c r="V1086" s="213">
        <v>2</v>
      </c>
      <c r="W1086" s="213" t="s">
        <v>566</v>
      </c>
      <c r="X1086" s="213" t="s">
        <v>549</v>
      </c>
      <c r="Y1086" s="213" t="s">
        <v>549</v>
      </c>
      <c r="Z1086" s="212">
        <v>10751</v>
      </c>
      <c r="AA1086" s="212">
        <v>946568</v>
      </c>
      <c r="AB1086" s="217">
        <v>0.46620200000000001</v>
      </c>
      <c r="AC1086" s="217">
        <v>0.75028099999999998</v>
      </c>
      <c r="AD1086" s="212">
        <f t="shared" si="16"/>
        <v>441291.89473599999</v>
      </c>
    </row>
    <row r="1087" spans="2:30" x14ac:dyDescent="0.15">
      <c r="B1087" s="213">
        <v>17031003259</v>
      </c>
      <c r="C1087" s="213">
        <v>17031000999</v>
      </c>
      <c r="D1087" s="213">
        <v>17031001019</v>
      </c>
      <c r="E1087" s="213" t="s">
        <v>533</v>
      </c>
      <c r="F1087" s="213" t="s">
        <v>534</v>
      </c>
      <c r="G1087" s="213" t="s">
        <v>365</v>
      </c>
      <c r="H1087" s="213" t="s">
        <v>551</v>
      </c>
      <c r="I1087" s="213"/>
      <c r="J1087" s="213" t="s">
        <v>381</v>
      </c>
      <c r="K1087" s="213" t="s">
        <v>552</v>
      </c>
      <c r="L1087" s="213" t="s">
        <v>382</v>
      </c>
      <c r="M1087" s="213"/>
      <c r="N1087" s="213"/>
      <c r="O1087" s="213"/>
      <c r="P1087" s="213"/>
      <c r="Q1087" s="213"/>
      <c r="R1087" s="213"/>
      <c r="S1087" s="213" t="s">
        <v>600</v>
      </c>
      <c r="T1087" s="213"/>
      <c r="U1087" s="213" t="s">
        <v>538</v>
      </c>
      <c r="V1087" s="213">
        <v>1</v>
      </c>
      <c r="W1087" s="213" t="s">
        <v>560</v>
      </c>
      <c r="X1087" s="213" t="s">
        <v>541</v>
      </c>
      <c r="Y1087" s="213" t="s">
        <v>541</v>
      </c>
      <c r="Z1087" s="212">
        <v>0</v>
      </c>
      <c r="AA1087" s="212">
        <v>0</v>
      </c>
      <c r="AB1087" s="217">
        <v>0.45756200000000002</v>
      </c>
      <c r="AC1087" s="217">
        <v>0.73637699999999995</v>
      </c>
      <c r="AD1087" s="212">
        <f t="shared" si="16"/>
        <v>0</v>
      </c>
    </row>
    <row r="1088" spans="2:30" x14ac:dyDescent="0.15">
      <c r="B1088" s="213">
        <v>17031003266</v>
      </c>
      <c r="C1088" s="213">
        <v>17031001100</v>
      </c>
      <c r="D1088" s="213">
        <v>17031001080</v>
      </c>
      <c r="E1088" s="213" t="s">
        <v>533</v>
      </c>
      <c r="F1088" s="213" t="s">
        <v>534</v>
      </c>
      <c r="G1088" s="213" t="s">
        <v>365</v>
      </c>
      <c r="H1088" s="213" t="s">
        <v>535</v>
      </c>
      <c r="I1088" s="213"/>
      <c r="J1088" s="213"/>
      <c r="K1088" s="213"/>
      <c r="L1088" s="213"/>
      <c r="M1088" s="213"/>
      <c r="N1088" s="213"/>
      <c r="O1088" s="213"/>
      <c r="P1088" s="213"/>
      <c r="Q1088" s="213"/>
      <c r="R1088" s="213"/>
      <c r="S1088" s="213" t="s">
        <v>597</v>
      </c>
      <c r="T1088" s="213"/>
      <c r="U1088" s="213" t="s">
        <v>538</v>
      </c>
      <c r="V1088" s="213">
        <v>1</v>
      </c>
      <c r="W1088" s="213" t="s">
        <v>560</v>
      </c>
      <c r="X1088" s="213" t="s">
        <v>554</v>
      </c>
      <c r="Y1088" s="213" t="s">
        <v>541</v>
      </c>
      <c r="Z1088" s="212">
        <v>240</v>
      </c>
      <c r="AA1088" s="212">
        <v>21560</v>
      </c>
      <c r="AB1088" s="217">
        <v>0.16473599999999999</v>
      </c>
      <c r="AC1088" s="217">
        <v>0.26511699999999999</v>
      </c>
      <c r="AD1088" s="212">
        <f t="shared" si="16"/>
        <v>3551.7081599999997</v>
      </c>
    </row>
    <row r="1089" spans="2:30" x14ac:dyDescent="0.15">
      <c r="B1089" s="213">
        <v>17031003268</v>
      </c>
      <c r="C1089" s="213">
        <v>17031000653</v>
      </c>
      <c r="D1089" s="213">
        <v>17031000658</v>
      </c>
      <c r="E1089" s="213" t="s">
        <v>533</v>
      </c>
      <c r="F1089" s="213" t="s">
        <v>534</v>
      </c>
      <c r="G1089" s="213" t="s">
        <v>365</v>
      </c>
      <c r="H1089" s="213" t="s">
        <v>535</v>
      </c>
      <c r="I1089" s="213"/>
      <c r="J1089" s="213" t="s">
        <v>542</v>
      </c>
      <c r="K1089" s="213" t="s">
        <v>577</v>
      </c>
      <c r="L1089" s="213" t="s">
        <v>572</v>
      </c>
      <c r="M1089" s="213"/>
      <c r="N1089" s="213"/>
      <c r="O1089" s="213"/>
      <c r="P1089" s="213"/>
      <c r="Q1089" s="213"/>
      <c r="R1089" s="213"/>
      <c r="S1089" s="213"/>
      <c r="T1089" s="213"/>
      <c r="U1089" s="213" t="s">
        <v>538</v>
      </c>
      <c r="V1089" s="213">
        <v>2</v>
      </c>
      <c r="W1089" s="213" t="s">
        <v>539</v>
      </c>
      <c r="X1089" s="213" t="s">
        <v>541</v>
      </c>
      <c r="Y1089" s="213" t="s">
        <v>554</v>
      </c>
      <c r="Z1089" s="212">
        <v>13042</v>
      </c>
      <c r="AA1089" s="212">
        <v>1378180</v>
      </c>
      <c r="AB1089" s="217">
        <v>0.66009200000000001</v>
      </c>
      <c r="AC1089" s="217">
        <v>1.062317</v>
      </c>
      <c r="AD1089" s="212">
        <f t="shared" si="16"/>
        <v>909725.59256000002</v>
      </c>
    </row>
    <row r="1090" spans="2:30" x14ac:dyDescent="0.15">
      <c r="B1090" s="213">
        <v>17031003276</v>
      </c>
      <c r="C1090" s="213">
        <v>17031000900</v>
      </c>
      <c r="D1090" s="213">
        <v>17031000901</v>
      </c>
      <c r="E1090" s="213" t="s">
        <v>533</v>
      </c>
      <c r="F1090" s="213" t="s">
        <v>534</v>
      </c>
      <c r="G1090" s="213" t="s">
        <v>365</v>
      </c>
      <c r="H1090" s="213" t="s">
        <v>381</v>
      </c>
      <c r="I1090" s="213"/>
      <c r="J1090" s="213" t="s">
        <v>551</v>
      </c>
      <c r="K1090" s="213" t="s">
        <v>543</v>
      </c>
      <c r="L1090" s="213" t="s">
        <v>382</v>
      </c>
      <c r="M1090" s="213"/>
      <c r="N1090" s="213"/>
      <c r="O1090" s="213"/>
      <c r="P1090" s="213"/>
      <c r="Q1090" s="213"/>
      <c r="R1090" s="213"/>
      <c r="S1090" s="213"/>
      <c r="T1090" s="213"/>
      <c r="U1090" s="213" t="s">
        <v>538</v>
      </c>
      <c r="V1090" s="213">
        <v>2</v>
      </c>
      <c r="W1090" s="213" t="s">
        <v>545</v>
      </c>
      <c r="X1090" s="213" t="s">
        <v>541</v>
      </c>
      <c r="Y1090" s="213" t="s">
        <v>580</v>
      </c>
      <c r="Z1090" s="212">
        <v>484495</v>
      </c>
      <c r="AA1090" s="212">
        <v>24010730</v>
      </c>
      <c r="AB1090" s="217">
        <v>0.206762</v>
      </c>
      <c r="AC1090" s="217">
        <v>0.33275300000000002</v>
      </c>
      <c r="AD1090" s="212">
        <f t="shared" si="16"/>
        <v>4964506.55626</v>
      </c>
    </row>
    <row r="1091" spans="2:30" x14ac:dyDescent="0.15">
      <c r="B1091" s="213">
        <v>17031003282</v>
      </c>
      <c r="C1091" s="213">
        <v>17031004648</v>
      </c>
      <c r="D1091" s="213">
        <v>17031000505</v>
      </c>
      <c r="E1091" s="213" t="s">
        <v>533</v>
      </c>
      <c r="F1091" s="213" t="s">
        <v>534</v>
      </c>
      <c r="G1091" s="213" t="s">
        <v>365</v>
      </c>
      <c r="H1091" s="213" t="s">
        <v>382</v>
      </c>
      <c r="I1091" s="213"/>
      <c r="J1091" s="213"/>
      <c r="K1091" s="213"/>
      <c r="L1091" s="213"/>
      <c r="M1091" s="213"/>
      <c r="N1091" s="213"/>
      <c r="O1091" s="213"/>
      <c r="P1091" s="213"/>
      <c r="Q1091" s="213"/>
      <c r="R1091" s="213"/>
      <c r="S1091" s="213" t="s">
        <v>650</v>
      </c>
      <c r="T1091" s="213" t="s">
        <v>626</v>
      </c>
      <c r="U1091" s="213" t="s">
        <v>559</v>
      </c>
      <c r="V1091" s="213">
        <v>1</v>
      </c>
      <c r="W1091" s="213" t="s">
        <v>539</v>
      </c>
      <c r="X1091" s="213" t="s">
        <v>541</v>
      </c>
      <c r="Y1091" s="213" t="s">
        <v>541</v>
      </c>
      <c r="Z1091" s="212">
        <v>1180</v>
      </c>
      <c r="AA1091" s="212">
        <v>93600</v>
      </c>
      <c r="AB1091" s="217">
        <v>0.17352699999999999</v>
      </c>
      <c r="AC1091" s="217">
        <v>0.27926499999999999</v>
      </c>
      <c r="AD1091" s="212">
        <f t="shared" si="16"/>
        <v>16242.127199999999</v>
      </c>
    </row>
    <row r="1092" spans="2:30" x14ac:dyDescent="0.15">
      <c r="B1092" s="213">
        <v>17031003283</v>
      </c>
      <c r="C1092" s="213">
        <v>17031000433</v>
      </c>
      <c r="D1092" s="213">
        <v>17031000413</v>
      </c>
      <c r="E1092" s="213" t="s">
        <v>533</v>
      </c>
      <c r="F1092" s="213" t="s">
        <v>534</v>
      </c>
      <c r="G1092" s="213" t="s">
        <v>365</v>
      </c>
      <c r="H1092" s="213" t="s">
        <v>382</v>
      </c>
      <c r="I1092" s="213"/>
      <c r="J1092" s="213"/>
      <c r="K1092" s="213"/>
      <c r="L1092" s="213"/>
      <c r="M1092" s="213"/>
      <c r="N1092" s="213"/>
      <c r="O1092" s="213"/>
      <c r="P1092" s="213"/>
      <c r="Q1092" s="213"/>
      <c r="R1092" s="213"/>
      <c r="S1092" s="213" t="s">
        <v>586</v>
      </c>
      <c r="T1092" s="213"/>
      <c r="U1092" s="213" t="s">
        <v>538</v>
      </c>
      <c r="V1092" s="213">
        <v>2</v>
      </c>
      <c r="W1092" s="213" t="s">
        <v>582</v>
      </c>
      <c r="X1092" s="213" t="s">
        <v>549</v>
      </c>
      <c r="Y1092" s="213" t="s">
        <v>549</v>
      </c>
      <c r="Z1092" s="212">
        <v>86234</v>
      </c>
      <c r="AA1092" s="212">
        <v>9510170</v>
      </c>
      <c r="AB1092" s="217">
        <v>0.75330399999999997</v>
      </c>
      <c r="AC1092" s="217">
        <v>1.2123280000000001</v>
      </c>
      <c r="AD1092" s="212">
        <f t="shared" si="16"/>
        <v>7164049.1016799994</v>
      </c>
    </row>
    <row r="1093" spans="2:30" x14ac:dyDescent="0.15">
      <c r="B1093" s="213">
        <v>17031003296</v>
      </c>
      <c r="C1093" s="213">
        <v>17031000757</v>
      </c>
      <c r="D1093" s="213">
        <v>17031000756</v>
      </c>
      <c r="E1093" s="213" t="s">
        <v>533</v>
      </c>
      <c r="F1093" s="213" t="s">
        <v>534</v>
      </c>
      <c r="G1093" s="213" t="s">
        <v>365</v>
      </c>
      <c r="H1093" s="213" t="s">
        <v>535</v>
      </c>
      <c r="I1093" s="213"/>
      <c r="J1093" s="213"/>
      <c r="K1093" s="213"/>
      <c r="L1093" s="213"/>
      <c r="M1093" s="213"/>
      <c r="N1093" s="213"/>
      <c r="O1093" s="213"/>
      <c r="P1093" s="213"/>
      <c r="Q1093" s="213"/>
      <c r="R1093" s="213"/>
      <c r="S1093" s="213" t="s">
        <v>624</v>
      </c>
      <c r="T1093" s="213" t="s">
        <v>685</v>
      </c>
      <c r="U1093" s="213" t="s">
        <v>538</v>
      </c>
      <c r="V1093" s="213">
        <v>2</v>
      </c>
      <c r="W1093" s="213" t="s">
        <v>582</v>
      </c>
      <c r="X1093" s="213" t="s">
        <v>554</v>
      </c>
      <c r="Y1093" s="213" t="s">
        <v>554</v>
      </c>
      <c r="Z1093" s="212">
        <v>0</v>
      </c>
      <c r="AA1093" s="212">
        <v>0</v>
      </c>
      <c r="AB1093" s="217">
        <v>1.227757</v>
      </c>
      <c r="AC1093" s="217">
        <v>1.9758869999999999</v>
      </c>
      <c r="AD1093" s="212">
        <f t="shared" si="16"/>
        <v>0</v>
      </c>
    </row>
    <row r="1094" spans="2:30" x14ac:dyDescent="0.15">
      <c r="B1094" s="213">
        <v>17031003307</v>
      </c>
      <c r="C1094" s="213">
        <v>17031000771</v>
      </c>
      <c r="D1094" s="213">
        <v>17031000742</v>
      </c>
      <c r="E1094" s="213" t="s">
        <v>533</v>
      </c>
      <c r="F1094" s="213" t="s">
        <v>534</v>
      </c>
      <c r="G1094" s="213" t="s">
        <v>365</v>
      </c>
      <c r="H1094" s="213" t="s">
        <v>381</v>
      </c>
      <c r="I1094" s="213"/>
      <c r="J1094" s="213"/>
      <c r="K1094" s="213"/>
      <c r="L1094" s="213"/>
      <c r="M1094" s="213"/>
      <c r="N1094" s="213"/>
      <c r="O1094" s="213"/>
      <c r="P1094" s="213"/>
      <c r="Q1094" s="213"/>
      <c r="R1094" s="213"/>
      <c r="S1094" s="213" t="s">
        <v>647</v>
      </c>
      <c r="T1094" s="213"/>
      <c r="U1094" s="213" t="s">
        <v>538</v>
      </c>
      <c r="V1094" s="213">
        <v>2</v>
      </c>
      <c r="W1094" s="213" t="s">
        <v>545</v>
      </c>
      <c r="X1094" s="213" t="s">
        <v>541</v>
      </c>
      <c r="Y1094" s="213" t="s">
        <v>541</v>
      </c>
      <c r="Z1094" s="212">
        <v>0</v>
      </c>
      <c r="AA1094" s="212">
        <v>0</v>
      </c>
      <c r="AB1094" s="217">
        <v>1.2751129999999999</v>
      </c>
      <c r="AC1094" s="217">
        <v>2.0520990000000001</v>
      </c>
      <c r="AD1094" s="212">
        <f t="shared" ref="AD1094:AD1157" si="17">AA1094*AB1094</f>
        <v>0</v>
      </c>
    </row>
    <row r="1095" spans="2:30" x14ac:dyDescent="0.15">
      <c r="B1095" s="213">
        <v>17031003328</v>
      </c>
      <c r="C1095" s="213">
        <v>17031000395</v>
      </c>
      <c r="D1095" s="213">
        <v>17031004609</v>
      </c>
      <c r="E1095" s="213" t="s">
        <v>533</v>
      </c>
      <c r="F1095" s="213" t="s">
        <v>534</v>
      </c>
      <c r="G1095" s="213" t="s">
        <v>365</v>
      </c>
      <c r="H1095" s="213" t="s">
        <v>382</v>
      </c>
      <c r="I1095" s="213"/>
      <c r="J1095" s="213" t="s">
        <v>547</v>
      </c>
      <c r="K1095" s="213"/>
      <c r="L1095" s="213"/>
      <c r="M1095" s="213"/>
      <c r="N1095" s="213"/>
      <c r="O1095" s="213"/>
      <c r="P1095" s="213"/>
      <c r="Q1095" s="213"/>
      <c r="R1095" s="213"/>
      <c r="S1095" s="213" t="s">
        <v>608</v>
      </c>
      <c r="T1095" s="213"/>
      <c r="U1095" s="213" t="s">
        <v>538</v>
      </c>
      <c r="V1095" s="213">
        <v>3</v>
      </c>
      <c r="W1095" s="213" t="s">
        <v>545</v>
      </c>
      <c r="X1095" s="213" t="s">
        <v>549</v>
      </c>
      <c r="Y1095" s="213" t="s">
        <v>554</v>
      </c>
      <c r="Z1095" s="212">
        <v>0</v>
      </c>
      <c r="AA1095" s="212">
        <v>0</v>
      </c>
      <c r="AB1095" s="217">
        <v>1.0154000000000001</v>
      </c>
      <c r="AC1095" s="217">
        <v>1.6341319999999999</v>
      </c>
      <c r="AD1095" s="212">
        <f t="shared" si="17"/>
        <v>0</v>
      </c>
    </row>
    <row r="1096" spans="2:30" x14ac:dyDescent="0.15">
      <c r="B1096" s="213">
        <v>17031003333</v>
      </c>
      <c r="C1096" s="213">
        <v>17031000567</v>
      </c>
      <c r="D1096" s="213">
        <v>17031000574</v>
      </c>
      <c r="E1096" s="213" t="s">
        <v>533</v>
      </c>
      <c r="F1096" s="213" t="s">
        <v>534</v>
      </c>
      <c r="G1096" s="213" t="s">
        <v>365</v>
      </c>
      <c r="H1096" s="213" t="s">
        <v>552</v>
      </c>
      <c r="I1096" s="213"/>
      <c r="J1096" s="213" t="s">
        <v>542</v>
      </c>
      <c r="K1096" s="213" t="s">
        <v>547</v>
      </c>
      <c r="L1096" s="213"/>
      <c r="M1096" s="213"/>
      <c r="N1096" s="213"/>
      <c r="O1096" s="213"/>
      <c r="P1096" s="213"/>
      <c r="Q1096" s="213"/>
      <c r="R1096" s="213"/>
      <c r="S1096" s="213" t="s">
        <v>564</v>
      </c>
      <c r="T1096" s="213"/>
      <c r="U1096" s="213" t="s">
        <v>538</v>
      </c>
      <c r="V1096" s="213">
        <v>3</v>
      </c>
      <c r="W1096" s="213" t="s">
        <v>545</v>
      </c>
      <c r="X1096" s="213" t="s">
        <v>541</v>
      </c>
      <c r="Y1096" s="213" t="s">
        <v>541</v>
      </c>
      <c r="Z1096" s="212">
        <v>31044</v>
      </c>
      <c r="AA1096" s="212">
        <v>1434376</v>
      </c>
      <c r="AB1096" s="217">
        <v>1.786279</v>
      </c>
      <c r="AC1096" s="217">
        <v>2.874743</v>
      </c>
      <c r="AD1096" s="212">
        <f t="shared" si="17"/>
        <v>2562195.7269040002</v>
      </c>
    </row>
    <row r="1097" spans="2:30" x14ac:dyDescent="0.15">
      <c r="B1097" s="213">
        <v>17031003485</v>
      </c>
      <c r="C1097" s="213">
        <v>17031000559</v>
      </c>
      <c r="D1097" s="213">
        <v>17031000529</v>
      </c>
      <c r="E1097" s="213" t="s">
        <v>533</v>
      </c>
      <c r="F1097" s="213" t="s">
        <v>534</v>
      </c>
      <c r="G1097" s="213" t="s">
        <v>365</v>
      </c>
      <c r="H1097" s="213" t="s">
        <v>552</v>
      </c>
      <c r="I1097" s="213"/>
      <c r="J1097" s="213" t="s">
        <v>542</v>
      </c>
      <c r="K1097" s="213" t="s">
        <v>547</v>
      </c>
      <c r="L1097" s="213"/>
      <c r="M1097" s="213"/>
      <c r="N1097" s="213"/>
      <c r="O1097" s="213"/>
      <c r="P1097" s="213"/>
      <c r="Q1097" s="213"/>
      <c r="R1097" s="213"/>
      <c r="S1097" s="213" t="s">
        <v>564</v>
      </c>
      <c r="T1097" s="213" t="s">
        <v>640</v>
      </c>
      <c r="U1097" s="213" t="s">
        <v>538</v>
      </c>
      <c r="V1097" s="213">
        <v>3</v>
      </c>
      <c r="W1097" s="213" t="s">
        <v>545</v>
      </c>
      <c r="X1097" s="213" t="s">
        <v>540</v>
      </c>
      <c r="Y1097" s="213" t="s">
        <v>541</v>
      </c>
      <c r="Z1097" s="212">
        <v>31044</v>
      </c>
      <c r="AA1097" s="212">
        <v>1434376</v>
      </c>
      <c r="AB1097" s="217">
        <v>0.90408100000000002</v>
      </c>
      <c r="AC1097" s="217">
        <v>1.4549799999999999</v>
      </c>
      <c r="AD1097" s="212">
        <f t="shared" si="17"/>
        <v>1296792.088456</v>
      </c>
    </row>
    <row r="1098" spans="2:30" x14ac:dyDescent="0.15">
      <c r="B1098" s="213">
        <v>17031003486</v>
      </c>
      <c r="C1098" s="213">
        <v>17031007549</v>
      </c>
      <c r="D1098" s="213">
        <v>17031000343</v>
      </c>
      <c r="E1098" s="213" t="s">
        <v>533</v>
      </c>
      <c r="F1098" s="213" t="s">
        <v>534</v>
      </c>
      <c r="G1098" s="213" t="s">
        <v>365</v>
      </c>
      <c r="H1098" s="213" t="s">
        <v>535</v>
      </c>
      <c r="I1098" s="213"/>
      <c r="J1098" s="213" t="s">
        <v>536</v>
      </c>
      <c r="K1098" s="213" t="s">
        <v>382</v>
      </c>
      <c r="L1098" s="213"/>
      <c r="M1098" s="213"/>
      <c r="N1098" s="213"/>
      <c r="O1098" s="213"/>
      <c r="P1098" s="213"/>
      <c r="Q1098" s="213"/>
      <c r="R1098" s="213"/>
      <c r="S1098" s="213" t="s">
        <v>550</v>
      </c>
      <c r="T1098" s="213"/>
      <c r="U1098" s="213" t="s">
        <v>538</v>
      </c>
      <c r="V1098" s="213">
        <v>1</v>
      </c>
      <c r="W1098" s="213" t="s">
        <v>545</v>
      </c>
      <c r="X1098" s="213" t="s">
        <v>549</v>
      </c>
      <c r="Y1098" s="213" t="s">
        <v>540</v>
      </c>
      <c r="Z1098" s="212">
        <v>62203</v>
      </c>
      <c r="AA1098" s="212">
        <v>6445436</v>
      </c>
      <c r="AB1098" s="217">
        <v>0.52369399999999999</v>
      </c>
      <c r="AC1098" s="217">
        <v>0.84280500000000003</v>
      </c>
      <c r="AD1098" s="212">
        <f t="shared" si="17"/>
        <v>3375436.1605839999</v>
      </c>
    </row>
    <row r="1099" spans="2:30" x14ac:dyDescent="0.15">
      <c r="B1099" s="213">
        <v>17031003492</v>
      </c>
      <c r="C1099" s="213">
        <v>17031000529</v>
      </c>
      <c r="D1099" s="213">
        <v>17031004621</v>
      </c>
      <c r="E1099" s="213" t="s">
        <v>533</v>
      </c>
      <c r="F1099" s="213" t="s">
        <v>534</v>
      </c>
      <c r="G1099" s="213" t="s">
        <v>365</v>
      </c>
      <c r="H1099" s="213" t="s">
        <v>552</v>
      </c>
      <c r="I1099" s="213"/>
      <c r="J1099" s="213" t="s">
        <v>542</v>
      </c>
      <c r="K1099" s="213" t="s">
        <v>547</v>
      </c>
      <c r="L1099" s="213"/>
      <c r="M1099" s="213"/>
      <c r="N1099" s="213"/>
      <c r="O1099" s="213"/>
      <c r="P1099" s="213"/>
      <c r="Q1099" s="213"/>
      <c r="R1099" s="213"/>
      <c r="S1099" s="213" t="s">
        <v>564</v>
      </c>
      <c r="T1099" s="213"/>
      <c r="U1099" s="213" t="s">
        <v>538</v>
      </c>
      <c r="V1099" s="213">
        <v>3</v>
      </c>
      <c r="W1099" s="213" t="s">
        <v>545</v>
      </c>
      <c r="X1099" s="213" t="s">
        <v>540</v>
      </c>
      <c r="Y1099" s="213" t="s">
        <v>541</v>
      </c>
      <c r="Z1099" s="212">
        <v>31044</v>
      </c>
      <c r="AA1099" s="212">
        <v>1434376</v>
      </c>
      <c r="AB1099" s="217">
        <v>1.351256</v>
      </c>
      <c r="AC1099" s="217">
        <v>2.1746400000000001</v>
      </c>
      <c r="AD1099" s="212">
        <f t="shared" si="17"/>
        <v>1938209.1762560001</v>
      </c>
    </row>
    <row r="1100" spans="2:30" x14ac:dyDescent="0.15">
      <c r="B1100" s="213">
        <v>17031003493</v>
      </c>
      <c r="C1100" s="213">
        <v>17031000496</v>
      </c>
      <c r="D1100" s="213">
        <v>17031000485</v>
      </c>
      <c r="E1100" s="213" t="s">
        <v>533</v>
      </c>
      <c r="F1100" s="213" t="s">
        <v>534</v>
      </c>
      <c r="G1100" s="213" t="s">
        <v>365</v>
      </c>
      <c r="H1100" s="213" t="s">
        <v>552</v>
      </c>
      <c r="I1100" s="213"/>
      <c r="J1100" s="213" t="s">
        <v>542</v>
      </c>
      <c r="K1100" s="213" t="s">
        <v>547</v>
      </c>
      <c r="L1100" s="213"/>
      <c r="M1100" s="213"/>
      <c r="N1100" s="213"/>
      <c r="O1100" s="213"/>
      <c r="P1100" s="213"/>
      <c r="Q1100" s="213"/>
      <c r="R1100" s="213"/>
      <c r="S1100" s="213" t="s">
        <v>564</v>
      </c>
      <c r="T1100" s="213"/>
      <c r="U1100" s="213" t="s">
        <v>538</v>
      </c>
      <c r="V1100" s="213">
        <v>2</v>
      </c>
      <c r="W1100" s="213" t="s">
        <v>545</v>
      </c>
      <c r="X1100" s="213" t="s">
        <v>540</v>
      </c>
      <c r="Y1100" s="213" t="s">
        <v>541</v>
      </c>
      <c r="Z1100" s="212">
        <v>0</v>
      </c>
      <c r="AA1100" s="212">
        <v>0</v>
      </c>
      <c r="AB1100" s="217">
        <v>0.19530700000000001</v>
      </c>
      <c r="AC1100" s="217">
        <v>0.31431700000000001</v>
      </c>
      <c r="AD1100" s="212">
        <f t="shared" si="17"/>
        <v>0</v>
      </c>
    </row>
    <row r="1101" spans="2:30" x14ac:dyDescent="0.15">
      <c r="B1101" s="213">
        <v>17031003495</v>
      </c>
      <c r="C1101" s="213">
        <v>17031000936</v>
      </c>
      <c r="D1101" s="213">
        <v>17031000932</v>
      </c>
      <c r="E1101" s="213" t="s">
        <v>533</v>
      </c>
      <c r="F1101" s="213" t="s">
        <v>534</v>
      </c>
      <c r="G1101" s="213" t="s">
        <v>365</v>
      </c>
      <c r="H1101" s="213" t="s">
        <v>557</v>
      </c>
      <c r="I1101" s="213"/>
      <c r="J1101" s="213"/>
      <c r="K1101" s="213"/>
      <c r="L1101" s="213"/>
      <c r="M1101" s="213"/>
      <c r="N1101" s="213"/>
      <c r="O1101" s="213"/>
      <c r="P1101" s="213"/>
      <c r="Q1101" s="213"/>
      <c r="R1101" s="213"/>
      <c r="S1101" s="213" t="s">
        <v>666</v>
      </c>
      <c r="T1101" s="213"/>
      <c r="U1101" s="213" t="s">
        <v>559</v>
      </c>
      <c r="V1101" s="213">
        <v>1</v>
      </c>
      <c r="W1101" s="213" t="s">
        <v>560</v>
      </c>
      <c r="X1101" s="213" t="s">
        <v>541</v>
      </c>
      <c r="Y1101" s="213" t="s">
        <v>541</v>
      </c>
      <c r="Z1101" s="212">
        <v>0</v>
      </c>
      <c r="AA1101" s="212">
        <v>0</v>
      </c>
      <c r="AB1101" s="217">
        <v>0.108419</v>
      </c>
      <c r="AC1101" s="217">
        <v>0.174484</v>
      </c>
      <c r="AD1101" s="212">
        <f t="shared" si="17"/>
        <v>0</v>
      </c>
    </row>
    <row r="1102" spans="2:30" x14ac:dyDescent="0.15">
      <c r="B1102" s="213">
        <v>17031003501</v>
      </c>
      <c r="C1102" s="213">
        <v>17031000343</v>
      </c>
      <c r="D1102" s="213">
        <v>17031004594</v>
      </c>
      <c r="E1102" s="213" t="s">
        <v>533</v>
      </c>
      <c r="F1102" s="213" t="s">
        <v>534</v>
      </c>
      <c r="G1102" s="213" t="s">
        <v>365</v>
      </c>
      <c r="H1102" s="213" t="s">
        <v>535</v>
      </c>
      <c r="I1102" s="213"/>
      <c r="J1102" s="213" t="s">
        <v>552</v>
      </c>
      <c r="K1102" s="213" t="s">
        <v>536</v>
      </c>
      <c r="L1102" s="213" t="s">
        <v>382</v>
      </c>
      <c r="M1102" s="213"/>
      <c r="N1102" s="213"/>
      <c r="O1102" s="213"/>
      <c r="P1102" s="213"/>
      <c r="Q1102" s="213"/>
      <c r="R1102" s="213"/>
      <c r="S1102" s="213" t="s">
        <v>550</v>
      </c>
      <c r="T1102" s="213"/>
      <c r="U1102" s="213" t="s">
        <v>538</v>
      </c>
      <c r="V1102" s="213">
        <v>1</v>
      </c>
      <c r="W1102" s="213" t="s">
        <v>545</v>
      </c>
      <c r="X1102" s="213" t="s">
        <v>549</v>
      </c>
      <c r="Y1102" s="213" t="s">
        <v>540</v>
      </c>
      <c r="Z1102" s="212">
        <v>65063</v>
      </c>
      <c r="AA1102" s="212">
        <v>6699476</v>
      </c>
      <c r="AB1102" s="217">
        <v>0.1042</v>
      </c>
      <c r="AC1102" s="217">
        <v>0.16769400000000001</v>
      </c>
      <c r="AD1102" s="212">
        <f t="shared" si="17"/>
        <v>698085.39919999999</v>
      </c>
    </row>
    <row r="1103" spans="2:30" x14ac:dyDescent="0.15">
      <c r="B1103" s="213">
        <v>17031003504</v>
      </c>
      <c r="C1103" s="213">
        <v>17031000723</v>
      </c>
      <c r="D1103" s="213">
        <v>17031004655</v>
      </c>
      <c r="E1103" s="213" t="s">
        <v>533</v>
      </c>
      <c r="F1103" s="213" t="s">
        <v>534</v>
      </c>
      <c r="G1103" s="213" t="s">
        <v>365</v>
      </c>
      <c r="H1103" s="213" t="s">
        <v>535</v>
      </c>
      <c r="I1103" s="213"/>
      <c r="J1103" s="213"/>
      <c r="K1103" s="213"/>
      <c r="L1103" s="213"/>
      <c r="M1103" s="213"/>
      <c r="N1103" s="213"/>
      <c r="O1103" s="213"/>
      <c r="P1103" s="213"/>
      <c r="Q1103" s="213"/>
      <c r="R1103" s="213"/>
      <c r="S1103" s="213" t="s">
        <v>624</v>
      </c>
      <c r="T1103" s="213"/>
      <c r="U1103" s="213" t="s">
        <v>538</v>
      </c>
      <c r="V1103" s="213">
        <v>2</v>
      </c>
      <c r="W1103" s="213" t="s">
        <v>582</v>
      </c>
      <c r="X1103" s="213" t="s">
        <v>554</v>
      </c>
      <c r="Y1103" s="213" t="s">
        <v>554</v>
      </c>
      <c r="Z1103" s="212">
        <v>0</v>
      </c>
      <c r="AA1103" s="212">
        <v>0</v>
      </c>
      <c r="AB1103" s="217">
        <v>1.558503</v>
      </c>
      <c r="AC1103" s="217">
        <v>2.5081720000000001</v>
      </c>
      <c r="AD1103" s="212">
        <f t="shared" si="17"/>
        <v>0</v>
      </c>
    </row>
    <row r="1104" spans="2:30" x14ac:dyDescent="0.15">
      <c r="B1104" s="213">
        <v>17031003532</v>
      </c>
      <c r="C1104" s="213">
        <v>17031004629</v>
      </c>
      <c r="D1104" s="213">
        <v>17031004628</v>
      </c>
      <c r="E1104" s="213" t="s">
        <v>533</v>
      </c>
      <c r="F1104" s="213" t="s">
        <v>534</v>
      </c>
      <c r="G1104" s="213" t="s">
        <v>365</v>
      </c>
      <c r="H1104" s="213" t="s">
        <v>535</v>
      </c>
      <c r="I1104" s="213"/>
      <c r="J1104" s="213" t="s">
        <v>552</v>
      </c>
      <c r="K1104" s="213" t="s">
        <v>547</v>
      </c>
      <c r="L1104" s="213" t="s">
        <v>551</v>
      </c>
      <c r="M1104" s="213"/>
      <c r="N1104" s="213"/>
      <c r="O1104" s="213"/>
      <c r="P1104" s="213"/>
      <c r="Q1104" s="213"/>
      <c r="R1104" s="213"/>
      <c r="S1104" s="213" t="s">
        <v>548</v>
      </c>
      <c r="T1104" s="213" t="s">
        <v>671</v>
      </c>
      <c r="U1104" s="213" t="s">
        <v>538</v>
      </c>
      <c r="V1104" s="213">
        <v>2</v>
      </c>
      <c r="W1104" s="213" t="s">
        <v>545</v>
      </c>
      <c r="X1104" s="213" t="s">
        <v>554</v>
      </c>
      <c r="Y1104" s="213" t="s">
        <v>546</v>
      </c>
      <c r="Z1104" s="212">
        <v>456609</v>
      </c>
      <c r="AA1104" s="212">
        <v>23964799</v>
      </c>
      <c r="AB1104" s="217">
        <v>0.39371</v>
      </c>
      <c r="AC1104" s="217">
        <v>0.63361699999999999</v>
      </c>
      <c r="AD1104" s="212">
        <f t="shared" si="17"/>
        <v>9435181.0142899994</v>
      </c>
    </row>
    <row r="1105" spans="2:30" x14ac:dyDescent="0.15">
      <c r="B1105" s="213">
        <v>17031003536</v>
      </c>
      <c r="C1105" s="213">
        <v>17031001489</v>
      </c>
      <c r="D1105" s="213">
        <v>17031001476</v>
      </c>
      <c r="E1105" s="213" t="s">
        <v>533</v>
      </c>
      <c r="F1105" s="213" t="s">
        <v>534</v>
      </c>
      <c r="G1105" s="213" t="s">
        <v>365</v>
      </c>
      <c r="H1105" s="213" t="s">
        <v>382</v>
      </c>
      <c r="I1105" s="213"/>
      <c r="J1105" s="213" t="s">
        <v>551</v>
      </c>
      <c r="K1105" s="213" t="s">
        <v>555</v>
      </c>
      <c r="L1105" s="213" t="s">
        <v>552</v>
      </c>
      <c r="M1105" s="213"/>
      <c r="N1105" s="213"/>
      <c r="O1105" s="213"/>
      <c r="P1105" s="213"/>
      <c r="Q1105" s="213"/>
      <c r="R1105" s="213"/>
      <c r="S1105" s="213" t="s">
        <v>556</v>
      </c>
      <c r="T1105" s="213"/>
      <c r="U1105" s="213" t="s">
        <v>538</v>
      </c>
      <c r="V1105" s="213">
        <v>2</v>
      </c>
      <c r="W1105" s="213" t="s">
        <v>545</v>
      </c>
      <c r="X1105" s="213" t="s">
        <v>540</v>
      </c>
      <c r="Y1105" s="213" t="s">
        <v>580</v>
      </c>
      <c r="Z1105" s="212">
        <v>693994</v>
      </c>
      <c r="AA1105" s="212">
        <v>29546664</v>
      </c>
      <c r="AB1105" s="217">
        <v>0.19497300000000001</v>
      </c>
      <c r="AC1105" s="217">
        <v>0.31378</v>
      </c>
      <c r="AD1105" s="212">
        <f t="shared" si="17"/>
        <v>5760801.7200720003</v>
      </c>
    </row>
    <row r="1106" spans="2:30" x14ac:dyDescent="0.15">
      <c r="B1106" s="213">
        <v>17031003559</v>
      </c>
      <c r="C1106" s="213">
        <v>17031001557</v>
      </c>
      <c r="D1106" s="213">
        <v>17031007625</v>
      </c>
      <c r="E1106" s="213" t="s">
        <v>533</v>
      </c>
      <c r="F1106" s="213" t="s">
        <v>534</v>
      </c>
      <c r="G1106" s="213" t="s">
        <v>365</v>
      </c>
      <c r="H1106" s="213" t="s">
        <v>543</v>
      </c>
      <c r="I1106" s="213"/>
      <c r="J1106" s="213"/>
      <c r="K1106" s="213"/>
      <c r="L1106" s="213"/>
      <c r="M1106" s="213"/>
      <c r="N1106" s="213"/>
      <c r="O1106" s="213"/>
      <c r="P1106" s="213"/>
      <c r="Q1106" s="213"/>
      <c r="R1106" s="213"/>
      <c r="S1106" s="213" t="s">
        <v>670</v>
      </c>
      <c r="T1106" s="213"/>
      <c r="U1106" s="213" t="s">
        <v>559</v>
      </c>
      <c r="V1106" s="213">
        <v>1</v>
      </c>
      <c r="W1106" s="213" t="s">
        <v>560</v>
      </c>
      <c r="X1106" s="213" t="s">
        <v>541</v>
      </c>
      <c r="Y1106" s="213" t="s">
        <v>541</v>
      </c>
      <c r="Z1106" s="212">
        <v>0</v>
      </c>
      <c r="AA1106" s="212">
        <v>0</v>
      </c>
      <c r="AB1106" s="217">
        <v>2.1988690000000002</v>
      </c>
      <c r="AC1106" s="217">
        <v>3.5387430000000002</v>
      </c>
      <c r="AD1106" s="212">
        <f t="shared" si="17"/>
        <v>0</v>
      </c>
    </row>
    <row r="1107" spans="2:30" x14ac:dyDescent="0.15">
      <c r="B1107" s="213">
        <v>17031003581</v>
      </c>
      <c r="C1107" s="213">
        <v>17031007797</v>
      </c>
      <c r="D1107" s="213">
        <v>17031000944</v>
      </c>
      <c r="E1107" s="213" t="s">
        <v>533</v>
      </c>
      <c r="F1107" s="213" t="s">
        <v>534</v>
      </c>
      <c r="G1107" s="213" t="s">
        <v>365</v>
      </c>
      <c r="H1107" s="213" t="s">
        <v>557</v>
      </c>
      <c r="I1107" s="213"/>
      <c r="J1107" s="213" t="s">
        <v>381</v>
      </c>
      <c r="K1107" s="213" t="s">
        <v>535</v>
      </c>
      <c r="L1107" s="213" t="s">
        <v>552</v>
      </c>
      <c r="M1107" s="213" t="s">
        <v>551</v>
      </c>
      <c r="N1107" s="213" t="s">
        <v>543</v>
      </c>
      <c r="O1107" s="213" t="s">
        <v>382</v>
      </c>
      <c r="P1107" s="213"/>
      <c r="Q1107" s="213"/>
      <c r="R1107" s="213"/>
      <c r="S1107" s="213" t="s">
        <v>570</v>
      </c>
      <c r="T1107" s="213"/>
      <c r="U1107" s="213" t="s">
        <v>538</v>
      </c>
      <c r="V1107" s="213">
        <v>2</v>
      </c>
      <c r="W1107" s="213" t="s">
        <v>545</v>
      </c>
      <c r="X1107" s="213" t="s">
        <v>540</v>
      </c>
      <c r="Y1107" s="213" t="s">
        <v>575</v>
      </c>
      <c r="Z1107" s="212">
        <v>738528</v>
      </c>
      <c r="AA1107" s="212">
        <v>49292225</v>
      </c>
      <c r="AB1107" s="217">
        <v>0.47727700000000001</v>
      </c>
      <c r="AC1107" s="217">
        <v>0.76810400000000001</v>
      </c>
      <c r="AD1107" s="212">
        <f t="shared" si="17"/>
        <v>23526045.271325</v>
      </c>
    </row>
    <row r="1108" spans="2:30" x14ac:dyDescent="0.15">
      <c r="B1108" s="213">
        <v>17031003585</v>
      </c>
      <c r="C1108" s="213">
        <v>17031000881</v>
      </c>
      <c r="D1108" s="213">
        <v>17031000885</v>
      </c>
      <c r="E1108" s="213" t="s">
        <v>533</v>
      </c>
      <c r="F1108" s="213" t="s">
        <v>534</v>
      </c>
      <c r="G1108" s="213" t="s">
        <v>365</v>
      </c>
      <c r="H1108" s="213" t="s">
        <v>557</v>
      </c>
      <c r="I1108" s="213"/>
      <c r="J1108" s="213" t="s">
        <v>381</v>
      </c>
      <c r="K1108" s="213" t="s">
        <v>382</v>
      </c>
      <c r="L1108" s="213"/>
      <c r="M1108" s="213"/>
      <c r="N1108" s="213"/>
      <c r="O1108" s="213"/>
      <c r="P1108" s="213"/>
      <c r="Q1108" s="213"/>
      <c r="R1108" s="213"/>
      <c r="S1108" s="213"/>
      <c r="T1108" s="213"/>
      <c r="U1108" s="213" t="s">
        <v>538</v>
      </c>
      <c r="V1108" s="213">
        <v>1</v>
      </c>
      <c r="W1108" s="213" t="s">
        <v>560</v>
      </c>
      <c r="X1108" s="213" t="s">
        <v>541</v>
      </c>
      <c r="Y1108" s="213" t="s">
        <v>541</v>
      </c>
      <c r="Z1108" s="212">
        <v>0</v>
      </c>
      <c r="AA1108" s="212">
        <v>0</v>
      </c>
      <c r="AB1108" s="217">
        <v>0.24657499999999999</v>
      </c>
      <c r="AC1108" s="217">
        <v>0.39682499999999998</v>
      </c>
      <c r="AD1108" s="212">
        <f t="shared" si="17"/>
        <v>0</v>
      </c>
    </row>
    <row r="1109" spans="2:30" x14ac:dyDescent="0.15">
      <c r="B1109" s="213">
        <v>17031003592</v>
      </c>
      <c r="C1109" s="213">
        <v>17031004749</v>
      </c>
      <c r="D1109" s="213">
        <v>17031001394</v>
      </c>
      <c r="E1109" s="213" t="s">
        <v>533</v>
      </c>
      <c r="F1109" s="213" t="s">
        <v>534</v>
      </c>
      <c r="G1109" s="213" t="s">
        <v>365</v>
      </c>
      <c r="H1109" s="213" t="s">
        <v>551</v>
      </c>
      <c r="I1109" s="213"/>
      <c r="J1109" s="213"/>
      <c r="K1109" s="213"/>
      <c r="L1109" s="213"/>
      <c r="M1109" s="213"/>
      <c r="N1109" s="213"/>
      <c r="O1109" s="213"/>
      <c r="P1109" s="213"/>
      <c r="Q1109" s="213"/>
      <c r="R1109" s="213"/>
      <c r="S1109" s="213" t="s">
        <v>686</v>
      </c>
      <c r="T1109" s="213"/>
      <c r="U1109" s="213" t="s">
        <v>559</v>
      </c>
      <c r="V1109" s="213">
        <v>1</v>
      </c>
      <c r="W1109" s="213" t="s">
        <v>560</v>
      </c>
      <c r="X1109" s="213" t="s">
        <v>541</v>
      </c>
      <c r="Y1109" s="213" t="s">
        <v>541</v>
      </c>
      <c r="Z1109" s="212">
        <v>0</v>
      </c>
      <c r="AA1109" s="212">
        <v>0</v>
      </c>
      <c r="AB1109" s="217">
        <v>0.543404</v>
      </c>
      <c r="AC1109" s="217">
        <v>0.87452600000000003</v>
      </c>
      <c r="AD1109" s="212">
        <f t="shared" si="17"/>
        <v>0</v>
      </c>
    </row>
    <row r="1110" spans="2:30" x14ac:dyDescent="0.15">
      <c r="B1110" s="213">
        <v>17031003607</v>
      </c>
      <c r="C1110" s="213">
        <v>17031000840</v>
      </c>
      <c r="D1110" s="213">
        <v>17031000859</v>
      </c>
      <c r="E1110" s="213" t="s">
        <v>533</v>
      </c>
      <c r="F1110" s="213" t="s">
        <v>534</v>
      </c>
      <c r="G1110" s="213" t="s">
        <v>365</v>
      </c>
      <c r="H1110" s="213" t="s">
        <v>551</v>
      </c>
      <c r="I1110" s="213" t="s">
        <v>535</v>
      </c>
      <c r="J1110" s="213"/>
      <c r="K1110" s="213"/>
      <c r="L1110" s="213"/>
      <c r="M1110" s="213"/>
      <c r="N1110" s="213"/>
      <c r="O1110" s="213"/>
      <c r="P1110" s="213"/>
      <c r="Q1110" s="213"/>
      <c r="R1110" s="213"/>
      <c r="S1110" s="213" t="s">
        <v>553</v>
      </c>
      <c r="T1110" s="213"/>
      <c r="U1110" s="213" t="s">
        <v>538</v>
      </c>
      <c r="V1110" s="213">
        <v>1</v>
      </c>
      <c r="W1110" s="213" t="s">
        <v>560</v>
      </c>
      <c r="X1110" s="213" t="s">
        <v>541</v>
      </c>
      <c r="Y1110" s="213" t="s">
        <v>541</v>
      </c>
      <c r="Z1110" s="212">
        <v>0</v>
      </c>
      <c r="AA1110" s="212">
        <v>0</v>
      </c>
      <c r="AB1110" s="217">
        <v>0.33674999999999999</v>
      </c>
      <c r="AC1110" s="217">
        <v>0.54194699999999996</v>
      </c>
      <c r="AD1110" s="212">
        <f t="shared" si="17"/>
        <v>0</v>
      </c>
    </row>
    <row r="1111" spans="2:30" x14ac:dyDescent="0.15">
      <c r="B1111" s="213">
        <v>17031003610</v>
      </c>
      <c r="C1111" s="213">
        <v>17031001013</v>
      </c>
      <c r="D1111" s="213">
        <v>17031006779</v>
      </c>
      <c r="E1111" s="213" t="s">
        <v>533</v>
      </c>
      <c r="F1111" s="213" t="s">
        <v>534</v>
      </c>
      <c r="G1111" s="213" t="s">
        <v>365</v>
      </c>
      <c r="H1111" s="213" t="s">
        <v>571</v>
      </c>
      <c r="I1111" s="213"/>
      <c r="J1111" s="213" t="s">
        <v>552</v>
      </c>
      <c r="K1111" s="213" t="s">
        <v>572</v>
      </c>
      <c r="L1111" s="213" t="s">
        <v>551</v>
      </c>
      <c r="M1111" s="213" t="s">
        <v>555</v>
      </c>
      <c r="N1111" s="213" t="s">
        <v>543</v>
      </c>
      <c r="O1111" s="213" t="s">
        <v>382</v>
      </c>
      <c r="P1111" s="213" t="s">
        <v>535</v>
      </c>
      <c r="Q1111" s="213" t="s">
        <v>381</v>
      </c>
      <c r="R1111" s="213"/>
      <c r="S1111" s="213" t="s">
        <v>573</v>
      </c>
      <c r="T1111" s="213"/>
      <c r="U1111" s="213" t="s">
        <v>538</v>
      </c>
      <c r="V1111" s="213">
        <v>4</v>
      </c>
      <c r="W1111" s="213" t="s">
        <v>545</v>
      </c>
      <c r="X1111" s="213" t="s">
        <v>554</v>
      </c>
      <c r="Y1111" s="213" t="s">
        <v>575</v>
      </c>
      <c r="Z1111" s="212">
        <v>368851</v>
      </c>
      <c r="AA1111" s="212">
        <v>16478945</v>
      </c>
      <c r="AB1111" s="217">
        <v>0.18170500000000001</v>
      </c>
      <c r="AC1111" s="217">
        <v>0.29242600000000002</v>
      </c>
      <c r="AD1111" s="212">
        <f t="shared" si="17"/>
        <v>2994306.701225</v>
      </c>
    </row>
    <row r="1112" spans="2:30" x14ac:dyDescent="0.15">
      <c r="B1112" s="213">
        <v>17031003612</v>
      </c>
      <c r="C1112" s="213">
        <v>17031001024</v>
      </c>
      <c r="D1112" s="213">
        <v>17031001022</v>
      </c>
      <c r="E1112" s="213" t="s">
        <v>533</v>
      </c>
      <c r="F1112" s="213" t="s">
        <v>534</v>
      </c>
      <c r="G1112" s="213" t="s">
        <v>365</v>
      </c>
      <c r="H1112" s="213" t="s">
        <v>571</v>
      </c>
      <c r="I1112" s="213"/>
      <c r="J1112" s="213" t="s">
        <v>552</v>
      </c>
      <c r="K1112" s="213" t="s">
        <v>572</v>
      </c>
      <c r="L1112" s="213" t="s">
        <v>551</v>
      </c>
      <c r="M1112" s="213" t="s">
        <v>555</v>
      </c>
      <c r="N1112" s="213" t="s">
        <v>543</v>
      </c>
      <c r="O1112" s="213" t="s">
        <v>382</v>
      </c>
      <c r="P1112" s="213" t="s">
        <v>535</v>
      </c>
      <c r="Q1112" s="213" t="s">
        <v>381</v>
      </c>
      <c r="R1112" s="213"/>
      <c r="S1112" s="213" t="s">
        <v>573</v>
      </c>
      <c r="T1112" s="213"/>
      <c r="U1112" s="213" t="s">
        <v>538</v>
      </c>
      <c r="V1112" s="213">
        <v>2</v>
      </c>
      <c r="W1112" s="213" t="s">
        <v>545</v>
      </c>
      <c r="X1112" s="213" t="s">
        <v>554</v>
      </c>
      <c r="Y1112" s="213" t="s">
        <v>580</v>
      </c>
      <c r="Z1112" s="212">
        <v>344163</v>
      </c>
      <c r="AA1112" s="212">
        <v>13507547</v>
      </c>
      <c r="AB1112" s="217">
        <v>0.229212</v>
      </c>
      <c r="AC1112" s="217">
        <v>0.36888100000000001</v>
      </c>
      <c r="AD1112" s="212">
        <f t="shared" si="17"/>
        <v>3096091.8629640001</v>
      </c>
    </row>
    <row r="1113" spans="2:30" x14ac:dyDescent="0.15">
      <c r="B1113" s="213">
        <v>17031003615</v>
      </c>
      <c r="C1113" s="213">
        <v>17031000848</v>
      </c>
      <c r="D1113" s="213">
        <v>17031000845</v>
      </c>
      <c r="E1113" s="213" t="s">
        <v>533</v>
      </c>
      <c r="F1113" s="213" t="s">
        <v>534</v>
      </c>
      <c r="G1113" s="213" t="s">
        <v>365</v>
      </c>
      <c r="H1113" s="213" t="s">
        <v>535</v>
      </c>
      <c r="I1113" s="213"/>
      <c r="J1113" s="213" t="s">
        <v>543</v>
      </c>
      <c r="K1113" s="213"/>
      <c r="L1113" s="213"/>
      <c r="M1113" s="213"/>
      <c r="N1113" s="213"/>
      <c r="O1113" s="213"/>
      <c r="P1113" s="213"/>
      <c r="Q1113" s="213"/>
      <c r="R1113" s="213"/>
      <c r="S1113" s="213" t="s">
        <v>553</v>
      </c>
      <c r="T1113" s="213"/>
      <c r="U1113" s="213" t="s">
        <v>538</v>
      </c>
      <c r="V1113" s="213">
        <v>1</v>
      </c>
      <c r="W1113" s="213" t="s">
        <v>539</v>
      </c>
      <c r="X1113" s="213" t="s">
        <v>554</v>
      </c>
      <c r="Y1113" s="213" t="s">
        <v>541</v>
      </c>
      <c r="Z1113" s="212">
        <v>67764</v>
      </c>
      <c r="AA1113" s="212">
        <v>3962380</v>
      </c>
      <c r="AB1113" s="217">
        <v>1.144506</v>
      </c>
      <c r="AC1113" s="217">
        <v>1.8419080000000001</v>
      </c>
      <c r="AD1113" s="212">
        <f t="shared" si="17"/>
        <v>4534967.6842799997</v>
      </c>
    </row>
    <row r="1114" spans="2:30" x14ac:dyDescent="0.15">
      <c r="B1114" s="213">
        <v>17031003616</v>
      </c>
      <c r="C1114" s="213">
        <v>17031000580</v>
      </c>
      <c r="D1114" s="213">
        <v>17031000578</v>
      </c>
      <c r="E1114" s="213" t="s">
        <v>533</v>
      </c>
      <c r="F1114" s="213" t="s">
        <v>534</v>
      </c>
      <c r="G1114" s="213" t="s">
        <v>365</v>
      </c>
      <c r="H1114" s="213" t="s">
        <v>382</v>
      </c>
      <c r="I1114" s="213"/>
      <c r="J1114" s="213" t="s">
        <v>572</v>
      </c>
      <c r="K1114" s="213" t="s">
        <v>547</v>
      </c>
      <c r="L1114" s="213"/>
      <c r="M1114" s="213"/>
      <c r="N1114" s="213"/>
      <c r="O1114" s="213"/>
      <c r="P1114" s="213"/>
      <c r="Q1114" s="213"/>
      <c r="R1114" s="213"/>
      <c r="S1114" s="213" t="s">
        <v>583</v>
      </c>
      <c r="T1114" s="213"/>
      <c r="U1114" s="213" t="s">
        <v>538</v>
      </c>
      <c r="V1114" s="213">
        <v>3</v>
      </c>
      <c r="W1114" s="213" t="s">
        <v>545</v>
      </c>
      <c r="X1114" s="213" t="s">
        <v>549</v>
      </c>
      <c r="Y1114" s="213" t="s">
        <v>580</v>
      </c>
      <c r="Z1114" s="212">
        <v>999857</v>
      </c>
      <c r="AA1114" s="212">
        <v>33304864</v>
      </c>
      <c r="AB1114" s="217">
        <v>1.252599</v>
      </c>
      <c r="AC1114" s="217">
        <v>2.0158670000000001</v>
      </c>
      <c r="AD1114" s="212">
        <f t="shared" si="17"/>
        <v>41717639.341536</v>
      </c>
    </row>
    <row r="1115" spans="2:30" x14ac:dyDescent="0.15">
      <c r="B1115" s="213">
        <v>17031003617</v>
      </c>
      <c r="C1115" s="213">
        <v>17031000580</v>
      </c>
      <c r="D1115" s="213">
        <v>17031000577</v>
      </c>
      <c r="E1115" s="213" t="s">
        <v>533</v>
      </c>
      <c r="F1115" s="213" t="s">
        <v>534</v>
      </c>
      <c r="G1115" s="213" t="s">
        <v>365</v>
      </c>
      <c r="H1115" s="213" t="s">
        <v>382</v>
      </c>
      <c r="I1115" s="213"/>
      <c r="J1115" s="213" t="s">
        <v>572</v>
      </c>
      <c r="K1115" s="213" t="s">
        <v>547</v>
      </c>
      <c r="L1115" s="213"/>
      <c r="M1115" s="213"/>
      <c r="N1115" s="213"/>
      <c r="O1115" s="213"/>
      <c r="P1115" s="213"/>
      <c r="Q1115" s="213"/>
      <c r="R1115" s="213"/>
      <c r="S1115" s="213" t="s">
        <v>583</v>
      </c>
      <c r="T1115" s="213"/>
      <c r="U1115" s="213" t="s">
        <v>538</v>
      </c>
      <c r="V1115" s="213">
        <v>3</v>
      </c>
      <c r="W1115" s="213" t="s">
        <v>545</v>
      </c>
      <c r="X1115" s="213" t="s">
        <v>549</v>
      </c>
      <c r="Y1115" s="213" t="s">
        <v>580</v>
      </c>
      <c r="Z1115" s="212">
        <v>999857</v>
      </c>
      <c r="AA1115" s="212">
        <v>33304864</v>
      </c>
      <c r="AB1115" s="217">
        <v>0.29748400000000003</v>
      </c>
      <c r="AC1115" s="217">
        <v>0.47875400000000001</v>
      </c>
      <c r="AD1115" s="212">
        <f t="shared" si="17"/>
        <v>9907664.162176</v>
      </c>
    </row>
    <row r="1116" spans="2:30" x14ac:dyDescent="0.15">
      <c r="B1116" s="213">
        <v>17031003620</v>
      </c>
      <c r="C1116" s="213">
        <v>17031001311</v>
      </c>
      <c r="D1116" s="213">
        <v>17031001329</v>
      </c>
      <c r="E1116" s="213" t="s">
        <v>533</v>
      </c>
      <c r="F1116" s="213" t="s">
        <v>534</v>
      </c>
      <c r="G1116" s="213" t="s">
        <v>365</v>
      </c>
      <c r="H1116" s="213" t="s">
        <v>551</v>
      </c>
      <c r="I1116" s="213"/>
      <c r="J1116" s="213" t="s">
        <v>381</v>
      </c>
      <c r="K1116" s="213" t="s">
        <v>535</v>
      </c>
      <c r="L1116" s="213" t="s">
        <v>552</v>
      </c>
      <c r="M1116" s="213"/>
      <c r="N1116" s="213"/>
      <c r="O1116" s="213"/>
      <c r="P1116" s="213"/>
      <c r="Q1116" s="213"/>
      <c r="R1116" s="213"/>
      <c r="S1116" s="213" t="s">
        <v>603</v>
      </c>
      <c r="T1116" s="213"/>
      <c r="U1116" s="213" t="s">
        <v>538</v>
      </c>
      <c r="V1116" s="213">
        <v>2</v>
      </c>
      <c r="W1116" s="213" t="s">
        <v>545</v>
      </c>
      <c r="X1116" s="213" t="s">
        <v>540</v>
      </c>
      <c r="Y1116" s="213" t="s">
        <v>575</v>
      </c>
      <c r="Z1116" s="212">
        <v>364872</v>
      </c>
      <c r="AA1116" s="212">
        <v>23588422</v>
      </c>
      <c r="AB1116" s="217">
        <v>0.386654</v>
      </c>
      <c r="AC1116" s="217">
        <v>0.62226099999999995</v>
      </c>
      <c r="AD1116" s="212">
        <f t="shared" si="17"/>
        <v>9120557.7199879996</v>
      </c>
    </row>
    <row r="1117" spans="2:30" x14ac:dyDescent="0.15">
      <c r="B1117" s="213">
        <v>17031003627</v>
      </c>
      <c r="C1117" s="213">
        <v>17031000808</v>
      </c>
      <c r="D1117" s="213">
        <v>17031000803</v>
      </c>
      <c r="E1117" s="213" t="s">
        <v>533</v>
      </c>
      <c r="F1117" s="213" t="s">
        <v>534</v>
      </c>
      <c r="G1117" s="213" t="s">
        <v>365</v>
      </c>
      <c r="H1117" s="213" t="s">
        <v>543</v>
      </c>
      <c r="I1117" s="213"/>
      <c r="J1117" s="213" t="s">
        <v>535</v>
      </c>
      <c r="K1117" s="213"/>
      <c r="L1117" s="213"/>
      <c r="M1117" s="213"/>
      <c r="N1117" s="213"/>
      <c r="O1117" s="213"/>
      <c r="P1117" s="213"/>
      <c r="Q1117" s="213"/>
      <c r="R1117" s="213"/>
      <c r="S1117" s="213" t="s">
        <v>639</v>
      </c>
      <c r="T1117" s="213"/>
      <c r="U1117" s="213" t="s">
        <v>538</v>
      </c>
      <c r="V1117" s="213">
        <v>2</v>
      </c>
      <c r="W1117" s="213" t="s">
        <v>560</v>
      </c>
      <c r="X1117" s="213" t="s">
        <v>541</v>
      </c>
      <c r="Y1117" s="213" t="s">
        <v>541</v>
      </c>
      <c r="Z1117" s="212">
        <v>0</v>
      </c>
      <c r="AA1117" s="212">
        <v>0</v>
      </c>
      <c r="AB1117" s="217">
        <v>0.135773</v>
      </c>
      <c r="AC1117" s="217">
        <v>0.21850600000000001</v>
      </c>
      <c r="AD1117" s="212">
        <f t="shared" si="17"/>
        <v>0</v>
      </c>
    </row>
    <row r="1118" spans="2:30" x14ac:dyDescent="0.15">
      <c r="B1118" s="213">
        <v>17031003628</v>
      </c>
      <c r="C1118" s="213">
        <v>17031000915</v>
      </c>
      <c r="D1118" s="213">
        <v>17031000953</v>
      </c>
      <c r="E1118" s="213" t="s">
        <v>533</v>
      </c>
      <c r="F1118" s="213" t="s">
        <v>534</v>
      </c>
      <c r="G1118" s="213" t="s">
        <v>365</v>
      </c>
      <c r="H1118" s="213" t="s">
        <v>571</v>
      </c>
      <c r="I1118" s="213"/>
      <c r="J1118" s="213" t="s">
        <v>381</v>
      </c>
      <c r="K1118" s="213" t="s">
        <v>535</v>
      </c>
      <c r="L1118" s="213" t="s">
        <v>552</v>
      </c>
      <c r="M1118" s="213" t="s">
        <v>551</v>
      </c>
      <c r="N1118" s="213" t="s">
        <v>382</v>
      </c>
      <c r="O1118" s="213" t="s">
        <v>563</v>
      </c>
      <c r="P1118" s="213" t="s">
        <v>543</v>
      </c>
      <c r="Q1118" s="213"/>
      <c r="R1118" s="213"/>
      <c r="S1118" s="213" t="s">
        <v>573</v>
      </c>
      <c r="T1118" s="213"/>
      <c r="U1118" s="213" t="s">
        <v>538</v>
      </c>
      <c r="V1118" s="213">
        <v>2</v>
      </c>
      <c r="W1118" s="213" t="s">
        <v>545</v>
      </c>
      <c r="X1118" s="213" t="s">
        <v>554</v>
      </c>
      <c r="Y1118" s="213" t="s">
        <v>546</v>
      </c>
      <c r="Z1118" s="212">
        <v>121544</v>
      </c>
      <c r="AA1118" s="212">
        <v>3356096</v>
      </c>
      <c r="AB1118" s="217">
        <v>0.61061299999999996</v>
      </c>
      <c r="AC1118" s="217">
        <v>0.98268800000000001</v>
      </c>
      <c r="AD1118" s="212">
        <f t="shared" si="17"/>
        <v>2049275.8468479998</v>
      </c>
    </row>
    <row r="1119" spans="2:30" x14ac:dyDescent="0.15">
      <c r="B1119" s="213">
        <v>17031003630</v>
      </c>
      <c r="C1119" s="213">
        <v>17031001028</v>
      </c>
      <c r="D1119" s="213">
        <v>17031001016</v>
      </c>
      <c r="E1119" s="213" t="s">
        <v>533</v>
      </c>
      <c r="F1119" s="213" t="s">
        <v>534</v>
      </c>
      <c r="G1119" s="213" t="s">
        <v>365</v>
      </c>
      <c r="H1119" s="213" t="s">
        <v>547</v>
      </c>
      <c r="I1119" s="213"/>
      <c r="J1119" s="213" t="s">
        <v>543</v>
      </c>
      <c r="K1119" s="213"/>
      <c r="L1119" s="213"/>
      <c r="M1119" s="213"/>
      <c r="N1119" s="213"/>
      <c r="O1119" s="213"/>
      <c r="P1119" s="213"/>
      <c r="Q1119" s="213"/>
      <c r="R1119" s="213"/>
      <c r="S1119" s="213" t="s">
        <v>602</v>
      </c>
      <c r="T1119" s="213"/>
      <c r="U1119" s="213" t="s">
        <v>538</v>
      </c>
      <c r="V1119" s="213">
        <v>2</v>
      </c>
      <c r="W1119" s="213" t="s">
        <v>582</v>
      </c>
      <c r="X1119" s="213" t="s">
        <v>540</v>
      </c>
      <c r="Y1119" s="213" t="s">
        <v>540</v>
      </c>
      <c r="Z1119" s="212">
        <v>0</v>
      </c>
      <c r="AA1119" s="212">
        <v>0</v>
      </c>
      <c r="AB1119" s="217">
        <v>1.0078849999999999</v>
      </c>
      <c r="AC1119" s="217">
        <v>1.622036</v>
      </c>
      <c r="AD1119" s="212">
        <f t="shared" si="17"/>
        <v>0</v>
      </c>
    </row>
    <row r="1120" spans="2:30" x14ac:dyDescent="0.15">
      <c r="B1120" s="213">
        <v>17031003633</v>
      </c>
      <c r="C1120" s="213">
        <v>17031001017</v>
      </c>
      <c r="D1120" s="213">
        <v>17031001033</v>
      </c>
      <c r="E1120" s="213" t="s">
        <v>533</v>
      </c>
      <c r="F1120" s="213" t="s">
        <v>534</v>
      </c>
      <c r="G1120" s="213" t="s">
        <v>365</v>
      </c>
      <c r="H1120" s="213" t="s">
        <v>571</v>
      </c>
      <c r="I1120" s="213"/>
      <c r="J1120" s="213" t="s">
        <v>552</v>
      </c>
      <c r="K1120" s="213" t="s">
        <v>572</v>
      </c>
      <c r="L1120" s="213" t="s">
        <v>555</v>
      </c>
      <c r="M1120" s="213" t="s">
        <v>543</v>
      </c>
      <c r="N1120" s="213" t="s">
        <v>382</v>
      </c>
      <c r="O1120" s="213"/>
      <c r="P1120" s="213"/>
      <c r="Q1120" s="213"/>
      <c r="R1120" s="213"/>
      <c r="S1120" s="213" t="s">
        <v>573</v>
      </c>
      <c r="T1120" s="213"/>
      <c r="U1120" s="213" t="s">
        <v>538</v>
      </c>
      <c r="V1120" s="213">
        <v>3</v>
      </c>
      <c r="W1120" s="213" t="s">
        <v>545</v>
      </c>
      <c r="X1120" s="213" t="s">
        <v>554</v>
      </c>
      <c r="Y1120" s="213" t="s">
        <v>575</v>
      </c>
      <c r="Z1120" s="212">
        <v>338895</v>
      </c>
      <c r="AA1120" s="212">
        <v>13107987</v>
      </c>
      <c r="AB1120" s="217">
        <v>1.102012</v>
      </c>
      <c r="AC1120" s="217">
        <v>1.7735190000000001</v>
      </c>
      <c r="AD1120" s="212">
        <f t="shared" si="17"/>
        <v>14445158.969844</v>
      </c>
    </row>
    <row r="1121" spans="2:30" x14ac:dyDescent="0.15">
      <c r="B1121" s="213">
        <v>17031003637</v>
      </c>
      <c r="C1121" s="213">
        <v>17031001068</v>
      </c>
      <c r="D1121" s="213">
        <v>17031001065</v>
      </c>
      <c r="E1121" s="213" t="s">
        <v>533</v>
      </c>
      <c r="F1121" s="213" t="s">
        <v>534</v>
      </c>
      <c r="G1121" s="213" t="s">
        <v>365</v>
      </c>
      <c r="H1121" s="213" t="s">
        <v>547</v>
      </c>
      <c r="I1121" s="213"/>
      <c r="J1121" s="213" t="s">
        <v>577</v>
      </c>
      <c r="K1121" s="213"/>
      <c r="L1121" s="213"/>
      <c r="M1121" s="213"/>
      <c r="N1121" s="213"/>
      <c r="O1121" s="213"/>
      <c r="P1121" s="213"/>
      <c r="Q1121" s="213"/>
      <c r="R1121" s="213"/>
      <c r="S1121" s="213" t="s">
        <v>581</v>
      </c>
      <c r="T1121" s="213"/>
      <c r="U1121" s="213" t="s">
        <v>538</v>
      </c>
      <c r="V1121" s="213">
        <v>2</v>
      </c>
      <c r="W1121" s="213" t="s">
        <v>582</v>
      </c>
      <c r="X1121" s="213" t="s">
        <v>540</v>
      </c>
      <c r="Y1121" s="213" t="s">
        <v>541</v>
      </c>
      <c r="Z1121" s="212">
        <v>0</v>
      </c>
      <c r="AA1121" s="212">
        <v>0</v>
      </c>
      <c r="AB1121" s="217">
        <v>0.120111</v>
      </c>
      <c r="AC1121" s="217">
        <v>0.1933</v>
      </c>
      <c r="AD1121" s="212">
        <f t="shared" si="17"/>
        <v>0</v>
      </c>
    </row>
    <row r="1122" spans="2:30" x14ac:dyDescent="0.15">
      <c r="B1122" s="213">
        <v>17031003643</v>
      </c>
      <c r="C1122" s="213">
        <v>99999022107</v>
      </c>
      <c r="D1122" s="213">
        <v>17031004739</v>
      </c>
      <c r="E1122" s="213" t="s">
        <v>533</v>
      </c>
      <c r="F1122" s="213" t="s">
        <v>534</v>
      </c>
      <c r="G1122" s="213" t="s">
        <v>365</v>
      </c>
      <c r="H1122" s="213" t="s">
        <v>543</v>
      </c>
      <c r="I1122" s="213"/>
      <c r="J1122" s="213" t="s">
        <v>542</v>
      </c>
      <c r="K1122" s="213" t="s">
        <v>552</v>
      </c>
      <c r="L1122" s="213" t="s">
        <v>661</v>
      </c>
      <c r="M1122" s="213"/>
      <c r="N1122" s="213"/>
      <c r="O1122" s="213"/>
      <c r="P1122" s="213"/>
      <c r="Q1122" s="213"/>
      <c r="R1122" s="213"/>
      <c r="S1122" s="213" t="s">
        <v>630</v>
      </c>
      <c r="T1122" s="213" t="s">
        <v>683</v>
      </c>
      <c r="U1122" s="213" t="s">
        <v>538</v>
      </c>
      <c r="V1122" s="213">
        <v>3</v>
      </c>
      <c r="W1122" s="213" t="s">
        <v>545</v>
      </c>
      <c r="X1122" s="213" t="s">
        <v>540</v>
      </c>
      <c r="Y1122" s="213" t="s">
        <v>575</v>
      </c>
      <c r="Z1122" s="212">
        <v>164680</v>
      </c>
      <c r="AA1122" s="212">
        <v>4282193</v>
      </c>
      <c r="AB1122" s="217">
        <v>2.3972E-2</v>
      </c>
      <c r="AC1122" s="217">
        <v>3.8580000000000003E-2</v>
      </c>
      <c r="AD1122" s="212">
        <f t="shared" si="17"/>
        <v>102652.73059599999</v>
      </c>
    </row>
    <row r="1123" spans="2:30" x14ac:dyDescent="0.15">
      <c r="B1123" s="213">
        <v>17031003656</v>
      </c>
      <c r="C1123" s="213">
        <v>17031001048</v>
      </c>
      <c r="D1123" s="213">
        <v>17031001062</v>
      </c>
      <c r="E1123" s="213" t="s">
        <v>533</v>
      </c>
      <c r="F1123" s="213" t="s">
        <v>534</v>
      </c>
      <c r="G1123" s="213" t="s">
        <v>365</v>
      </c>
      <c r="H1123" s="213" t="s">
        <v>571</v>
      </c>
      <c r="I1123" s="213"/>
      <c r="J1123" s="213" t="s">
        <v>552</v>
      </c>
      <c r="K1123" s="213" t="s">
        <v>572</v>
      </c>
      <c r="L1123" s="213" t="s">
        <v>543</v>
      </c>
      <c r="M1123" s="213"/>
      <c r="N1123" s="213"/>
      <c r="O1123" s="213"/>
      <c r="P1123" s="213"/>
      <c r="Q1123" s="213"/>
      <c r="R1123" s="213"/>
      <c r="S1123" s="213" t="s">
        <v>573</v>
      </c>
      <c r="T1123" s="213"/>
      <c r="U1123" s="213" t="s">
        <v>538</v>
      </c>
      <c r="V1123" s="213">
        <v>2</v>
      </c>
      <c r="W1123" s="213" t="s">
        <v>545</v>
      </c>
      <c r="X1123" s="213" t="s">
        <v>554</v>
      </c>
      <c r="Y1123" s="213" t="s">
        <v>546</v>
      </c>
      <c r="Z1123" s="212">
        <v>185912</v>
      </c>
      <c r="AA1123" s="212">
        <v>5170089</v>
      </c>
      <c r="AB1123" s="217">
        <v>0.91779599999999995</v>
      </c>
      <c r="AC1123" s="217">
        <v>1.477052</v>
      </c>
      <c r="AD1123" s="212">
        <f t="shared" si="17"/>
        <v>4745087.0038439995</v>
      </c>
    </row>
    <row r="1124" spans="2:30" x14ac:dyDescent="0.15">
      <c r="B1124" s="213">
        <v>17031003657</v>
      </c>
      <c r="C1124" s="213">
        <v>17031001062</v>
      </c>
      <c r="D1124" s="213">
        <v>17031001072</v>
      </c>
      <c r="E1124" s="213" t="s">
        <v>533</v>
      </c>
      <c r="F1124" s="213" t="s">
        <v>534</v>
      </c>
      <c r="G1124" s="213" t="s">
        <v>365</v>
      </c>
      <c r="H1124" s="213" t="s">
        <v>571</v>
      </c>
      <c r="I1124" s="213"/>
      <c r="J1124" s="213" t="s">
        <v>552</v>
      </c>
      <c r="K1124" s="213" t="s">
        <v>572</v>
      </c>
      <c r="L1124" s="213" t="s">
        <v>543</v>
      </c>
      <c r="M1124" s="213"/>
      <c r="N1124" s="213"/>
      <c r="O1124" s="213"/>
      <c r="P1124" s="213"/>
      <c r="Q1124" s="213"/>
      <c r="R1124" s="213"/>
      <c r="S1124" s="213" t="s">
        <v>573</v>
      </c>
      <c r="T1124" s="213"/>
      <c r="U1124" s="213" t="s">
        <v>538</v>
      </c>
      <c r="V1124" s="213">
        <v>2</v>
      </c>
      <c r="W1124" s="213" t="s">
        <v>545</v>
      </c>
      <c r="X1124" s="213" t="s">
        <v>554</v>
      </c>
      <c r="Y1124" s="213" t="s">
        <v>546</v>
      </c>
      <c r="Z1124" s="212">
        <v>185912</v>
      </c>
      <c r="AA1124" s="212">
        <v>5170089</v>
      </c>
      <c r="AB1124" s="217">
        <v>0.64177799999999996</v>
      </c>
      <c r="AC1124" s="217">
        <v>1.0328440000000001</v>
      </c>
      <c r="AD1124" s="212">
        <f t="shared" si="17"/>
        <v>3318049.378242</v>
      </c>
    </row>
    <row r="1125" spans="2:30" x14ac:dyDescent="0.15">
      <c r="B1125" s="213">
        <v>17031003659</v>
      </c>
      <c r="C1125" s="213">
        <v>17031001070</v>
      </c>
      <c r="D1125" s="213">
        <v>17031001065</v>
      </c>
      <c r="E1125" s="213" t="s">
        <v>533</v>
      </c>
      <c r="F1125" s="213" t="s">
        <v>534</v>
      </c>
      <c r="G1125" s="213" t="s">
        <v>365</v>
      </c>
      <c r="H1125" s="213" t="s">
        <v>547</v>
      </c>
      <c r="I1125" s="213"/>
      <c r="J1125" s="213"/>
      <c r="K1125" s="213"/>
      <c r="L1125" s="213"/>
      <c r="M1125" s="213"/>
      <c r="N1125" s="213"/>
      <c r="O1125" s="213"/>
      <c r="P1125" s="213"/>
      <c r="Q1125" s="213"/>
      <c r="R1125" s="213"/>
      <c r="S1125" s="213" t="s">
        <v>611</v>
      </c>
      <c r="T1125" s="213"/>
      <c r="U1125" s="213" t="s">
        <v>538</v>
      </c>
      <c r="V1125" s="213">
        <v>2</v>
      </c>
      <c r="W1125" s="213" t="s">
        <v>582</v>
      </c>
      <c r="X1125" s="213" t="s">
        <v>540</v>
      </c>
      <c r="Y1125" s="213" t="s">
        <v>541</v>
      </c>
      <c r="Z1125" s="212">
        <v>0</v>
      </c>
      <c r="AA1125" s="212">
        <v>0</v>
      </c>
      <c r="AB1125" s="217">
        <v>0.74909599999999998</v>
      </c>
      <c r="AC1125" s="217">
        <v>1.2055560000000001</v>
      </c>
      <c r="AD1125" s="212">
        <f t="shared" si="17"/>
        <v>0</v>
      </c>
    </row>
    <row r="1126" spans="2:30" x14ac:dyDescent="0.15">
      <c r="B1126" s="213">
        <v>17031003662</v>
      </c>
      <c r="C1126" s="213">
        <v>17031004720</v>
      </c>
      <c r="D1126" s="213">
        <v>17031001176</v>
      </c>
      <c r="E1126" s="213" t="s">
        <v>533</v>
      </c>
      <c r="F1126" s="213" t="s">
        <v>534</v>
      </c>
      <c r="G1126" s="213" t="s">
        <v>365</v>
      </c>
      <c r="H1126" s="213" t="s">
        <v>551</v>
      </c>
      <c r="I1126" s="213"/>
      <c r="J1126" s="213"/>
      <c r="K1126" s="213"/>
      <c r="L1126" s="213"/>
      <c r="M1126" s="213"/>
      <c r="N1126" s="213"/>
      <c r="O1126" s="213"/>
      <c r="P1126" s="213"/>
      <c r="Q1126" s="213"/>
      <c r="R1126" s="213"/>
      <c r="S1126" s="213" t="s">
        <v>600</v>
      </c>
      <c r="T1126" s="213"/>
      <c r="U1126" s="213" t="s">
        <v>538</v>
      </c>
      <c r="V1126" s="213">
        <v>2</v>
      </c>
      <c r="W1126" s="213" t="s">
        <v>582</v>
      </c>
      <c r="X1126" s="213" t="s">
        <v>540</v>
      </c>
      <c r="Y1126" s="213" t="s">
        <v>575</v>
      </c>
      <c r="Z1126" s="212">
        <v>179731</v>
      </c>
      <c r="AA1126" s="212">
        <v>7982557</v>
      </c>
      <c r="AB1126" s="217">
        <v>3.018688</v>
      </c>
      <c r="AC1126" s="217">
        <v>4.858117</v>
      </c>
      <c r="AD1126" s="212">
        <f t="shared" si="17"/>
        <v>24096849.025216002</v>
      </c>
    </row>
    <row r="1127" spans="2:30" x14ac:dyDescent="0.15">
      <c r="B1127" s="213">
        <v>17031003663</v>
      </c>
      <c r="C1127" s="213">
        <v>17031001037</v>
      </c>
      <c r="D1127" s="213">
        <v>17031001117</v>
      </c>
      <c r="E1127" s="213" t="s">
        <v>533</v>
      </c>
      <c r="F1127" s="213" t="s">
        <v>534</v>
      </c>
      <c r="G1127" s="213" t="s">
        <v>365</v>
      </c>
      <c r="H1127" s="213" t="s">
        <v>551</v>
      </c>
      <c r="I1127" s="213" t="s">
        <v>535</v>
      </c>
      <c r="J1127" s="213"/>
      <c r="K1127" s="213"/>
      <c r="L1127" s="213"/>
      <c r="M1127" s="213"/>
      <c r="N1127" s="213"/>
      <c r="O1127" s="213"/>
      <c r="P1127" s="213"/>
      <c r="Q1127" s="213"/>
      <c r="R1127" s="213"/>
      <c r="S1127" s="213" t="s">
        <v>553</v>
      </c>
      <c r="T1127" s="213"/>
      <c r="U1127" s="213" t="s">
        <v>538</v>
      </c>
      <c r="V1127" s="213">
        <v>2</v>
      </c>
      <c r="W1127" s="213" t="s">
        <v>582</v>
      </c>
      <c r="X1127" s="213" t="s">
        <v>540</v>
      </c>
      <c r="Y1127" s="213" t="s">
        <v>540</v>
      </c>
      <c r="Z1127" s="212">
        <v>0</v>
      </c>
      <c r="AA1127" s="212">
        <v>0</v>
      </c>
      <c r="AB1127" s="217">
        <v>2.609845</v>
      </c>
      <c r="AC1127" s="217">
        <v>4.2001470000000003</v>
      </c>
      <c r="AD1127" s="212">
        <f t="shared" si="17"/>
        <v>0</v>
      </c>
    </row>
    <row r="1128" spans="2:30" x14ac:dyDescent="0.15">
      <c r="B1128" s="213">
        <v>17031003669</v>
      </c>
      <c r="C1128" s="213">
        <v>17031000877</v>
      </c>
      <c r="D1128" s="213">
        <v>17031000898</v>
      </c>
      <c r="E1128" s="213" t="s">
        <v>533</v>
      </c>
      <c r="F1128" s="213" t="s">
        <v>534</v>
      </c>
      <c r="G1128" s="213" t="s">
        <v>365</v>
      </c>
      <c r="H1128" s="213" t="s">
        <v>547</v>
      </c>
      <c r="I1128" s="213"/>
      <c r="J1128" s="213" t="s">
        <v>542</v>
      </c>
      <c r="K1128" s="213" t="s">
        <v>543</v>
      </c>
      <c r="L1128" s="213" t="s">
        <v>382</v>
      </c>
      <c r="M1128" s="213"/>
      <c r="N1128" s="213"/>
      <c r="O1128" s="213"/>
      <c r="P1128" s="213"/>
      <c r="Q1128" s="213"/>
      <c r="R1128" s="213"/>
      <c r="S1128" s="213" t="s">
        <v>602</v>
      </c>
      <c r="T1128" s="213" t="s">
        <v>659</v>
      </c>
      <c r="U1128" s="213" t="s">
        <v>538</v>
      </c>
      <c r="V1128" s="213">
        <v>2</v>
      </c>
      <c r="W1128" s="213" t="s">
        <v>545</v>
      </c>
      <c r="X1128" s="213" t="s">
        <v>540</v>
      </c>
      <c r="Y1128" s="213" t="s">
        <v>540</v>
      </c>
      <c r="Z1128" s="212">
        <v>186774</v>
      </c>
      <c r="AA1128" s="212">
        <v>8926948</v>
      </c>
      <c r="AB1128" s="217">
        <v>0.58623199999999998</v>
      </c>
      <c r="AC1128" s="217">
        <v>0.94345100000000004</v>
      </c>
      <c r="AD1128" s="212">
        <f t="shared" si="17"/>
        <v>5233262.5799359996</v>
      </c>
    </row>
    <row r="1129" spans="2:30" x14ac:dyDescent="0.15">
      <c r="B1129" s="213">
        <v>17031003675</v>
      </c>
      <c r="C1129" s="213">
        <v>17031001009</v>
      </c>
      <c r="D1129" s="213">
        <v>17031001021</v>
      </c>
      <c r="E1129" s="213" t="s">
        <v>533</v>
      </c>
      <c r="F1129" s="213" t="s">
        <v>534</v>
      </c>
      <c r="G1129" s="213" t="s">
        <v>365</v>
      </c>
      <c r="H1129" s="213" t="s">
        <v>551</v>
      </c>
      <c r="I1129" s="213"/>
      <c r="J1129" s="213"/>
      <c r="K1129" s="213"/>
      <c r="L1129" s="213"/>
      <c r="M1129" s="213"/>
      <c r="N1129" s="213"/>
      <c r="O1129" s="213"/>
      <c r="P1129" s="213"/>
      <c r="Q1129" s="213"/>
      <c r="R1129" s="213"/>
      <c r="S1129" s="213" t="s">
        <v>600</v>
      </c>
      <c r="T1129" s="213"/>
      <c r="U1129" s="213" t="s">
        <v>538</v>
      </c>
      <c r="V1129" s="213">
        <v>2</v>
      </c>
      <c r="W1129" s="213" t="s">
        <v>582</v>
      </c>
      <c r="X1129" s="213" t="s">
        <v>554</v>
      </c>
      <c r="Y1129" s="213" t="s">
        <v>575</v>
      </c>
      <c r="Z1129" s="212">
        <v>179731</v>
      </c>
      <c r="AA1129" s="212">
        <v>7982557</v>
      </c>
      <c r="AB1129" s="217">
        <v>0.165823</v>
      </c>
      <c r="AC1129" s="217">
        <v>0.26686599999999999</v>
      </c>
      <c r="AD1129" s="212">
        <f t="shared" si="17"/>
        <v>1323691.549411</v>
      </c>
    </row>
    <row r="1130" spans="2:30" x14ac:dyDescent="0.15">
      <c r="B1130" s="213">
        <v>17031003689</v>
      </c>
      <c r="C1130" s="213">
        <v>17031000300</v>
      </c>
      <c r="D1130" s="213">
        <v>17031000289</v>
      </c>
      <c r="E1130" s="213" t="s">
        <v>533</v>
      </c>
      <c r="F1130" s="213" t="s">
        <v>534</v>
      </c>
      <c r="G1130" s="213" t="s">
        <v>365</v>
      </c>
      <c r="H1130" s="213" t="s">
        <v>382</v>
      </c>
      <c r="I1130" s="213"/>
      <c r="J1130" s="213" t="s">
        <v>547</v>
      </c>
      <c r="K1130" s="213"/>
      <c r="L1130" s="213"/>
      <c r="M1130" s="213"/>
      <c r="N1130" s="213"/>
      <c r="O1130" s="213"/>
      <c r="P1130" s="213"/>
      <c r="Q1130" s="213"/>
      <c r="R1130" s="213"/>
      <c r="S1130" s="213" t="s">
        <v>565</v>
      </c>
      <c r="T1130" s="213"/>
      <c r="U1130" s="213" t="s">
        <v>538</v>
      </c>
      <c r="V1130" s="213">
        <v>2</v>
      </c>
      <c r="W1130" s="213" t="s">
        <v>566</v>
      </c>
      <c r="X1130" s="213" t="s">
        <v>549</v>
      </c>
      <c r="Y1130" s="213" t="s">
        <v>541</v>
      </c>
      <c r="Z1130" s="212">
        <v>0</v>
      </c>
      <c r="AA1130" s="212">
        <v>0</v>
      </c>
      <c r="AB1130" s="217">
        <v>0.62988999999999995</v>
      </c>
      <c r="AC1130" s="217">
        <v>1.013711</v>
      </c>
      <c r="AD1130" s="212">
        <f t="shared" si="17"/>
        <v>0</v>
      </c>
    </row>
    <row r="1131" spans="2:30" x14ac:dyDescent="0.15">
      <c r="B1131" s="213">
        <v>17031003696</v>
      </c>
      <c r="C1131" s="213">
        <v>17031000258</v>
      </c>
      <c r="D1131" s="213">
        <v>17031004575</v>
      </c>
      <c r="E1131" s="213" t="s">
        <v>533</v>
      </c>
      <c r="F1131" s="213" t="s">
        <v>534</v>
      </c>
      <c r="G1131" s="213" t="s">
        <v>365</v>
      </c>
      <c r="H1131" s="213" t="s">
        <v>382</v>
      </c>
      <c r="I1131" s="213"/>
      <c r="J1131" s="213" t="s">
        <v>547</v>
      </c>
      <c r="K1131" s="213"/>
      <c r="L1131" s="213"/>
      <c r="M1131" s="213"/>
      <c r="N1131" s="213"/>
      <c r="O1131" s="213"/>
      <c r="P1131" s="213"/>
      <c r="Q1131" s="213"/>
      <c r="R1131" s="213"/>
      <c r="S1131" s="213" t="s">
        <v>565</v>
      </c>
      <c r="T1131" s="213"/>
      <c r="U1131" s="213" t="s">
        <v>538</v>
      </c>
      <c r="V1131" s="213">
        <v>2</v>
      </c>
      <c r="W1131" s="213" t="s">
        <v>566</v>
      </c>
      <c r="X1131" s="213" t="s">
        <v>549</v>
      </c>
      <c r="Y1131" s="213" t="s">
        <v>541</v>
      </c>
      <c r="Z1131" s="212">
        <v>0</v>
      </c>
      <c r="AA1131" s="212">
        <v>0</v>
      </c>
      <c r="AB1131" s="217">
        <v>0.71984199999999998</v>
      </c>
      <c r="AC1131" s="217">
        <v>1.1584760000000001</v>
      </c>
      <c r="AD1131" s="212">
        <f t="shared" si="17"/>
        <v>0</v>
      </c>
    </row>
    <row r="1132" spans="2:30" x14ac:dyDescent="0.15">
      <c r="B1132" s="213">
        <v>17031003782</v>
      </c>
      <c r="C1132" s="213">
        <v>17031000698</v>
      </c>
      <c r="D1132" s="213">
        <v>17031000668</v>
      </c>
      <c r="E1132" s="213" t="s">
        <v>533</v>
      </c>
      <c r="F1132" s="213" t="s">
        <v>534</v>
      </c>
      <c r="G1132" s="213" t="s">
        <v>365</v>
      </c>
      <c r="H1132" s="213" t="s">
        <v>535</v>
      </c>
      <c r="I1132" s="213"/>
      <c r="J1132" s="213" t="s">
        <v>572</v>
      </c>
      <c r="K1132" s="213"/>
      <c r="L1132" s="213"/>
      <c r="M1132" s="213"/>
      <c r="N1132" s="213"/>
      <c r="O1132" s="213"/>
      <c r="P1132" s="213"/>
      <c r="Q1132" s="213"/>
      <c r="R1132" s="213"/>
      <c r="S1132" s="213" t="s">
        <v>624</v>
      </c>
      <c r="T1132" s="213"/>
      <c r="U1132" s="213" t="s">
        <v>538</v>
      </c>
      <c r="V1132" s="213">
        <v>2</v>
      </c>
      <c r="W1132" s="213" t="s">
        <v>582</v>
      </c>
      <c r="X1132" s="213" t="s">
        <v>541</v>
      </c>
      <c r="Y1132" s="213" t="s">
        <v>540</v>
      </c>
      <c r="Z1132" s="212">
        <v>760</v>
      </c>
      <c r="AA1132" s="212">
        <v>71920</v>
      </c>
      <c r="AB1132" s="217">
        <v>0.72874700000000003</v>
      </c>
      <c r="AC1132" s="217">
        <v>1.1728080000000001</v>
      </c>
      <c r="AD1132" s="212">
        <f t="shared" si="17"/>
        <v>52411.484240000005</v>
      </c>
    </row>
    <row r="1133" spans="2:30" x14ac:dyDescent="0.15">
      <c r="B1133" s="213">
        <v>17031003812</v>
      </c>
      <c r="C1133" s="213">
        <v>17031001175</v>
      </c>
      <c r="D1133" s="213">
        <v>17031004740</v>
      </c>
      <c r="E1133" s="213" t="s">
        <v>533</v>
      </c>
      <c r="F1133" s="213" t="s">
        <v>534</v>
      </c>
      <c r="G1133" s="213" t="s">
        <v>365</v>
      </c>
      <c r="H1133" s="213" t="s">
        <v>543</v>
      </c>
      <c r="I1133" s="213"/>
      <c r="J1133" s="213"/>
      <c r="K1133" s="213"/>
      <c r="L1133" s="213"/>
      <c r="M1133" s="213"/>
      <c r="N1133" s="213"/>
      <c r="O1133" s="213"/>
      <c r="P1133" s="213"/>
      <c r="Q1133" s="213"/>
      <c r="R1133" s="213"/>
      <c r="S1133" s="213" t="s">
        <v>617</v>
      </c>
      <c r="T1133" s="213"/>
      <c r="U1133" s="213" t="s">
        <v>559</v>
      </c>
      <c r="V1133" s="213">
        <v>1</v>
      </c>
      <c r="W1133" s="213" t="s">
        <v>560</v>
      </c>
      <c r="X1133" s="213" t="s">
        <v>541</v>
      </c>
      <c r="Y1133" s="213" t="s">
        <v>541</v>
      </c>
      <c r="Z1133" s="212">
        <v>0</v>
      </c>
      <c r="AA1133" s="212">
        <v>0</v>
      </c>
      <c r="AB1133" s="217">
        <v>1.8378730000000001</v>
      </c>
      <c r="AC1133" s="217">
        <v>2.957776</v>
      </c>
      <c r="AD1133" s="212">
        <f t="shared" si="17"/>
        <v>0</v>
      </c>
    </row>
    <row r="1134" spans="2:30" x14ac:dyDescent="0.15">
      <c r="B1134" s="213">
        <v>17031003818</v>
      </c>
      <c r="C1134" s="213">
        <v>17031001331</v>
      </c>
      <c r="D1134" s="213">
        <v>17031001336</v>
      </c>
      <c r="E1134" s="213" t="s">
        <v>533</v>
      </c>
      <c r="F1134" s="213" t="s">
        <v>534</v>
      </c>
      <c r="G1134" s="213" t="s">
        <v>365</v>
      </c>
      <c r="H1134" s="213" t="s">
        <v>557</v>
      </c>
      <c r="I1134" s="213"/>
      <c r="J1134" s="213"/>
      <c r="K1134" s="213"/>
      <c r="L1134" s="213"/>
      <c r="M1134" s="213"/>
      <c r="N1134" s="213"/>
      <c r="O1134" s="213"/>
      <c r="P1134" s="213"/>
      <c r="Q1134" s="213"/>
      <c r="R1134" s="213"/>
      <c r="S1134" s="213" t="s">
        <v>665</v>
      </c>
      <c r="T1134" s="213"/>
      <c r="U1134" s="213" t="s">
        <v>559</v>
      </c>
      <c r="V1134" s="213">
        <v>1</v>
      </c>
      <c r="W1134" s="213" t="s">
        <v>560</v>
      </c>
      <c r="X1134" s="213" t="s">
        <v>541</v>
      </c>
      <c r="Y1134" s="213" t="s">
        <v>541</v>
      </c>
      <c r="Z1134" s="212">
        <v>40</v>
      </c>
      <c r="AA1134" s="212">
        <v>3520</v>
      </c>
      <c r="AB1134" s="217">
        <v>1.4144E-2</v>
      </c>
      <c r="AC1134" s="217">
        <v>2.2762999999999999E-2</v>
      </c>
      <c r="AD1134" s="212">
        <f t="shared" si="17"/>
        <v>49.786880000000004</v>
      </c>
    </row>
    <row r="1135" spans="2:30" x14ac:dyDescent="0.15">
      <c r="B1135" s="213">
        <v>17031003819</v>
      </c>
      <c r="C1135" s="213">
        <v>17031001331</v>
      </c>
      <c r="D1135" s="213">
        <v>99999022676</v>
      </c>
      <c r="E1135" s="213" t="s">
        <v>533</v>
      </c>
      <c r="F1135" s="213" t="s">
        <v>534</v>
      </c>
      <c r="G1135" s="213" t="s">
        <v>365</v>
      </c>
      <c r="H1135" s="213" t="s">
        <v>557</v>
      </c>
      <c r="I1135" s="213"/>
      <c r="J1135" s="213"/>
      <c r="K1135" s="213"/>
      <c r="L1135" s="213"/>
      <c r="M1135" s="213"/>
      <c r="N1135" s="213"/>
      <c r="O1135" s="213"/>
      <c r="P1135" s="213"/>
      <c r="Q1135" s="213"/>
      <c r="R1135" s="213"/>
      <c r="S1135" s="213"/>
      <c r="T1135" s="213"/>
      <c r="U1135" s="213" t="s">
        <v>559</v>
      </c>
      <c r="V1135" s="213">
        <v>1</v>
      </c>
      <c r="W1135" s="213" t="s">
        <v>560</v>
      </c>
      <c r="X1135" s="213" t="s">
        <v>541</v>
      </c>
      <c r="Y1135" s="213" t="s">
        <v>541</v>
      </c>
      <c r="Z1135" s="212">
        <v>0</v>
      </c>
      <c r="AA1135" s="212">
        <v>0</v>
      </c>
      <c r="AB1135" s="217">
        <v>1.4226000000000001E-2</v>
      </c>
      <c r="AC1135" s="217">
        <v>2.2894999999999999E-2</v>
      </c>
      <c r="AD1135" s="212">
        <f t="shared" si="17"/>
        <v>0</v>
      </c>
    </row>
    <row r="1136" spans="2:30" x14ac:dyDescent="0.15">
      <c r="B1136" s="213">
        <v>17031003823</v>
      </c>
      <c r="C1136" s="213">
        <v>17031000782</v>
      </c>
      <c r="D1136" s="213">
        <v>17031000779</v>
      </c>
      <c r="E1136" s="213" t="s">
        <v>533</v>
      </c>
      <c r="F1136" s="213" t="s">
        <v>534</v>
      </c>
      <c r="G1136" s="213" t="s">
        <v>365</v>
      </c>
      <c r="H1136" s="213" t="s">
        <v>381</v>
      </c>
      <c r="I1136" s="213"/>
      <c r="J1136" s="213" t="s">
        <v>382</v>
      </c>
      <c r="K1136" s="213"/>
      <c r="L1136" s="213"/>
      <c r="M1136" s="213"/>
      <c r="N1136" s="213"/>
      <c r="O1136" s="213"/>
      <c r="P1136" s="213"/>
      <c r="Q1136" s="213"/>
      <c r="R1136" s="213"/>
      <c r="S1136" s="213" t="s">
        <v>647</v>
      </c>
      <c r="T1136" s="213"/>
      <c r="U1136" s="213" t="s">
        <v>538</v>
      </c>
      <c r="V1136" s="213">
        <v>2</v>
      </c>
      <c r="W1136" s="213" t="s">
        <v>545</v>
      </c>
      <c r="X1136" s="213" t="s">
        <v>540</v>
      </c>
      <c r="Y1136" s="213" t="s">
        <v>580</v>
      </c>
      <c r="Z1136" s="212">
        <v>2039889</v>
      </c>
      <c r="AA1136" s="212">
        <v>59054535</v>
      </c>
      <c r="AB1136" s="217">
        <v>0.11390599999999999</v>
      </c>
      <c r="AC1136" s="217">
        <v>0.183314</v>
      </c>
      <c r="AD1136" s="212">
        <f t="shared" si="17"/>
        <v>6726665.8637099992</v>
      </c>
    </row>
    <row r="1137" spans="2:30" x14ac:dyDescent="0.15">
      <c r="B1137" s="213">
        <v>17031003835</v>
      </c>
      <c r="C1137" s="213">
        <v>17031000908</v>
      </c>
      <c r="D1137" s="213">
        <v>17031000873</v>
      </c>
      <c r="E1137" s="213" t="s">
        <v>533</v>
      </c>
      <c r="F1137" s="213" t="s">
        <v>534</v>
      </c>
      <c r="G1137" s="213" t="s">
        <v>365</v>
      </c>
      <c r="H1137" s="213" t="s">
        <v>571</v>
      </c>
      <c r="I1137" s="213"/>
      <c r="J1137" s="213" t="s">
        <v>381</v>
      </c>
      <c r="K1137" s="213" t="s">
        <v>535</v>
      </c>
      <c r="L1137" s="213" t="s">
        <v>552</v>
      </c>
      <c r="M1137" s="213" t="s">
        <v>551</v>
      </c>
      <c r="N1137" s="213" t="s">
        <v>382</v>
      </c>
      <c r="O1137" s="213" t="s">
        <v>563</v>
      </c>
      <c r="P1137" s="213"/>
      <c r="Q1137" s="213"/>
      <c r="R1137" s="213"/>
      <c r="S1137" s="213" t="s">
        <v>652</v>
      </c>
      <c r="T1137" s="213"/>
      <c r="U1137" s="213" t="s">
        <v>538</v>
      </c>
      <c r="V1137" s="213">
        <v>2</v>
      </c>
      <c r="W1137" s="213" t="s">
        <v>545</v>
      </c>
      <c r="X1137" s="213" t="s">
        <v>554</v>
      </c>
      <c r="Y1137" s="213" t="s">
        <v>546</v>
      </c>
      <c r="Z1137" s="212">
        <v>232320</v>
      </c>
      <c r="AA1137" s="212">
        <v>15578987</v>
      </c>
      <c r="AB1137" s="217">
        <v>2.7841610000000001</v>
      </c>
      <c r="AC1137" s="217">
        <v>4.4806809999999997</v>
      </c>
      <c r="AD1137" s="212">
        <f t="shared" si="17"/>
        <v>43374408.024907</v>
      </c>
    </row>
    <row r="1138" spans="2:30" x14ac:dyDescent="0.15">
      <c r="B1138" s="213">
        <v>17031003842</v>
      </c>
      <c r="C1138" s="213">
        <v>17031000773</v>
      </c>
      <c r="D1138" s="213">
        <v>17031000771</v>
      </c>
      <c r="E1138" s="213" t="s">
        <v>533</v>
      </c>
      <c r="F1138" s="213" t="s">
        <v>534</v>
      </c>
      <c r="G1138" s="213" t="s">
        <v>365</v>
      </c>
      <c r="H1138" s="213" t="s">
        <v>381</v>
      </c>
      <c r="I1138" s="213"/>
      <c r="J1138" s="213"/>
      <c r="K1138" s="213"/>
      <c r="L1138" s="213"/>
      <c r="M1138" s="213"/>
      <c r="N1138" s="213"/>
      <c r="O1138" s="213"/>
      <c r="P1138" s="213"/>
      <c r="Q1138" s="213"/>
      <c r="R1138" s="213"/>
      <c r="S1138" s="213" t="s">
        <v>647</v>
      </c>
      <c r="T1138" s="213"/>
      <c r="U1138" s="213" t="s">
        <v>538</v>
      </c>
      <c r="V1138" s="213">
        <v>2</v>
      </c>
      <c r="W1138" s="213" t="s">
        <v>545</v>
      </c>
      <c r="X1138" s="213" t="s">
        <v>541</v>
      </c>
      <c r="Y1138" s="213" t="s">
        <v>541</v>
      </c>
      <c r="Z1138" s="212">
        <v>0</v>
      </c>
      <c r="AA1138" s="212">
        <v>0</v>
      </c>
      <c r="AB1138" s="217">
        <v>0.14535699999999999</v>
      </c>
      <c r="AC1138" s="217">
        <v>0.23393</v>
      </c>
      <c r="AD1138" s="212">
        <f t="shared" si="17"/>
        <v>0</v>
      </c>
    </row>
    <row r="1139" spans="2:30" x14ac:dyDescent="0.15">
      <c r="B1139" s="213">
        <v>17031003848</v>
      </c>
      <c r="C1139" s="213">
        <v>17031001353</v>
      </c>
      <c r="D1139" s="213">
        <v>17031001361</v>
      </c>
      <c r="E1139" s="213" t="s">
        <v>533</v>
      </c>
      <c r="F1139" s="213" t="s">
        <v>534</v>
      </c>
      <c r="G1139" s="213" t="s">
        <v>365</v>
      </c>
      <c r="H1139" s="213" t="s">
        <v>551</v>
      </c>
      <c r="I1139" s="213"/>
      <c r="J1139" s="213"/>
      <c r="K1139" s="213"/>
      <c r="L1139" s="213"/>
      <c r="M1139" s="213"/>
      <c r="N1139" s="213"/>
      <c r="O1139" s="213"/>
      <c r="P1139" s="213"/>
      <c r="Q1139" s="213"/>
      <c r="R1139" s="213"/>
      <c r="S1139" s="213" t="s">
        <v>603</v>
      </c>
      <c r="T1139" s="213"/>
      <c r="U1139" s="213" t="s">
        <v>538</v>
      </c>
      <c r="V1139" s="213">
        <v>2</v>
      </c>
      <c r="W1139" s="213" t="s">
        <v>545</v>
      </c>
      <c r="X1139" s="213" t="s">
        <v>554</v>
      </c>
      <c r="Y1139" s="213" t="s">
        <v>575</v>
      </c>
      <c r="Z1139" s="212">
        <v>1433453</v>
      </c>
      <c r="AA1139" s="212">
        <v>55038236</v>
      </c>
      <c r="AB1139" s="217">
        <v>0.31330400000000003</v>
      </c>
      <c r="AC1139" s="217">
        <v>0.50421499999999997</v>
      </c>
      <c r="AD1139" s="212">
        <f t="shared" si="17"/>
        <v>17243699.491744</v>
      </c>
    </row>
    <row r="1140" spans="2:30" x14ac:dyDescent="0.15">
      <c r="B1140" s="213">
        <v>17031003849</v>
      </c>
      <c r="C1140" s="213">
        <v>17031001359</v>
      </c>
      <c r="D1140" s="213">
        <v>17031001367</v>
      </c>
      <c r="E1140" s="213" t="s">
        <v>533</v>
      </c>
      <c r="F1140" s="213" t="s">
        <v>534</v>
      </c>
      <c r="G1140" s="213" t="s">
        <v>365</v>
      </c>
      <c r="H1140" s="213" t="s">
        <v>557</v>
      </c>
      <c r="I1140" s="213"/>
      <c r="J1140" s="213" t="s">
        <v>569</v>
      </c>
      <c r="K1140" s="213" t="s">
        <v>535</v>
      </c>
      <c r="L1140" s="213" t="s">
        <v>551</v>
      </c>
      <c r="M1140" s="213" t="s">
        <v>543</v>
      </c>
      <c r="N1140" s="213" t="s">
        <v>382</v>
      </c>
      <c r="O1140" s="213" t="s">
        <v>552</v>
      </c>
      <c r="P1140" s="213"/>
      <c r="Q1140" s="213"/>
      <c r="R1140" s="213"/>
      <c r="S1140" s="213" t="s">
        <v>570</v>
      </c>
      <c r="T1140" s="213"/>
      <c r="U1140" s="213" t="s">
        <v>538</v>
      </c>
      <c r="V1140" s="213">
        <v>2</v>
      </c>
      <c r="W1140" s="213" t="s">
        <v>545</v>
      </c>
      <c r="X1140" s="213" t="s">
        <v>540</v>
      </c>
      <c r="Y1140" s="213" t="s">
        <v>540</v>
      </c>
      <c r="Z1140" s="212">
        <v>61452</v>
      </c>
      <c r="AA1140" s="212">
        <v>5458245</v>
      </c>
      <c r="AB1140" s="217">
        <v>0.113728</v>
      </c>
      <c r="AC1140" s="217">
        <v>0.183027</v>
      </c>
      <c r="AD1140" s="212">
        <f t="shared" si="17"/>
        <v>620755.28735999996</v>
      </c>
    </row>
    <row r="1141" spans="2:30" x14ac:dyDescent="0.15">
      <c r="B1141" s="213">
        <v>17031003850</v>
      </c>
      <c r="C1141" s="213">
        <v>17031004748</v>
      </c>
      <c r="D1141" s="213">
        <v>17031001359</v>
      </c>
      <c r="E1141" s="213" t="s">
        <v>533</v>
      </c>
      <c r="F1141" s="213" t="s">
        <v>534</v>
      </c>
      <c r="G1141" s="213" t="s">
        <v>365</v>
      </c>
      <c r="H1141" s="213" t="s">
        <v>551</v>
      </c>
      <c r="I1141" s="213"/>
      <c r="J1141" s="213"/>
      <c r="K1141" s="213"/>
      <c r="L1141" s="213"/>
      <c r="M1141" s="213"/>
      <c r="N1141" s="213"/>
      <c r="O1141" s="213"/>
      <c r="P1141" s="213"/>
      <c r="Q1141" s="213"/>
      <c r="R1141" s="213"/>
      <c r="S1141" s="213"/>
      <c r="T1141" s="213"/>
      <c r="U1141" s="213" t="s">
        <v>538</v>
      </c>
      <c r="V1141" s="213">
        <v>1</v>
      </c>
      <c r="W1141" s="213" t="s">
        <v>560</v>
      </c>
      <c r="X1141" s="213" t="s">
        <v>541</v>
      </c>
      <c r="Y1141" s="213" t="s">
        <v>541</v>
      </c>
      <c r="Z1141" s="212">
        <v>13644</v>
      </c>
      <c r="AA1141" s="212">
        <v>1346800</v>
      </c>
      <c r="AB1141" s="217">
        <v>0.47933100000000001</v>
      </c>
      <c r="AC1141" s="217">
        <v>0.77141000000000004</v>
      </c>
      <c r="AD1141" s="212">
        <f t="shared" si="17"/>
        <v>645562.99080000003</v>
      </c>
    </row>
    <row r="1142" spans="2:30" x14ac:dyDescent="0.15">
      <c r="B1142" s="213">
        <v>17031003853</v>
      </c>
      <c r="C1142" s="213">
        <v>17031001320</v>
      </c>
      <c r="D1142" s="213">
        <v>17031001331</v>
      </c>
      <c r="E1142" s="213" t="s">
        <v>533</v>
      </c>
      <c r="F1142" s="213" t="s">
        <v>534</v>
      </c>
      <c r="G1142" s="213" t="s">
        <v>365</v>
      </c>
      <c r="H1142" s="213" t="s">
        <v>557</v>
      </c>
      <c r="I1142" s="213"/>
      <c r="J1142" s="213"/>
      <c r="K1142" s="213"/>
      <c r="L1142" s="213"/>
      <c r="M1142" s="213"/>
      <c r="N1142" s="213"/>
      <c r="O1142" s="213"/>
      <c r="P1142" s="213"/>
      <c r="Q1142" s="213"/>
      <c r="R1142" s="213"/>
      <c r="S1142" s="213" t="s">
        <v>665</v>
      </c>
      <c r="T1142" s="213"/>
      <c r="U1142" s="213" t="s">
        <v>559</v>
      </c>
      <c r="V1142" s="213">
        <v>1</v>
      </c>
      <c r="W1142" s="213" t="s">
        <v>560</v>
      </c>
      <c r="X1142" s="213" t="s">
        <v>541</v>
      </c>
      <c r="Y1142" s="213" t="s">
        <v>541</v>
      </c>
      <c r="Z1142" s="212">
        <v>40</v>
      </c>
      <c r="AA1142" s="212">
        <v>3520</v>
      </c>
      <c r="AB1142" s="217">
        <v>2.5669000000000001E-2</v>
      </c>
      <c r="AC1142" s="217">
        <v>4.1309999999999999E-2</v>
      </c>
      <c r="AD1142" s="212">
        <f t="shared" si="17"/>
        <v>90.354880000000009</v>
      </c>
    </row>
    <row r="1143" spans="2:30" x14ac:dyDescent="0.15">
      <c r="B1143" s="213">
        <v>17031003856</v>
      </c>
      <c r="C1143" s="213">
        <v>17031001204</v>
      </c>
      <c r="D1143" s="213">
        <v>17031001207</v>
      </c>
      <c r="E1143" s="213" t="s">
        <v>533</v>
      </c>
      <c r="F1143" s="213" t="s">
        <v>534</v>
      </c>
      <c r="G1143" s="213" t="s">
        <v>365</v>
      </c>
      <c r="H1143" s="213" t="s">
        <v>577</v>
      </c>
      <c r="I1143" s="213"/>
      <c r="J1143" s="213"/>
      <c r="K1143" s="213"/>
      <c r="L1143" s="213"/>
      <c r="M1143" s="213"/>
      <c r="N1143" s="213"/>
      <c r="O1143" s="213"/>
      <c r="P1143" s="213"/>
      <c r="Q1143" s="213"/>
      <c r="R1143" s="213"/>
      <c r="S1143" s="213"/>
      <c r="T1143" s="213"/>
      <c r="U1143" s="213" t="s">
        <v>538</v>
      </c>
      <c r="V1143" s="213">
        <v>1</v>
      </c>
      <c r="W1143" s="213" t="s">
        <v>560</v>
      </c>
      <c r="X1143" s="213" t="s">
        <v>541</v>
      </c>
      <c r="Y1143" s="213" t="s">
        <v>541</v>
      </c>
      <c r="Z1143" s="212">
        <v>0</v>
      </c>
      <c r="AA1143" s="212">
        <v>0</v>
      </c>
      <c r="AB1143" s="217">
        <v>0.23660900000000001</v>
      </c>
      <c r="AC1143" s="217">
        <v>0.38078600000000001</v>
      </c>
      <c r="AD1143" s="212">
        <f t="shared" si="17"/>
        <v>0</v>
      </c>
    </row>
    <row r="1144" spans="2:30" x14ac:dyDescent="0.15">
      <c r="B1144" s="213">
        <v>17031003861</v>
      </c>
      <c r="C1144" s="213">
        <v>17031001179</v>
      </c>
      <c r="D1144" s="213">
        <v>17031007908</v>
      </c>
      <c r="E1144" s="213" t="s">
        <v>533</v>
      </c>
      <c r="F1144" s="213" t="s">
        <v>534</v>
      </c>
      <c r="G1144" s="213" t="s">
        <v>365</v>
      </c>
      <c r="H1144" s="213" t="s">
        <v>577</v>
      </c>
      <c r="I1144" s="213"/>
      <c r="J1144" s="213"/>
      <c r="K1144" s="213"/>
      <c r="L1144" s="213"/>
      <c r="M1144" s="213"/>
      <c r="N1144" s="213"/>
      <c r="O1144" s="213"/>
      <c r="P1144" s="213"/>
      <c r="Q1144" s="213"/>
      <c r="R1144" s="213"/>
      <c r="S1144" s="213"/>
      <c r="T1144" s="213"/>
      <c r="U1144" s="213" t="s">
        <v>538</v>
      </c>
      <c r="V1144" s="213">
        <v>1</v>
      </c>
      <c r="W1144" s="213" t="s">
        <v>560</v>
      </c>
      <c r="X1144" s="213" t="s">
        <v>541</v>
      </c>
      <c r="Y1144" s="213" t="s">
        <v>541</v>
      </c>
      <c r="Z1144" s="212">
        <v>0</v>
      </c>
      <c r="AA1144" s="212">
        <v>0</v>
      </c>
      <c r="AB1144" s="217">
        <v>0.54055699999999995</v>
      </c>
      <c r="AC1144" s="217">
        <v>0.86994300000000002</v>
      </c>
      <c r="AD1144" s="212">
        <f t="shared" si="17"/>
        <v>0</v>
      </c>
    </row>
    <row r="1145" spans="2:30" x14ac:dyDescent="0.15">
      <c r="B1145" s="213">
        <v>17031003863</v>
      </c>
      <c r="C1145" s="213">
        <v>17031001187</v>
      </c>
      <c r="D1145" s="213">
        <v>17031001209</v>
      </c>
      <c r="E1145" s="213" t="s">
        <v>533</v>
      </c>
      <c r="F1145" s="213" t="s">
        <v>534</v>
      </c>
      <c r="G1145" s="213" t="s">
        <v>365</v>
      </c>
      <c r="H1145" s="213" t="s">
        <v>543</v>
      </c>
      <c r="I1145" s="213"/>
      <c r="J1145" s="213"/>
      <c r="K1145" s="213"/>
      <c r="L1145" s="213"/>
      <c r="M1145" s="213"/>
      <c r="N1145" s="213"/>
      <c r="O1145" s="213"/>
      <c r="P1145" s="213"/>
      <c r="Q1145" s="213"/>
      <c r="R1145" s="213"/>
      <c r="S1145" s="213" t="s">
        <v>604</v>
      </c>
      <c r="T1145" s="213"/>
      <c r="U1145" s="213" t="s">
        <v>538</v>
      </c>
      <c r="V1145" s="213">
        <v>2</v>
      </c>
      <c r="W1145" s="213" t="s">
        <v>545</v>
      </c>
      <c r="X1145" s="213" t="s">
        <v>554</v>
      </c>
      <c r="Y1145" s="213" t="s">
        <v>546</v>
      </c>
      <c r="Z1145" s="212">
        <v>4872</v>
      </c>
      <c r="AA1145" s="212">
        <v>434024</v>
      </c>
      <c r="AB1145" s="217">
        <v>0.74676100000000001</v>
      </c>
      <c r="AC1145" s="217">
        <v>1.2017979999999999</v>
      </c>
      <c r="AD1145" s="212">
        <f t="shared" si="17"/>
        <v>324112.19626400003</v>
      </c>
    </row>
    <row r="1146" spans="2:30" x14ac:dyDescent="0.15">
      <c r="B1146" s="213">
        <v>17031003867</v>
      </c>
      <c r="C1146" s="213">
        <v>17031000801</v>
      </c>
      <c r="D1146" s="213">
        <v>17031000793</v>
      </c>
      <c r="E1146" s="213" t="s">
        <v>533</v>
      </c>
      <c r="F1146" s="213" t="s">
        <v>534</v>
      </c>
      <c r="G1146" s="213" t="s">
        <v>365</v>
      </c>
      <c r="H1146" s="213" t="s">
        <v>543</v>
      </c>
      <c r="I1146" s="213"/>
      <c r="J1146" s="213" t="s">
        <v>382</v>
      </c>
      <c r="K1146" s="213"/>
      <c r="L1146" s="213"/>
      <c r="M1146" s="213"/>
      <c r="N1146" s="213"/>
      <c r="O1146" s="213"/>
      <c r="P1146" s="213"/>
      <c r="Q1146" s="213"/>
      <c r="R1146" s="213"/>
      <c r="S1146" s="213" t="s">
        <v>639</v>
      </c>
      <c r="T1146" s="213"/>
      <c r="U1146" s="213" t="s">
        <v>538</v>
      </c>
      <c r="V1146" s="213">
        <v>2</v>
      </c>
      <c r="W1146" s="213" t="s">
        <v>560</v>
      </c>
      <c r="X1146" s="213" t="s">
        <v>541</v>
      </c>
      <c r="Y1146" s="213" t="s">
        <v>549</v>
      </c>
      <c r="Z1146" s="212">
        <v>2036028</v>
      </c>
      <c r="AA1146" s="212">
        <v>59308526</v>
      </c>
      <c r="AB1146" s="217">
        <v>0.318276</v>
      </c>
      <c r="AC1146" s="217">
        <v>0.51221700000000003</v>
      </c>
      <c r="AD1146" s="212">
        <f t="shared" si="17"/>
        <v>18876480.421176001</v>
      </c>
    </row>
    <row r="1147" spans="2:30" x14ac:dyDescent="0.15">
      <c r="B1147" s="213">
        <v>17031003870</v>
      </c>
      <c r="C1147" s="213">
        <v>17031001335</v>
      </c>
      <c r="D1147" s="213">
        <v>17031001354</v>
      </c>
      <c r="E1147" s="213" t="s">
        <v>533</v>
      </c>
      <c r="F1147" s="213" t="s">
        <v>534</v>
      </c>
      <c r="G1147" s="213" t="s">
        <v>365</v>
      </c>
      <c r="H1147" s="213" t="s">
        <v>382</v>
      </c>
      <c r="I1147" s="213"/>
      <c r="J1147" s="213" t="s">
        <v>542</v>
      </c>
      <c r="K1147" s="213" t="s">
        <v>555</v>
      </c>
      <c r="L1147" s="213"/>
      <c r="M1147" s="213"/>
      <c r="N1147" s="213"/>
      <c r="O1147" s="213"/>
      <c r="P1147" s="213"/>
      <c r="Q1147" s="213"/>
      <c r="R1147" s="213"/>
      <c r="S1147" s="213" t="s">
        <v>556</v>
      </c>
      <c r="T1147" s="213"/>
      <c r="U1147" s="213" t="s">
        <v>538</v>
      </c>
      <c r="V1147" s="213">
        <v>2</v>
      </c>
      <c r="W1147" s="213" t="s">
        <v>545</v>
      </c>
      <c r="X1147" s="213" t="s">
        <v>540</v>
      </c>
      <c r="Y1147" s="213" t="s">
        <v>540</v>
      </c>
      <c r="Z1147" s="212">
        <v>52449</v>
      </c>
      <c r="AA1147" s="212">
        <v>2652870</v>
      </c>
      <c r="AB1147" s="217">
        <v>0.33068799999999998</v>
      </c>
      <c r="AC1147" s="217">
        <v>0.53219300000000003</v>
      </c>
      <c r="AD1147" s="212">
        <f t="shared" si="17"/>
        <v>877272.27455999993</v>
      </c>
    </row>
    <row r="1148" spans="2:30" x14ac:dyDescent="0.15">
      <c r="B1148" s="213">
        <v>17031003871</v>
      </c>
      <c r="C1148" s="213">
        <v>17031001354</v>
      </c>
      <c r="D1148" s="213">
        <v>17031001374</v>
      </c>
      <c r="E1148" s="213" t="s">
        <v>533</v>
      </c>
      <c r="F1148" s="213" t="s">
        <v>534</v>
      </c>
      <c r="G1148" s="213" t="s">
        <v>365</v>
      </c>
      <c r="H1148" s="213" t="s">
        <v>382</v>
      </c>
      <c r="I1148" s="213"/>
      <c r="J1148" s="213" t="s">
        <v>542</v>
      </c>
      <c r="K1148" s="213" t="s">
        <v>555</v>
      </c>
      <c r="L1148" s="213"/>
      <c r="M1148" s="213"/>
      <c r="N1148" s="213"/>
      <c r="O1148" s="213"/>
      <c r="P1148" s="213"/>
      <c r="Q1148" s="213"/>
      <c r="R1148" s="213"/>
      <c r="S1148" s="213" t="s">
        <v>556</v>
      </c>
      <c r="T1148" s="213"/>
      <c r="U1148" s="213" t="s">
        <v>538</v>
      </c>
      <c r="V1148" s="213">
        <v>2</v>
      </c>
      <c r="W1148" s="213" t="s">
        <v>545</v>
      </c>
      <c r="X1148" s="213" t="s">
        <v>540</v>
      </c>
      <c r="Y1148" s="213" t="s">
        <v>540</v>
      </c>
      <c r="Z1148" s="212">
        <v>52449</v>
      </c>
      <c r="AA1148" s="212">
        <v>2652870</v>
      </c>
      <c r="AB1148" s="217">
        <v>0.25470599999999999</v>
      </c>
      <c r="AC1148" s="217">
        <v>0.40991</v>
      </c>
      <c r="AD1148" s="212">
        <f t="shared" si="17"/>
        <v>675701.90622</v>
      </c>
    </row>
    <row r="1149" spans="2:30" x14ac:dyDescent="0.15">
      <c r="B1149" s="213">
        <v>17031003873</v>
      </c>
      <c r="C1149" s="213">
        <v>17031000752</v>
      </c>
      <c r="D1149" s="213">
        <v>17031000748</v>
      </c>
      <c r="E1149" s="213" t="s">
        <v>533</v>
      </c>
      <c r="F1149" s="213" t="s">
        <v>534</v>
      </c>
      <c r="G1149" s="213" t="s">
        <v>365</v>
      </c>
      <c r="H1149" s="213" t="s">
        <v>535</v>
      </c>
      <c r="I1149" s="213"/>
      <c r="J1149" s="213"/>
      <c r="K1149" s="213"/>
      <c r="L1149" s="213"/>
      <c r="M1149" s="213"/>
      <c r="N1149" s="213"/>
      <c r="O1149" s="213"/>
      <c r="P1149" s="213"/>
      <c r="Q1149" s="213"/>
      <c r="R1149" s="213"/>
      <c r="S1149" s="213" t="s">
        <v>624</v>
      </c>
      <c r="T1149" s="213"/>
      <c r="U1149" s="213" t="s">
        <v>538</v>
      </c>
      <c r="V1149" s="213">
        <v>2</v>
      </c>
      <c r="W1149" s="213" t="s">
        <v>582</v>
      </c>
      <c r="X1149" s="213" t="s">
        <v>554</v>
      </c>
      <c r="Y1149" s="213" t="s">
        <v>554</v>
      </c>
      <c r="Z1149" s="212">
        <v>0</v>
      </c>
      <c r="AA1149" s="212">
        <v>0</v>
      </c>
      <c r="AB1149" s="217">
        <v>0.256212</v>
      </c>
      <c r="AC1149" s="217">
        <v>0.41233399999999998</v>
      </c>
      <c r="AD1149" s="212">
        <f t="shared" si="17"/>
        <v>0</v>
      </c>
    </row>
    <row r="1150" spans="2:30" x14ac:dyDescent="0.15">
      <c r="B1150" s="213">
        <v>17031003876</v>
      </c>
      <c r="C1150" s="213">
        <v>17031004762</v>
      </c>
      <c r="D1150" s="213">
        <v>17031000792</v>
      </c>
      <c r="E1150" s="213" t="s">
        <v>533</v>
      </c>
      <c r="F1150" s="213" t="s">
        <v>534</v>
      </c>
      <c r="G1150" s="213" t="s">
        <v>365</v>
      </c>
      <c r="H1150" s="213" t="s">
        <v>382</v>
      </c>
      <c r="I1150" s="213"/>
      <c r="J1150" s="213"/>
      <c r="K1150" s="213"/>
      <c r="L1150" s="213"/>
      <c r="M1150" s="213"/>
      <c r="N1150" s="213"/>
      <c r="O1150" s="213"/>
      <c r="P1150" s="213"/>
      <c r="Q1150" s="213"/>
      <c r="R1150" s="213"/>
      <c r="S1150" s="213"/>
      <c r="T1150" s="213" t="s">
        <v>688</v>
      </c>
      <c r="U1150" s="213" t="s">
        <v>559</v>
      </c>
      <c r="V1150" s="213">
        <v>1</v>
      </c>
      <c r="W1150" s="213" t="s">
        <v>560</v>
      </c>
      <c r="X1150" s="213" t="s">
        <v>541</v>
      </c>
      <c r="Y1150" s="213" t="s">
        <v>541</v>
      </c>
      <c r="Z1150" s="212">
        <v>640</v>
      </c>
      <c r="AA1150" s="212">
        <v>34200</v>
      </c>
      <c r="AB1150" s="217">
        <v>0.56392799999999998</v>
      </c>
      <c r="AC1150" s="217">
        <v>0.90755600000000003</v>
      </c>
      <c r="AD1150" s="212">
        <f t="shared" si="17"/>
        <v>19286.337599999999</v>
      </c>
    </row>
    <row r="1151" spans="2:30" x14ac:dyDescent="0.15">
      <c r="B1151" s="213">
        <v>17031003877</v>
      </c>
      <c r="C1151" s="213">
        <v>17031004651</v>
      </c>
      <c r="D1151" s="213">
        <v>17031000555</v>
      </c>
      <c r="E1151" s="213" t="s">
        <v>533</v>
      </c>
      <c r="F1151" s="213" t="s">
        <v>534</v>
      </c>
      <c r="G1151" s="213" t="s">
        <v>365</v>
      </c>
      <c r="H1151" s="213" t="s">
        <v>382</v>
      </c>
      <c r="I1151" s="213"/>
      <c r="J1151" s="213" t="s">
        <v>572</v>
      </c>
      <c r="K1151" s="213" t="s">
        <v>547</v>
      </c>
      <c r="L1151" s="213"/>
      <c r="M1151" s="213"/>
      <c r="N1151" s="213"/>
      <c r="O1151" s="213"/>
      <c r="P1151" s="213"/>
      <c r="Q1151" s="213"/>
      <c r="R1151" s="213"/>
      <c r="S1151" s="213" t="s">
        <v>583</v>
      </c>
      <c r="T1151" s="213"/>
      <c r="U1151" s="213" t="s">
        <v>538</v>
      </c>
      <c r="V1151" s="213">
        <v>3</v>
      </c>
      <c r="W1151" s="213" t="s">
        <v>545</v>
      </c>
      <c r="X1151" s="213" t="s">
        <v>549</v>
      </c>
      <c r="Y1151" s="213" t="s">
        <v>580</v>
      </c>
      <c r="Z1151" s="212">
        <v>1000337</v>
      </c>
      <c r="AA1151" s="212">
        <v>33341464</v>
      </c>
      <c r="AB1151" s="217">
        <v>0.210149</v>
      </c>
      <c r="AC1151" s="217">
        <v>0.33820299999999998</v>
      </c>
      <c r="AD1151" s="212">
        <f t="shared" si="17"/>
        <v>7006675.3181360001</v>
      </c>
    </row>
    <row r="1152" spans="2:30" x14ac:dyDescent="0.15">
      <c r="B1152" s="213">
        <v>17031003879</v>
      </c>
      <c r="C1152" s="213">
        <v>17031000576</v>
      </c>
      <c r="D1152" s="213">
        <v>17031000575</v>
      </c>
      <c r="E1152" s="213" t="s">
        <v>533</v>
      </c>
      <c r="F1152" s="213" t="s">
        <v>534</v>
      </c>
      <c r="G1152" s="213" t="s">
        <v>365</v>
      </c>
      <c r="H1152" s="213" t="s">
        <v>382</v>
      </c>
      <c r="I1152" s="213"/>
      <c r="J1152" s="213" t="s">
        <v>572</v>
      </c>
      <c r="K1152" s="213" t="s">
        <v>547</v>
      </c>
      <c r="L1152" s="213"/>
      <c r="M1152" s="213"/>
      <c r="N1152" s="213"/>
      <c r="O1152" s="213"/>
      <c r="P1152" s="213"/>
      <c r="Q1152" s="213"/>
      <c r="R1152" s="213"/>
      <c r="S1152" s="213" t="s">
        <v>583</v>
      </c>
      <c r="T1152" s="213"/>
      <c r="U1152" s="213" t="s">
        <v>538</v>
      </c>
      <c r="V1152" s="213">
        <v>3</v>
      </c>
      <c r="W1152" s="213" t="s">
        <v>545</v>
      </c>
      <c r="X1152" s="213" t="s">
        <v>540</v>
      </c>
      <c r="Y1152" s="213" t="s">
        <v>580</v>
      </c>
      <c r="Z1152" s="212">
        <v>999857</v>
      </c>
      <c r="AA1152" s="212">
        <v>33304864</v>
      </c>
      <c r="AB1152" s="217">
        <v>0.53433900000000001</v>
      </c>
      <c r="AC1152" s="217">
        <v>0.85993600000000003</v>
      </c>
      <c r="AD1152" s="212">
        <f t="shared" si="17"/>
        <v>17796087.724895999</v>
      </c>
    </row>
    <row r="1153" spans="2:30" x14ac:dyDescent="0.15">
      <c r="B1153" s="213">
        <v>17031003880</v>
      </c>
      <c r="C1153" s="213">
        <v>17031000573</v>
      </c>
      <c r="D1153" s="213">
        <v>17031000572</v>
      </c>
      <c r="E1153" s="213" t="s">
        <v>533</v>
      </c>
      <c r="F1153" s="213" t="s">
        <v>534</v>
      </c>
      <c r="G1153" s="213" t="s">
        <v>365</v>
      </c>
      <c r="H1153" s="213" t="s">
        <v>382</v>
      </c>
      <c r="I1153" s="213"/>
      <c r="J1153" s="213" t="s">
        <v>572</v>
      </c>
      <c r="K1153" s="213" t="s">
        <v>547</v>
      </c>
      <c r="L1153" s="213"/>
      <c r="M1153" s="213"/>
      <c r="N1153" s="213"/>
      <c r="O1153" s="213"/>
      <c r="P1153" s="213"/>
      <c r="Q1153" s="213"/>
      <c r="R1153" s="213"/>
      <c r="S1153" s="213" t="s">
        <v>583</v>
      </c>
      <c r="T1153" s="213"/>
      <c r="U1153" s="213" t="s">
        <v>538</v>
      </c>
      <c r="V1153" s="213">
        <v>3</v>
      </c>
      <c r="W1153" s="213" t="s">
        <v>545</v>
      </c>
      <c r="X1153" s="213" t="s">
        <v>540</v>
      </c>
      <c r="Y1153" s="213" t="s">
        <v>580</v>
      </c>
      <c r="Z1153" s="212">
        <v>999857</v>
      </c>
      <c r="AA1153" s="212">
        <v>33304864</v>
      </c>
      <c r="AB1153" s="217">
        <v>0.91156199999999998</v>
      </c>
      <c r="AC1153" s="217">
        <v>1.4670190000000001</v>
      </c>
      <c r="AD1153" s="212">
        <f t="shared" si="17"/>
        <v>30359448.437567998</v>
      </c>
    </row>
    <row r="1154" spans="2:30" x14ac:dyDescent="0.15">
      <c r="B1154" s="213">
        <v>17031003896</v>
      </c>
      <c r="C1154" s="213">
        <v>17031000501</v>
      </c>
      <c r="D1154" s="213">
        <v>17031000490</v>
      </c>
      <c r="E1154" s="213" t="s">
        <v>533</v>
      </c>
      <c r="F1154" s="213" t="s">
        <v>534</v>
      </c>
      <c r="G1154" s="213" t="s">
        <v>365</v>
      </c>
      <c r="H1154" s="213" t="s">
        <v>382</v>
      </c>
      <c r="I1154" s="213"/>
      <c r="J1154" s="213"/>
      <c r="K1154" s="213"/>
      <c r="L1154" s="213"/>
      <c r="M1154" s="213"/>
      <c r="N1154" s="213"/>
      <c r="O1154" s="213"/>
      <c r="P1154" s="213"/>
      <c r="Q1154" s="213"/>
      <c r="R1154" s="213"/>
      <c r="S1154" s="213" t="s">
        <v>586</v>
      </c>
      <c r="T1154" s="213" t="s">
        <v>689</v>
      </c>
      <c r="U1154" s="213" t="s">
        <v>538</v>
      </c>
      <c r="V1154" s="213">
        <v>2</v>
      </c>
      <c r="W1154" s="213" t="s">
        <v>582</v>
      </c>
      <c r="X1154" s="213" t="s">
        <v>554</v>
      </c>
      <c r="Y1154" s="213" t="s">
        <v>549</v>
      </c>
      <c r="Z1154" s="212">
        <v>92434</v>
      </c>
      <c r="AA1154" s="212">
        <v>9907890</v>
      </c>
      <c r="AB1154" s="217">
        <v>0.20158899999999999</v>
      </c>
      <c r="AC1154" s="217">
        <v>0.32442599999999999</v>
      </c>
      <c r="AD1154" s="212">
        <f t="shared" si="17"/>
        <v>1997321.6372099998</v>
      </c>
    </row>
    <row r="1155" spans="2:30" x14ac:dyDescent="0.15">
      <c r="B1155" s="213">
        <v>17031003922</v>
      </c>
      <c r="C1155" s="213">
        <v>17031000575</v>
      </c>
      <c r="D1155" s="213">
        <v>17031000573</v>
      </c>
      <c r="E1155" s="213" t="s">
        <v>533</v>
      </c>
      <c r="F1155" s="213" t="s">
        <v>534</v>
      </c>
      <c r="G1155" s="213" t="s">
        <v>365</v>
      </c>
      <c r="H1155" s="213" t="s">
        <v>382</v>
      </c>
      <c r="I1155" s="213"/>
      <c r="J1155" s="213" t="s">
        <v>572</v>
      </c>
      <c r="K1155" s="213" t="s">
        <v>547</v>
      </c>
      <c r="L1155" s="213"/>
      <c r="M1155" s="213"/>
      <c r="N1155" s="213"/>
      <c r="O1155" s="213"/>
      <c r="P1155" s="213"/>
      <c r="Q1155" s="213"/>
      <c r="R1155" s="213"/>
      <c r="S1155" s="213" t="s">
        <v>583</v>
      </c>
      <c r="T1155" s="213"/>
      <c r="U1155" s="213" t="s">
        <v>538</v>
      </c>
      <c r="V1155" s="213">
        <v>3</v>
      </c>
      <c r="W1155" s="213" t="s">
        <v>545</v>
      </c>
      <c r="X1155" s="213" t="s">
        <v>540</v>
      </c>
      <c r="Y1155" s="213" t="s">
        <v>580</v>
      </c>
      <c r="Z1155" s="212">
        <v>999857</v>
      </c>
      <c r="AA1155" s="212">
        <v>33304864</v>
      </c>
      <c r="AB1155" s="217">
        <v>0.27815699999999999</v>
      </c>
      <c r="AC1155" s="217">
        <v>0.44764999999999999</v>
      </c>
      <c r="AD1155" s="212">
        <f t="shared" si="17"/>
        <v>9263981.055647999</v>
      </c>
    </row>
    <row r="1156" spans="2:30" x14ac:dyDescent="0.15">
      <c r="B1156" s="213">
        <v>17031003925</v>
      </c>
      <c r="C1156" s="213">
        <v>17031000625</v>
      </c>
      <c r="D1156" s="213">
        <v>17031000647</v>
      </c>
      <c r="E1156" s="213" t="s">
        <v>533</v>
      </c>
      <c r="F1156" s="213" t="s">
        <v>534</v>
      </c>
      <c r="G1156" s="213" t="s">
        <v>365</v>
      </c>
      <c r="H1156" s="213" t="s">
        <v>551</v>
      </c>
      <c r="I1156" s="213"/>
      <c r="J1156" s="213"/>
      <c r="K1156" s="213"/>
      <c r="L1156" s="213"/>
      <c r="M1156" s="213"/>
      <c r="N1156" s="213"/>
      <c r="O1156" s="213"/>
      <c r="P1156" s="213"/>
      <c r="Q1156" s="213"/>
      <c r="R1156" s="213"/>
      <c r="S1156" s="213" t="s">
        <v>600</v>
      </c>
      <c r="T1156" s="213"/>
      <c r="U1156" s="213" t="s">
        <v>538</v>
      </c>
      <c r="V1156" s="213">
        <v>1</v>
      </c>
      <c r="W1156" s="213" t="s">
        <v>539</v>
      </c>
      <c r="X1156" s="213" t="s">
        <v>541</v>
      </c>
      <c r="Y1156" s="213" t="s">
        <v>541</v>
      </c>
      <c r="Z1156" s="212">
        <v>174583</v>
      </c>
      <c r="AA1156" s="212">
        <v>7594517</v>
      </c>
      <c r="AB1156" s="217">
        <v>0.435504</v>
      </c>
      <c r="AC1156" s="217">
        <v>0.700878</v>
      </c>
      <c r="AD1156" s="212">
        <f t="shared" si="17"/>
        <v>3307442.5315680001</v>
      </c>
    </row>
    <row r="1157" spans="2:30" x14ac:dyDescent="0.15">
      <c r="B1157" s="213">
        <v>17031003928</v>
      </c>
      <c r="C1157" s="213">
        <v>17031001163</v>
      </c>
      <c r="D1157" s="213">
        <v>17031006712</v>
      </c>
      <c r="E1157" s="213" t="s">
        <v>533</v>
      </c>
      <c r="F1157" s="213" t="s">
        <v>534</v>
      </c>
      <c r="G1157" s="213" t="s">
        <v>365</v>
      </c>
      <c r="H1157" s="213" t="s">
        <v>571</v>
      </c>
      <c r="I1157" s="213"/>
      <c r="J1157" s="213"/>
      <c r="K1157" s="213"/>
      <c r="L1157" s="213"/>
      <c r="M1157" s="213"/>
      <c r="N1157" s="213"/>
      <c r="O1157" s="213"/>
      <c r="P1157" s="213"/>
      <c r="Q1157" s="213"/>
      <c r="R1157" s="213"/>
      <c r="S1157" s="213" t="s">
        <v>573</v>
      </c>
      <c r="T1157" s="213" t="s">
        <v>643</v>
      </c>
      <c r="U1157" s="213" t="s">
        <v>538</v>
      </c>
      <c r="V1157" s="213">
        <v>1</v>
      </c>
      <c r="W1157" s="213" t="s">
        <v>545</v>
      </c>
      <c r="X1157" s="213" t="s">
        <v>541</v>
      </c>
      <c r="Y1157" s="213" t="s">
        <v>546</v>
      </c>
      <c r="Z1157" s="212">
        <v>0</v>
      </c>
      <c r="AA1157" s="212">
        <v>0</v>
      </c>
      <c r="AB1157" s="217">
        <v>0.69272299999999998</v>
      </c>
      <c r="AC1157" s="217">
        <v>1.114832</v>
      </c>
      <c r="AD1157" s="212">
        <f t="shared" si="17"/>
        <v>0</v>
      </c>
    </row>
    <row r="1158" spans="2:30" x14ac:dyDescent="0.15">
      <c r="B1158" s="213">
        <v>17031003932</v>
      </c>
      <c r="C1158" s="213">
        <v>17031001099</v>
      </c>
      <c r="D1158" s="213">
        <v>17031001097</v>
      </c>
      <c r="E1158" s="213" t="s">
        <v>533</v>
      </c>
      <c r="F1158" s="213" t="s">
        <v>534</v>
      </c>
      <c r="G1158" s="213" t="s">
        <v>365</v>
      </c>
      <c r="H1158" s="213" t="s">
        <v>571</v>
      </c>
      <c r="I1158" s="213"/>
      <c r="J1158" s="213" t="s">
        <v>552</v>
      </c>
      <c r="K1158" s="213" t="s">
        <v>572</v>
      </c>
      <c r="L1158" s="213" t="s">
        <v>543</v>
      </c>
      <c r="M1158" s="213"/>
      <c r="N1158" s="213"/>
      <c r="O1158" s="213"/>
      <c r="P1158" s="213"/>
      <c r="Q1158" s="213"/>
      <c r="R1158" s="213"/>
      <c r="S1158" s="213" t="s">
        <v>573</v>
      </c>
      <c r="T1158" s="213"/>
      <c r="U1158" s="213" t="s">
        <v>538</v>
      </c>
      <c r="V1158" s="213">
        <v>2</v>
      </c>
      <c r="W1158" s="213" t="s">
        <v>545</v>
      </c>
      <c r="X1158" s="213" t="s">
        <v>554</v>
      </c>
      <c r="Y1158" s="213" t="s">
        <v>580</v>
      </c>
      <c r="Z1158" s="212">
        <v>225742</v>
      </c>
      <c r="AA1158" s="212">
        <v>7969348</v>
      </c>
      <c r="AB1158" s="217">
        <v>0.12875500000000001</v>
      </c>
      <c r="AC1158" s="217">
        <v>0.20721200000000001</v>
      </c>
      <c r="AD1158" s="212">
        <f t="shared" ref="AD1158:AD1221" si="18">AA1158*AB1158</f>
        <v>1026093.4017400001</v>
      </c>
    </row>
    <row r="1159" spans="2:30" x14ac:dyDescent="0.15">
      <c r="B1159" s="213">
        <v>17031003934</v>
      </c>
      <c r="C1159" s="213">
        <v>17031000613</v>
      </c>
      <c r="D1159" s="213">
        <v>17031004742</v>
      </c>
      <c r="E1159" s="213" t="s">
        <v>533</v>
      </c>
      <c r="F1159" s="213" t="s">
        <v>534</v>
      </c>
      <c r="G1159" s="213" t="s">
        <v>365</v>
      </c>
      <c r="H1159" s="213" t="s">
        <v>547</v>
      </c>
      <c r="I1159" s="213"/>
      <c r="J1159" s="213" t="s">
        <v>627</v>
      </c>
      <c r="K1159" s="213"/>
      <c r="L1159" s="213"/>
      <c r="M1159" s="213"/>
      <c r="N1159" s="213"/>
      <c r="O1159" s="213"/>
      <c r="P1159" s="213"/>
      <c r="Q1159" s="213"/>
      <c r="R1159" s="213"/>
      <c r="S1159" s="213"/>
      <c r="T1159" s="213"/>
      <c r="U1159" s="213" t="s">
        <v>538</v>
      </c>
      <c r="V1159" s="213">
        <v>4</v>
      </c>
      <c r="W1159" s="213" t="s">
        <v>545</v>
      </c>
      <c r="X1159" s="213" t="s">
        <v>554</v>
      </c>
      <c r="Y1159" s="213" t="s">
        <v>541</v>
      </c>
      <c r="Z1159" s="212">
        <v>0</v>
      </c>
      <c r="AA1159" s="212">
        <v>0</v>
      </c>
      <c r="AB1159" s="217">
        <v>0.190722</v>
      </c>
      <c r="AC1159" s="217">
        <v>0.30693799999999999</v>
      </c>
      <c r="AD1159" s="212">
        <f t="shared" si="18"/>
        <v>0</v>
      </c>
    </row>
    <row r="1160" spans="2:30" x14ac:dyDescent="0.15">
      <c r="B1160" s="213">
        <v>17031003937</v>
      </c>
      <c r="C1160" s="213">
        <v>17031001265</v>
      </c>
      <c r="D1160" s="213">
        <v>17031001275</v>
      </c>
      <c r="E1160" s="213" t="s">
        <v>533</v>
      </c>
      <c r="F1160" s="213" t="s">
        <v>534</v>
      </c>
      <c r="G1160" s="213" t="s">
        <v>365</v>
      </c>
      <c r="H1160" s="213" t="s">
        <v>557</v>
      </c>
      <c r="I1160" s="213"/>
      <c r="J1160" s="213"/>
      <c r="K1160" s="213"/>
      <c r="L1160" s="213"/>
      <c r="M1160" s="213"/>
      <c r="N1160" s="213"/>
      <c r="O1160" s="213"/>
      <c r="P1160" s="213"/>
      <c r="Q1160" s="213"/>
      <c r="R1160" s="213"/>
      <c r="S1160" s="213"/>
      <c r="T1160" s="213"/>
      <c r="U1160" s="213" t="s">
        <v>559</v>
      </c>
      <c r="V1160" s="213">
        <v>1</v>
      </c>
      <c r="W1160" s="213" t="s">
        <v>560</v>
      </c>
      <c r="X1160" s="213" t="s">
        <v>541</v>
      </c>
      <c r="Y1160" s="213" t="s">
        <v>541</v>
      </c>
      <c r="Z1160" s="212">
        <v>0</v>
      </c>
      <c r="AA1160" s="212">
        <v>0</v>
      </c>
      <c r="AB1160" s="217">
        <v>0.60385100000000003</v>
      </c>
      <c r="AC1160" s="217">
        <v>0.97180599999999995</v>
      </c>
      <c r="AD1160" s="212">
        <f t="shared" si="18"/>
        <v>0</v>
      </c>
    </row>
    <row r="1161" spans="2:30" x14ac:dyDescent="0.15">
      <c r="B1161" s="213">
        <v>17031003940</v>
      </c>
      <c r="C1161" s="213">
        <v>17031001362</v>
      </c>
      <c r="D1161" s="213">
        <v>17031001376</v>
      </c>
      <c r="E1161" s="213" t="s">
        <v>533</v>
      </c>
      <c r="F1161" s="213" t="s">
        <v>534</v>
      </c>
      <c r="G1161" s="213" t="s">
        <v>365</v>
      </c>
      <c r="H1161" s="213" t="s">
        <v>557</v>
      </c>
      <c r="I1161" s="213"/>
      <c r="J1161" s="213" t="s">
        <v>382</v>
      </c>
      <c r="K1161" s="213" t="s">
        <v>552</v>
      </c>
      <c r="L1161" s="213" t="s">
        <v>555</v>
      </c>
      <c r="M1161" s="213"/>
      <c r="N1161" s="213"/>
      <c r="O1161" s="213"/>
      <c r="P1161" s="213"/>
      <c r="Q1161" s="213"/>
      <c r="R1161" s="213"/>
      <c r="S1161" s="213"/>
      <c r="T1161" s="213"/>
      <c r="U1161" s="213" t="s">
        <v>538</v>
      </c>
      <c r="V1161" s="213">
        <v>1</v>
      </c>
      <c r="W1161" s="213" t="s">
        <v>560</v>
      </c>
      <c r="X1161" s="213" t="s">
        <v>554</v>
      </c>
      <c r="Y1161" s="213" t="s">
        <v>549</v>
      </c>
      <c r="Z1161" s="212">
        <v>161719</v>
      </c>
      <c r="AA1161" s="212">
        <v>9564854</v>
      </c>
      <c r="AB1161" s="217">
        <v>0.28295799999999999</v>
      </c>
      <c r="AC1161" s="217">
        <v>0.455378</v>
      </c>
      <c r="AD1161" s="212">
        <f t="shared" si="18"/>
        <v>2706451.9581319997</v>
      </c>
    </row>
    <row r="1162" spans="2:30" x14ac:dyDescent="0.15">
      <c r="B1162" s="213">
        <v>17031003950</v>
      </c>
      <c r="C1162" s="213">
        <v>17031000401</v>
      </c>
      <c r="D1162" s="213">
        <v>17031004784</v>
      </c>
      <c r="E1162" s="213" t="s">
        <v>533</v>
      </c>
      <c r="F1162" s="213" t="s">
        <v>534</v>
      </c>
      <c r="G1162" s="213" t="s">
        <v>365</v>
      </c>
      <c r="H1162" s="213" t="s">
        <v>382</v>
      </c>
      <c r="I1162" s="213"/>
      <c r="J1162" s="213"/>
      <c r="K1162" s="213"/>
      <c r="L1162" s="213"/>
      <c r="M1162" s="213"/>
      <c r="N1162" s="213"/>
      <c r="O1162" s="213"/>
      <c r="P1162" s="213"/>
      <c r="Q1162" s="213"/>
      <c r="R1162" s="213"/>
      <c r="S1162" s="213" t="s">
        <v>646</v>
      </c>
      <c r="T1162" s="213"/>
      <c r="U1162" s="213" t="s">
        <v>559</v>
      </c>
      <c r="V1162" s="213">
        <v>1</v>
      </c>
      <c r="W1162" s="213" t="s">
        <v>560</v>
      </c>
      <c r="X1162" s="213" t="s">
        <v>541</v>
      </c>
      <c r="Y1162" s="213" t="s">
        <v>541</v>
      </c>
      <c r="Z1162" s="212">
        <v>0</v>
      </c>
      <c r="AA1162" s="212">
        <v>0</v>
      </c>
      <c r="AB1162" s="217">
        <v>3.3148849999999999</v>
      </c>
      <c r="AC1162" s="217">
        <v>5.3348009999999997</v>
      </c>
      <c r="AD1162" s="212">
        <f t="shared" si="18"/>
        <v>0</v>
      </c>
    </row>
    <row r="1163" spans="2:30" x14ac:dyDescent="0.15">
      <c r="B1163" s="213">
        <v>17031003957</v>
      </c>
      <c r="C1163" s="213">
        <v>17031000684</v>
      </c>
      <c r="D1163" s="213">
        <v>17031000674</v>
      </c>
      <c r="E1163" s="213" t="s">
        <v>533</v>
      </c>
      <c r="F1163" s="213" t="s">
        <v>534</v>
      </c>
      <c r="G1163" s="213" t="s">
        <v>365</v>
      </c>
      <c r="H1163" s="213" t="s">
        <v>381</v>
      </c>
      <c r="I1163" s="213"/>
      <c r="J1163" s="213" t="s">
        <v>542</v>
      </c>
      <c r="K1163" s="213" t="s">
        <v>577</v>
      </c>
      <c r="L1163" s="213" t="s">
        <v>572</v>
      </c>
      <c r="M1163" s="213" t="s">
        <v>547</v>
      </c>
      <c r="N1163" s="213" t="s">
        <v>382</v>
      </c>
      <c r="O1163" s="213"/>
      <c r="P1163" s="213"/>
      <c r="Q1163" s="213"/>
      <c r="R1163" s="213"/>
      <c r="S1163" s="213" t="s">
        <v>579</v>
      </c>
      <c r="T1163" s="213" t="s">
        <v>640</v>
      </c>
      <c r="U1163" s="213" t="s">
        <v>538</v>
      </c>
      <c r="V1163" s="213">
        <v>4</v>
      </c>
      <c r="W1163" s="213" t="s">
        <v>545</v>
      </c>
      <c r="X1163" s="213" t="s">
        <v>540</v>
      </c>
      <c r="Y1163" s="213" t="s">
        <v>549</v>
      </c>
      <c r="Z1163" s="212">
        <v>120432</v>
      </c>
      <c r="AA1163" s="212">
        <v>8777707</v>
      </c>
      <c r="AB1163" s="217">
        <v>0.68950900000000004</v>
      </c>
      <c r="AC1163" s="217">
        <v>1.1096600000000001</v>
      </c>
      <c r="AD1163" s="212">
        <f t="shared" si="18"/>
        <v>6052307.9758630004</v>
      </c>
    </row>
    <row r="1164" spans="2:30" x14ac:dyDescent="0.15">
      <c r="B1164" s="213">
        <v>17031003973</v>
      </c>
      <c r="C1164" s="213">
        <v>17031000903</v>
      </c>
      <c r="D1164" s="213">
        <v>17031000889</v>
      </c>
      <c r="E1164" s="213" t="s">
        <v>533</v>
      </c>
      <c r="F1164" s="213" t="s">
        <v>534</v>
      </c>
      <c r="G1164" s="213" t="s">
        <v>365</v>
      </c>
      <c r="H1164" s="213" t="s">
        <v>543</v>
      </c>
      <c r="I1164" s="213"/>
      <c r="J1164" s="213" t="s">
        <v>542</v>
      </c>
      <c r="K1164" s="213"/>
      <c r="L1164" s="213"/>
      <c r="M1164" s="213"/>
      <c r="N1164" s="213"/>
      <c r="O1164" s="213"/>
      <c r="P1164" s="213"/>
      <c r="Q1164" s="213"/>
      <c r="R1164" s="213"/>
      <c r="S1164" s="213" t="s">
        <v>630</v>
      </c>
      <c r="T1164" s="213"/>
      <c r="U1164" s="213" t="s">
        <v>538</v>
      </c>
      <c r="V1164" s="213">
        <v>2</v>
      </c>
      <c r="W1164" s="213" t="s">
        <v>545</v>
      </c>
      <c r="X1164" s="213" t="s">
        <v>540</v>
      </c>
      <c r="Y1164" s="213" t="s">
        <v>580</v>
      </c>
      <c r="Z1164" s="212">
        <v>1962622</v>
      </c>
      <c r="AA1164" s="212">
        <v>56698813</v>
      </c>
      <c r="AB1164" s="217">
        <v>0.18421599999999999</v>
      </c>
      <c r="AC1164" s="217">
        <v>0.29646800000000001</v>
      </c>
      <c r="AD1164" s="212">
        <f t="shared" si="18"/>
        <v>10444828.535607999</v>
      </c>
    </row>
    <row r="1165" spans="2:30" x14ac:dyDescent="0.15">
      <c r="B1165" s="213">
        <v>17031003974</v>
      </c>
      <c r="C1165" s="213">
        <v>17031000889</v>
      </c>
      <c r="D1165" s="213">
        <v>17031000875</v>
      </c>
      <c r="E1165" s="213" t="s">
        <v>533</v>
      </c>
      <c r="F1165" s="213" t="s">
        <v>534</v>
      </c>
      <c r="G1165" s="213" t="s">
        <v>365</v>
      </c>
      <c r="H1165" s="213" t="s">
        <v>543</v>
      </c>
      <c r="I1165" s="213"/>
      <c r="J1165" s="213" t="s">
        <v>542</v>
      </c>
      <c r="K1165" s="213"/>
      <c r="L1165" s="213"/>
      <c r="M1165" s="213"/>
      <c r="N1165" s="213"/>
      <c r="O1165" s="213"/>
      <c r="P1165" s="213"/>
      <c r="Q1165" s="213"/>
      <c r="R1165" s="213"/>
      <c r="S1165" s="213" t="s">
        <v>630</v>
      </c>
      <c r="T1165" s="213"/>
      <c r="U1165" s="213" t="s">
        <v>538</v>
      </c>
      <c r="V1165" s="213">
        <v>2</v>
      </c>
      <c r="W1165" s="213" t="s">
        <v>545</v>
      </c>
      <c r="X1165" s="213" t="s">
        <v>540</v>
      </c>
      <c r="Y1165" s="213" t="s">
        <v>580</v>
      </c>
      <c r="Z1165" s="212">
        <v>1962622</v>
      </c>
      <c r="AA1165" s="212">
        <v>56698813</v>
      </c>
      <c r="AB1165" s="217">
        <v>0.36756899999999998</v>
      </c>
      <c r="AC1165" s="217">
        <v>0.59154499999999999</v>
      </c>
      <c r="AD1165" s="212">
        <f t="shared" si="18"/>
        <v>20840725.995596997</v>
      </c>
    </row>
    <row r="1166" spans="2:30" x14ac:dyDescent="0.15">
      <c r="B1166" s="213">
        <v>17031003977</v>
      </c>
      <c r="C1166" s="213">
        <v>17031000705</v>
      </c>
      <c r="D1166" s="213">
        <v>17031000695</v>
      </c>
      <c r="E1166" s="213" t="s">
        <v>533</v>
      </c>
      <c r="F1166" s="213" t="s">
        <v>534</v>
      </c>
      <c r="G1166" s="213" t="s">
        <v>365</v>
      </c>
      <c r="H1166" s="213" t="s">
        <v>543</v>
      </c>
      <c r="I1166" s="213"/>
      <c r="J1166" s="213" t="s">
        <v>542</v>
      </c>
      <c r="K1166" s="213" t="s">
        <v>547</v>
      </c>
      <c r="L1166" s="213"/>
      <c r="M1166" s="213"/>
      <c r="N1166" s="213"/>
      <c r="O1166" s="213"/>
      <c r="P1166" s="213"/>
      <c r="Q1166" s="213"/>
      <c r="R1166" s="213"/>
      <c r="S1166" s="213" t="s">
        <v>630</v>
      </c>
      <c r="T1166" s="213"/>
      <c r="U1166" s="213" t="s">
        <v>538</v>
      </c>
      <c r="V1166" s="213">
        <v>2</v>
      </c>
      <c r="W1166" s="213" t="s">
        <v>545</v>
      </c>
      <c r="X1166" s="213" t="s">
        <v>554</v>
      </c>
      <c r="Y1166" s="213" t="s">
        <v>549</v>
      </c>
      <c r="Z1166" s="212">
        <v>141680</v>
      </c>
      <c r="AA1166" s="212">
        <v>9584979</v>
      </c>
      <c r="AB1166" s="217">
        <v>0.25978600000000002</v>
      </c>
      <c r="AC1166" s="217">
        <v>0.41808499999999998</v>
      </c>
      <c r="AD1166" s="212">
        <f t="shared" si="18"/>
        <v>2490043.3544940003</v>
      </c>
    </row>
    <row r="1167" spans="2:30" x14ac:dyDescent="0.15">
      <c r="B1167" s="213">
        <v>17031003978</v>
      </c>
      <c r="C1167" s="213">
        <v>17031000695</v>
      </c>
      <c r="D1167" s="213">
        <v>17031000689</v>
      </c>
      <c r="E1167" s="213" t="s">
        <v>533</v>
      </c>
      <c r="F1167" s="213" t="s">
        <v>534</v>
      </c>
      <c r="G1167" s="213" t="s">
        <v>365</v>
      </c>
      <c r="H1167" s="213" t="s">
        <v>543</v>
      </c>
      <c r="I1167" s="213"/>
      <c r="J1167" s="213" t="s">
        <v>542</v>
      </c>
      <c r="K1167" s="213" t="s">
        <v>547</v>
      </c>
      <c r="L1167" s="213" t="s">
        <v>382</v>
      </c>
      <c r="M1167" s="213"/>
      <c r="N1167" s="213"/>
      <c r="O1167" s="213"/>
      <c r="P1167" s="213"/>
      <c r="Q1167" s="213"/>
      <c r="R1167" s="213"/>
      <c r="S1167" s="213" t="s">
        <v>630</v>
      </c>
      <c r="T1167" s="213"/>
      <c r="U1167" s="213" t="s">
        <v>538</v>
      </c>
      <c r="V1167" s="213">
        <v>2</v>
      </c>
      <c r="W1167" s="213" t="s">
        <v>545</v>
      </c>
      <c r="X1167" s="213" t="s">
        <v>541</v>
      </c>
      <c r="Y1167" s="213" t="s">
        <v>549</v>
      </c>
      <c r="Z1167" s="212">
        <v>142320</v>
      </c>
      <c r="AA1167" s="212">
        <v>9619179</v>
      </c>
      <c r="AB1167" s="217">
        <v>8.0324000000000007E-2</v>
      </c>
      <c r="AC1167" s="217">
        <v>0.12927</v>
      </c>
      <c r="AD1167" s="212">
        <f t="shared" si="18"/>
        <v>772650.93399600009</v>
      </c>
    </row>
    <row r="1168" spans="2:30" x14ac:dyDescent="0.15">
      <c r="B1168" s="213">
        <v>17031003979</v>
      </c>
      <c r="C1168" s="213">
        <v>17031000689</v>
      </c>
      <c r="D1168" s="213">
        <v>17031000685</v>
      </c>
      <c r="E1168" s="213" t="s">
        <v>533</v>
      </c>
      <c r="F1168" s="213" t="s">
        <v>534</v>
      </c>
      <c r="G1168" s="213" t="s">
        <v>365</v>
      </c>
      <c r="H1168" s="213" t="s">
        <v>543</v>
      </c>
      <c r="I1168" s="213"/>
      <c r="J1168" s="213" t="s">
        <v>542</v>
      </c>
      <c r="K1168" s="213" t="s">
        <v>547</v>
      </c>
      <c r="L1168" s="213" t="s">
        <v>382</v>
      </c>
      <c r="M1168" s="213"/>
      <c r="N1168" s="213"/>
      <c r="O1168" s="213"/>
      <c r="P1168" s="213"/>
      <c r="Q1168" s="213"/>
      <c r="R1168" s="213"/>
      <c r="S1168" s="213" t="s">
        <v>630</v>
      </c>
      <c r="T1168" s="213"/>
      <c r="U1168" s="213" t="s">
        <v>538</v>
      </c>
      <c r="V1168" s="213">
        <v>2</v>
      </c>
      <c r="W1168" s="213" t="s">
        <v>545</v>
      </c>
      <c r="X1168" s="213" t="s">
        <v>541</v>
      </c>
      <c r="Y1168" s="213" t="s">
        <v>540</v>
      </c>
      <c r="Z1168" s="212">
        <v>216776</v>
      </c>
      <c r="AA1168" s="212">
        <v>12327019</v>
      </c>
      <c r="AB1168" s="217">
        <v>0.140044</v>
      </c>
      <c r="AC1168" s="217">
        <v>0.225379</v>
      </c>
      <c r="AD1168" s="212">
        <f t="shared" si="18"/>
        <v>1726325.048836</v>
      </c>
    </row>
    <row r="1169" spans="2:30" x14ac:dyDescent="0.15">
      <c r="B1169" s="213">
        <v>17031004005</v>
      </c>
      <c r="C1169" s="213">
        <v>17031000664</v>
      </c>
      <c r="D1169" s="213">
        <v>17031004665</v>
      </c>
      <c r="E1169" s="213" t="s">
        <v>533</v>
      </c>
      <c r="F1169" s="213" t="s">
        <v>534</v>
      </c>
      <c r="G1169" s="213" t="s">
        <v>365</v>
      </c>
      <c r="H1169" s="213" t="s">
        <v>381</v>
      </c>
      <c r="I1169" s="213"/>
      <c r="J1169" s="213" t="s">
        <v>542</v>
      </c>
      <c r="K1169" s="213" t="s">
        <v>577</v>
      </c>
      <c r="L1169" s="213" t="s">
        <v>572</v>
      </c>
      <c r="M1169" s="213" t="s">
        <v>547</v>
      </c>
      <c r="N1169" s="213" t="s">
        <v>382</v>
      </c>
      <c r="O1169" s="213"/>
      <c r="P1169" s="213"/>
      <c r="Q1169" s="213"/>
      <c r="R1169" s="213"/>
      <c r="S1169" s="213" t="s">
        <v>579</v>
      </c>
      <c r="T1169" s="213"/>
      <c r="U1169" s="213" t="s">
        <v>538</v>
      </c>
      <c r="V1169" s="213">
        <v>4</v>
      </c>
      <c r="W1169" s="213" t="s">
        <v>545</v>
      </c>
      <c r="X1169" s="213" t="s">
        <v>540</v>
      </c>
      <c r="Y1169" s="213" t="s">
        <v>549</v>
      </c>
      <c r="Z1169" s="212">
        <v>120272</v>
      </c>
      <c r="AA1169" s="212">
        <v>8757787</v>
      </c>
      <c r="AB1169" s="217">
        <v>0.21277099999999999</v>
      </c>
      <c r="AC1169" s="217">
        <v>0.34242299999999998</v>
      </c>
      <c r="AD1169" s="212">
        <f t="shared" si="18"/>
        <v>1863403.0977769999</v>
      </c>
    </row>
    <row r="1170" spans="2:30" x14ac:dyDescent="0.15">
      <c r="B1170" s="213">
        <v>17031004006</v>
      </c>
      <c r="C1170" s="213">
        <v>17031000893</v>
      </c>
      <c r="D1170" s="213">
        <v>17031004716</v>
      </c>
      <c r="E1170" s="213" t="s">
        <v>533</v>
      </c>
      <c r="F1170" s="213" t="s">
        <v>534</v>
      </c>
      <c r="G1170" s="213" t="s">
        <v>365</v>
      </c>
      <c r="H1170" s="213" t="s">
        <v>551</v>
      </c>
      <c r="I1170" s="213"/>
      <c r="J1170" s="213" t="s">
        <v>381</v>
      </c>
      <c r="K1170" s="213" t="s">
        <v>535</v>
      </c>
      <c r="L1170" s="213" t="s">
        <v>552</v>
      </c>
      <c r="M1170" s="213" t="s">
        <v>382</v>
      </c>
      <c r="N1170" s="213"/>
      <c r="O1170" s="213"/>
      <c r="P1170" s="213"/>
      <c r="Q1170" s="213"/>
      <c r="R1170" s="213"/>
      <c r="S1170" s="213" t="s">
        <v>600</v>
      </c>
      <c r="T1170" s="213"/>
      <c r="U1170" s="213" t="s">
        <v>538</v>
      </c>
      <c r="V1170" s="213">
        <v>3</v>
      </c>
      <c r="W1170" s="213" t="s">
        <v>582</v>
      </c>
      <c r="X1170" s="213" t="s">
        <v>540</v>
      </c>
      <c r="Y1170" s="213" t="s">
        <v>575</v>
      </c>
      <c r="Z1170" s="212">
        <v>174623</v>
      </c>
      <c r="AA1170" s="212">
        <v>7596917</v>
      </c>
      <c r="AB1170" s="217">
        <v>0.73901600000000001</v>
      </c>
      <c r="AC1170" s="217">
        <v>1.189333</v>
      </c>
      <c r="AD1170" s="212">
        <f t="shared" si="18"/>
        <v>5614243.213672</v>
      </c>
    </row>
    <row r="1171" spans="2:30" x14ac:dyDescent="0.15">
      <c r="B1171" s="213">
        <v>17031004007</v>
      </c>
      <c r="C1171" s="213">
        <v>17031000791</v>
      </c>
      <c r="D1171" s="213">
        <v>17031004758</v>
      </c>
      <c r="E1171" s="213" t="s">
        <v>533</v>
      </c>
      <c r="F1171" s="213" t="s">
        <v>534</v>
      </c>
      <c r="G1171" s="213" t="s">
        <v>365</v>
      </c>
      <c r="H1171" s="213" t="s">
        <v>547</v>
      </c>
      <c r="I1171" s="213"/>
      <c r="J1171" s="213" t="s">
        <v>577</v>
      </c>
      <c r="K1171" s="213"/>
      <c r="L1171" s="213"/>
      <c r="M1171" s="213"/>
      <c r="N1171" s="213"/>
      <c r="O1171" s="213"/>
      <c r="P1171" s="213"/>
      <c r="Q1171" s="213"/>
      <c r="R1171" s="213"/>
      <c r="S1171" s="213" t="s">
        <v>581</v>
      </c>
      <c r="T1171" s="213"/>
      <c r="U1171" s="213" t="s">
        <v>538</v>
      </c>
      <c r="V1171" s="213">
        <v>2</v>
      </c>
      <c r="W1171" s="213" t="s">
        <v>582</v>
      </c>
      <c r="X1171" s="213" t="s">
        <v>540</v>
      </c>
      <c r="Y1171" s="213" t="s">
        <v>541</v>
      </c>
      <c r="Z1171" s="212">
        <v>0</v>
      </c>
      <c r="AA1171" s="212">
        <v>0</v>
      </c>
      <c r="AB1171" s="217">
        <v>0.16733799999999999</v>
      </c>
      <c r="AC1171" s="217">
        <v>0.26930500000000002</v>
      </c>
      <c r="AD1171" s="212">
        <f t="shared" si="18"/>
        <v>0</v>
      </c>
    </row>
    <row r="1172" spans="2:30" x14ac:dyDescent="0.15">
      <c r="B1172" s="213">
        <v>17031004024</v>
      </c>
      <c r="C1172" s="213">
        <v>17031001422</v>
      </c>
      <c r="D1172" s="213">
        <v>17031001421</v>
      </c>
      <c r="E1172" s="213" t="s">
        <v>533</v>
      </c>
      <c r="F1172" s="213" t="s">
        <v>534</v>
      </c>
      <c r="G1172" s="213" t="s">
        <v>365</v>
      </c>
      <c r="H1172" s="213" t="s">
        <v>535</v>
      </c>
      <c r="I1172" s="213"/>
      <c r="J1172" s="213" t="s">
        <v>542</v>
      </c>
      <c r="K1172" s="213" t="s">
        <v>543</v>
      </c>
      <c r="L1172" s="213" t="s">
        <v>382</v>
      </c>
      <c r="M1172" s="213" t="s">
        <v>552</v>
      </c>
      <c r="N1172" s="213"/>
      <c r="O1172" s="213"/>
      <c r="P1172" s="213"/>
      <c r="Q1172" s="213"/>
      <c r="R1172" s="213"/>
      <c r="S1172" s="213" t="s">
        <v>544</v>
      </c>
      <c r="T1172" s="213" t="s">
        <v>621</v>
      </c>
      <c r="U1172" s="213" t="s">
        <v>538</v>
      </c>
      <c r="V1172" s="213">
        <v>2</v>
      </c>
      <c r="W1172" s="213" t="s">
        <v>545</v>
      </c>
      <c r="X1172" s="213" t="s">
        <v>549</v>
      </c>
      <c r="Y1172" s="213" t="s">
        <v>546</v>
      </c>
      <c r="Z1172" s="212">
        <v>441885</v>
      </c>
      <c r="AA1172" s="212">
        <v>22380696</v>
      </c>
      <c r="AB1172" s="217">
        <v>0.154305</v>
      </c>
      <c r="AC1172" s="217">
        <v>0.24833</v>
      </c>
      <c r="AD1172" s="212">
        <f t="shared" si="18"/>
        <v>3453453.2962799999</v>
      </c>
    </row>
    <row r="1173" spans="2:30" x14ac:dyDescent="0.15">
      <c r="B1173" s="213">
        <v>17031004029</v>
      </c>
      <c r="C1173" s="213">
        <v>17031000471</v>
      </c>
      <c r="D1173" s="213">
        <v>17031000480</v>
      </c>
      <c r="E1173" s="213" t="s">
        <v>533</v>
      </c>
      <c r="F1173" s="213" t="s">
        <v>534</v>
      </c>
      <c r="G1173" s="213" t="s">
        <v>365</v>
      </c>
      <c r="H1173" s="213" t="s">
        <v>590</v>
      </c>
      <c r="I1173" s="213"/>
      <c r="J1173" s="213"/>
      <c r="K1173" s="213"/>
      <c r="L1173" s="213"/>
      <c r="M1173" s="213"/>
      <c r="N1173" s="213"/>
      <c r="O1173" s="213"/>
      <c r="P1173" s="213"/>
      <c r="Q1173" s="213"/>
      <c r="R1173" s="213"/>
      <c r="S1173" s="213"/>
      <c r="T1173" s="213"/>
      <c r="U1173" s="213" t="s">
        <v>559</v>
      </c>
      <c r="V1173" s="213">
        <v>1</v>
      </c>
      <c r="W1173" s="213" t="s">
        <v>560</v>
      </c>
      <c r="X1173" s="213" t="s">
        <v>541</v>
      </c>
      <c r="Y1173" s="213" t="s">
        <v>541</v>
      </c>
      <c r="Z1173" s="212">
        <v>0</v>
      </c>
      <c r="AA1173" s="212">
        <v>0</v>
      </c>
      <c r="AB1173" s="217">
        <v>0.13963400000000001</v>
      </c>
      <c r="AC1173" s="217">
        <v>0.224719</v>
      </c>
      <c r="AD1173" s="212">
        <f t="shared" si="18"/>
        <v>0</v>
      </c>
    </row>
    <row r="1174" spans="2:30" x14ac:dyDescent="0.15">
      <c r="B1174" s="213">
        <v>17031004045</v>
      </c>
      <c r="C1174" s="213">
        <v>17031001391</v>
      </c>
      <c r="D1174" s="213">
        <v>17031001397</v>
      </c>
      <c r="E1174" s="213" t="s">
        <v>533</v>
      </c>
      <c r="F1174" s="213" t="s">
        <v>534</v>
      </c>
      <c r="G1174" s="213" t="s">
        <v>365</v>
      </c>
      <c r="H1174" s="213" t="s">
        <v>551</v>
      </c>
      <c r="I1174" s="213"/>
      <c r="J1174" s="213"/>
      <c r="K1174" s="213"/>
      <c r="L1174" s="213"/>
      <c r="M1174" s="213"/>
      <c r="N1174" s="213"/>
      <c r="O1174" s="213"/>
      <c r="P1174" s="213"/>
      <c r="Q1174" s="213"/>
      <c r="R1174" s="213"/>
      <c r="S1174" s="213" t="s">
        <v>603</v>
      </c>
      <c r="T1174" s="213"/>
      <c r="U1174" s="213" t="s">
        <v>538</v>
      </c>
      <c r="V1174" s="213">
        <v>1</v>
      </c>
      <c r="W1174" s="213" t="s">
        <v>545</v>
      </c>
      <c r="X1174" s="213" t="s">
        <v>554</v>
      </c>
      <c r="Y1174" s="213" t="s">
        <v>575</v>
      </c>
      <c r="Z1174" s="212">
        <v>1457383</v>
      </c>
      <c r="AA1174" s="212">
        <v>57277219</v>
      </c>
      <c r="AB1174" s="217">
        <v>0.124469</v>
      </c>
      <c r="AC1174" s="217">
        <v>0.20031399999999999</v>
      </c>
      <c r="AD1174" s="212">
        <f t="shared" si="18"/>
        <v>7129238.1717109997</v>
      </c>
    </row>
    <row r="1175" spans="2:30" x14ac:dyDescent="0.15">
      <c r="B1175" s="213">
        <v>17031004050</v>
      </c>
      <c r="C1175" s="213">
        <v>17031000714</v>
      </c>
      <c r="D1175" s="213">
        <v>17031000698</v>
      </c>
      <c r="E1175" s="213" t="s">
        <v>533</v>
      </c>
      <c r="F1175" s="213" t="s">
        <v>534</v>
      </c>
      <c r="G1175" s="213" t="s">
        <v>365</v>
      </c>
      <c r="H1175" s="213" t="s">
        <v>535</v>
      </c>
      <c r="I1175" s="213"/>
      <c r="J1175" s="213" t="s">
        <v>542</v>
      </c>
      <c r="K1175" s="213" t="s">
        <v>572</v>
      </c>
      <c r="L1175" s="213" t="s">
        <v>547</v>
      </c>
      <c r="M1175" s="213" t="s">
        <v>382</v>
      </c>
      <c r="N1175" s="213"/>
      <c r="O1175" s="213"/>
      <c r="P1175" s="213"/>
      <c r="Q1175" s="213"/>
      <c r="R1175" s="213"/>
      <c r="S1175" s="213" t="s">
        <v>624</v>
      </c>
      <c r="T1175" s="213"/>
      <c r="U1175" s="213" t="s">
        <v>538</v>
      </c>
      <c r="V1175" s="213">
        <v>2</v>
      </c>
      <c r="W1175" s="213" t="s">
        <v>545</v>
      </c>
      <c r="X1175" s="213" t="s">
        <v>554</v>
      </c>
      <c r="Y1175" s="213" t="s">
        <v>549</v>
      </c>
      <c r="Z1175" s="212">
        <v>75216</v>
      </c>
      <c r="AA1175" s="212">
        <v>2779760</v>
      </c>
      <c r="AB1175" s="217">
        <v>0.45135799999999998</v>
      </c>
      <c r="AC1175" s="217">
        <v>0.72639200000000004</v>
      </c>
      <c r="AD1175" s="212">
        <f t="shared" si="18"/>
        <v>1254666.91408</v>
      </c>
    </row>
    <row r="1176" spans="2:30" x14ac:dyDescent="0.15">
      <c r="B1176" s="213">
        <v>17031004064</v>
      </c>
      <c r="C1176" s="213">
        <v>17031000799</v>
      </c>
      <c r="D1176" s="213">
        <v>17031000810</v>
      </c>
      <c r="E1176" s="213" t="s">
        <v>533</v>
      </c>
      <c r="F1176" s="213" t="s">
        <v>534</v>
      </c>
      <c r="G1176" s="213" t="s">
        <v>365</v>
      </c>
      <c r="H1176" s="213" t="s">
        <v>543</v>
      </c>
      <c r="I1176" s="213"/>
      <c r="J1176" s="213" t="s">
        <v>382</v>
      </c>
      <c r="K1176" s="213"/>
      <c r="L1176" s="213"/>
      <c r="M1176" s="213"/>
      <c r="N1176" s="213"/>
      <c r="O1176" s="213"/>
      <c r="P1176" s="213"/>
      <c r="Q1176" s="213"/>
      <c r="R1176" s="213"/>
      <c r="S1176" s="213" t="s">
        <v>639</v>
      </c>
      <c r="T1176" s="213"/>
      <c r="U1176" s="213" t="s">
        <v>538</v>
      </c>
      <c r="V1176" s="213">
        <v>2</v>
      </c>
      <c r="W1176" s="213" t="s">
        <v>560</v>
      </c>
      <c r="X1176" s="213" t="s">
        <v>541</v>
      </c>
      <c r="Y1176" s="213" t="s">
        <v>549</v>
      </c>
      <c r="Z1176" s="212">
        <v>2035388</v>
      </c>
      <c r="AA1176" s="212">
        <v>59274326</v>
      </c>
      <c r="AB1176" s="217">
        <v>0.26181599999999999</v>
      </c>
      <c r="AC1176" s="217">
        <v>0.421352</v>
      </c>
      <c r="AD1176" s="212">
        <f t="shared" si="18"/>
        <v>15518966.936015999</v>
      </c>
    </row>
    <row r="1177" spans="2:30" x14ac:dyDescent="0.15">
      <c r="B1177" s="213">
        <v>17031004069</v>
      </c>
      <c r="C1177" s="213">
        <v>17031000438</v>
      </c>
      <c r="D1177" s="213">
        <v>17031000435</v>
      </c>
      <c r="E1177" s="213" t="s">
        <v>533</v>
      </c>
      <c r="F1177" s="213" t="s">
        <v>534</v>
      </c>
      <c r="G1177" s="213" t="s">
        <v>365</v>
      </c>
      <c r="H1177" s="213" t="s">
        <v>535</v>
      </c>
      <c r="I1177" s="213"/>
      <c r="J1177" s="213"/>
      <c r="K1177" s="213"/>
      <c r="L1177" s="213"/>
      <c r="M1177" s="213"/>
      <c r="N1177" s="213"/>
      <c r="O1177" s="213"/>
      <c r="P1177" s="213"/>
      <c r="Q1177" s="213"/>
      <c r="R1177" s="213"/>
      <c r="S1177" s="213" t="s">
        <v>548</v>
      </c>
      <c r="T1177" s="213"/>
      <c r="U1177" s="213" t="s">
        <v>538</v>
      </c>
      <c r="V1177" s="213">
        <v>1</v>
      </c>
      <c r="W1177" s="213" t="s">
        <v>545</v>
      </c>
      <c r="X1177" s="213" t="s">
        <v>554</v>
      </c>
      <c r="Y1177" s="213" t="s">
        <v>546</v>
      </c>
      <c r="Z1177" s="212">
        <v>374329</v>
      </c>
      <c r="AA1177" s="212">
        <v>22852279</v>
      </c>
      <c r="AB1177" s="217">
        <v>0.220662</v>
      </c>
      <c r="AC1177" s="217">
        <v>0.35512199999999999</v>
      </c>
      <c r="AD1177" s="212">
        <f t="shared" si="18"/>
        <v>5042629.5886979997</v>
      </c>
    </row>
    <row r="1178" spans="2:30" x14ac:dyDescent="0.15">
      <c r="B1178" s="213">
        <v>17031004073</v>
      </c>
      <c r="C1178" s="213">
        <v>17031000623</v>
      </c>
      <c r="D1178" s="213">
        <v>17031000622</v>
      </c>
      <c r="E1178" s="213" t="s">
        <v>533</v>
      </c>
      <c r="F1178" s="213" t="s">
        <v>534</v>
      </c>
      <c r="G1178" s="213" t="s">
        <v>365</v>
      </c>
      <c r="H1178" s="213" t="s">
        <v>551</v>
      </c>
      <c r="I1178" s="213"/>
      <c r="J1178" s="213" t="s">
        <v>535</v>
      </c>
      <c r="K1178" s="213"/>
      <c r="L1178" s="213"/>
      <c r="M1178" s="213"/>
      <c r="N1178" s="213"/>
      <c r="O1178" s="213"/>
      <c r="P1178" s="213"/>
      <c r="Q1178" s="213"/>
      <c r="R1178" s="213"/>
      <c r="S1178" s="213" t="s">
        <v>667</v>
      </c>
      <c r="T1178" s="213"/>
      <c r="U1178" s="213" t="s">
        <v>538</v>
      </c>
      <c r="V1178" s="213">
        <v>2</v>
      </c>
      <c r="W1178" s="213" t="s">
        <v>582</v>
      </c>
      <c r="X1178" s="213" t="s">
        <v>541</v>
      </c>
      <c r="Y1178" s="213" t="s">
        <v>541</v>
      </c>
      <c r="Z1178" s="212">
        <v>0</v>
      </c>
      <c r="AA1178" s="212">
        <v>0</v>
      </c>
      <c r="AB1178" s="217">
        <v>4.9210999999999998E-2</v>
      </c>
      <c r="AC1178" s="217">
        <v>7.9197000000000004E-2</v>
      </c>
      <c r="AD1178" s="212">
        <f t="shared" si="18"/>
        <v>0</v>
      </c>
    </row>
    <row r="1179" spans="2:30" x14ac:dyDescent="0.15">
      <c r="B1179" s="213">
        <v>17031004075</v>
      </c>
      <c r="C1179" s="213">
        <v>17031000571</v>
      </c>
      <c r="D1179" s="213">
        <v>17031000560</v>
      </c>
      <c r="E1179" s="213" t="s">
        <v>533</v>
      </c>
      <c r="F1179" s="213" t="s">
        <v>534</v>
      </c>
      <c r="G1179" s="213" t="s">
        <v>365</v>
      </c>
      <c r="H1179" s="213" t="s">
        <v>382</v>
      </c>
      <c r="I1179" s="213"/>
      <c r="J1179" s="213" t="s">
        <v>547</v>
      </c>
      <c r="K1179" s="213"/>
      <c r="L1179" s="213"/>
      <c r="M1179" s="213"/>
      <c r="N1179" s="213"/>
      <c r="O1179" s="213"/>
      <c r="P1179" s="213"/>
      <c r="Q1179" s="213"/>
      <c r="R1179" s="213"/>
      <c r="S1179" s="213"/>
      <c r="T1179" s="213" t="s">
        <v>674</v>
      </c>
      <c r="U1179" s="213" t="s">
        <v>559</v>
      </c>
      <c r="V1179" s="213">
        <v>1</v>
      </c>
      <c r="W1179" s="213" t="s">
        <v>539</v>
      </c>
      <c r="X1179" s="213" t="s">
        <v>541</v>
      </c>
      <c r="Y1179" s="213" t="s">
        <v>541</v>
      </c>
      <c r="Z1179" s="212">
        <v>0</v>
      </c>
      <c r="AA1179" s="212">
        <v>0</v>
      </c>
      <c r="AB1179" s="217">
        <v>0.48395700000000003</v>
      </c>
      <c r="AC1179" s="217">
        <v>0.77885400000000005</v>
      </c>
      <c r="AD1179" s="212">
        <f t="shared" si="18"/>
        <v>0</v>
      </c>
    </row>
    <row r="1180" spans="2:30" x14ac:dyDescent="0.15">
      <c r="B1180" s="213">
        <v>17031004088</v>
      </c>
      <c r="C1180" s="213">
        <v>17031004663</v>
      </c>
      <c r="D1180" s="213">
        <v>17031000741</v>
      </c>
      <c r="E1180" s="213" t="s">
        <v>533</v>
      </c>
      <c r="F1180" s="213" t="s">
        <v>534</v>
      </c>
      <c r="G1180" s="213" t="s">
        <v>365</v>
      </c>
      <c r="H1180" s="213" t="s">
        <v>381</v>
      </c>
      <c r="I1180" s="213"/>
      <c r="J1180" s="213" t="s">
        <v>542</v>
      </c>
      <c r="K1180" s="213" t="s">
        <v>547</v>
      </c>
      <c r="L1180" s="213" t="s">
        <v>382</v>
      </c>
      <c r="M1180" s="213"/>
      <c r="N1180" s="213"/>
      <c r="O1180" s="213"/>
      <c r="P1180" s="213"/>
      <c r="Q1180" s="213"/>
      <c r="R1180" s="213"/>
      <c r="S1180" s="213" t="s">
        <v>579</v>
      </c>
      <c r="T1180" s="213"/>
      <c r="U1180" s="213" t="s">
        <v>538</v>
      </c>
      <c r="V1180" s="213">
        <v>3</v>
      </c>
      <c r="W1180" s="213" t="s">
        <v>545</v>
      </c>
      <c r="X1180" s="213" t="s">
        <v>549</v>
      </c>
      <c r="Y1180" s="213" t="s">
        <v>580</v>
      </c>
      <c r="Z1180" s="212">
        <v>935267</v>
      </c>
      <c r="AA1180" s="212">
        <v>44554189</v>
      </c>
      <c r="AB1180" s="217">
        <v>0.19159300000000001</v>
      </c>
      <c r="AC1180" s="217">
        <v>0.30833899999999997</v>
      </c>
      <c r="AD1180" s="212">
        <f t="shared" si="18"/>
        <v>8536270.7330770008</v>
      </c>
    </row>
    <row r="1181" spans="2:30" x14ac:dyDescent="0.15">
      <c r="B1181" s="213">
        <v>17031004195</v>
      </c>
      <c r="C1181" s="213">
        <v>17031000478</v>
      </c>
      <c r="D1181" s="213">
        <v>17031004611</v>
      </c>
      <c r="E1181" s="213" t="s">
        <v>533</v>
      </c>
      <c r="F1181" s="213" t="s">
        <v>534</v>
      </c>
      <c r="G1181" s="213" t="s">
        <v>365</v>
      </c>
      <c r="H1181" s="213" t="s">
        <v>382</v>
      </c>
      <c r="I1181" s="213"/>
      <c r="J1181" s="213" t="s">
        <v>547</v>
      </c>
      <c r="K1181" s="213"/>
      <c r="L1181" s="213"/>
      <c r="M1181" s="213"/>
      <c r="N1181" s="213"/>
      <c r="O1181" s="213"/>
      <c r="P1181" s="213"/>
      <c r="Q1181" s="213"/>
      <c r="R1181" s="213"/>
      <c r="S1181" s="213" t="s">
        <v>608</v>
      </c>
      <c r="T1181" s="213"/>
      <c r="U1181" s="213" t="s">
        <v>538</v>
      </c>
      <c r="V1181" s="213">
        <v>3</v>
      </c>
      <c r="W1181" s="213" t="s">
        <v>566</v>
      </c>
      <c r="X1181" s="213" t="s">
        <v>540</v>
      </c>
      <c r="Y1181" s="213" t="s">
        <v>541</v>
      </c>
      <c r="Z1181" s="212">
        <v>0</v>
      </c>
      <c r="AA1181" s="212">
        <v>0</v>
      </c>
      <c r="AB1181" s="217">
        <v>0.14677100000000001</v>
      </c>
      <c r="AC1181" s="217">
        <v>0.236205</v>
      </c>
      <c r="AD1181" s="212">
        <f t="shared" si="18"/>
        <v>0</v>
      </c>
    </row>
    <row r="1182" spans="2:30" x14ac:dyDescent="0.15">
      <c r="B1182" s="213">
        <v>17031004199</v>
      </c>
      <c r="C1182" s="213">
        <v>17031000322</v>
      </c>
      <c r="D1182" s="213">
        <v>17031000326</v>
      </c>
      <c r="E1182" s="213" t="s">
        <v>533</v>
      </c>
      <c r="F1182" s="213" t="s">
        <v>534</v>
      </c>
      <c r="G1182" s="213" t="s">
        <v>365</v>
      </c>
      <c r="H1182" s="213" t="s">
        <v>590</v>
      </c>
      <c r="I1182" s="213"/>
      <c r="J1182" s="213"/>
      <c r="K1182" s="213"/>
      <c r="L1182" s="213"/>
      <c r="M1182" s="213"/>
      <c r="N1182" s="213"/>
      <c r="O1182" s="213"/>
      <c r="P1182" s="213"/>
      <c r="Q1182" s="213"/>
      <c r="R1182" s="213"/>
      <c r="S1182" s="213"/>
      <c r="T1182" s="213"/>
      <c r="U1182" s="213" t="s">
        <v>559</v>
      </c>
      <c r="V1182" s="213">
        <v>1</v>
      </c>
      <c r="W1182" s="213" t="s">
        <v>560</v>
      </c>
      <c r="X1182" s="213" t="s">
        <v>541</v>
      </c>
      <c r="Y1182" s="213" t="s">
        <v>541</v>
      </c>
      <c r="Z1182" s="212">
        <v>0</v>
      </c>
      <c r="AA1182" s="212">
        <v>0</v>
      </c>
      <c r="AB1182" s="217">
        <v>0.89599899999999999</v>
      </c>
      <c r="AC1182" s="217">
        <v>1.4419729999999999</v>
      </c>
      <c r="AD1182" s="212">
        <f t="shared" si="18"/>
        <v>0</v>
      </c>
    </row>
    <row r="1183" spans="2:30" x14ac:dyDescent="0.15">
      <c r="B1183" s="213">
        <v>17031004204</v>
      </c>
      <c r="C1183" s="213">
        <v>17031000339</v>
      </c>
      <c r="D1183" s="213">
        <v>17031000351</v>
      </c>
      <c r="E1183" s="213" t="s">
        <v>533</v>
      </c>
      <c r="F1183" s="213" t="s">
        <v>534</v>
      </c>
      <c r="G1183" s="213" t="s">
        <v>365</v>
      </c>
      <c r="H1183" s="213" t="s">
        <v>590</v>
      </c>
      <c r="I1183" s="213"/>
      <c r="J1183" s="213"/>
      <c r="K1183" s="213"/>
      <c r="L1183" s="213"/>
      <c r="M1183" s="213"/>
      <c r="N1183" s="213"/>
      <c r="O1183" s="213"/>
      <c r="P1183" s="213"/>
      <c r="Q1183" s="213"/>
      <c r="R1183" s="213"/>
      <c r="S1183" s="213"/>
      <c r="T1183" s="213"/>
      <c r="U1183" s="213" t="s">
        <v>559</v>
      </c>
      <c r="V1183" s="213">
        <v>1</v>
      </c>
      <c r="W1183" s="213" t="s">
        <v>560</v>
      </c>
      <c r="X1183" s="213" t="s">
        <v>541</v>
      </c>
      <c r="Y1183" s="213" t="s">
        <v>541</v>
      </c>
      <c r="Z1183" s="212">
        <v>0</v>
      </c>
      <c r="AA1183" s="212">
        <v>0</v>
      </c>
      <c r="AB1183" s="217">
        <v>0.686087</v>
      </c>
      <c r="AC1183" s="217">
        <v>1.1041529999999999</v>
      </c>
      <c r="AD1183" s="212">
        <f t="shared" si="18"/>
        <v>0</v>
      </c>
    </row>
    <row r="1184" spans="2:30" x14ac:dyDescent="0.15">
      <c r="B1184" s="213">
        <v>17031004205</v>
      </c>
      <c r="C1184" s="213">
        <v>17031000348</v>
      </c>
      <c r="D1184" s="213">
        <v>17031000351</v>
      </c>
      <c r="E1184" s="213" t="s">
        <v>533</v>
      </c>
      <c r="F1184" s="213" t="s">
        <v>534</v>
      </c>
      <c r="G1184" s="213" t="s">
        <v>365</v>
      </c>
      <c r="H1184" s="213" t="s">
        <v>590</v>
      </c>
      <c r="I1184" s="213"/>
      <c r="J1184" s="213"/>
      <c r="K1184" s="213"/>
      <c r="L1184" s="213"/>
      <c r="M1184" s="213"/>
      <c r="N1184" s="213"/>
      <c r="O1184" s="213"/>
      <c r="P1184" s="213"/>
      <c r="Q1184" s="213"/>
      <c r="R1184" s="213"/>
      <c r="S1184" s="213"/>
      <c r="T1184" s="213"/>
      <c r="U1184" s="213" t="s">
        <v>559</v>
      </c>
      <c r="V1184" s="213">
        <v>1</v>
      </c>
      <c r="W1184" s="213" t="s">
        <v>560</v>
      </c>
      <c r="X1184" s="213" t="s">
        <v>541</v>
      </c>
      <c r="Y1184" s="213" t="s">
        <v>541</v>
      </c>
      <c r="Z1184" s="212">
        <v>0</v>
      </c>
      <c r="AA1184" s="212">
        <v>0</v>
      </c>
      <c r="AB1184" s="217">
        <v>0.18109</v>
      </c>
      <c r="AC1184" s="217">
        <v>0.29143599999999997</v>
      </c>
      <c r="AD1184" s="212">
        <f t="shared" si="18"/>
        <v>0</v>
      </c>
    </row>
    <row r="1185" spans="2:30" x14ac:dyDescent="0.15">
      <c r="B1185" s="213">
        <v>17031004206</v>
      </c>
      <c r="C1185" s="213">
        <v>17031000332</v>
      </c>
      <c r="D1185" s="213">
        <v>17031000348</v>
      </c>
      <c r="E1185" s="213" t="s">
        <v>533</v>
      </c>
      <c r="F1185" s="213" t="s">
        <v>534</v>
      </c>
      <c r="G1185" s="213" t="s">
        <v>365</v>
      </c>
      <c r="H1185" s="213" t="s">
        <v>590</v>
      </c>
      <c r="I1185" s="213"/>
      <c r="J1185" s="213"/>
      <c r="K1185" s="213"/>
      <c r="L1185" s="213"/>
      <c r="M1185" s="213"/>
      <c r="N1185" s="213"/>
      <c r="O1185" s="213"/>
      <c r="P1185" s="213"/>
      <c r="Q1185" s="213"/>
      <c r="R1185" s="213"/>
      <c r="S1185" s="213"/>
      <c r="T1185" s="213"/>
      <c r="U1185" s="213" t="s">
        <v>559</v>
      </c>
      <c r="V1185" s="213">
        <v>1</v>
      </c>
      <c r="W1185" s="213" t="s">
        <v>560</v>
      </c>
      <c r="X1185" s="213" t="s">
        <v>541</v>
      </c>
      <c r="Y1185" s="213" t="s">
        <v>541</v>
      </c>
      <c r="Z1185" s="212">
        <v>0</v>
      </c>
      <c r="AA1185" s="212">
        <v>0</v>
      </c>
      <c r="AB1185" s="217">
        <v>0.19484599999999999</v>
      </c>
      <c r="AC1185" s="217">
        <v>0.31357499999999999</v>
      </c>
      <c r="AD1185" s="212">
        <f t="shared" si="18"/>
        <v>0</v>
      </c>
    </row>
    <row r="1186" spans="2:30" x14ac:dyDescent="0.15">
      <c r="B1186" s="213">
        <v>17031004210</v>
      </c>
      <c r="C1186" s="213">
        <v>17031000347</v>
      </c>
      <c r="D1186" s="213">
        <v>17031000345</v>
      </c>
      <c r="E1186" s="213" t="s">
        <v>533</v>
      </c>
      <c r="F1186" s="213" t="s">
        <v>534</v>
      </c>
      <c r="G1186" s="213" t="s">
        <v>365</v>
      </c>
      <c r="H1186" s="213" t="s">
        <v>590</v>
      </c>
      <c r="I1186" s="213"/>
      <c r="J1186" s="213"/>
      <c r="K1186" s="213"/>
      <c r="L1186" s="213"/>
      <c r="M1186" s="213"/>
      <c r="N1186" s="213"/>
      <c r="O1186" s="213"/>
      <c r="P1186" s="213"/>
      <c r="Q1186" s="213"/>
      <c r="R1186" s="213"/>
      <c r="S1186" s="213"/>
      <c r="T1186" s="213"/>
      <c r="U1186" s="213" t="s">
        <v>559</v>
      </c>
      <c r="V1186" s="213">
        <v>1</v>
      </c>
      <c r="W1186" s="213" t="s">
        <v>560</v>
      </c>
      <c r="X1186" s="213" t="s">
        <v>541</v>
      </c>
      <c r="Y1186" s="213" t="s">
        <v>541</v>
      </c>
      <c r="Z1186" s="212">
        <v>0</v>
      </c>
      <c r="AA1186" s="212">
        <v>0</v>
      </c>
      <c r="AB1186" s="217">
        <v>0.67853200000000002</v>
      </c>
      <c r="AC1186" s="217">
        <v>1.0919939999999999</v>
      </c>
      <c r="AD1186" s="212">
        <f t="shared" si="18"/>
        <v>0</v>
      </c>
    </row>
    <row r="1187" spans="2:30" x14ac:dyDescent="0.15">
      <c r="B1187" s="213">
        <v>17031004226</v>
      </c>
      <c r="C1187" s="213">
        <v>17031001059</v>
      </c>
      <c r="D1187" s="213">
        <v>17031001042</v>
      </c>
      <c r="E1187" s="213" t="s">
        <v>533</v>
      </c>
      <c r="F1187" s="213" t="s">
        <v>534</v>
      </c>
      <c r="G1187" s="213" t="s">
        <v>365</v>
      </c>
      <c r="H1187" s="213" t="s">
        <v>381</v>
      </c>
      <c r="I1187" s="213"/>
      <c r="J1187" s="213" t="s">
        <v>551</v>
      </c>
      <c r="K1187" s="213" t="s">
        <v>543</v>
      </c>
      <c r="L1187" s="213" t="s">
        <v>382</v>
      </c>
      <c r="M1187" s="213"/>
      <c r="N1187" s="213"/>
      <c r="O1187" s="213"/>
      <c r="P1187" s="213"/>
      <c r="Q1187" s="213"/>
      <c r="R1187" s="213"/>
      <c r="S1187" s="213" t="s">
        <v>647</v>
      </c>
      <c r="T1187" s="213" t="s">
        <v>648</v>
      </c>
      <c r="U1187" s="213" t="s">
        <v>538</v>
      </c>
      <c r="V1187" s="213">
        <v>2</v>
      </c>
      <c r="W1187" s="213" t="s">
        <v>545</v>
      </c>
      <c r="X1187" s="213" t="s">
        <v>549</v>
      </c>
      <c r="Y1187" s="213" t="s">
        <v>580</v>
      </c>
      <c r="Z1187" s="212">
        <v>1560873</v>
      </c>
      <c r="AA1187" s="212">
        <v>41986071</v>
      </c>
      <c r="AB1187" s="217">
        <v>1.9041220000000001</v>
      </c>
      <c r="AC1187" s="217">
        <v>3.0643940000000001</v>
      </c>
      <c r="AD1187" s="212">
        <f t="shared" si="18"/>
        <v>79946601.484662011</v>
      </c>
    </row>
    <row r="1188" spans="2:30" x14ac:dyDescent="0.15">
      <c r="B1188" s="213">
        <v>17031004230</v>
      </c>
      <c r="C1188" s="213">
        <v>17031001133</v>
      </c>
      <c r="D1188" s="213">
        <v>17031001138</v>
      </c>
      <c r="E1188" s="213" t="s">
        <v>533</v>
      </c>
      <c r="F1188" s="213" t="s">
        <v>534</v>
      </c>
      <c r="G1188" s="213" t="s">
        <v>365</v>
      </c>
      <c r="H1188" s="213" t="s">
        <v>577</v>
      </c>
      <c r="I1188" s="213"/>
      <c r="J1188" s="213"/>
      <c r="K1188" s="213"/>
      <c r="L1188" s="213"/>
      <c r="M1188" s="213"/>
      <c r="N1188" s="213"/>
      <c r="O1188" s="213"/>
      <c r="P1188" s="213"/>
      <c r="Q1188" s="213"/>
      <c r="R1188" s="213"/>
      <c r="S1188" s="213"/>
      <c r="T1188" s="213" t="s">
        <v>641</v>
      </c>
      <c r="U1188" s="213" t="s">
        <v>538</v>
      </c>
      <c r="V1188" s="213">
        <v>1</v>
      </c>
      <c r="W1188" s="213" t="s">
        <v>560</v>
      </c>
      <c r="X1188" s="213" t="s">
        <v>541</v>
      </c>
      <c r="Y1188" s="213" t="s">
        <v>541</v>
      </c>
      <c r="Z1188" s="212">
        <v>40</v>
      </c>
      <c r="AA1188" s="212">
        <v>3440</v>
      </c>
      <c r="AB1188" s="217">
        <v>0.44801000000000002</v>
      </c>
      <c r="AC1188" s="217">
        <v>0.72100299999999995</v>
      </c>
      <c r="AD1188" s="212">
        <f t="shared" si="18"/>
        <v>1541.1544000000001</v>
      </c>
    </row>
    <row r="1189" spans="2:30" x14ac:dyDescent="0.15">
      <c r="B1189" s="213">
        <v>17031004241</v>
      </c>
      <c r="C1189" s="213">
        <v>17031001164</v>
      </c>
      <c r="D1189" s="213">
        <v>17031001153</v>
      </c>
      <c r="E1189" s="213" t="s">
        <v>533</v>
      </c>
      <c r="F1189" s="213" t="s">
        <v>534</v>
      </c>
      <c r="G1189" s="213" t="s">
        <v>365</v>
      </c>
      <c r="H1189" s="213" t="s">
        <v>547</v>
      </c>
      <c r="I1189" s="213"/>
      <c r="J1189" s="213" t="s">
        <v>543</v>
      </c>
      <c r="K1189" s="213"/>
      <c r="L1189" s="213"/>
      <c r="M1189" s="213"/>
      <c r="N1189" s="213"/>
      <c r="O1189" s="213"/>
      <c r="P1189" s="213"/>
      <c r="Q1189" s="213"/>
      <c r="R1189" s="213"/>
      <c r="S1189" s="213" t="s">
        <v>602</v>
      </c>
      <c r="T1189" s="213"/>
      <c r="U1189" s="213" t="s">
        <v>538</v>
      </c>
      <c r="V1189" s="213">
        <v>2</v>
      </c>
      <c r="W1189" s="213" t="s">
        <v>582</v>
      </c>
      <c r="X1189" s="213" t="s">
        <v>540</v>
      </c>
      <c r="Y1189" s="213" t="s">
        <v>541</v>
      </c>
      <c r="Z1189" s="212">
        <v>520</v>
      </c>
      <c r="AA1189" s="212">
        <v>37800</v>
      </c>
      <c r="AB1189" s="217">
        <v>0.21712600000000001</v>
      </c>
      <c r="AC1189" s="217">
        <v>0.34943200000000002</v>
      </c>
      <c r="AD1189" s="212">
        <f t="shared" si="18"/>
        <v>8207.3628000000008</v>
      </c>
    </row>
    <row r="1190" spans="2:30" x14ac:dyDescent="0.15">
      <c r="B1190" s="213">
        <v>17031004252</v>
      </c>
      <c r="C1190" s="213">
        <v>17031007626</v>
      </c>
      <c r="D1190" s="213">
        <v>17031001549</v>
      </c>
      <c r="E1190" s="213" t="s">
        <v>533</v>
      </c>
      <c r="F1190" s="213" t="s">
        <v>534</v>
      </c>
      <c r="G1190" s="213" t="s">
        <v>365</v>
      </c>
      <c r="H1190" s="213" t="s">
        <v>382</v>
      </c>
      <c r="I1190" s="213"/>
      <c r="J1190" s="213"/>
      <c r="K1190" s="213"/>
      <c r="L1190" s="213"/>
      <c r="M1190" s="213"/>
      <c r="N1190" s="213"/>
      <c r="O1190" s="213"/>
      <c r="P1190" s="213"/>
      <c r="Q1190" s="213"/>
      <c r="R1190" s="213"/>
      <c r="S1190" s="213" t="s">
        <v>576</v>
      </c>
      <c r="T1190" s="213"/>
      <c r="U1190" s="213" t="s">
        <v>559</v>
      </c>
      <c r="V1190" s="213">
        <v>1</v>
      </c>
      <c r="W1190" s="213" t="s">
        <v>560</v>
      </c>
      <c r="X1190" s="213" t="s">
        <v>541</v>
      </c>
      <c r="Y1190" s="213" t="s">
        <v>541</v>
      </c>
      <c r="Z1190" s="212">
        <v>0</v>
      </c>
      <c r="AA1190" s="212">
        <v>0</v>
      </c>
      <c r="AB1190" s="217">
        <v>0.34805199999999997</v>
      </c>
      <c r="AC1190" s="217">
        <v>0.560137</v>
      </c>
      <c r="AD1190" s="212">
        <f t="shared" si="18"/>
        <v>0</v>
      </c>
    </row>
    <row r="1191" spans="2:30" x14ac:dyDescent="0.15">
      <c r="B1191" s="213">
        <v>17031004253</v>
      </c>
      <c r="C1191" s="213">
        <v>17031001528</v>
      </c>
      <c r="D1191" s="213">
        <v>17031001550</v>
      </c>
      <c r="E1191" s="213" t="s">
        <v>533</v>
      </c>
      <c r="F1191" s="213" t="s">
        <v>534</v>
      </c>
      <c r="G1191" s="213" t="s">
        <v>365</v>
      </c>
      <c r="H1191" s="213" t="s">
        <v>382</v>
      </c>
      <c r="I1191" s="213"/>
      <c r="J1191" s="213"/>
      <c r="K1191" s="213"/>
      <c r="L1191" s="213"/>
      <c r="M1191" s="213"/>
      <c r="N1191" s="213"/>
      <c r="O1191" s="213"/>
      <c r="P1191" s="213"/>
      <c r="Q1191" s="213"/>
      <c r="R1191" s="213"/>
      <c r="S1191" s="213" t="s">
        <v>576</v>
      </c>
      <c r="T1191" s="213"/>
      <c r="U1191" s="213" t="s">
        <v>559</v>
      </c>
      <c r="V1191" s="213">
        <v>1</v>
      </c>
      <c r="W1191" s="213" t="s">
        <v>560</v>
      </c>
      <c r="X1191" s="213" t="s">
        <v>541</v>
      </c>
      <c r="Y1191" s="213" t="s">
        <v>541</v>
      </c>
      <c r="Z1191" s="212">
        <v>0</v>
      </c>
      <c r="AA1191" s="212">
        <v>0</v>
      </c>
      <c r="AB1191" s="217">
        <v>0.94484599999999996</v>
      </c>
      <c r="AC1191" s="217">
        <v>1.520586</v>
      </c>
      <c r="AD1191" s="212">
        <f t="shared" si="18"/>
        <v>0</v>
      </c>
    </row>
    <row r="1192" spans="2:30" x14ac:dyDescent="0.15">
      <c r="B1192" s="213">
        <v>17031004258</v>
      </c>
      <c r="C1192" s="213">
        <v>17031004618</v>
      </c>
      <c r="D1192" s="213">
        <v>17031004617</v>
      </c>
      <c r="E1192" s="213" t="s">
        <v>533</v>
      </c>
      <c r="F1192" s="213" t="s">
        <v>534</v>
      </c>
      <c r="G1192" s="213" t="s">
        <v>365</v>
      </c>
      <c r="H1192" s="213" t="s">
        <v>552</v>
      </c>
      <c r="I1192" s="213"/>
      <c r="J1192" s="213" t="s">
        <v>542</v>
      </c>
      <c r="K1192" s="213" t="s">
        <v>547</v>
      </c>
      <c r="L1192" s="213" t="s">
        <v>563</v>
      </c>
      <c r="M1192" s="213"/>
      <c r="N1192" s="213"/>
      <c r="O1192" s="213"/>
      <c r="P1192" s="213"/>
      <c r="Q1192" s="213"/>
      <c r="R1192" s="213"/>
      <c r="S1192" s="213" t="s">
        <v>564</v>
      </c>
      <c r="T1192" s="213"/>
      <c r="U1192" s="213" t="s">
        <v>538</v>
      </c>
      <c r="V1192" s="213">
        <v>2</v>
      </c>
      <c r="W1192" s="213" t="s">
        <v>545</v>
      </c>
      <c r="X1192" s="213" t="s">
        <v>549</v>
      </c>
      <c r="Y1192" s="213" t="s">
        <v>541</v>
      </c>
      <c r="Z1192" s="212">
        <v>21788</v>
      </c>
      <c r="AA1192" s="212">
        <v>1948660</v>
      </c>
      <c r="AB1192" s="217">
        <v>1.5814600000000001</v>
      </c>
      <c r="AC1192" s="217">
        <v>2.5451190000000001</v>
      </c>
      <c r="AD1192" s="212">
        <f t="shared" si="18"/>
        <v>3081727.8436000003</v>
      </c>
    </row>
    <row r="1193" spans="2:30" x14ac:dyDescent="0.15">
      <c r="B1193" s="213">
        <v>17031004262</v>
      </c>
      <c r="C1193" s="213">
        <v>17031000286</v>
      </c>
      <c r="D1193" s="213">
        <v>17031004615</v>
      </c>
      <c r="E1193" s="213" t="s">
        <v>533</v>
      </c>
      <c r="F1193" s="213" t="s">
        <v>534</v>
      </c>
      <c r="G1193" s="213" t="s">
        <v>365</v>
      </c>
      <c r="H1193" s="213" t="s">
        <v>552</v>
      </c>
      <c r="I1193" s="213"/>
      <c r="J1193" s="213" t="s">
        <v>542</v>
      </c>
      <c r="K1193" s="213" t="s">
        <v>547</v>
      </c>
      <c r="L1193" s="213" t="s">
        <v>563</v>
      </c>
      <c r="M1193" s="213" t="s">
        <v>382</v>
      </c>
      <c r="N1193" s="213"/>
      <c r="O1193" s="213"/>
      <c r="P1193" s="213"/>
      <c r="Q1193" s="213"/>
      <c r="R1193" s="213"/>
      <c r="S1193" s="213" t="s">
        <v>564</v>
      </c>
      <c r="T1193" s="213"/>
      <c r="U1193" s="213" t="s">
        <v>538</v>
      </c>
      <c r="V1193" s="213">
        <v>2</v>
      </c>
      <c r="W1193" s="213" t="s">
        <v>545</v>
      </c>
      <c r="X1193" s="213" t="s">
        <v>549</v>
      </c>
      <c r="Y1193" s="213" t="s">
        <v>541</v>
      </c>
      <c r="Z1193" s="212">
        <v>21868</v>
      </c>
      <c r="AA1193" s="212">
        <v>1956580</v>
      </c>
      <c r="AB1193" s="217">
        <v>1.6337299999999999</v>
      </c>
      <c r="AC1193" s="217">
        <v>2.629238</v>
      </c>
      <c r="AD1193" s="212">
        <f t="shared" si="18"/>
        <v>3196523.4433999998</v>
      </c>
    </row>
    <row r="1194" spans="2:30" x14ac:dyDescent="0.15">
      <c r="B1194" s="213">
        <v>17031004264</v>
      </c>
      <c r="C1194" s="213">
        <v>17031000832</v>
      </c>
      <c r="D1194" s="213">
        <v>17031000850</v>
      </c>
      <c r="E1194" s="213" t="s">
        <v>533</v>
      </c>
      <c r="F1194" s="213" t="s">
        <v>534</v>
      </c>
      <c r="G1194" s="213" t="s">
        <v>365</v>
      </c>
      <c r="H1194" s="213" t="s">
        <v>571</v>
      </c>
      <c r="I1194" s="213"/>
      <c r="J1194" s="213" t="s">
        <v>381</v>
      </c>
      <c r="K1194" s="213" t="s">
        <v>543</v>
      </c>
      <c r="L1194" s="213" t="s">
        <v>382</v>
      </c>
      <c r="M1194" s="213" t="s">
        <v>535</v>
      </c>
      <c r="N1194" s="213" t="s">
        <v>551</v>
      </c>
      <c r="O1194" s="213"/>
      <c r="P1194" s="213"/>
      <c r="Q1194" s="213"/>
      <c r="R1194" s="213"/>
      <c r="S1194" s="213" t="s">
        <v>654</v>
      </c>
      <c r="T1194" s="213"/>
      <c r="U1194" s="213" t="s">
        <v>559</v>
      </c>
      <c r="V1194" s="213">
        <v>1</v>
      </c>
      <c r="W1194" s="213" t="s">
        <v>560</v>
      </c>
      <c r="X1194" s="213" t="s">
        <v>541</v>
      </c>
      <c r="Y1194" s="213" t="s">
        <v>541</v>
      </c>
      <c r="Z1194" s="212">
        <v>70404</v>
      </c>
      <c r="AA1194" s="212">
        <v>4181500</v>
      </c>
      <c r="AB1194" s="217">
        <v>0.10717400000000001</v>
      </c>
      <c r="AC1194" s="217">
        <v>0.17247999999999999</v>
      </c>
      <c r="AD1194" s="212">
        <f t="shared" si="18"/>
        <v>448148.08100000001</v>
      </c>
    </row>
    <row r="1195" spans="2:30" x14ac:dyDescent="0.15">
      <c r="B1195" s="213">
        <v>17031004269</v>
      </c>
      <c r="C1195" s="213">
        <v>17031000796</v>
      </c>
      <c r="D1195" s="213">
        <v>17031000802</v>
      </c>
      <c r="E1195" s="213" t="s">
        <v>533</v>
      </c>
      <c r="F1195" s="213" t="s">
        <v>534</v>
      </c>
      <c r="G1195" s="213" t="s">
        <v>365</v>
      </c>
      <c r="H1195" s="213" t="s">
        <v>543</v>
      </c>
      <c r="I1195" s="213"/>
      <c r="J1195" s="213" t="s">
        <v>382</v>
      </c>
      <c r="K1195" s="213"/>
      <c r="L1195" s="213"/>
      <c r="M1195" s="213"/>
      <c r="N1195" s="213"/>
      <c r="O1195" s="213"/>
      <c r="P1195" s="213"/>
      <c r="Q1195" s="213"/>
      <c r="R1195" s="213"/>
      <c r="S1195" s="213" t="s">
        <v>639</v>
      </c>
      <c r="T1195" s="213"/>
      <c r="U1195" s="213" t="s">
        <v>538</v>
      </c>
      <c r="V1195" s="213">
        <v>2</v>
      </c>
      <c r="W1195" s="213" t="s">
        <v>560</v>
      </c>
      <c r="X1195" s="213" t="s">
        <v>541</v>
      </c>
      <c r="Y1195" s="213" t="s">
        <v>540</v>
      </c>
      <c r="Z1195" s="212">
        <v>2036028</v>
      </c>
      <c r="AA1195" s="212">
        <v>59308526</v>
      </c>
      <c r="AB1195" s="217">
        <v>0.11017100000000001</v>
      </c>
      <c r="AC1195" s="217">
        <v>0.17730299999999999</v>
      </c>
      <c r="AD1195" s="212">
        <f t="shared" si="18"/>
        <v>6534079.6179459998</v>
      </c>
    </row>
    <row r="1196" spans="2:30" x14ac:dyDescent="0.15">
      <c r="B1196" s="213">
        <v>17031004270</v>
      </c>
      <c r="C1196" s="213">
        <v>17031000802</v>
      </c>
      <c r="D1196" s="213">
        <v>17031007918</v>
      </c>
      <c r="E1196" s="213" t="s">
        <v>533</v>
      </c>
      <c r="F1196" s="213" t="s">
        <v>534</v>
      </c>
      <c r="G1196" s="213" t="s">
        <v>365</v>
      </c>
      <c r="H1196" s="213" t="s">
        <v>543</v>
      </c>
      <c r="I1196" s="213"/>
      <c r="J1196" s="213" t="s">
        <v>382</v>
      </c>
      <c r="K1196" s="213"/>
      <c r="L1196" s="213"/>
      <c r="M1196" s="213"/>
      <c r="N1196" s="213"/>
      <c r="O1196" s="213"/>
      <c r="P1196" s="213"/>
      <c r="Q1196" s="213"/>
      <c r="R1196" s="213"/>
      <c r="S1196" s="213" t="s">
        <v>639</v>
      </c>
      <c r="T1196" s="213" t="s">
        <v>702</v>
      </c>
      <c r="U1196" s="213" t="s">
        <v>538</v>
      </c>
      <c r="V1196" s="213">
        <v>2</v>
      </c>
      <c r="W1196" s="213" t="s">
        <v>560</v>
      </c>
      <c r="X1196" s="213" t="s">
        <v>541</v>
      </c>
      <c r="Y1196" s="213" t="s">
        <v>540</v>
      </c>
      <c r="Z1196" s="212">
        <v>2036028</v>
      </c>
      <c r="AA1196" s="212">
        <v>59308526</v>
      </c>
      <c r="AB1196" s="217">
        <v>1.1205290000000001</v>
      </c>
      <c r="AC1196" s="217">
        <v>1.80332</v>
      </c>
      <c r="AD1196" s="212">
        <f t="shared" si="18"/>
        <v>66456923.330254003</v>
      </c>
    </row>
    <row r="1197" spans="2:30" x14ac:dyDescent="0.15">
      <c r="B1197" s="213">
        <v>17031004271</v>
      </c>
      <c r="C1197" s="213">
        <v>17031000819</v>
      </c>
      <c r="D1197" s="213">
        <v>17031000815</v>
      </c>
      <c r="E1197" s="213" t="s">
        <v>533</v>
      </c>
      <c r="F1197" s="213" t="s">
        <v>534</v>
      </c>
      <c r="G1197" s="213" t="s">
        <v>365</v>
      </c>
      <c r="H1197" s="213" t="s">
        <v>557</v>
      </c>
      <c r="I1197" s="213"/>
      <c r="J1197" s="213" t="s">
        <v>381</v>
      </c>
      <c r="K1197" s="213"/>
      <c r="L1197" s="213"/>
      <c r="M1197" s="213"/>
      <c r="N1197" s="213"/>
      <c r="O1197" s="213"/>
      <c r="P1197" s="213"/>
      <c r="Q1197" s="213"/>
      <c r="R1197" s="213"/>
      <c r="S1197" s="213"/>
      <c r="T1197" s="213"/>
      <c r="U1197" s="213" t="s">
        <v>538</v>
      </c>
      <c r="V1197" s="213">
        <v>1</v>
      </c>
      <c r="W1197" s="213" t="s">
        <v>560</v>
      </c>
      <c r="X1197" s="213" t="s">
        <v>541</v>
      </c>
      <c r="Y1197" s="213" t="s">
        <v>541</v>
      </c>
      <c r="Z1197" s="212">
        <v>270524</v>
      </c>
      <c r="AA1197" s="212">
        <v>7995962</v>
      </c>
      <c r="AB1197" s="217">
        <v>0.72363500000000003</v>
      </c>
      <c r="AC1197" s="217">
        <v>1.164579</v>
      </c>
      <c r="AD1197" s="212">
        <f t="shared" si="18"/>
        <v>5786157.9618699998</v>
      </c>
    </row>
    <row r="1198" spans="2:30" x14ac:dyDescent="0.15">
      <c r="B1198" s="213">
        <v>17031004285</v>
      </c>
      <c r="C1198" s="213">
        <v>17031000699</v>
      </c>
      <c r="D1198" s="213">
        <v>17031000703</v>
      </c>
      <c r="E1198" s="213" t="s">
        <v>533</v>
      </c>
      <c r="F1198" s="213" t="s">
        <v>534</v>
      </c>
      <c r="G1198" s="213" t="s">
        <v>365</v>
      </c>
      <c r="H1198" s="213" t="s">
        <v>571</v>
      </c>
      <c r="I1198" s="213"/>
      <c r="J1198" s="213" t="s">
        <v>535</v>
      </c>
      <c r="K1198" s="213" t="s">
        <v>552</v>
      </c>
      <c r="L1198" s="213" t="s">
        <v>551</v>
      </c>
      <c r="M1198" s="213" t="s">
        <v>563</v>
      </c>
      <c r="N1198" s="213"/>
      <c r="O1198" s="213"/>
      <c r="P1198" s="213"/>
      <c r="Q1198" s="213"/>
      <c r="R1198" s="213"/>
      <c r="S1198" s="213" t="s">
        <v>573</v>
      </c>
      <c r="T1198" s="213" t="s">
        <v>612</v>
      </c>
      <c r="U1198" s="213" t="s">
        <v>538</v>
      </c>
      <c r="V1198" s="213">
        <v>2</v>
      </c>
      <c r="W1198" s="213" t="s">
        <v>545</v>
      </c>
      <c r="X1198" s="213" t="s">
        <v>554</v>
      </c>
      <c r="Y1198" s="213" t="s">
        <v>580</v>
      </c>
      <c r="Z1198" s="212">
        <v>136012</v>
      </c>
      <c r="AA1198" s="212">
        <v>4733400</v>
      </c>
      <c r="AB1198" s="217">
        <v>0.181979</v>
      </c>
      <c r="AC1198" s="217">
        <v>0.29286699999999999</v>
      </c>
      <c r="AD1198" s="212">
        <f t="shared" si="18"/>
        <v>861379.39859999996</v>
      </c>
    </row>
    <row r="1199" spans="2:30" x14ac:dyDescent="0.15">
      <c r="B1199" s="213">
        <v>17031004287</v>
      </c>
      <c r="C1199" s="213">
        <v>17031000745</v>
      </c>
      <c r="D1199" s="213">
        <v>17031000759</v>
      </c>
      <c r="E1199" s="213" t="s">
        <v>533</v>
      </c>
      <c r="F1199" s="213" t="s">
        <v>534</v>
      </c>
      <c r="G1199" s="213" t="s">
        <v>365</v>
      </c>
      <c r="H1199" s="213" t="s">
        <v>571</v>
      </c>
      <c r="I1199" s="213"/>
      <c r="J1199" s="213" t="s">
        <v>381</v>
      </c>
      <c r="K1199" s="213" t="s">
        <v>535</v>
      </c>
      <c r="L1199" s="213" t="s">
        <v>552</v>
      </c>
      <c r="M1199" s="213" t="s">
        <v>551</v>
      </c>
      <c r="N1199" s="213" t="s">
        <v>563</v>
      </c>
      <c r="O1199" s="213" t="s">
        <v>543</v>
      </c>
      <c r="P1199" s="213"/>
      <c r="Q1199" s="213"/>
      <c r="R1199" s="213"/>
      <c r="S1199" s="213" t="s">
        <v>573</v>
      </c>
      <c r="T1199" s="213"/>
      <c r="U1199" s="213" t="s">
        <v>538</v>
      </c>
      <c r="V1199" s="213">
        <v>2</v>
      </c>
      <c r="W1199" s="213" t="s">
        <v>545</v>
      </c>
      <c r="X1199" s="213" t="s">
        <v>554</v>
      </c>
      <c r="Y1199" s="213" t="s">
        <v>580</v>
      </c>
      <c r="Z1199" s="212">
        <v>960811</v>
      </c>
      <c r="AA1199" s="212">
        <v>41250978</v>
      </c>
      <c r="AB1199" s="217">
        <v>0.27328400000000003</v>
      </c>
      <c r="AC1199" s="217">
        <v>0.43980900000000001</v>
      </c>
      <c r="AD1199" s="212">
        <f t="shared" si="18"/>
        <v>11273232.271752002</v>
      </c>
    </row>
    <row r="1200" spans="2:30" x14ac:dyDescent="0.15">
      <c r="B1200" s="213">
        <v>17031004291</v>
      </c>
      <c r="C1200" s="213">
        <v>17031000953</v>
      </c>
      <c r="D1200" s="213">
        <v>17031000977</v>
      </c>
      <c r="E1200" s="213" t="s">
        <v>533</v>
      </c>
      <c r="F1200" s="213" t="s">
        <v>534</v>
      </c>
      <c r="G1200" s="213" t="s">
        <v>365</v>
      </c>
      <c r="H1200" s="213" t="s">
        <v>571</v>
      </c>
      <c r="I1200" s="213"/>
      <c r="J1200" s="213" t="s">
        <v>381</v>
      </c>
      <c r="K1200" s="213" t="s">
        <v>535</v>
      </c>
      <c r="L1200" s="213" t="s">
        <v>552</v>
      </c>
      <c r="M1200" s="213" t="s">
        <v>551</v>
      </c>
      <c r="N1200" s="213" t="s">
        <v>382</v>
      </c>
      <c r="O1200" s="213" t="s">
        <v>543</v>
      </c>
      <c r="P1200" s="213"/>
      <c r="Q1200" s="213"/>
      <c r="R1200" s="213"/>
      <c r="S1200" s="213" t="s">
        <v>573</v>
      </c>
      <c r="T1200" s="213"/>
      <c r="U1200" s="213" t="s">
        <v>538</v>
      </c>
      <c r="V1200" s="213">
        <v>2</v>
      </c>
      <c r="W1200" s="213" t="s">
        <v>545</v>
      </c>
      <c r="X1200" s="213" t="s">
        <v>554</v>
      </c>
      <c r="Y1200" s="213" t="s">
        <v>546</v>
      </c>
      <c r="Z1200" s="212">
        <v>112744</v>
      </c>
      <c r="AA1200" s="212">
        <v>2658084</v>
      </c>
      <c r="AB1200" s="217">
        <v>0.26273999999999997</v>
      </c>
      <c r="AC1200" s="217">
        <v>0.42283999999999999</v>
      </c>
      <c r="AD1200" s="212">
        <f t="shared" si="18"/>
        <v>698384.99015999993</v>
      </c>
    </row>
    <row r="1201" spans="2:30" x14ac:dyDescent="0.15">
      <c r="B1201" s="213">
        <v>17031004534</v>
      </c>
      <c r="C1201" s="213">
        <v>17031001008</v>
      </c>
      <c r="D1201" s="213">
        <v>17031001007</v>
      </c>
      <c r="E1201" s="213" t="s">
        <v>533</v>
      </c>
      <c r="F1201" s="213" t="s">
        <v>534</v>
      </c>
      <c r="G1201" s="213" t="s">
        <v>365</v>
      </c>
      <c r="H1201" s="213" t="s">
        <v>535</v>
      </c>
      <c r="I1201" s="213"/>
      <c r="J1201" s="213"/>
      <c r="K1201" s="213"/>
      <c r="L1201" s="213"/>
      <c r="M1201" s="213"/>
      <c r="N1201" s="213"/>
      <c r="O1201" s="213"/>
      <c r="P1201" s="213"/>
      <c r="Q1201" s="213"/>
      <c r="R1201" s="213"/>
      <c r="S1201" s="213" t="s">
        <v>553</v>
      </c>
      <c r="T1201" s="213"/>
      <c r="U1201" s="213" t="s">
        <v>538</v>
      </c>
      <c r="V1201" s="213">
        <v>1</v>
      </c>
      <c r="W1201" s="213" t="s">
        <v>582</v>
      </c>
      <c r="X1201" s="213" t="s">
        <v>554</v>
      </c>
      <c r="Y1201" s="213" t="s">
        <v>541</v>
      </c>
      <c r="Z1201" s="212">
        <v>0</v>
      </c>
      <c r="AA1201" s="212">
        <v>0</v>
      </c>
      <c r="AB1201" s="217">
        <v>0.30285400000000001</v>
      </c>
      <c r="AC1201" s="217">
        <v>0.487398</v>
      </c>
      <c r="AD1201" s="212">
        <f t="shared" si="18"/>
        <v>0</v>
      </c>
    </row>
    <row r="1202" spans="2:30" x14ac:dyDescent="0.15">
      <c r="B1202" s="213">
        <v>17031004535</v>
      </c>
      <c r="C1202" s="213">
        <v>17031001020</v>
      </c>
      <c r="D1202" s="213">
        <v>17031001009</v>
      </c>
      <c r="E1202" s="213" t="s">
        <v>533</v>
      </c>
      <c r="F1202" s="213" t="s">
        <v>534</v>
      </c>
      <c r="G1202" s="213" t="s">
        <v>365</v>
      </c>
      <c r="H1202" s="213" t="s">
        <v>551</v>
      </c>
      <c r="I1202" s="213"/>
      <c r="J1202" s="213" t="s">
        <v>381</v>
      </c>
      <c r="K1202" s="213" t="s">
        <v>535</v>
      </c>
      <c r="L1202" s="213" t="s">
        <v>552</v>
      </c>
      <c r="M1202" s="213" t="s">
        <v>382</v>
      </c>
      <c r="N1202" s="213"/>
      <c r="O1202" s="213"/>
      <c r="P1202" s="213"/>
      <c r="Q1202" s="213"/>
      <c r="R1202" s="213"/>
      <c r="S1202" s="213" t="s">
        <v>600</v>
      </c>
      <c r="T1202" s="213"/>
      <c r="U1202" s="213" t="s">
        <v>538</v>
      </c>
      <c r="V1202" s="213">
        <v>1</v>
      </c>
      <c r="W1202" s="213" t="s">
        <v>560</v>
      </c>
      <c r="X1202" s="213" t="s">
        <v>541</v>
      </c>
      <c r="Y1202" s="213" t="s">
        <v>541</v>
      </c>
      <c r="Z1202" s="212">
        <v>5268</v>
      </c>
      <c r="AA1202" s="212">
        <v>399560</v>
      </c>
      <c r="AB1202" s="217">
        <v>0.23375099999999999</v>
      </c>
      <c r="AC1202" s="217">
        <v>0.37618600000000002</v>
      </c>
      <c r="AD1202" s="212">
        <f t="shared" si="18"/>
        <v>93397.549559999999</v>
      </c>
    </row>
    <row r="1203" spans="2:30" x14ac:dyDescent="0.15">
      <c r="B1203" s="213">
        <v>17031004536</v>
      </c>
      <c r="C1203" s="213">
        <v>17031001006</v>
      </c>
      <c r="D1203" s="213">
        <v>17031001033</v>
      </c>
      <c r="E1203" s="213" t="s">
        <v>533</v>
      </c>
      <c r="F1203" s="213" t="s">
        <v>534</v>
      </c>
      <c r="G1203" s="213" t="s">
        <v>365</v>
      </c>
      <c r="H1203" s="213" t="s">
        <v>543</v>
      </c>
      <c r="I1203" s="213"/>
      <c r="J1203" s="213" t="s">
        <v>542</v>
      </c>
      <c r="K1203" s="213" t="s">
        <v>382</v>
      </c>
      <c r="L1203" s="213"/>
      <c r="M1203" s="213"/>
      <c r="N1203" s="213"/>
      <c r="O1203" s="213"/>
      <c r="P1203" s="213"/>
      <c r="Q1203" s="213"/>
      <c r="R1203" s="213"/>
      <c r="S1203" s="213"/>
      <c r="T1203" s="213"/>
      <c r="U1203" s="213" t="s">
        <v>538</v>
      </c>
      <c r="V1203" s="213">
        <v>1</v>
      </c>
      <c r="W1203" s="213" t="s">
        <v>545</v>
      </c>
      <c r="X1203" s="213" t="s">
        <v>554</v>
      </c>
      <c r="Y1203" s="213" t="s">
        <v>540</v>
      </c>
      <c r="Z1203" s="212">
        <v>186774</v>
      </c>
      <c r="AA1203" s="212">
        <v>8926948</v>
      </c>
      <c r="AB1203" s="217">
        <v>0.45878099999999999</v>
      </c>
      <c r="AC1203" s="217">
        <v>0.73833700000000002</v>
      </c>
      <c r="AD1203" s="212">
        <f t="shared" si="18"/>
        <v>4095514.130388</v>
      </c>
    </row>
    <row r="1204" spans="2:30" x14ac:dyDescent="0.15">
      <c r="B1204" s="213">
        <v>17031004580</v>
      </c>
      <c r="C1204" s="213">
        <v>17031001190</v>
      </c>
      <c r="D1204" s="213">
        <v>17031001187</v>
      </c>
      <c r="E1204" s="213" t="s">
        <v>533</v>
      </c>
      <c r="F1204" s="213" t="s">
        <v>534</v>
      </c>
      <c r="G1204" s="213" t="s">
        <v>365</v>
      </c>
      <c r="H1204" s="213" t="s">
        <v>543</v>
      </c>
      <c r="I1204" s="213"/>
      <c r="J1204" s="213"/>
      <c r="K1204" s="213"/>
      <c r="L1204" s="213"/>
      <c r="M1204" s="213"/>
      <c r="N1204" s="213"/>
      <c r="O1204" s="213"/>
      <c r="P1204" s="213"/>
      <c r="Q1204" s="213"/>
      <c r="R1204" s="213"/>
      <c r="S1204" s="213" t="s">
        <v>604</v>
      </c>
      <c r="T1204" s="213"/>
      <c r="U1204" s="213" t="s">
        <v>538</v>
      </c>
      <c r="V1204" s="213">
        <v>1</v>
      </c>
      <c r="W1204" s="213" t="s">
        <v>545</v>
      </c>
      <c r="X1204" s="213" t="s">
        <v>554</v>
      </c>
      <c r="Y1204" s="213" t="s">
        <v>546</v>
      </c>
      <c r="Z1204" s="212">
        <v>4872</v>
      </c>
      <c r="AA1204" s="212">
        <v>434024</v>
      </c>
      <c r="AB1204" s="217">
        <v>6.173E-2</v>
      </c>
      <c r="AC1204" s="217">
        <v>9.9346000000000004E-2</v>
      </c>
      <c r="AD1204" s="212">
        <f t="shared" si="18"/>
        <v>26792.301520000001</v>
      </c>
    </row>
    <row r="1205" spans="2:30" x14ac:dyDescent="0.15">
      <c r="B1205" s="213">
        <v>17031004583</v>
      </c>
      <c r="C1205" s="213">
        <v>17031001205</v>
      </c>
      <c r="D1205" s="213">
        <v>17031001211</v>
      </c>
      <c r="E1205" s="213" t="s">
        <v>533</v>
      </c>
      <c r="F1205" s="213" t="s">
        <v>534</v>
      </c>
      <c r="G1205" s="213" t="s">
        <v>365</v>
      </c>
      <c r="H1205" s="213" t="s">
        <v>577</v>
      </c>
      <c r="I1205" s="213"/>
      <c r="J1205" s="213"/>
      <c r="K1205" s="213"/>
      <c r="L1205" s="213"/>
      <c r="M1205" s="213"/>
      <c r="N1205" s="213"/>
      <c r="O1205" s="213"/>
      <c r="P1205" s="213"/>
      <c r="Q1205" s="213"/>
      <c r="R1205" s="213"/>
      <c r="S1205" s="213"/>
      <c r="T1205" s="213"/>
      <c r="U1205" s="213" t="s">
        <v>559</v>
      </c>
      <c r="V1205" s="213">
        <v>1</v>
      </c>
      <c r="W1205" s="213" t="s">
        <v>560</v>
      </c>
      <c r="X1205" s="213" t="s">
        <v>541</v>
      </c>
      <c r="Y1205" s="213" t="s">
        <v>541</v>
      </c>
      <c r="Z1205" s="212">
        <v>0</v>
      </c>
      <c r="AA1205" s="212">
        <v>0</v>
      </c>
      <c r="AB1205" s="217">
        <v>2.2676999999999999E-2</v>
      </c>
      <c r="AC1205" s="217">
        <v>3.6496000000000001E-2</v>
      </c>
      <c r="AD1205" s="212">
        <f t="shared" si="18"/>
        <v>0</v>
      </c>
    </row>
    <row r="1206" spans="2:30" x14ac:dyDescent="0.15">
      <c r="B1206" s="213">
        <v>17031004587</v>
      </c>
      <c r="C1206" s="213">
        <v>17031001205</v>
      </c>
      <c r="D1206" s="213">
        <v>17031001239</v>
      </c>
      <c r="E1206" s="213" t="s">
        <v>533</v>
      </c>
      <c r="F1206" s="213" t="s">
        <v>534</v>
      </c>
      <c r="G1206" s="213" t="s">
        <v>365</v>
      </c>
      <c r="H1206" s="213" t="s">
        <v>577</v>
      </c>
      <c r="I1206" s="213"/>
      <c r="J1206" s="213"/>
      <c r="K1206" s="213"/>
      <c r="L1206" s="213"/>
      <c r="M1206" s="213"/>
      <c r="N1206" s="213"/>
      <c r="O1206" s="213"/>
      <c r="P1206" s="213"/>
      <c r="Q1206" s="213"/>
      <c r="R1206" s="213"/>
      <c r="S1206" s="213"/>
      <c r="T1206" s="213"/>
      <c r="U1206" s="213" t="s">
        <v>559</v>
      </c>
      <c r="V1206" s="213">
        <v>1</v>
      </c>
      <c r="W1206" s="213" t="s">
        <v>560</v>
      </c>
      <c r="X1206" s="213" t="s">
        <v>541</v>
      </c>
      <c r="Y1206" s="213" t="s">
        <v>541</v>
      </c>
      <c r="Z1206" s="212">
        <v>0</v>
      </c>
      <c r="AA1206" s="212">
        <v>0</v>
      </c>
      <c r="AB1206" s="217">
        <v>0.787852</v>
      </c>
      <c r="AC1206" s="217">
        <v>1.267927</v>
      </c>
      <c r="AD1206" s="212">
        <f t="shared" si="18"/>
        <v>0</v>
      </c>
    </row>
    <row r="1207" spans="2:30" x14ac:dyDescent="0.15">
      <c r="B1207" s="213">
        <v>17031004672</v>
      </c>
      <c r="C1207" s="213">
        <v>17031001134</v>
      </c>
      <c r="D1207" s="213">
        <v>17031001132</v>
      </c>
      <c r="E1207" s="213" t="s">
        <v>533</v>
      </c>
      <c r="F1207" s="213" t="s">
        <v>534</v>
      </c>
      <c r="G1207" s="213" t="s">
        <v>365</v>
      </c>
      <c r="H1207" s="213" t="s">
        <v>543</v>
      </c>
      <c r="I1207" s="213"/>
      <c r="J1207" s="213" t="s">
        <v>577</v>
      </c>
      <c r="K1207" s="213"/>
      <c r="L1207" s="213"/>
      <c r="M1207" s="213"/>
      <c r="N1207" s="213"/>
      <c r="O1207" s="213"/>
      <c r="P1207" s="213"/>
      <c r="Q1207" s="213"/>
      <c r="R1207" s="213"/>
      <c r="S1207" s="213" t="s">
        <v>656</v>
      </c>
      <c r="T1207" s="213" t="s">
        <v>657</v>
      </c>
      <c r="U1207" s="213" t="s">
        <v>559</v>
      </c>
      <c r="V1207" s="213">
        <v>1</v>
      </c>
      <c r="W1207" s="213" t="s">
        <v>560</v>
      </c>
      <c r="X1207" s="213" t="s">
        <v>541</v>
      </c>
      <c r="Y1207" s="213" t="s">
        <v>541</v>
      </c>
      <c r="Z1207" s="212">
        <v>0</v>
      </c>
      <c r="AA1207" s="212">
        <v>0</v>
      </c>
      <c r="AB1207" s="217">
        <v>0.130106</v>
      </c>
      <c r="AC1207" s="217">
        <v>0.20938599999999999</v>
      </c>
      <c r="AD1207" s="212">
        <f t="shared" si="18"/>
        <v>0</v>
      </c>
    </row>
    <row r="1208" spans="2:30" x14ac:dyDescent="0.15">
      <c r="B1208" s="213">
        <v>17031004676</v>
      </c>
      <c r="C1208" s="213">
        <v>17031001150</v>
      </c>
      <c r="D1208" s="213">
        <v>17031001143</v>
      </c>
      <c r="E1208" s="213" t="s">
        <v>533</v>
      </c>
      <c r="F1208" s="213" t="s">
        <v>534</v>
      </c>
      <c r="G1208" s="213" t="s">
        <v>365</v>
      </c>
      <c r="H1208" s="213" t="s">
        <v>543</v>
      </c>
      <c r="I1208" s="213"/>
      <c r="J1208" s="213" t="s">
        <v>577</v>
      </c>
      <c r="K1208" s="213"/>
      <c r="L1208" s="213"/>
      <c r="M1208" s="213"/>
      <c r="N1208" s="213"/>
      <c r="O1208" s="213"/>
      <c r="P1208" s="213"/>
      <c r="Q1208" s="213"/>
      <c r="R1208" s="213"/>
      <c r="S1208" s="213" t="s">
        <v>656</v>
      </c>
      <c r="T1208" s="213" t="s">
        <v>657</v>
      </c>
      <c r="U1208" s="213" t="s">
        <v>559</v>
      </c>
      <c r="V1208" s="213">
        <v>1</v>
      </c>
      <c r="W1208" s="213" t="s">
        <v>560</v>
      </c>
      <c r="X1208" s="213" t="s">
        <v>541</v>
      </c>
      <c r="Y1208" s="213" t="s">
        <v>541</v>
      </c>
      <c r="Z1208" s="212">
        <v>0</v>
      </c>
      <c r="AA1208" s="212">
        <v>0</v>
      </c>
      <c r="AB1208" s="217">
        <v>0.12664</v>
      </c>
      <c r="AC1208" s="217">
        <v>0.20380699999999999</v>
      </c>
      <c r="AD1208" s="212">
        <f t="shared" si="18"/>
        <v>0</v>
      </c>
    </row>
    <row r="1209" spans="2:30" x14ac:dyDescent="0.15">
      <c r="B1209" s="213">
        <v>17031004677</v>
      </c>
      <c r="C1209" s="213">
        <v>17031001161</v>
      </c>
      <c r="D1209" s="213">
        <v>17031001150</v>
      </c>
      <c r="E1209" s="213" t="s">
        <v>533</v>
      </c>
      <c r="F1209" s="213" t="s">
        <v>534</v>
      </c>
      <c r="G1209" s="213" t="s">
        <v>365</v>
      </c>
      <c r="H1209" s="213" t="s">
        <v>543</v>
      </c>
      <c r="I1209" s="213"/>
      <c r="J1209" s="213" t="s">
        <v>577</v>
      </c>
      <c r="K1209" s="213"/>
      <c r="L1209" s="213"/>
      <c r="M1209" s="213"/>
      <c r="N1209" s="213"/>
      <c r="O1209" s="213"/>
      <c r="P1209" s="213"/>
      <c r="Q1209" s="213"/>
      <c r="R1209" s="213"/>
      <c r="S1209" s="213" t="s">
        <v>656</v>
      </c>
      <c r="T1209" s="213"/>
      <c r="U1209" s="213" t="s">
        <v>559</v>
      </c>
      <c r="V1209" s="213">
        <v>1</v>
      </c>
      <c r="W1209" s="213" t="s">
        <v>560</v>
      </c>
      <c r="X1209" s="213" t="s">
        <v>541</v>
      </c>
      <c r="Y1209" s="213" t="s">
        <v>541</v>
      </c>
      <c r="Z1209" s="212">
        <v>0</v>
      </c>
      <c r="AA1209" s="212">
        <v>0</v>
      </c>
      <c r="AB1209" s="217">
        <v>0.27153300000000002</v>
      </c>
      <c r="AC1209" s="217">
        <v>0.43699100000000002</v>
      </c>
      <c r="AD1209" s="212">
        <f t="shared" si="18"/>
        <v>0</v>
      </c>
    </row>
    <row r="1210" spans="2:30" x14ac:dyDescent="0.15">
      <c r="B1210" s="213">
        <v>17031004837</v>
      </c>
      <c r="C1210" s="213">
        <v>17031001211</v>
      </c>
      <c r="D1210" s="213">
        <v>17031001214</v>
      </c>
      <c r="E1210" s="213" t="s">
        <v>533</v>
      </c>
      <c r="F1210" s="213" t="s">
        <v>534</v>
      </c>
      <c r="G1210" s="213" t="s">
        <v>365</v>
      </c>
      <c r="H1210" s="213" t="s">
        <v>577</v>
      </c>
      <c r="I1210" s="213"/>
      <c r="J1210" s="213"/>
      <c r="K1210" s="213"/>
      <c r="L1210" s="213"/>
      <c r="M1210" s="213"/>
      <c r="N1210" s="213"/>
      <c r="O1210" s="213"/>
      <c r="P1210" s="213"/>
      <c r="Q1210" s="213"/>
      <c r="R1210" s="213"/>
      <c r="S1210" s="213"/>
      <c r="T1210" s="213"/>
      <c r="U1210" s="213" t="s">
        <v>559</v>
      </c>
      <c r="V1210" s="213">
        <v>1</v>
      </c>
      <c r="W1210" s="213" t="s">
        <v>560</v>
      </c>
      <c r="X1210" s="213" t="s">
        <v>541</v>
      </c>
      <c r="Y1210" s="213" t="s">
        <v>541</v>
      </c>
      <c r="Z1210" s="212">
        <v>0</v>
      </c>
      <c r="AA1210" s="212">
        <v>0</v>
      </c>
      <c r="AB1210" s="217">
        <v>4.0689000000000003E-2</v>
      </c>
      <c r="AC1210" s="217">
        <v>6.5483E-2</v>
      </c>
      <c r="AD1210" s="212">
        <f t="shared" si="18"/>
        <v>0</v>
      </c>
    </row>
    <row r="1211" spans="2:30" x14ac:dyDescent="0.15">
      <c r="B1211" s="213">
        <v>17031004839</v>
      </c>
      <c r="C1211" s="213">
        <v>17031001214</v>
      </c>
      <c r="D1211" s="213">
        <v>17031001215</v>
      </c>
      <c r="E1211" s="213" t="s">
        <v>533</v>
      </c>
      <c r="F1211" s="213" t="s">
        <v>534</v>
      </c>
      <c r="G1211" s="213" t="s">
        <v>365</v>
      </c>
      <c r="H1211" s="213" t="s">
        <v>577</v>
      </c>
      <c r="I1211" s="213"/>
      <c r="J1211" s="213"/>
      <c r="K1211" s="213"/>
      <c r="L1211" s="213"/>
      <c r="M1211" s="213"/>
      <c r="N1211" s="213"/>
      <c r="O1211" s="213"/>
      <c r="P1211" s="213"/>
      <c r="Q1211" s="213"/>
      <c r="R1211" s="213"/>
      <c r="S1211" s="213"/>
      <c r="T1211" s="213"/>
      <c r="U1211" s="213" t="s">
        <v>559</v>
      </c>
      <c r="V1211" s="213">
        <v>1</v>
      </c>
      <c r="W1211" s="213" t="s">
        <v>560</v>
      </c>
      <c r="X1211" s="213" t="s">
        <v>541</v>
      </c>
      <c r="Y1211" s="213" t="s">
        <v>541</v>
      </c>
      <c r="Z1211" s="212">
        <v>0</v>
      </c>
      <c r="AA1211" s="212">
        <v>0</v>
      </c>
      <c r="AB1211" s="217">
        <v>2.0136000000000001E-2</v>
      </c>
      <c r="AC1211" s="217">
        <v>3.2405000000000003E-2</v>
      </c>
      <c r="AD1211" s="212">
        <f t="shared" si="18"/>
        <v>0</v>
      </c>
    </row>
    <row r="1212" spans="2:30" x14ac:dyDescent="0.15">
      <c r="B1212" s="213">
        <v>17031004842</v>
      </c>
      <c r="C1212" s="213">
        <v>17031001215</v>
      </c>
      <c r="D1212" s="213">
        <v>17031001228</v>
      </c>
      <c r="E1212" s="213" t="s">
        <v>533</v>
      </c>
      <c r="F1212" s="213" t="s">
        <v>534</v>
      </c>
      <c r="G1212" s="213" t="s">
        <v>365</v>
      </c>
      <c r="H1212" s="213" t="s">
        <v>577</v>
      </c>
      <c r="I1212" s="213"/>
      <c r="J1212" s="213"/>
      <c r="K1212" s="213"/>
      <c r="L1212" s="213"/>
      <c r="M1212" s="213"/>
      <c r="N1212" s="213"/>
      <c r="O1212" s="213"/>
      <c r="P1212" s="213"/>
      <c r="Q1212" s="213"/>
      <c r="R1212" s="213"/>
      <c r="S1212" s="213"/>
      <c r="T1212" s="213"/>
      <c r="U1212" s="213" t="s">
        <v>559</v>
      </c>
      <c r="V1212" s="213">
        <v>1</v>
      </c>
      <c r="W1212" s="213" t="s">
        <v>560</v>
      </c>
      <c r="X1212" s="213" t="s">
        <v>541</v>
      </c>
      <c r="Y1212" s="213" t="s">
        <v>541</v>
      </c>
      <c r="Z1212" s="212">
        <v>0</v>
      </c>
      <c r="AA1212" s="212">
        <v>0</v>
      </c>
      <c r="AB1212" s="217">
        <v>1.2626949999999999</v>
      </c>
      <c r="AC1212" s="217">
        <v>2.032114</v>
      </c>
      <c r="AD1212" s="212">
        <f t="shared" si="18"/>
        <v>0</v>
      </c>
    </row>
    <row r="1213" spans="2:30" x14ac:dyDescent="0.15">
      <c r="B1213" s="213">
        <v>17031004886</v>
      </c>
      <c r="C1213" s="213">
        <v>17031001313</v>
      </c>
      <c r="D1213" s="213">
        <v>17031001295</v>
      </c>
      <c r="E1213" s="213" t="s">
        <v>533</v>
      </c>
      <c r="F1213" s="213" t="s">
        <v>534</v>
      </c>
      <c r="G1213" s="213" t="s">
        <v>365</v>
      </c>
      <c r="H1213" s="213" t="s">
        <v>535</v>
      </c>
      <c r="I1213" s="213"/>
      <c r="J1213" s="213" t="s">
        <v>551</v>
      </c>
      <c r="K1213" s="213"/>
      <c r="L1213" s="213"/>
      <c r="M1213" s="213"/>
      <c r="N1213" s="213"/>
      <c r="O1213" s="213"/>
      <c r="P1213" s="213"/>
      <c r="Q1213" s="213"/>
      <c r="R1213" s="213"/>
      <c r="S1213" s="213"/>
      <c r="T1213" s="213"/>
      <c r="U1213" s="213" t="s">
        <v>559</v>
      </c>
      <c r="V1213" s="213">
        <v>1</v>
      </c>
      <c r="W1213" s="213" t="s">
        <v>560</v>
      </c>
      <c r="X1213" s="213" t="s">
        <v>541</v>
      </c>
      <c r="Y1213" s="213" t="s">
        <v>541</v>
      </c>
      <c r="Z1213" s="212">
        <v>0</v>
      </c>
      <c r="AA1213" s="212">
        <v>0</v>
      </c>
      <c r="AB1213" s="217">
        <v>0.71633000000000002</v>
      </c>
      <c r="AC1213" s="217">
        <v>1.1528240000000001</v>
      </c>
      <c r="AD1213" s="212">
        <f t="shared" si="18"/>
        <v>0</v>
      </c>
    </row>
    <row r="1214" spans="2:30" x14ac:dyDescent="0.15">
      <c r="B1214" s="213">
        <v>17031004905</v>
      </c>
      <c r="C1214" s="213">
        <v>17031001522</v>
      </c>
      <c r="D1214" s="213">
        <v>17031001518</v>
      </c>
      <c r="E1214" s="213" t="s">
        <v>533</v>
      </c>
      <c r="F1214" s="213" t="s">
        <v>534</v>
      </c>
      <c r="G1214" s="213" t="s">
        <v>365</v>
      </c>
      <c r="H1214" s="213" t="s">
        <v>382</v>
      </c>
      <c r="I1214" s="213"/>
      <c r="J1214" s="213"/>
      <c r="K1214" s="213"/>
      <c r="L1214" s="213"/>
      <c r="M1214" s="213"/>
      <c r="N1214" s="213"/>
      <c r="O1214" s="213"/>
      <c r="P1214" s="213"/>
      <c r="Q1214" s="213"/>
      <c r="R1214" s="213"/>
      <c r="S1214" s="213" t="s">
        <v>576</v>
      </c>
      <c r="T1214" s="213"/>
      <c r="U1214" s="213" t="s">
        <v>559</v>
      </c>
      <c r="V1214" s="213">
        <v>1</v>
      </c>
      <c r="W1214" s="213" t="s">
        <v>560</v>
      </c>
      <c r="X1214" s="213" t="s">
        <v>541</v>
      </c>
      <c r="Y1214" s="213" t="s">
        <v>541</v>
      </c>
      <c r="Z1214" s="212">
        <v>0</v>
      </c>
      <c r="AA1214" s="212">
        <v>0</v>
      </c>
      <c r="AB1214" s="217">
        <v>0.20543500000000001</v>
      </c>
      <c r="AC1214" s="217">
        <v>0.33061600000000002</v>
      </c>
      <c r="AD1214" s="212">
        <f t="shared" si="18"/>
        <v>0</v>
      </c>
    </row>
    <row r="1215" spans="2:30" x14ac:dyDescent="0.15">
      <c r="B1215" s="213">
        <v>17031005124</v>
      </c>
      <c r="C1215" s="213">
        <v>17031001402</v>
      </c>
      <c r="D1215" s="213">
        <v>17031001403</v>
      </c>
      <c r="E1215" s="213" t="s">
        <v>533</v>
      </c>
      <c r="F1215" s="213" t="s">
        <v>534</v>
      </c>
      <c r="G1215" s="213" t="s">
        <v>365</v>
      </c>
      <c r="H1215" s="213" t="s">
        <v>557</v>
      </c>
      <c r="I1215" s="213"/>
      <c r="J1215" s="213" t="s">
        <v>552</v>
      </c>
      <c r="K1215" s="213"/>
      <c r="L1215" s="213"/>
      <c r="M1215" s="213"/>
      <c r="N1215" s="213"/>
      <c r="O1215" s="213"/>
      <c r="P1215" s="213"/>
      <c r="Q1215" s="213"/>
      <c r="R1215" s="213"/>
      <c r="S1215" s="213" t="s">
        <v>567</v>
      </c>
      <c r="T1215" s="213"/>
      <c r="U1215" s="213" t="s">
        <v>559</v>
      </c>
      <c r="V1215" s="213">
        <v>1</v>
      </c>
      <c r="W1215" s="213" t="s">
        <v>560</v>
      </c>
      <c r="X1215" s="213" t="s">
        <v>541</v>
      </c>
      <c r="Y1215" s="213" t="s">
        <v>541</v>
      </c>
      <c r="Z1215" s="212">
        <v>120</v>
      </c>
      <c r="AA1215" s="212">
        <v>10120</v>
      </c>
      <c r="AB1215" s="217">
        <v>0.17608199999999999</v>
      </c>
      <c r="AC1215" s="217">
        <v>0.28337800000000002</v>
      </c>
      <c r="AD1215" s="212">
        <f t="shared" si="18"/>
        <v>1781.94984</v>
      </c>
    </row>
    <row r="1216" spans="2:30" x14ac:dyDescent="0.15">
      <c r="B1216" s="213">
        <v>17031005160</v>
      </c>
      <c r="C1216" s="213">
        <v>17031000615</v>
      </c>
      <c r="D1216" s="213">
        <v>17031000616</v>
      </c>
      <c r="E1216" s="213" t="s">
        <v>533</v>
      </c>
      <c r="F1216" s="213" t="s">
        <v>534</v>
      </c>
      <c r="G1216" s="213" t="s">
        <v>365</v>
      </c>
      <c r="H1216" s="213" t="s">
        <v>547</v>
      </c>
      <c r="I1216" s="213"/>
      <c r="J1216" s="213" t="s">
        <v>627</v>
      </c>
      <c r="K1216" s="213"/>
      <c r="L1216" s="213"/>
      <c r="M1216" s="213"/>
      <c r="N1216" s="213"/>
      <c r="O1216" s="213"/>
      <c r="P1216" s="213"/>
      <c r="Q1216" s="213"/>
      <c r="R1216" s="213"/>
      <c r="S1216" s="213"/>
      <c r="T1216" s="213"/>
      <c r="U1216" s="213" t="s">
        <v>538</v>
      </c>
      <c r="V1216" s="213">
        <v>4</v>
      </c>
      <c r="W1216" s="213" t="s">
        <v>545</v>
      </c>
      <c r="X1216" s="213" t="s">
        <v>554</v>
      </c>
      <c r="Y1216" s="213" t="s">
        <v>541</v>
      </c>
      <c r="Z1216" s="212">
        <v>0</v>
      </c>
      <c r="AA1216" s="212">
        <v>0</v>
      </c>
      <c r="AB1216" s="217">
        <v>0.45025500000000002</v>
      </c>
      <c r="AC1216" s="217">
        <v>0.72461699999999996</v>
      </c>
      <c r="AD1216" s="212">
        <f t="shared" si="18"/>
        <v>0</v>
      </c>
    </row>
    <row r="1217" spans="2:30" x14ac:dyDescent="0.15">
      <c r="B1217" s="213">
        <v>17031005310</v>
      </c>
      <c r="C1217" s="213">
        <v>17031001449</v>
      </c>
      <c r="D1217" s="213">
        <v>17031001448</v>
      </c>
      <c r="E1217" s="213" t="s">
        <v>533</v>
      </c>
      <c r="F1217" s="213" t="s">
        <v>534</v>
      </c>
      <c r="G1217" s="213" t="s">
        <v>365</v>
      </c>
      <c r="H1217" s="213" t="s">
        <v>551</v>
      </c>
      <c r="I1217" s="213"/>
      <c r="J1217" s="213"/>
      <c r="K1217" s="213"/>
      <c r="L1217" s="213"/>
      <c r="M1217" s="213"/>
      <c r="N1217" s="213"/>
      <c r="O1217" s="213"/>
      <c r="P1217" s="213"/>
      <c r="Q1217" s="213"/>
      <c r="R1217" s="213"/>
      <c r="S1217" s="213"/>
      <c r="T1217" s="213"/>
      <c r="U1217" s="213" t="s">
        <v>559</v>
      </c>
      <c r="V1217" s="213">
        <v>1</v>
      </c>
      <c r="W1217" s="213" t="s">
        <v>560</v>
      </c>
      <c r="X1217" s="213" t="s">
        <v>541</v>
      </c>
      <c r="Y1217" s="213" t="s">
        <v>541</v>
      </c>
      <c r="Z1217" s="212">
        <v>0</v>
      </c>
      <c r="AA1217" s="212">
        <v>0</v>
      </c>
      <c r="AB1217" s="217">
        <v>0.51478299999999999</v>
      </c>
      <c r="AC1217" s="217">
        <v>0.82846500000000001</v>
      </c>
      <c r="AD1217" s="212">
        <f t="shared" si="18"/>
        <v>0</v>
      </c>
    </row>
    <row r="1218" spans="2:30" x14ac:dyDescent="0.15">
      <c r="B1218" s="213">
        <v>17031005319</v>
      </c>
      <c r="C1218" s="213">
        <v>17031000934</v>
      </c>
      <c r="D1218" s="213">
        <v>17031000917</v>
      </c>
      <c r="E1218" s="213" t="s">
        <v>533</v>
      </c>
      <c r="F1218" s="213" t="s">
        <v>534</v>
      </c>
      <c r="G1218" s="213" t="s">
        <v>365</v>
      </c>
      <c r="H1218" s="213" t="s">
        <v>557</v>
      </c>
      <c r="I1218" s="213"/>
      <c r="J1218" s="213" t="s">
        <v>535</v>
      </c>
      <c r="K1218" s="213" t="s">
        <v>382</v>
      </c>
      <c r="L1218" s="213" t="s">
        <v>552</v>
      </c>
      <c r="M1218" s="213" t="s">
        <v>381</v>
      </c>
      <c r="N1218" s="213"/>
      <c r="O1218" s="213"/>
      <c r="P1218" s="213"/>
      <c r="Q1218" s="213"/>
      <c r="R1218" s="213"/>
      <c r="S1218" s="213"/>
      <c r="T1218" s="213"/>
      <c r="U1218" s="213" t="s">
        <v>538</v>
      </c>
      <c r="V1218" s="213">
        <v>1</v>
      </c>
      <c r="W1218" s="213" t="s">
        <v>560</v>
      </c>
      <c r="X1218" s="213" t="s">
        <v>541</v>
      </c>
      <c r="Y1218" s="213" t="s">
        <v>541</v>
      </c>
      <c r="Z1218" s="212">
        <v>0</v>
      </c>
      <c r="AA1218" s="212">
        <v>0</v>
      </c>
      <c r="AB1218" s="217">
        <v>0.26036100000000001</v>
      </c>
      <c r="AC1218" s="217">
        <v>0.41901100000000002</v>
      </c>
      <c r="AD1218" s="212">
        <f t="shared" si="18"/>
        <v>0</v>
      </c>
    </row>
    <row r="1219" spans="2:30" x14ac:dyDescent="0.15">
      <c r="B1219" s="213">
        <v>17031005342</v>
      </c>
      <c r="C1219" s="213">
        <v>17031000325</v>
      </c>
      <c r="D1219" s="213">
        <v>17031000318</v>
      </c>
      <c r="E1219" s="213" t="s">
        <v>533</v>
      </c>
      <c r="F1219" s="213" t="s">
        <v>534</v>
      </c>
      <c r="G1219" s="213" t="s">
        <v>365</v>
      </c>
      <c r="H1219" s="213" t="s">
        <v>590</v>
      </c>
      <c r="I1219" s="213"/>
      <c r="J1219" s="213"/>
      <c r="K1219" s="213"/>
      <c r="L1219" s="213"/>
      <c r="M1219" s="213"/>
      <c r="N1219" s="213"/>
      <c r="O1219" s="213"/>
      <c r="P1219" s="213"/>
      <c r="Q1219" s="213"/>
      <c r="R1219" s="213"/>
      <c r="S1219" s="213"/>
      <c r="T1219" s="213"/>
      <c r="U1219" s="213" t="s">
        <v>559</v>
      </c>
      <c r="V1219" s="213">
        <v>1</v>
      </c>
      <c r="W1219" s="213" t="s">
        <v>560</v>
      </c>
      <c r="X1219" s="213" t="s">
        <v>541</v>
      </c>
      <c r="Y1219" s="213" t="s">
        <v>541</v>
      </c>
      <c r="Z1219" s="212">
        <v>0</v>
      </c>
      <c r="AA1219" s="212">
        <v>0</v>
      </c>
      <c r="AB1219" s="217">
        <v>0.67107399999999995</v>
      </c>
      <c r="AC1219" s="217">
        <v>1.0799920000000001</v>
      </c>
      <c r="AD1219" s="212">
        <f t="shared" si="18"/>
        <v>0</v>
      </c>
    </row>
    <row r="1220" spans="2:30" x14ac:dyDescent="0.15">
      <c r="B1220" s="213">
        <v>17031005366</v>
      </c>
      <c r="C1220" s="213">
        <v>17031001276</v>
      </c>
      <c r="D1220" s="213">
        <v>17031001281</v>
      </c>
      <c r="E1220" s="213" t="s">
        <v>533</v>
      </c>
      <c r="F1220" s="213" t="s">
        <v>534</v>
      </c>
      <c r="G1220" s="213" t="s">
        <v>365</v>
      </c>
      <c r="H1220" s="213" t="s">
        <v>543</v>
      </c>
      <c r="I1220" s="213"/>
      <c r="J1220" s="213"/>
      <c r="K1220" s="213"/>
      <c r="L1220" s="213"/>
      <c r="M1220" s="213"/>
      <c r="N1220" s="213"/>
      <c r="O1220" s="213"/>
      <c r="P1220" s="213"/>
      <c r="Q1220" s="213"/>
      <c r="R1220" s="213"/>
      <c r="S1220" s="213" t="s">
        <v>604</v>
      </c>
      <c r="T1220" s="213"/>
      <c r="U1220" s="213" t="s">
        <v>538</v>
      </c>
      <c r="V1220" s="213">
        <v>2</v>
      </c>
      <c r="W1220" s="213" t="s">
        <v>545</v>
      </c>
      <c r="X1220" s="213" t="s">
        <v>554</v>
      </c>
      <c r="Y1220" s="213" t="s">
        <v>546</v>
      </c>
      <c r="Z1220" s="212">
        <v>4872</v>
      </c>
      <c r="AA1220" s="212">
        <v>434024</v>
      </c>
      <c r="AB1220" s="217">
        <v>0.246253</v>
      </c>
      <c r="AC1220" s="217">
        <v>0.39630599999999999</v>
      </c>
      <c r="AD1220" s="212">
        <f t="shared" si="18"/>
        <v>106879.71207199999</v>
      </c>
    </row>
    <row r="1221" spans="2:30" x14ac:dyDescent="0.15">
      <c r="B1221" s="213">
        <v>17031005369</v>
      </c>
      <c r="C1221" s="213">
        <v>17031001303</v>
      </c>
      <c r="D1221" s="213">
        <v>17031001294</v>
      </c>
      <c r="E1221" s="213" t="s">
        <v>533</v>
      </c>
      <c r="F1221" s="213" t="s">
        <v>534</v>
      </c>
      <c r="G1221" s="213" t="s">
        <v>365</v>
      </c>
      <c r="H1221" s="213" t="s">
        <v>557</v>
      </c>
      <c r="I1221" s="213"/>
      <c r="J1221" s="213" t="s">
        <v>381</v>
      </c>
      <c r="K1221" s="213" t="s">
        <v>535</v>
      </c>
      <c r="L1221" s="213" t="s">
        <v>552</v>
      </c>
      <c r="M1221" s="213" t="s">
        <v>551</v>
      </c>
      <c r="N1221" s="213" t="s">
        <v>615</v>
      </c>
      <c r="O1221" s="213" t="s">
        <v>543</v>
      </c>
      <c r="P1221" s="213" t="s">
        <v>382</v>
      </c>
      <c r="Q1221" s="213"/>
      <c r="R1221" s="213"/>
      <c r="S1221" s="213" t="s">
        <v>570</v>
      </c>
      <c r="T1221" s="213"/>
      <c r="U1221" s="213" t="s">
        <v>538</v>
      </c>
      <c r="V1221" s="213">
        <v>2</v>
      </c>
      <c r="W1221" s="213" t="s">
        <v>545</v>
      </c>
      <c r="X1221" s="213" t="s">
        <v>540</v>
      </c>
      <c r="Y1221" s="213" t="s">
        <v>546</v>
      </c>
      <c r="Z1221" s="212">
        <v>576406</v>
      </c>
      <c r="AA1221" s="212">
        <v>44251670</v>
      </c>
      <c r="AB1221" s="217">
        <v>0.41764499999999999</v>
      </c>
      <c r="AC1221" s="217">
        <v>0.67213599999999996</v>
      </c>
      <c r="AD1221" s="212">
        <f t="shared" si="18"/>
        <v>18481488.717149999</v>
      </c>
    </row>
    <row r="1222" spans="2:30" x14ac:dyDescent="0.15">
      <c r="B1222" s="213">
        <v>17031005375</v>
      </c>
      <c r="C1222" s="213">
        <v>17031001258</v>
      </c>
      <c r="D1222" s="213">
        <v>17031001249</v>
      </c>
      <c r="E1222" s="213" t="s">
        <v>533</v>
      </c>
      <c r="F1222" s="213" t="s">
        <v>534</v>
      </c>
      <c r="G1222" s="213" t="s">
        <v>365</v>
      </c>
      <c r="H1222" s="213" t="s">
        <v>543</v>
      </c>
      <c r="I1222" s="213"/>
      <c r="J1222" s="213"/>
      <c r="K1222" s="213"/>
      <c r="L1222" s="213"/>
      <c r="M1222" s="213"/>
      <c r="N1222" s="213"/>
      <c r="O1222" s="213"/>
      <c r="P1222" s="213"/>
      <c r="Q1222" s="213"/>
      <c r="R1222" s="213"/>
      <c r="S1222" s="213"/>
      <c r="T1222" s="213"/>
      <c r="U1222" s="213" t="s">
        <v>559</v>
      </c>
      <c r="V1222" s="213">
        <v>1</v>
      </c>
      <c r="W1222" s="213" t="s">
        <v>560</v>
      </c>
      <c r="X1222" s="213" t="s">
        <v>541</v>
      </c>
      <c r="Y1222" s="213" t="s">
        <v>541</v>
      </c>
      <c r="Z1222" s="212">
        <v>0</v>
      </c>
      <c r="AA1222" s="212">
        <v>0</v>
      </c>
      <c r="AB1222" s="217">
        <v>0.172371</v>
      </c>
      <c r="AC1222" s="217">
        <v>0.27740399999999998</v>
      </c>
      <c r="AD1222" s="212">
        <f t="shared" ref="AD1222:AD1285" si="19">AA1222*AB1222</f>
        <v>0</v>
      </c>
    </row>
    <row r="1223" spans="2:30" x14ac:dyDescent="0.15">
      <c r="B1223" s="213">
        <v>17031005383</v>
      </c>
      <c r="C1223" s="213">
        <v>17031000734</v>
      </c>
      <c r="D1223" s="213">
        <v>17031000729</v>
      </c>
      <c r="E1223" s="213" t="s">
        <v>533</v>
      </c>
      <c r="F1223" s="213" t="s">
        <v>534</v>
      </c>
      <c r="G1223" s="213" t="s">
        <v>365</v>
      </c>
      <c r="H1223" s="213" t="s">
        <v>535</v>
      </c>
      <c r="I1223" s="213"/>
      <c r="J1223" s="213"/>
      <c r="K1223" s="213"/>
      <c r="L1223" s="213"/>
      <c r="M1223" s="213"/>
      <c r="N1223" s="213"/>
      <c r="O1223" s="213"/>
      <c r="P1223" s="213"/>
      <c r="Q1223" s="213"/>
      <c r="R1223" s="213"/>
      <c r="S1223" s="213" t="s">
        <v>624</v>
      </c>
      <c r="T1223" s="213" t="s">
        <v>625</v>
      </c>
      <c r="U1223" s="213" t="s">
        <v>538</v>
      </c>
      <c r="V1223" s="213">
        <v>2</v>
      </c>
      <c r="W1223" s="213" t="s">
        <v>582</v>
      </c>
      <c r="X1223" s="213" t="s">
        <v>554</v>
      </c>
      <c r="Y1223" s="213" t="s">
        <v>554</v>
      </c>
      <c r="Z1223" s="212">
        <v>0</v>
      </c>
      <c r="AA1223" s="212">
        <v>0</v>
      </c>
      <c r="AB1223" s="217">
        <v>0.49956099999999998</v>
      </c>
      <c r="AC1223" s="217">
        <v>0.80396699999999999</v>
      </c>
      <c r="AD1223" s="212">
        <f t="shared" si="19"/>
        <v>0</v>
      </c>
    </row>
    <row r="1224" spans="2:30" x14ac:dyDescent="0.15">
      <c r="B1224" s="213">
        <v>17031005458</v>
      </c>
      <c r="C1224" s="213">
        <v>17031001284</v>
      </c>
      <c r="D1224" s="213">
        <v>17031001286</v>
      </c>
      <c r="E1224" s="213" t="s">
        <v>533</v>
      </c>
      <c r="F1224" s="213" t="s">
        <v>534</v>
      </c>
      <c r="G1224" s="213" t="s">
        <v>365</v>
      </c>
      <c r="H1224" s="213" t="s">
        <v>547</v>
      </c>
      <c r="I1224" s="213"/>
      <c r="J1224" s="213"/>
      <c r="K1224" s="213"/>
      <c r="L1224" s="213"/>
      <c r="M1224" s="213"/>
      <c r="N1224" s="213"/>
      <c r="O1224" s="213"/>
      <c r="P1224" s="213"/>
      <c r="Q1224" s="213"/>
      <c r="R1224" s="213"/>
      <c r="S1224" s="213"/>
      <c r="T1224" s="213"/>
      <c r="U1224" s="213" t="s">
        <v>538</v>
      </c>
      <c r="V1224" s="213">
        <v>1</v>
      </c>
      <c r="W1224" s="213" t="s">
        <v>582</v>
      </c>
      <c r="X1224" s="213" t="s">
        <v>541</v>
      </c>
      <c r="Y1224" s="213" t="s">
        <v>541</v>
      </c>
      <c r="Z1224" s="212">
        <v>0</v>
      </c>
      <c r="AA1224" s="212">
        <v>0</v>
      </c>
      <c r="AB1224" s="217">
        <v>0.101754</v>
      </c>
      <c r="AC1224" s="217">
        <v>0.16375799999999999</v>
      </c>
      <c r="AD1224" s="212">
        <f t="shared" si="19"/>
        <v>0</v>
      </c>
    </row>
    <row r="1225" spans="2:30" x14ac:dyDescent="0.15">
      <c r="B1225" s="213">
        <v>17031005471</v>
      </c>
      <c r="C1225" s="213">
        <v>17031000969</v>
      </c>
      <c r="D1225" s="213">
        <v>17031000957</v>
      </c>
      <c r="E1225" s="213" t="s">
        <v>533</v>
      </c>
      <c r="F1225" s="213" t="s">
        <v>534</v>
      </c>
      <c r="G1225" s="213" t="s">
        <v>365</v>
      </c>
      <c r="H1225" s="213" t="s">
        <v>571</v>
      </c>
      <c r="I1225" s="213"/>
      <c r="J1225" s="213" t="s">
        <v>381</v>
      </c>
      <c r="K1225" s="213" t="s">
        <v>535</v>
      </c>
      <c r="L1225" s="213" t="s">
        <v>552</v>
      </c>
      <c r="M1225" s="213" t="s">
        <v>572</v>
      </c>
      <c r="N1225" s="213" t="s">
        <v>551</v>
      </c>
      <c r="O1225" s="213" t="s">
        <v>555</v>
      </c>
      <c r="P1225" s="213" t="s">
        <v>543</v>
      </c>
      <c r="Q1225" s="213" t="s">
        <v>382</v>
      </c>
      <c r="R1225" s="213" t="s">
        <v>563</v>
      </c>
      <c r="S1225" s="213" t="s">
        <v>605</v>
      </c>
      <c r="T1225" s="213" t="s">
        <v>574</v>
      </c>
      <c r="U1225" s="213" t="s">
        <v>538</v>
      </c>
      <c r="V1225" s="213">
        <v>2</v>
      </c>
      <c r="W1225" s="213" t="s">
        <v>545</v>
      </c>
      <c r="X1225" s="213" t="s">
        <v>554</v>
      </c>
      <c r="Y1225" s="213" t="s">
        <v>575</v>
      </c>
      <c r="Z1225" s="212">
        <v>268203</v>
      </c>
      <c r="AA1225" s="212">
        <v>14969329</v>
      </c>
      <c r="AB1225" s="217">
        <v>0.32166400000000001</v>
      </c>
      <c r="AC1225" s="217">
        <v>0.51766900000000005</v>
      </c>
      <c r="AD1225" s="212">
        <f t="shared" si="19"/>
        <v>4815094.2434560005</v>
      </c>
    </row>
    <row r="1226" spans="2:30" x14ac:dyDescent="0.15">
      <c r="B1226" s="213">
        <v>17031005482</v>
      </c>
      <c r="C1226" s="213">
        <v>17031001031</v>
      </c>
      <c r="D1226" s="213">
        <v>17031000994</v>
      </c>
      <c r="E1226" s="213" t="s">
        <v>533</v>
      </c>
      <c r="F1226" s="213" t="s">
        <v>534</v>
      </c>
      <c r="G1226" s="213" t="s">
        <v>365</v>
      </c>
      <c r="H1226" s="213" t="s">
        <v>571</v>
      </c>
      <c r="I1226" s="213"/>
      <c r="J1226" s="213"/>
      <c r="K1226" s="213"/>
      <c r="L1226" s="213"/>
      <c r="M1226" s="213"/>
      <c r="N1226" s="213"/>
      <c r="O1226" s="213"/>
      <c r="P1226" s="213"/>
      <c r="Q1226" s="213"/>
      <c r="R1226" s="213"/>
      <c r="S1226" s="213"/>
      <c r="T1226" s="213"/>
      <c r="U1226" s="213" t="s">
        <v>559</v>
      </c>
      <c r="V1226" s="213">
        <v>1</v>
      </c>
      <c r="W1226" s="213" t="s">
        <v>560</v>
      </c>
      <c r="X1226" s="213" t="s">
        <v>541</v>
      </c>
      <c r="Y1226" s="213" t="s">
        <v>541</v>
      </c>
      <c r="Z1226" s="212">
        <v>0</v>
      </c>
      <c r="AA1226" s="212">
        <v>0</v>
      </c>
      <c r="AB1226" s="217">
        <v>2.0527229999999999</v>
      </c>
      <c r="AC1226" s="217">
        <v>3.303544</v>
      </c>
      <c r="AD1226" s="212">
        <f t="shared" si="19"/>
        <v>0</v>
      </c>
    </row>
    <row r="1227" spans="2:30" x14ac:dyDescent="0.15">
      <c r="B1227" s="213">
        <v>17031005483</v>
      </c>
      <c r="C1227" s="213">
        <v>17031000995</v>
      </c>
      <c r="D1227" s="213">
        <v>17031000994</v>
      </c>
      <c r="E1227" s="213" t="s">
        <v>533</v>
      </c>
      <c r="F1227" s="213" t="s">
        <v>534</v>
      </c>
      <c r="G1227" s="213" t="s">
        <v>365</v>
      </c>
      <c r="H1227" s="213" t="s">
        <v>571</v>
      </c>
      <c r="I1227" s="213"/>
      <c r="J1227" s="213"/>
      <c r="K1227" s="213"/>
      <c r="L1227" s="213"/>
      <c r="M1227" s="213"/>
      <c r="N1227" s="213"/>
      <c r="O1227" s="213"/>
      <c r="P1227" s="213"/>
      <c r="Q1227" s="213"/>
      <c r="R1227" s="213"/>
      <c r="S1227" s="213"/>
      <c r="T1227" s="213"/>
      <c r="U1227" s="213" t="s">
        <v>559</v>
      </c>
      <c r="V1227" s="213">
        <v>1</v>
      </c>
      <c r="W1227" s="213" t="s">
        <v>560</v>
      </c>
      <c r="X1227" s="213" t="s">
        <v>541</v>
      </c>
      <c r="Y1227" s="213" t="s">
        <v>541</v>
      </c>
      <c r="Z1227" s="212">
        <v>0</v>
      </c>
      <c r="AA1227" s="212">
        <v>0</v>
      </c>
      <c r="AB1227" s="217">
        <v>2.0811130000000002</v>
      </c>
      <c r="AC1227" s="217">
        <v>3.3492329999999999</v>
      </c>
      <c r="AD1227" s="212">
        <f t="shared" si="19"/>
        <v>0</v>
      </c>
    </row>
    <row r="1228" spans="2:30" x14ac:dyDescent="0.15">
      <c r="B1228" s="213">
        <v>17031005488</v>
      </c>
      <c r="C1228" s="213">
        <v>17031000622</v>
      </c>
      <c r="D1228" s="213">
        <v>17031000619</v>
      </c>
      <c r="E1228" s="213" t="s">
        <v>533</v>
      </c>
      <c r="F1228" s="213" t="s">
        <v>534</v>
      </c>
      <c r="G1228" s="213" t="s">
        <v>365</v>
      </c>
      <c r="H1228" s="213" t="s">
        <v>551</v>
      </c>
      <c r="I1228" s="213"/>
      <c r="J1228" s="213" t="s">
        <v>535</v>
      </c>
      <c r="K1228" s="213"/>
      <c r="L1228" s="213"/>
      <c r="M1228" s="213"/>
      <c r="N1228" s="213"/>
      <c r="O1228" s="213"/>
      <c r="P1228" s="213"/>
      <c r="Q1228" s="213"/>
      <c r="R1228" s="213"/>
      <c r="S1228" s="213" t="s">
        <v>667</v>
      </c>
      <c r="T1228" s="213" t="s">
        <v>680</v>
      </c>
      <c r="U1228" s="213" t="s">
        <v>538</v>
      </c>
      <c r="V1228" s="213">
        <v>2</v>
      </c>
      <c r="W1228" s="213" t="s">
        <v>582</v>
      </c>
      <c r="X1228" s="213" t="s">
        <v>541</v>
      </c>
      <c r="Y1228" s="213" t="s">
        <v>541</v>
      </c>
      <c r="Z1228" s="212">
        <v>0</v>
      </c>
      <c r="AA1228" s="212">
        <v>0</v>
      </c>
      <c r="AB1228" s="217">
        <v>0.52766599999999997</v>
      </c>
      <c r="AC1228" s="217">
        <v>0.84919800000000001</v>
      </c>
      <c r="AD1228" s="212">
        <f t="shared" si="19"/>
        <v>0</v>
      </c>
    </row>
    <row r="1229" spans="2:30" x14ac:dyDescent="0.15">
      <c r="B1229" s="213">
        <v>17031005506</v>
      </c>
      <c r="C1229" s="213">
        <v>17031000752</v>
      </c>
      <c r="D1229" s="213">
        <v>17031000759</v>
      </c>
      <c r="E1229" s="213" t="s">
        <v>533</v>
      </c>
      <c r="F1229" s="213" t="s">
        <v>534</v>
      </c>
      <c r="G1229" s="213" t="s">
        <v>365</v>
      </c>
      <c r="H1229" s="213" t="s">
        <v>535</v>
      </c>
      <c r="I1229" s="213"/>
      <c r="J1229" s="213" t="s">
        <v>571</v>
      </c>
      <c r="K1229" s="213" t="s">
        <v>563</v>
      </c>
      <c r="L1229" s="213"/>
      <c r="M1229" s="213"/>
      <c r="N1229" s="213"/>
      <c r="O1229" s="213"/>
      <c r="P1229" s="213"/>
      <c r="Q1229" s="213"/>
      <c r="R1229" s="213"/>
      <c r="S1229" s="213"/>
      <c r="T1229" s="213"/>
      <c r="U1229" s="213" t="s">
        <v>538</v>
      </c>
      <c r="V1229" s="213">
        <v>1</v>
      </c>
      <c r="W1229" s="213" t="s">
        <v>560</v>
      </c>
      <c r="X1229" s="213" t="s">
        <v>541</v>
      </c>
      <c r="Y1229" s="213" t="s">
        <v>541</v>
      </c>
      <c r="Z1229" s="212">
        <v>2920</v>
      </c>
      <c r="AA1229" s="212">
        <v>257080</v>
      </c>
      <c r="AB1229" s="217">
        <v>0.23077300000000001</v>
      </c>
      <c r="AC1229" s="217">
        <v>0.37139299999999997</v>
      </c>
      <c r="AD1229" s="212">
        <f t="shared" si="19"/>
        <v>59327.122840000004</v>
      </c>
    </row>
    <row r="1230" spans="2:30" x14ac:dyDescent="0.15">
      <c r="B1230" s="213">
        <v>17031005507</v>
      </c>
      <c r="C1230" s="213">
        <v>17031000754</v>
      </c>
      <c r="D1230" s="213">
        <v>17031000759</v>
      </c>
      <c r="E1230" s="213" t="s">
        <v>533</v>
      </c>
      <c r="F1230" s="213" t="s">
        <v>534</v>
      </c>
      <c r="G1230" s="213" t="s">
        <v>365</v>
      </c>
      <c r="H1230" s="213" t="s">
        <v>571</v>
      </c>
      <c r="I1230" s="213"/>
      <c r="J1230" s="213" t="s">
        <v>535</v>
      </c>
      <c r="K1230" s="213"/>
      <c r="L1230" s="213"/>
      <c r="M1230" s="213"/>
      <c r="N1230" s="213"/>
      <c r="O1230" s="213"/>
      <c r="P1230" s="213"/>
      <c r="Q1230" s="213"/>
      <c r="R1230" s="213"/>
      <c r="S1230" s="213"/>
      <c r="T1230" s="213"/>
      <c r="U1230" s="213" t="s">
        <v>559</v>
      </c>
      <c r="V1230" s="213">
        <v>1</v>
      </c>
      <c r="W1230" s="213" t="s">
        <v>560</v>
      </c>
      <c r="X1230" s="213" t="s">
        <v>541</v>
      </c>
      <c r="Y1230" s="213" t="s">
        <v>541</v>
      </c>
      <c r="Z1230" s="212">
        <v>0</v>
      </c>
      <c r="AA1230" s="212">
        <v>0</v>
      </c>
      <c r="AB1230" s="217">
        <v>0.22309699999999999</v>
      </c>
      <c r="AC1230" s="217">
        <v>0.359041</v>
      </c>
      <c r="AD1230" s="212">
        <f t="shared" si="19"/>
        <v>0</v>
      </c>
    </row>
    <row r="1231" spans="2:30" x14ac:dyDescent="0.15">
      <c r="B1231" s="213">
        <v>17031005512</v>
      </c>
      <c r="C1231" s="213">
        <v>17031000672</v>
      </c>
      <c r="D1231" s="213">
        <v>17031000670</v>
      </c>
      <c r="E1231" s="213" t="s">
        <v>533</v>
      </c>
      <c r="F1231" s="213" t="s">
        <v>534</v>
      </c>
      <c r="G1231" s="213" t="s">
        <v>365</v>
      </c>
      <c r="H1231" s="213" t="s">
        <v>381</v>
      </c>
      <c r="I1231" s="213"/>
      <c r="J1231" s="213" t="s">
        <v>542</v>
      </c>
      <c r="K1231" s="213" t="s">
        <v>577</v>
      </c>
      <c r="L1231" s="213" t="s">
        <v>572</v>
      </c>
      <c r="M1231" s="213" t="s">
        <v>547</v>
      </c>
      <c r="N1231" s="213" t="s">
        <v>382</v>
      </c>
      <c r="O1231" s="213"/>
      <c r="P1231" s="213"/>
      <c r="Q1231" s="213"/>
      <c r="R1231" s="213"/>
      <c r="S1231" s="213" t="s">
        <v>579</v>
      </c>
      <c r="T1231" s="213"/>
      <c r="U1231" s="213" t="s">
        <v>538</v>
      </c>
      <c r="V1231" s="213">
        <v>4</v>
      </c>
      <c r="W1231" s="213" t="s">
        <v>545</v>
      </c>
      <c r="X1231" s="213" t="s">
        <v>540</v>
      </c>
      <c r="Y1231" s="213" t="s">
        <v>549</v>
      </c>
      <c r="Z1231" s="212">
        <v>120432</v>
      </c>
      <c r="AA1231" s="212">
        <v>8777707</v>
      </c>
      <c r="AB1231" s="217">
        <v>0.114359</v>
      </c>
      <c r="AC1231" s="217">
        <v>0.18404300000000001</v>
      </c>
      <c r="AD1231" s="212">
        <f t="shared" si="19"/>
        <v>1003809.794813</v>
      </c>
    </row>
    <row r="1232" spans="2:30" x14ac:dyDescent="0.15">
      <c r="B1232" s="213">
        <v>17031005640</v>
      </c>
      <c r="C1232" s="213">
        <v>17031001296</v>
      </c>
      <c r="D1232" s="213">
        <v>17031001319</v>
      </c>
      <c r="E1232" s="213" t="s">
        <v>533</v>
      </c>
      <c r="F1232" s="213" t="s">
        <v>534</v>
      </c>
      <c r="G1232" s="213" t="s">
        <v>365</v>
      </c>
      <c r="H1232" s="213" t="s">
        <v>615</v>
      </c>
      <c r="I1232" s="213"/>
      <c r="J1232" s="213" t="s">
        <v>577</v>
      </c>
      <c r="K1232" s="213" t="s">
        <v>551</v>
      </c>
      <c r="L1232" s="213"/>
      <c r="M1232" s="213"/>
      <c r="N1232" s="213"/>
      <c r="O1232" s="213"/>
      <c r="P1232" s="213"/>
      <c r="Q1232" s="213"/>
      <c r="R1232" s="213"/>
      <c r="S1232" s="213"/>
      <c r="T1232" s="213"/>
      <c r="U1232" s="213" t="s">
        <v>559</v>
      </c>
      <c r="V1232" s="213">
        <v>1</v>
      </c>
      <c r="W1232" s="213" t="s">
        <v>560</v>
      </c>
      <c r="X1232" s="213" t="s">
        <v>541</v>
      </c>
      <c r="Y1232" s="213" t="s">
        <v>541</v>
      </c>
      <c r="Z1232" s="212">
        <v>34796</v>
      </c>
      <c r="AA1232" s="212">
        <v>3311897</v>
      </c>
      <c r="AB1232" s="217">
        <v>9.5517000000000005E-2</v>
      </c>
      <c r="AC1232" s="217">
        <v>0.15372</v>
      </c>
      <c r="AD1232" s="212">
        <f t="shared" si="19"/>
        <v>316342.46574900002</v>
      </c>
    </row>
    <row r="1233" spans="2:30" x14ac:dyDescent="0.15">
      <c r="B1233" s="213">
        <v>17031005646</v>
      </c>
      <c r="C1233" s="213">
        <v>17031000644</v>
      </c>
      <c r="D1233" s="213">
        <v>17031000874</v>
      </c>
      <c r="E1233" s="213" t="s">
        <v>533</v>
      </c>
      <c r="F1233" s="213" t="s">
        <v>534</v>
      </c>
      <c r="G1233" s="213" t="s">
        <v>365</v>
      </c>
      <c r="H1233" s="213" t="s">
        <v>547</v>
      </c>
      <c r="I1233" s="213"/>
      <c r="J1233" s="213" t="s">
        <v>627</v>
      </c>
      <c r="K1233" s="213"/>
      <c r="L1233" s="213"/>
      <c r="M1233" s="213"/>
      <c r="N1233" s="213"/>
      <c r="O1233" s="213"/>
      <c r="P1233" s="213"/>
      <c r="Q1233" s="213"/>
      <c r="R1233" s="213"/>
      <c r="S1233" s="213"/>
      <c r="T1233" s="213"/>
      <c r="U1233" s="213" t="s">
        <v>538</v>
      </c>
      <c r="V1233" s="213">
        <v>4</v>
      </c>
      <c r="W1233" s="213" t="s">
        <v>545</v>
      </c>
      <c r="X1233" s="213" t="s">
        <v>540</v>
      </c>
      <c r="Y1233" s="213" t="s">
        <v>541</v>
      </c>
      <c r="Z1233" s="212">
        <v>0</v>
      </c>
      <c r="AA1233" s="212">
        <v>0</v>
      </c>
      <c r="AB1233" s="217">
        <v>4.3660030000000001</v>
      </c>
      <c r="AC1233" s="217">
        <v>7.0264150000000001</v>
      </c>
      <c r="AD1233" s="212">
        <f t="shared" si="19"/>
        <v>0</v>
      </c>
    </row>
    <row r="1234" spans="2:30" x14ac:dyDescent="0.15">
      <c r="B1234" s="213">
        <v>17031005647</v>
      </c>
      <c r="C1234" s="213">
        <v>17031001162</v>
      </c>
      <c r="D1234" s="213">
        <v>17031001165</v>
      </c>
      <c r="E1234" s="213" t="s">
        <v>533</v>
      </c>
      <c r="F1234" s="213" t="s">
        <v>534</v>
      </c>
      <c r="G1234" s="213" t="s">
        <v>365</v>
      </c>
      <c r="H1234" s="213" t="s">
        <v>577</v>
      </c>
      <c r="I1234" s="213"/>
      <c r="J1234" s="213"/>
      <c r="K1234" s="213"/>
      <c r="L1234" s="213"/>
      <c r="M1234" s="213"/>
      <c r="N1234" s="213"/>
      <c r="O1234" s="213"/>
      <c r="P1234" s="213"/>
      <c r="Q1234" s="213"/>
      <c r="R1234" s="213"/>
      <c r="S1234" s="213"/>
      <c r="T1234" s="213"/>
      <c r="U1234" s="213" t="s">
        <v>538</v>
      </c>
      <c r="V1234" s="213">
        <v>1</v>
      </c>
      <c r="W1234" s="213" t="s">
        <v>560</v>
      </c>
      <c r="X1234" s="213" t="s">
        <v>541</v>
      </c>
      <c r="Y1234" s="213" t="s">
        <v>541</v>
      </c>
      <c r="Z1234" s="212">
        <v>0</v>
      </c>
      <c r="AA1234" s="212">
        <v>0</v>
      </c>
      <c r="AB1234" s="217">
        <v>0.14787</v>
      </c>
      <c r="AC1234" s="217">
        <v>0.23797299999999999</v>
      </c>
      <c r="AD1234" s="212">
        <f t="shared" si="19"/>
        <v>0</v>
      </c>
    </row>
    <row r="1235" spans="2:30" x14ac:dyDescent="0.15">
      <c r="B1235" s="213">
        <v>17031005649</v>
      </c>
      <c r="C1235" s="213">
        <v>17031000682</v>
      </c>
      <c r="D1235" s="213">
        <v>17031000697</v>
      </c>
      <c r="E1235" s="213" t="s">
        <v>533</v>
      </c>
      <c r="F1235" s="213" t="s">
        <v>534</v>
      </c>
      <c r="G1235" s="213" t="s">
        <v>365</v>
      </c>
      <c r="H1235" s="213" t="s">
        <v>644</v>
      </c>
      <c r="I1235" s="213"/>
      <c r="J1235" s="213"/>
      <c r="K1235" s="213"/>
      <c r="L1235" s="213"/>
      <c r="M1235" s="213"/>
      <c r="N1235" s="213"/>
      <c r="O1235" s="213"/>
      <c r="P1235" s="213"/>
      <c r="Q1235" s="213"/>
      <c r="R1235" s="213"/>
      <c r="S1235" s="213"/>
      <c r="T1235" s="213"/>
      <c r="U1235" s="213" t="s">
        <v>559</v>
      </c>
      <c r="V1235" s="213">
        <v>1</v>
      </c>
      <c r="W1235" s="213" t="s">
        <v>560</v>
      </c>
      <c r="X1235" s="213" t="s">
        <v>541</v>
      </c>
      <c r="Y1235" s="213" t="s">
        <v>541</v>
      </c>
      <c r="Z1235" s="212">
        <v>0</v>
      </c>
      <c r="AA1235" s="212">
        <v>0</v>
      </c>
      <c r="AB1235" s="217">
        <v>0.16952100000000001</v>
      </c>
      <c r="AC1235" s="217">
        <v>0.27281899999999998</v>
      </c>
      <c r="AD1235" s="212">
        <f t="shared" si="19"/>
        <v>0</v>
      </c>
    </row>
    <row r="1236" spans="2:30" x14ac:dyDescent="0.15">
      <c r="B1236" s="213">
        <v>17031005664</v>
      </c>
      <c r="C1236" s="213">
        <v>17031000614</v>
      </c>
      <c r="D1236" s="213">
        <v>17031000600</v>
      </c>
      <c r="E1236" s="213" t="s">
        <v>533</v>
      </c>
      <c r="F1236" s="213" t="s">
        <v>534</v>
      </c>
      <c r="G1236" s="213" t="s">
        <v>365</v>
      </c>
      <c r="H1236" s="213" t="s">
        <v>543</v>
      </c>
      <c r="I1236" s="213"/>
      <c r="J1236" s="213" t="s">
        <v>542</v>
      </c>
      <c r="K1236" s="213" t="s">
        <v>547</v>
      </c>
      <c r="L1236" s="213"/>
      <c r="M1236" s="213"/>
      <c r="N1236" s="213"/>
      <c r="O1236" s="213"/>
      <c r="P1236" s="213"/>
      <c r="Q1236" s="213"/>
      <c r="R1236" s="213"/>
      <c r="S1236" s="213" t="s">
        <v>630</v>
      </c>
      <c r="T1236" s="213"/>
      <c r="U1236" s="213" t="s">
        <v>538</v>
      </c>
      <c r="V1236" s="213">
        <v>1</v>
      </c>
      <c r="W1236" s="213" t="s">
        <v>545</v>
      </c>
      <c r="X1236" s="213" t="s">
        <v>541</v>
      </c>
      <c r="Y1236" s="213" t="s">
        <v>541</v>
      </c>
      <c r="Z1236" s="212">
        <v>141680</v>
      </c>
      <c r="AA1236" s="212">
        <v>9584979</v>
      </c>
      <c r="AB1236" s="217">
        <v>0.47055599999999997</v>
      </c>
      <c r="AC1236" s="217">
        <v>0.75728799999999996</v>
      </c>
      <c r="AD1236" s="212">
        <f t="shared" si="19"/>
        <v>4510269.3783240002</v>
      </c>
    </row>
    <row r="1237" spans="2:30" x14ac:dyDescent="0.15">
      <c r="B1237" s="213">
        <v>17031005693</v>
      </c>
      <c r="C1237" s="213">
        <v>17031000742</v>
      </c>
      <c r="D1237" s="213">
        <v>17031000746</v>
      </c>
      <c r="E1237" s="213" t="s">
        <v>533</v>
      </c>
      <c r="F1237" s="213" t="s">
        <v>534</v>
      </c>
      <c r="G1237" s="213" t="s">
        <v>365</v>
      </c>
      <c r="H1237" s="213" t="s">
        <v>381</v>
      </c>
      <c r="I1237" s="213"/>
      <c r="J1237" s="213"/>
      <c r="K1237" s="213"/>
      <c r="L1237" s="213"/>
      <c r="M1237" s="213"/>
      <c r="N1237" s="213"/>
      <c r="O1237" s="213"/>
      <c r="P1237" s="213"/>
      <c r="Q1237" s="213"/>
      <c r="R1237" s="213"/>
      <c r="S1237" s="213" t="s">
        <v>647</v>
      </c>
      <c r="T1237" s="213"/>
      <c r="U1237" s="213" t="s">
        <v>538</v>
      </c>
      <c r="V1237" s="213">
        <v>1</v>
      </c>
      <c r="W1237" s="213" t="s">
        <v>545</v>
      </c>
      <c r="X1237" s="213" t="s">
        <v>541</v>
      </c>
      <c r="Y1237" s="213" t="s">
        <v>541</v>
      </c>
      <c r="Z1237" s="212">
        <v>0</v>
      </c>
      <c r="AA1237" s="212">
        <v>0</v>
      </c>
      <c r="AB1237" s="217">
        <v>0.28901199999999999</v>
      </c>
      <c r="AC1237" s="217">
        <v>0.46511999999999998</v>
      </c>
      <c r="AD1237" s="212">
        <f t="shared" si="19"/>
        <v>0</v>
      </c>
    </row>
    <row r="1238" spans="2:30" x14ac:dyDescent="0.15">
      <c r="B1238" s="213">
        <v>17031005740</v>
      </c>
      <c r="C1238" s="213">
        <v>17031000866</v>
      </c>
      <c r="D1238" s="213">
        <v>17031000873</v>
      </c>
      <c r="E1238" s="213" t="s">
        <v>533</v>
      </c>
      <c r="F1238" s="213" t="s">
        <v>534</v>
      </c>
      <c r="G1238" s="213" t="s">
        <v>365</v>
      </c>
      <c r="H1238" s="213" t="s">
        <v>571</v>
      </c>
      <c r="I1238" s="213"/>
      <c r="J1238" s="213" t="s">
        <v>381</v>
      </c>
      <c r="K1238" s="213" t="s">
        <v>535</v>
      </c>
      <c r="L1238" s="213" t="s">
        <v>552</v>
      </c>
      <c r="M1238" s="213" t="s">
        <v>551</v>
      </c>
      <c r="N1238" s="213" t="s">
        <v>382</v>
      </c>
      <c r="O1238" s="213" t="s">
        <v>563</v>
      </c>
      <c r="P1238" s="213"/>
      <c r="Q1238" s="213"/>
      <c r="R1238" s="213"/>
      <c r="S1238" s="213" t="s">
        <v>652</v>
      </c>
      <c r="T1238" s="213"/>
      <c r="U1238" s="213" t="s">
        <v>538</v>
      </c>
      <c r="V1238" s="213">
        <v>2</v>
      </c>
      <c r="W1238" s="213" t="s">
        <v>545</v>
      </c>
      <c r="X1238" s="213" t="s">
        <v>554</v>
      </c>
      <c r="Y1238" s="213" t="s">
        <v>549</v>
      </c>
      <c r="Z1238" s="212">
        <v>232320</v>
      </c>
      <c r="AA1238" s="212">
        <v>15578987</v>
      </c>
      <c r="AB1238" s="217">
        <v>0.34120600000000001</v>
      </c>
      <c r="AC1238" s="217">
        <v>0.54912000000000005</v>
      </c>
      <c r="AD1238" s="212">
        <f t="shared" si="19"/>
        <v>5315643.8383220006</v>
      </c>
    </row>
    <row r="1239" spans="2:30" x14ac:dyDescent="0.15">
      <c r="B1239" s="213">
        <v>17031005853</v>
      </c>
      <c r="C1239" s="213">
        <v>17031000618</v>
      </c>
      <c r="D1239" s="213">
        <v>17031000614</v>
      </c>
      <c r="E1239" s="213" t="s">
        <v>533</v>
      </c>
      <c r="F1239" s="213" t="s">
        <v>534</v>
      </c>
      <c r="G1239" s="213" t="s">
        <v>365</v>
      </c>
      <c r="H1239" s="213" t="s">
        <v>543</v>
      </c>
      <c r="I1239" s="213"/>
      <c r="J1239" s="213" t="s">
        <v>542</v>
      </c>
      <c r="K1239" s="213" t="s">
        <v>547</v>
      </c>
      <c r="L1239" s="213"/>
      <c r="M1239" s="213"/>
      <c r="N1239" s="213"/>
      <c r="O1239" s="213"/>
      <c r="P1239" s="213"/>
      <c r="Q1239" s="213"/>
      <c r="R1239" s="213"/>
      <c r="S1239" s="213" t="s">
        <v>630</v>
      </c>
      <c r="T1239" s="213"/>
      <c r="U1239" s="213" t="s">
        <v>538</v>
      </c>
      <c r="V1239" s="213">
        <v>2</v>
      </c>
      <c r="W1239" s="213" t="s">
        <v>545</v>
      </c>
      <c r="X1239" s="213" t="s">
        <v>541</v>
      </c>
      <c r="Y1239" s="213" t="s">
        <v>541</v>
      </c>
      <c r="Z1239" s="212">
        <v>141680</v>
      </c>
      <c r="AA1239" s="212">
        <v>9584979</v>
      </c>
      <c r="AB1239" s="217">
        <v>0.12146899999999999</v>
      </c>
      <c r="AC1239" s="217">
        <v>0.19548699999999999</v>
      </c>
      <c r="AD1239" s="212">
        <f t="shared" si="19"/>
        <v>1164277.814151</v>
      </c>
    </row>
    <row r="1240" spans="2:30" x14ac:dyDescent="0.15">
      <c r="B1240" s="213">
        <v>17031006133</v>
      </c>
      <c r="C1240" s="213">
        <v>17031000657</v>
      </c>
      <c r="D1240" s="213">
        <v>17031000663</v>
      </c>
      <c r="E1240" s="213" t="s">
        <v>533</v>
      </c>
      <c r="F1240" s="213" t="s">
        <v>534</v>
      </c>
      <c r="G1240" s="213" t="s">
        <v>365</v>
      </c>
      <c r="H1240" s="213" t="s">
        <v>382</v>
      </c>
      <c r="I1240" s="213"/>
      <c r="J1240" s="213" t="s">
        <v>572</v>
      </c>
      <c r="K1240" s="213"/>
      <c r="L1240" s="213"/>
      <c r="M1240" s="213"/>
      <c r="N1240" s="213"/>
      <c r="O1240" s="213"/>
      <c r="P1240" s="213"/>
      <c r="Q1240" s="213"/>
      <c r="R1240" s="213"/>
      <c r="S1240" s="213"/>
      <c r="T1240" s="213"/>
      <c r="U1240" s="213" t="s">
        <v>538</v>
      </c>
      <c r="V1240" s="213">
        <v>1</v>
      </c>
      <c r="W1240" s="213" t="s">
        <v>539</v>
      </c>
      <c r="X1240" s="213" t="s">
        <v>541</v>
      </c>
      <c r="Y1240" s="213" t="s">
        <v>541</v>
      </c>
      <c r="Z1240" s="212">
        <v>594544</v>
      </c>
      <c r="AA1240" s="212">
        <v>21802639</v>
      </c>
      <c r="AB1240" s="217">
        <v>6.1226999999999997E-2</v>
      </c>
      <c r="AC1240" s="217">
        <v>9.8534999999999998E-2</v>
      </c>
      <c r="AD1240" s="212">
        <f t="shared" si="19"/>
        <v>1334910.178053</v>
      </c>
    </row>
    <row r="1241" spans="2:30" x14ac:dyDescent="0.15">
      <c r="B1241" s="213">
        <v>17031006158</v>
      </c>
      <c r="C1241" s="213">
        <v>17031001494</v>
      </c>
      <c r="D1241" s="213">
        <v>17031001498</v>
      </c>
      <c r="E1241" s="213" t="s">
        <v>533</v>
      </c>
      <c r="F1241" s="213" t="s">
        <v>534</v>
      </c>
      <c r="G1241" s="213" t="s">
        <v>365</v>
      </c>
      <c r="H1241" s="213" t="s">
        <v>382</v>
      </c>
      <c r="I1241" s="213"/>
      <c r="J1241" s="213"/>
      <c r="K1241" s="213"/>
      <c r="L1241" s="213"/>
      <c r="M1241" s="213"/>
      <c r="N1241" s="213"/>
      <c r="O1241" s="213"/>
      <c r="P1241" s="213"/>
      <c r="Q1241" s="213"/>
      <c r="R1241" s="213"/>
      <c r="S1241" s="213" t="s">
        <v>576</v>
      </c>
      <c r="T1241" s="213"/>
      <c r="U1241" s="213" t="s">
        <v>559</v>
      </c>
      <c r="V1241" s="213">
        <v>1</v>
      </c>
      <c r="W1241" s="213" t="s">
        <v>560</v>
      </c>
      <c r="X1241" s="213" t="s">
        <v>541</v>
      </c>
      <c r="Y1241" s="213" t="s">
        <v>541</v>
      </c>
      <c r="Z1241" s="212">
        <v>0</v>
      </c>
      <c r="AA1241" s="212">
        <v>0</v>
      </c>
      <c r="AB1241" s="217">
        <v>5.8499000000000002E-2</v>
      </c>
      <c r="AC1241" s="217">
        <v>9.4145999999999994E-2</v>
      </c>
      <c r="AD1241" s="212">
        <f t="shared" si="19"/>
        <v>0</v>
      </c>
    </row>
    <row r="1242" spans="2:30" x14ac:dyDescent="0.15">
      <c r="B1242" s="213">
        <v>17031006169</v>
      </c>
      <c r="C1242" s="213">
        <v>17031000688</v>
      </c>
      <c r="D1242" s="213">
        <v>17031000684</v>
      </c>
      <c r="E1242" s="213" t="s">
        <v>533</v>
      </c>
      <c r="F1242" s="213" t="s">
        <v>534</v>
      </c>
      <c r="G1242" s="213" t="s">
        <v>365</v>
      </c>
      <c r="H1242" s="213" t="s">
        <v>381</v>
      </c>
      <c r="I1242" s="213"/>
      <c r="J1242" s="213"/>
      <c r="K1242" s="213"/>
      <c r="L1242" s="213"/>
      <c r="M1242" s="213"/>
      <c r="N1242" s="213"/>
      <c r="O1242" s="213"/>
      <c r="P1242" s="213"/>
      <c r="Q1242" s="213"/>
      <c r="R1242" s="213"/>
      <c r="S1242" s="213"/>
      <c r="T1242" s="213"/>
      <c r="U1242" s="213" t="s">
        <v>559</v>
      </c>
      <c r="V1242" s="213">
        <v>1</v>
      </c>
      <c r="W1242" s="213" t="s">
        <v>560</v>
      </c>
      <c r="X1242" s="213" t="s">
        <v>541</v>
      </c>
      <c r="Y1242" s="213" t="s">
        <v>541</v>
      </c>
      <c r="Z1242" s="212">
        <v>0</v>
      </c>
      <c r="AA1242" s="212">
        <v>0</v>
      </c>
      <c r="AB1242" s="217">
        <v>0.31592700000000001</v>
      </c>
      <c r="AC1242" s="217">
        <v>0.50843499999999997</v>
      </c>
      <c r="AD1242" s="212">
        <f t="shared" si="19"/>
        <v>0</v>
      </c>
    </row>
    <row r="1243" spans="2:30" x14ac:dyDescent="0.15">
      <c r="B1243" s="213">
        <v>17031006171</v>
      </c>
      <c r="C1243" s="213">
        <v>17031000648</v>
      </c>
      <c r="D1243" s="213">
        <v>17031000677</v>
      </c>
      <c r="E1243" s="213" t="s">
        <v>533</v>
      </c>
      <c r="F1243" s="213" t="s">
        <v>534</v>
      </c>
      <c r="G1243" s="213" t="s">
        <v>365</v>
      </c>
      <c r="H1243" s="213" t="s">
        <v>543</v>
      </c>
      <c r="I1243" s="213"/>
      <c r="J1243" s="213"/>
      <c r="K1243" s="213"/>
      <c r="L1243" s="213"/>
      <c r="M1243" s="213"/>
      <c r="N1243" s="213"/>
      <c r="O1243" s="213"/>
      <c r="P1243" s="213"/>
      <c r="Q1243" s="213"/>
      <c r="R1243" s="213"/>
      <c r="S1243" s="213" t="s">
        <v>639</v>
      </c>
      <c r="T1243" s="213"/>
      <c r="U1243" s="213" t="s">
        <v>538</v>
      </c>
      <c r="V1243" s="213">
        <v>2</v>
      </c>
      <c r="W1243" s="213" t="s">
        <v>560</v>
      </c>
      <c r="X1243" s="213" t="s">
        <v>541</v>
      </c>
      <c r="Y1243" s="213" t="s">
        <v>541</v>
      </c>
      <c r="Z1243" s="212">
        <v>1658415</v>
      </c>
      <c r="AA1243" s="212">
        <v>39358886</v>
      </c>
      <c r="AB1243" s="217">
        <v>0.13519100000000001</v>
      </c>
      <c r="AC1243" s="217">
        <v>0.21756900000000001</v>
      </c>
      <c r="AD1243" s="212">
        <f t="shared" si="19"/>
        <v>5320967.157226</v>
      </c>
    </row>
    <row r="1244" spans="2:30" x14ac:dyDescent="0.15">
      <c r="B1244" s="213">
        <v>17031006172</v>
      </c>
      <c r="C1244" s="213">
        <v>17031000677</v>
      </c>
      <c r="D1244" s="213">
        <v>17031000692</v>
      </c>
      <c r="E1244" s="213" t="s">
        <v>533</v>
      </c>
      <c r="F1244" s="213" t="s">
        <v>534</v>
      </c>
      <c r="G1244" s="213" t="s">
        <v>365</v>
      </c>
      <c r="H1244" s="213" t="s">
        <v>543</v>
      </c>
      <c r="I1244" s="213"/>
      <c r="J1244" s="213"/>
      <c r="K1244" s="213"/>
      <c r="L1244" s="213"/>
      <c r="M1244" s="213"/>
      <c r="N1244" s="213"/>
      <c r="O1244" s="213"/>
      <c r="P1244" s="213"/>
      <c r="Q1244" s="213"/>
      <c r="R1244" s="213"/>
      <c r="S1244" s="213" t="s">
        <v>639</v>
      </c>
      <c r="T1244" s="213"/>
      <c r="U1244" s="213" t="s">
        <v>538</v>
      </c>
      <c r="V1244" s="213">
        <v>2</v>
      </c>
      <c r="W1244" s="213" t="s">
        <v>560</v>
      </c>
      <c r="X1244" s="213" t="s">
        <v>541</v>
      </c>
      <c r="Y1244" s="213" t="s">
        <v>541</v>
      </c>
      <c r="Z1244" s="212">
        <v>1658415</v>
      </c>
      <c r="AA1244" s="212">
        <v>39358886</v>
      </c>
      <c r="AB1244" s="217">
        <v>0.42941299999999999</v>
      </c>
      <c r="AC1244" s="217">
        <v>0.69107499999999999</v>
      </c>
      <c r="AD1244" s="212">
        <f t="shared" si="19"/>
        <v>16901217.313917998</v>
      </c>
    </row>
    <row r="1245" spans="2:30" x14ac:dyDescent="0.15">
      <c r="B1245" s="213">
        <v>17031006175</v>
      </c>
      <c r="C1245" s="213">
        <v>17031000673</v>
      </c>
      <c r="D1245" s="213">
        <v>17031000653</v>
      </c>
      <c r="E1245" s="213" t="s">
        <v>533</v>
      </c>
      <c r="F1245" s="213" t="s">
        <v>534</v>
      </c>
      <c r="G1245" s="213" t="s">
        <v>365</v>
      </c>
      <c r="H1245" s="213" t="s">
        <v>577</v>
      </c>
      <c r="I1245" s="213"/>
      <c r="J1245" s="213"/>
      <c r="K1245" s="213"/>
      <c r="L1245" s="213"/>
      <c r="M1245" s="213"/>
      <c r="N1245" s="213"/>
      <c r="O1245" s="213"/>
      <c r="P1245" s="213"/>
      <c r="Q1245" s="213"/>
      <c r="R1245" s="213"/>
      <c r="S1245" s="213"/>
      <c r="T1245" s="213"/>
      <c r="U1245" s="213" t="s">
        <v>538</v>
      </c>
      <c r="V1245" s="213">
        <v>1</v>
      </c>
      <c r="W1245" s="213" t="s">
        <v>560</v>
      </c>
      <c r="X1245" s="213" t="s">
        <v>541</v>
      </c>
      <c r="Y1245" s="213" t="s">
        <v>541</v>
      </c>
      <c r="Z1245" s="212">
        <v>0</v>
      </c>
      <c r="AA1245" s="212">
        <v>0</v>
      </c>
      <c r="AB1245" s="217">
        <v>0.146785</v>
      </c>
      <c r="AC1245" s="217">
        <v>0.23622699999999999</v>
      </c>
      <c r="AD1245" s="212">
        <f t="shared" si="19"/>
        <v>0</v>
      </c>
    </row>
    <row r="1246" spans="2:30" x14ac:dyDescent="0.15">
      <c r="B1246" s="213">
        <v>17031006181</v>
      </c>
      <c r="C1246" s="213">
        <v>17031000645</v>
      </c>
      <c r="D1246" s="213">
        <v>17031000673</v>
      </c>
      <c r="E1246" s="213" t="s">
        <v>533</v>
      </c>
      <c r="F1246" s="213" t="s">
        <v>534</v>
      </c>
      <c r="G1246" s="213" t="s">
        <v>365</v>
      </c>
      <c r="H1246" s="213" t="s">
        <v>547</v>
      </c>
      <c r="I1246" s="213"/>
      <c r="J1246" s="213"/>
      <c r="K1246" s="213"/>
      <c r="L1246" s="213"/>
      <c r="M1246" s="213"/>
      <c r="N1246" s="213"/>
      <c r="O1246" s="213"/>
      <c r="P1246" s="213"/>
      <c r="Q1246" s="213"/>
      <c r="R1246" s="213"/>
      <c r="S1246" s="213" t="s">
        <v>581</v>
      </c>
      <c r="T1246" s="213"/>
      <c r="U1246" s="213" t="s">
        <v>538</v>
      </c>
      <c r="V1246" s="213">
        <v>2</v>
      </c>
      <c r="W1246" s="213" t="s">
        <v>582</v>
      </c>
      <c r="X1246" s="213" t="s">
        <v>540</v>
      </c>
      <c r="Y1246" s="213" t="s">
        <v>541</v>
      </c>
      <c r="Z1246" s="212">
        <v>0</v>
      </c>
      <c r="AA1246" s="212">
        <v>0</v>
      </c>
      <c r="AB1246" s="217">
        <v>0.17441200000000001</v>
      </c>
      <c r="AC1246" s="217">
        <v>0.28069</v>
      </c>
      <c r="AD1246" s="212">
        <f t="shared" si="19"/>
        <v>0</v>
      </c>
    </row>
    <row r="1247" spans="2:30" x14ac:dyDescent="0.15">
      <c r="B1247" s="213">
        <v>17031006182</v>
      </c>
      <c r="C1247" s="213">
        <v>17031000673</v>
      </c>
      <c r="D1247" s="213">
        <v>17031004755</v>
      </c>
      <c r="E1247" s="213" t="s">
        <v>533</v>
      </c>
      <c r="F1247" s="213" t="s">
        <v>534</v>
      </c>
      <c r="G1247" s="213" t="s">
        <v>365</v>
      </c>
      <c r="H1247" s="213" t="s">
        <v>547</v>
      </c>
      <c r="I1247" s="213"/>
      <c r="J1247" s="213" t="s">
        <v>577</v>
      </c>
      <c r="K1247" s="213"/>
      <c r="L1247" s="213"/>
      <c r="M1247" s="213"/>
      <c r="N1247" s="213"/>
      <c r="O1247" s="213"/>
      <c r="P1247" s="213"/>
      <c r="Q1247" s="213"/>
      <c r="R1247" s="213"/>
      <c r="S1247" s="213" t="s">
        <v>581</v>
      </c>
      <c r="T1247" s="213"/>
      <c r="U1247" s="213" t="s">
        <v>538</v>
      </c>
      <c r="V1247" s="213">
        <v>2</v>
      </c>
      <c r="W1247" s="213" t="s">
        <v>582</v>
      </c>
      <c r="X1247" s="213" t="s">
        <v>540</v>
      </c>
      <c r="Y1247" s="213" t="s">
        <v>541</v>
      </c>
      <c r="Z1247" s="212">
        <v>0</v>
      </c>
      <c r="AA1247" s="212">
        <v>0</v>
      </c>
      <c r="AB1247" s="217">
        <v>1.1875500000000001</v>
      </c>
      <c r="AC1247" s="217">
        <v>1.9111800000000001</v>
      </c>
      <c r="AD1247" s="212">
        <f t="shared" si="19"/>
        <v>0</v>
      </c>
    </row>
    <row r="1248" spans="2:30" x14ac:dyDescent="0.15">
      <c r="B1248" s="213">
        <v>17031006188</v>
      </c>
      <c r="C1248" s="213">
        <v>17031001097</v>
      </c>
      <c r="D1248" s="213">
        <v>17031001104</v>
      </c>
      <c r="E1248" s="213" t="s">
        <v>533</v>
      </c>
      <c r="F1248" s="213" t="s">
        <v>534</v>
      </c>
      <c r="G1248" s="213" t="s">
        <v>365</v>
      </c>
      <c r="H1248" s="213" t="s">
        <v>571</v>
      </c>
      <c r="I1248" s="213"/>
      <c r="J1248" s="213" t="s">
        <v>552</v>
      </c>
      <c r="K1248" s="213" t="s">
        <v>543</v>
      </c>
      <c r="L1248" s="213"/>
      <c r="M1248" s="213"/>
      <c r="N1248" s="213"/>
      <c r="O1248" s="213"/>
      <c r="P1248" s="213"/>
      <c r="Q1248" s="213"/>
      <c r="R1248" s="213"/>
      <c r="S1248" s="213" t="s">
        <v>573</v>
      </c>
      <c r="T1248" s="213"/>
      <c r="U1248" s="213" t="s">
        <v>538</v>
      </c>
      <c r="V1248" s="213">
        <v>2</v>
      </c>
      <c r="W1248" s="213" t="s">
        <v>545</v>
      </c>
      <c r="X1248" s="213" t="s">
        <v>554</v>
      </c>
      <c r="Y1248" s="213" t="s">
        <v>546</v>
      </c>
      <c r="Z1248" s="212">
        <v>220870</v>
      </c>
      <c r="AA1248" s="212">
        <v>7535324</v>
      </c>
      <c r="AB1248" s="217">
        <v>1.082589</v>
      </c>
      <c r="AC1248" s="217">
        <v>1.7422610000000001</v>
      </c>
      <c r="AD1248" s="212">
        <f t="shared" si="19"/>
        <v>8157658.8738360004</v>
      </c>
    </row>
    <row r="1249" spans="2:30" x14ac:dyDescent="0.15">
      <c r="B1249" s="213">
        <v>17031006190</v>
      </c>
      <c r="C1249" s="213">
        <v>17031001128</v>
      </c>
      <c r="D1249" s="213">
        <v>17031001098</v>
      </c>
      <c r="E1249" s="213" t="s">
        <v>533</v>
      </c>
      <c r="F1249" s="213" t="s">
        <v>534</v>
      </c>
      <c r="G1249" s="213" t="s">
        <v>365</v>
      </c>
      <c r="H1249" s="213" t="s">
        <v>543</v>
      </c>
      <c r="I1249" s="213"/>
      <c r="J1249" s="213" t="s">
        <v>577</v>
      </c>
      <c r="K1249" s="213"/>
      <c r="L1249" s="213"/>
      <c r="M1249" s="213"/>
      <c r="N1249" s="213"/>
      <c r="O1249" s="213"/>
      <c r="P1249" s="213"/>
      <c r="Q1249" s="213"/>
      <c r="R1249" s="213"/>
      <c r="S1249" s="213"/>
      <c r="T1249" s="213"/>
      <c r="U1249" s="213" t="s">
        <v>559</v>
      </c>
      <c r="V1249" s="213">
        <v>1</v>
      </c>
      <c r="W1249" s="213" t="s">
        <v>560</v>
      </c>
      <c r="X1249" s="213" t="s">
        <v>541</v>
      </c>
      <c r="Y1249" s="213" t="s">
        <v>541</v>
      </c>
      <c r="Z1249" s="212">
        <v>0</v>
      </c>
      <c r="AA1249" s="212">
        <v>0</v>
      </c>
      <c r="AB1249" s="217">
        <v>0.123796</v>
      </c>
      <c r="AC1249" s="217">
        <v>0.19923099999999999</v>
      </c>
      <c r="AD1249" s="212">
        <f t="shared" si="19"/>
        <v>0</v>
      </c>
    </row>
    <row r="1250" spans="2:30" x14ac:dyDescent="0.15">
      <c r="B1250" s="213">
        <v>17031006192</v>
      </c>
      <c r="C1250" s="213">
        <v>17031001113</v>
      </c>
      <c r="D1250" s="213">
        <v>17031004741</v>
      </c>
      <c r="E1250" s="213" t="s">
        <v>533</v>
      </c>
      <c r="F1250" s="213" t="s">
        <v>534</v>
      </c>
      <c r="G1250" s="213" t="s">
        <v>365</v>
      </c>
      <c r="H1250" s="213" t="s">
        <v>543</v>
      </c>
      <c r="I1250" s="213"/>
      <c r="J1250" s="213"/>
      <c r="K1250" s="213"/>
      <c r="L1250" s="213"/>
      <c r="M1250" s="213"/>
      <c r="N1250" s="213"/>
      <c r="O1250" s="213"/>
      <c r="P1250" s="213"/>
      <c r="Q1250" s="213"/>
      <c r="R1250" s="213"/>
      <c r="S1250" s="213" t="s">
        <v>604</v>
      </c>
      <c r="T1250" s="213"/>
      <c r="U1250" s="213" t="s">
        <v>538</v>
      </c>
      <c r="V1250" s="213">
        <v>1</v>
      </c>
      <c r="W1250" s="213" t="s">
        <v>545</v>
      </c>
      <c r="X1250" s="213" t="s">
        <v>554</v>
      </c>
      <c r="Y1250" s="213" t="s">
        <v>546</v>
      </c>
      <c r="Z1250" s="212">
        <v>0</v>
      </c>
      <c r="AA1250" s="212">
        <v>0</v>
      </c>
      <c r="AB1250" s="217">
        <v>8.8622999999999993E-2</v>
      </c>
      <c r="AC1250" s="217">
        <v>0.142625</v>
      </c>
      <c r="AD1250" s="212">
        <f t="shared" si="19"/>
        <v>0</v>
      </c>
    </row>
    <row r="1251" spans="2:30" x14ac:dyDescent="0.15">
      <c r="B1251" s="213">
        <v>17031006229</v>
      </c>
      <c r="C1251" s="213">
        <v>17031000916</v>
      </c>
      <c r="D1251" s="213">
        <v>17031000917</v>
      </c>
      <c r="E1251" s="213" t="s">
        <v>533</v>
      </c>
      <c r="F1251" s="213" t="s">
        <v>534</v>
      </c>
      <c r="G1251" s="213" t="s">
        <v>365</v>
      </c>
      <c r="H1251" s="213" t="s">
        <v>557</v>
      </c>
      <c r="I1251" s="213"/>
      <c r="J1251" s="213" t="s">
        <v>535</v>
      </c>
      <c r="K1251" s="213" t="s">
        <v>382</v>
      </c>
      <c r="L1251" s="213"/>
      <c r="M1251" s="213"/>
      <c r="N1251" s="213"/>
      <c r="O1251" s="213"/>
      <c r="P1251" s="213"/>
      <c r="Q1251" s="213"/>
      <c r="R1251" s="213"/>
      <c r="S1251" s="213"/>
      <c r="T1251" s="213"/>
      <c r="U1251" s="213" t="s">
        <v>538</v>
      </c>
      <c r="V1251" s="213">
        <v>1</v>
      </c>
      <c r="W1251" s="213" t="s">
        <v>560</v>
      </c>
      <c r="X1251" s="213" t="s">
        <v>541</v>
      </c>
      <c r="Y1251" s="213" t="s">
        <v>541</v>
      </c>
      <c r="Z1251" s="212">
        <v>12869</v>
      </c>
      <c r="AA1251" s="212">
        <v>1190351</v>
      </c>
      <c r="AB1251" s="217">
        <v>0.206673</v>
      </c>
      <c r="AC1251" s="217">
        <v>0.33260800000000001</v>
      </c>
      <c r="AD1251" s="212">
        <f t="shared" si="19"/>
        <v>246013.41222299999</v>
      </c>
    </row>
    <row r="1252" spans="2:30" x14ac:dyDescent="0.15">
      <c r="B1252" s="213">
        <v>17031006235</v>
      </c>
      <c r="C1252" s="213">
        <v>17031000309</v>
      </c>
      <c r="D1252" s="213">
        <v>17031000333</v>
      </c>
      <c r="E1252" s="213" t="s">
        <v>533</v>
      </c>
      <c r="F1252" s="213" t="s">
        <v>534</v>
      </c>
      <c r="G1252" s="213" t="s">
        <v>365</v>
      </c>
      <c r="H1252" s="213" t="s">
        <v>382</v>
      </c>
      <c r="I1252" s="213"/>
      <c r="J1252" s="213"/>
      <c r="K1252" s="213"/>
      <c r="L1252" s="213"/>
      <c r="M1252" s="213"/>
      <c r="N1252" s="213"/>
      <c r="O1252" s="213"/>
      <c r="P1252" s="213"/>
      <c r="Q1252" s="213"/>
      <c r="R1252" s="213"/>
      <c r="S1252" s="213" t="s">
        <v>616</v>
      </c>
      <c r="T1252" s="213"/>
      <c r="U1252" s="213" t="s">
        <v>559</v>
      </c>
      <c r="V1252" s="213">
        <v>1</v>
      </c>
      <c r="W1252" s="213" t="s">
        <v>560</v>
      </c>
      <c r="X1252" s="213" t="s">
        <v>541</v>
      </c>
      <c r="Y1252" s="213" t="s">
        <v>541</v>
      </c>
      <c r="Z1252" s="212">
        <v>0</v>
      </c>
      <c r="AA1252" s="212">
        <v>0</v>
      </c>
      <c r="AB1252" s="217">
        <v>1.1341540000000001</v>
      </c>
      <c r="AC1252" s="217">
        <v>1.825248</v>
      </c>
      <c r="AD1252" s="212">
        <f t="shared" si="19"/>
        <v>0</v>
      </c>
    </row>
    <row r="1253" spans="2:30" x14ac:dyDescent="0.15">
      <c r="B1253" s="213">
        <v>17031006236</v>
      </c>
      <c r="C1253" s="213">
        <v>17031000370</v>
      </c>
      <c r="D1253" s="213">
        <v>17031000375</v>
      </c>
      <c r="E1253" s="213" t="s">
        <v>533</v>
      </c>
      <c r="F1253" s="213" t="s">
        <v>534</v>
      </c>
      <c r="G1253" s="213" t="s">
        <v>365</v>
      </c>
      <c r="H1253" s="213" t="s">
        <v>382</v>
      </c>
      <c r="I1253" s="213"/>
      <c r="J1253" s="213"/>
      <c r="K1253" s="213"/>
      <c r="L1253" s="213"/>
      <c r="M1253" s="213"/>
      <c r="N1253" s="213"/>
      <c r="O1253" s="213"/>
      <c r="P1253" s="213"/>
      <c r="Q1253" s="213"/>
      <c r="R1253" s="213"/>
      <c r="S1253" s="213" t="s">
        <v>616</v>
      </c>
      <c r="T1253" s="213"/>
      <c r="U1253" s="213" t="s">
        <v>559</v>
      </c>
      <c r="V1253" s="213">
        <v>1</v>
      </c>
      <c r="W1253" s="213" t="s">
        <v>560</v>
      </c>
      <c r="X1253" s="213" t="s">
        <v>541</v>
      </c>
      <c r="Y1253" s="213" t="s">
        <v>541</v>
      </c>
      <c r="Z1253" s="212">
        <v>0</v>
      </c>
      <c r="AA1253" s="212">
        <v>0</v>
      </c>
      <c r="AB1253" s="217">
        <v>0.38054100000000002</v>
      </c>
      <c r="AC1253" s="217">
        <v>0.61242300000000005</v>
      </c>
      <c r="AD1253" s="212">
        <f t="shared" si="19"/>
        <v>0</v>
      </c>
    </row>
    <row r="1254" spans="2:30" x14ac:dyDescent="0.15">
      <c r="B1254" s="213">
        <v>17031006239</v>
      </c>
      <c r="C1254" s="213">
        <v>17031000549</v>
      </c>
      <c r="D1254" s="213">
        <v>17031000568</v>
      </c>
      <c r="E1254" s="213" t="s">
        <v>533</v>
      </c>
      <c r="F1254" s="213" t="s">
        <v>534</v>
      </c>
      <c r="G1254" s="213" t="s">
        <v>365</v>
      </c>
      <c r="H1254" s="213" t="s">
        <v>382</v>
      </c>
      <c r="I1254" s="213"/>
      <c r="J1254" s="213"/>
      <c r="K1254" s="213"/>
      <c r="L1254" s="213"/>
      <c r="M1254" s="213"/>
      <c r="N1254" s="213"/>
      <c r="O1254" s="213"/>
      <c r="P1254" s="213"/>
      <c r="Q1254" s="213"/>
      <c r="R1254" s="213"/>
      <c r="S1254" s="213" t="s">
        <v>646</v>
      </c>
      <c r="T1254" s="213"/>
      <c r="U1254" s="213" t="s">
        <v>559</v>
      </c>
      <c r="V1254" s="213">
        <v>1</v>
      </c>
      <c r="W1254" s="213" t="s">
        <v>560</v>
      </c>
      <c r="X1254" s="213" t="s">
        <v>541</v>
      </c>
      <c r="Y1254" s="213" t="s">
        <v>541</v>
      </c>
      <c r="Z1254" s="212">
        <v>0</v>
      </c>
      <c r="AA1254" s="212">
        <v>0</v>
      </c>
      <c r="AB1254" s="217">
        <v>0.24591399999999999</v>
      </c>
      <c r="AC1254" s="217">
        <v>0.39576099999999997</v>
      </c>
      <c r="AD1254" s="212">
        <f t="shared" si="19"/>
        <v>0</v>
      </c>
    </row>
    <row r="1255" spans="2:30" x14ac:dyDescent="0.15">
      <c r="B1255" s="213">
        <v>17031006269</v>
      </c>
      <c r="C1255" s="213">
        <v>17031001089</v>
      </c>
      <c r="D1255" s="213">
        <v>17031001088</v>
      </c>
      <c r="E1255" s="213" t="s">
        <v>533</v>
      </c>
      <c r="F1255" s="213" t="s">
        <v>534</v>
      </c>
      <c r="G1255" s="213" t="s">
        <v>365</v>
      </c>
      <c r="H1255" s="213" t="s">
        <v>661</v>
      </c>
      <c r="I1255" s="213"/>
      <c r="J1255" s="213"/>
      <c r="K1255" s="213"/>
      <c r="L1255" s="213"/>
      <c r="M1255" s="213"/>
      <c r="N1255" s="213"/>
      <c r="O1255" s="213"/>
      <c r="P1255" s="213"/>
      <c r="Q1255" s="213"/>
      <c r="R1255" s="213"/>
      <c r="S1255" s="213"/>
      <c r="T1255" s="213"/>
      <c r="U1255" s="213" t="s">
        <v>538</v>
      </c>
      <c r="V1255" s="213">
        <v>1</v>
      </c>
      <c r="W1255" s="213" t="s">
        <v>560</v>
      </c>
      <c r="X1255" s="213" t="s">
        <v>541</v>
      </c>
      <c r="Y1255" s="213" t="s">
        <v>541</v>
      </c>
      <c r="Z1255" s="212">
        <v>0</v>
      </c>
      <c r="AA1255" s="212">
        <v>0</v>
      </c>
      <c r="AB1255" s="217">
        <v>0.114994</v>
      </c>
      <c r="AC1255" s="217">
        <v>0.18506600000000001</v>
      </c>
      <c r="AD1255" s="212">
        <f t="shared" si="19"/>
        <v>0</v>
      </c>
    </row>
    <row r="1256" spans="2:30" x14ac:dyDescent="0.15">
      <c r="B1256" s="213">
        <v>17031006273</v>
      </c>
      <c r="C1256" s="213">
        <v>17031000910</v>
      </c>
      <c r="D1256" s="213">
        <v>17031000914</v>
      </c>
      <c r="E1256" s="213" t="s">
        <v>533</v>
      </c>
      <c r="F1256" s="213" t="s">
        <v>534</v>
      </c>
      <c r="G1256" s="213" t="s">
        <v>365</v>
      </c>
      <c r="H1256" s="213" t="s">
        <v>557</v>
      </c>
      <c r="I1256" s="213"/>
      <c r="J1256" s="213" t="s">
        <v>535</v>
      </c>
      <c r="K1256" s="213" t="s">
        <v>382</v>
      </c>
      <c r="L1256" s="213" t="s">
        <v>552</v>
      </c>
      <c r="M1256" s="213" t="s">
        <v>381</v>
      </c>
      <c r="N1256" s="213"/>
      <c r="O1256" s="213"/>
      <c r="P1256" s="213"/>
      <c r="Q1256" s="213"/>
      <c r="R1256" s="213"/>
      <c r="S1256" s="213"/>
      <c r="T1256" s="213"/>
      <c r="U1256" s="213" t="s">
        <v>538</v>
      </c>
      <c r="V1256" s="213">
        <v>1</v>
      </c>
      <c r="W1256" s="213" t="s">
        <v>560</v>
      </c>
      <c r="X1256" s="213" t="s">
        <v>541</v>
      </c>
      <c r="Y1256" s="213" t="s">
        <v>541</v>
      </c>
      <c r="Z1256" s="212">
        <v>151392</v>
      </c>
      <c r="AA1256" s="212">
        <v>6254396</v>
      </c>
      <c r="AB1256" s="217">
        <v>0.148925</v>
      </c>
      <c r="AC1256" s="217">
        <v>0.239671</v>
      </c>
      <c r="AD1256" s="212">
        <f t="shared" si="19"/>
        <v>931435.92429999996</v>
      </c>
    </row>
    <row r="1257" spans="2:30" x14ac:dyDescent="0.15">
      <c r="B1257" s="213">
        <v>17031006281</v>
      </c>
      <c r="C1257" s="213">
        <v>17031000623</v>
      </c>
      <c r="D1257" s="213">
        <v>17031000630</v>
      </c>
      <c r="E1257" s="213" t="s">
        <v>533</v>
      </c>
      <c r="F1257" s="213" t="s">
        <v>534</v>
      </c>
      <c r="G1257" s="213" t="s">
        <v>365</v>
      </c>
      <c r="H1257" s="213" t="s">
        <v>551</v>
      </c>
      <c r="I1257" s="213"/>
      <c r="J1257" s="213" t="s">
        <v>535</v>
      </c>
      <c r="K1257" s="213"/>
      <c r="L1257" s="213"/>
      <c r="M1257" s="213"/>
      <c r="N1257" s="213"/>
      <c r="O1257" s="213"/>
      <c r="P1257" s="213"/>
      <c r="Q1257" s="213"/>
      <c r="R1257" s="213"/>
      <c r="S1257" s="213" t="s">
        <v>649</v>
      </c>
      <c r="T1257" s="213"/>
      <c r="U1257" s="213" t="s">
        <v>538</v>
      </c>
      <c r="V1257" s="213">
        <v>1</v>
      </c>
      <c r="W1257" s="213" t="s">
        <v>539</v>
      </c>
      <c r="X1257" s="213" t="s">
        <v>541</v>
      </c>
      <c r="Y1257" s="213" t="s">
        <v>541</v>
      </c>
      <c r="Z1257" s="212">
        <v>0</v>
      </c>
      <c r="AA1257" s="212">
        <v>0</v>
      </c>
      <c r="AB1257" s="217">
        <v>0.25151099999999998</v>
      </c>
      <c r="AC1257" s="217">
        <v>0.40476800000000002</v>
      </c>
      <c r="AD1257" s="212">
        <f t="shared" si="19"/>
        <v>0</v>
      </c>
    </row>
    <row r="1258" spans="2:30" x14ac:dyDescent="0.15">
      <c r="B1258" s="213">
        <v>17031006283</v>
      </c>
      <c r="C1258" s="213">
        <v>17031007544</v>
      </c>
      <c r="D1258" s="213">
        <v>17031004594</v>
      </c>
      <c r="E1258" s="213" t="s">
        <v>533</v>
      </c>
      <c r="F1258" s="213" t="s">
        <v>534</v>
      </c>
      <c r="G1258" s="213" t="s">
        <v>365</v>
      </c>
      <c r="H1258" s="213" t="s">
        <v>552</v>
      </c>
      <c r="I1258" s="213"/>
      <c r="J1258" s="213"/>
      <c r="K1258" s="213"/>
      <c r="L1258" s="213"/>
      <c r="M1258" s="213"/>
      <c r="N1258" s="213"/>
      <c r="O1258" s="213"/>
      <c r="P1258" s="213"/>
      <c r="Q1258" s="213"/>
      <c r="R1258" s="213"/>
      <c r="S1258" s="213"/>
      <c r="T1258" s="213"/>
      <c r="U1258" s="213" t="s">
        <v>538</v>
      </c>
      <c r="V1258" s="213">
        <v>1</v>
      </c>
      <c r="W1258" s="213" t="s">
        <v>560</v>
      </c>
      <c r="X1258" s="213" t="s">
        <v>541</v>
      </c>
      <c r="Y1258" s="213" t="s">
        <v>541</v>
      </c>
      <c r="Z1258" s="212">
        <v>40</v>
      </c>
      <c r="AA1258" s="212">
        <v>3640</v>
      </c>
      <c r="AB1258" s="217">
        <v>0.10692699999999999</v>
      </c>
      <c r="AC1258" s="217">
        <v>0.17208300000000001</v>
      </c>
      <c r="AD1258" s="212">
        <f t="shared" si="19"/>
        <v>389.21427999999997</v>
      </c>
    </row>
    <row r="1259" spans="2:30" x14ac:dyDescent="0.15">
      <c r="B1259" s="213">
        <v>17031006313</v>
      </c>
      <c r="C1259" s="213">
        <v>17031001528</v>
      </c>
      <c r="D1259" s="213">
        <v>17031007649</v>
      </c>
      <c r="E1259" s="213" t="s">
        <v>533</v>
      </c>
      <c r="F1259" s="213" t="s">
        <v>534</v>
      </c>
      <c r="G1259" s="213" t="s">
        <v>365</v>
      </c>
      <c r="H1259" s="213" t="s">
        <v>382</v>
      </c>
      <c r="I1259" s="213"/>
      <c r="J1259" s="213"/>
      <c r="K1259" s="213"/>
      <c r="L1259" s="213"/>
      <c r="M1259" s="213"/>
      <c r="N1259" s="213"/>
      <c r="O1259" s="213"/>
      <c r="P1259" s="213"/>
      <c r="Q1259" s="213"/>
      <c r="R1259" s="213"/>
      <c r="S1259" s="213" t="s">
        <v>576</v>
      </c>
      <c r="T1259" s="213"/>
      <c r="U1259" s="213" t="s">
        <v>559</v>
      </c>
      <c r="V1259" s="213">
        <v>1</v>
      </c>
      <c r="W1259" s="213" t="s">
        <v>560</v>
      </c>
      <c r="X1259" s="213" t="s">
        <v>541</v>
      </c>
      <c r="Y1259" s="213" t="s">
        <v>541</v>
      </c>
      <c r="Z1259" s="212">
        <v>0</v>
      </c>
      <c r="AA1259" s="212">
        <v>0</v>
      </c>
      <c r="AB1259" s="217">
        <v>0.38001099999999999</v>
      </c>
      <c r="AC1259" s="217">
        <v>0.61156999999999995</v>
      </c>
      <c r="AD1259" s="212">
        <f t="shared" si="19"/>
        <v>0</v>
      </c>
    </row>
    <row r="1260" spans="2:30" x14ac:dyDescent="0.15">
      <c r="B1260" s="213">
        <v>17031006315</v>
      </c>
      <c r="C1260" s="213">
        <v>17031000795</v>
      </c>
      <c r="D1260" s="213">
        <v>17031000809</v>
      </c>
      <c r="E1260" s="213" t="s">
        <v>533</v>
      </c>
      <c r="F1260" s="213" t="s">
        <v>534</v>
      </c>
      <c r="G1260" s="213" t="s">
        <v>365</v>
      </c>
      <c r="H1260" s="213" t="s">
        <v>571</v>
      </c>
      <c r="I1260" s="213"/>
      <c r="J1260" s="213" t="s">
        <v>381</v>
      </c>
      <c r="K1260" s="213" t="s">
        <v>382</v>
      </c>
      <c r="L1260" s="213"/>
      <c r="M1260" s="213"/>
      <c r="N1260" s="213"/>
      <c r="O1260" s="213"/>
      <c r="P1260" s="213"/>
      <c r="Q1260" s="213"/>
      <c r="R1260" s="213"/>
      <c r="S1260" s="213"/>
      <c r="T1260" s="213"/>
      <c r="U1260" s="213" t="s">
        <v>538</v>
      </c>
      <c r="V1260" s="213">
        <v>1</v>
      </c>
      <c r="W1260" s="213" t="s">
        <v>560</v>
      </c>
      <c r="X1260" s="213" t="s">
        <v>541</v>
      </c>
      <c r="Y1260" s="213" t="s">
        <v>541</v>
      </c>
      <c r="Z1260" s="212">
        <v>821159</v>
      </c>
      <c r="AA1260" s="212">
        <v>36335978</v>
      </c>
      <c r="AB1260" s="217">
        <v>8.8682999999999998E-2</v>
      </c>
      <c r="AC1260" s="217">
        <v>0.14272199999999999</v>
      </c>
      <c r="AD1260" s="212">
        <f t="shared" si="19"/>
        <v>3222383.5369739998</v>
      </c>
    </row>
    <row r="1261" spans="2:30" x14ac:dyDescent="0.15">
      <c r="B1261" s="213">
        <v>17031006319</v>
      </c>
      <c r="C1261" s="213">
        <v>17031000812</v>
      </c>
      <c r="D1261" s="213">
        <v>17031000813</v>
      </c>
      <c r="E1261" s="213" t="s">
        <v>533</v>
      </c>
      <c r="F1261" s="213" t="s">
        <v>534</v>
      </c>
      <c r="G1261" s="213" t="s">
        <v>365</v>
      </c>
      <c r="H1261" s="213" t="s">
        <v>571</v>
      </c>
      <c r="I1261" s="213"/>
      <c r="J1261" s="213" t="s">
        <v>535</v>
      </c>
      <c r="K1261" s="213" t="s">
        <v>382</v>
      </c>
      <c r="L1261" s="213"/>
      <c r="M1261" s="213"/>
      <c r="N1261" s="213"/>
      <c r="O1261" s="213"/>
      <c r="P1261" s="213"/>
      <c r="Q1261" s="213"/>
      <c r="R1261" s="213"/>
      <c r="S1261" s="213"/>
      <c r="T1261" s="213"/>
      <c r="U1261" s="213" t="s">
        <v>538</v>
      </c>
      <c r="V1261" s="213">
        <v>1</v>
      </c>
      <c r="W1261" s="213" t="s">
        <v>560</v>
      </c>
      <c r="X1261" s="213" t="s">
        <v>541</v>
      </c>
      <c r="Y1261" s="213" t="s">
        <v>541</v>
      </c>
      <c r="Z1261" s="212">
        <v>215612</v>
      </c>
      <c r="AA1261" s="212">
        <v>13917483</v>
      </c>
      <c r="AB1261" s="217">
        <v>0.183841</v>
      </c>
      <c r="AC1261" s="217">
        <v>0.29586299999999999</v>
      </c>
      <c r="AD1261" s="212">
        <f t="shared" si="19"/>
        <v>2558603.992203</v>
      </c>
    </row>
    <row r="1262" spans="2:30" x14ac:dyDescent="0.15">
      <c r="B1262" s="213">
        <v>17031006337</v>
      </c>
      <c r="C1262" s="213">
        <v>17031000333</v>
      </c>
      <c r="D1262" s="213">
        <v>17031004587</v>
      </c>
      <c r="E1262" s="213" t="s">
        <v>533</v>
      </c>
      <c r="F1262" s="213" t="s">
        <v>534</v>
      </c>
      <c r="G1262" s="213" t="s">
        <v>365</v>
      </c>
      <c r="H1262" s="213" t="s">
        <v>382</v>
      </c>
      <c r="I1262" s="213"/>
      <c r="J1262" s="213"/>
      <c r="K1262" s="213"/>
      <c r="L1262" s="213"/>
      <c r="M1262" s="213"/>
      <c r="N1262" s="213"/>
      <c r="O1262" s="213"/>
      <c r="P1262" s="213"/>
      <c r="Q1262" s="213"/>
      <c r="R1262" s="213"/>
      <c r="S1262" s="213" t="s">
        <v>616</v>
      </c>
      <c r="T1262" s="213"/>
      <c r="U1262" s="213" t="s">
        <v>559</v>
      </c>
      <c r="V1262" s="213">
        <v>1</v>
      </c>
      <c r="W1262" s="213" t="s">
        <v>560</v>
      </c>
      <c r="X1262" s="213" t="s">
        <v>541</v>
      </c>
      <c r="Y1262" s="213" t="s">
        <v>541</v>
      </c>
      <c r="Z1262" s="212">
        <v>0</v>
      </c>
      <c r="AA1262" s="212">
        <v>0</v>
      </c>
      <c r="AB1262" s="217">
        <v>0.56783099999999997</v>
      </c>
      <c r="AC1262" s="217">
        <v>0.91383700000000001</v>
      </c>
      <c r="AD1262" s="212">
        <f t="shared" si="19"/>
        <v>0</v>
      </c>
    </row>
    <row r="1263" spans="2:30" x14ac:dyDescent="0.15">
      <c r="B1263" s="213">
        <v>17031006343</v>
      </c>
      <c r="C1263" s="213">
        <v>17031004622</v>
      </c>
      <c r="D1263" s="213">
        <v>17031000600</v>
      </c>
      <c r="E1263" s="213" t="s">
        <v>533</v>
      </c>
      <c r="F1263" s="213" t="s">
        <v>534</v>
      </c>
      <c r="G1263" s="213" t="s">
        <v>365</v>
      </c>
      <c r="H1263" s="213" t="s">
        <v>552</v>
      </c>
      <c r="I1263" s="213"/>
      <c r="J1263" s="213" t="s">
        <v>542</v>
      </c>
      <c r="K1263" s="213" t="s">
        <v>547</v>
      </c>
      <c r="L1263" s="213"/>
      <c r="M1263" s="213"/>
      <c r="N1263" s="213"/>
      <c r="O1263" s="213"/>
      <c r="P1263" s="213"/>
      <c r="Q1263" s="213"/>
      <c r="R1263" s="213"/>
      <c r="S1263" s="213" t="s">
        <v>564</v>
      </c>
      <c r="T1263" s="213"/>
      <c r="U1263" s="213" t="s">
        <v>538</v>
      </c>
      <c r="V1263" s="213">
        <v>3</v>
      </c>
      <c r="W1263" s="213" t="s">
        <v>545</v>
      </c>
      <c r="X1263" s="213" t="s">
        <v>541</v>
      </c>
      <c r="Y1263" s="213" t="s">
        <v>541</v>
      </c>
      <c r="Z1263" s="212">
        <v>31044</v>
      </c>
      <c r="AA1263" s="212">
        <v>1434376</v>
      </c>
      <c r="AB1263" s="217">
        <v>0.51033700000000004</v>
      </c>
      <c r="AC1263" s="217">
        <v>0.82130899999999996</v>
      </c>
      <c r="AD1263" s="212">
        <f t="shared" si="19"/>
        <v>732015.14471200004</v>
      </c>
    </row>
    <row r="1264" spans="2:30" x14ac:dyDescent="0.15">
      <c r="B1264" s="213">
        <v>17031006348</v>
      </c>
      <c r="C1264" s="213">
        <v>17031004592</v>
      </c>
      <c r="D1264" s="213">
        <v>17031004591</v>
      </c>
      <c r="E1264" s="213" t="s">
        <v>533</v>
      </c>
      <c r="F1264" s="213" t="s">
        <v>534</v>
      </c>
      <c r="G1264" s="213" t="s">
        <v>365</v>
      </c>
      <c r="H1264" s="213" t="s">
        <v>535</v>
      </c>
      <c r="I1264" s="213"/>
      <c r="J1264" s="213" t="s">
        <v>547</v>
      </c>
      <c r="K1264" s="213" t="s">
        <v>551</v>
      </c>
      <c r="L1264" s="213"/>
      <c r="M1264" s="213"/>
      <c r="N1264" s="213"/>
      <c r="O1264" s="213"/>
      <c r="P1264" s="213"/>
      <c r="Q1264" s="213"/>
      <c r="R1264" s="213"/>
      <c r="S1264" s="213" t="s">
        <v>548</v>
      </c>
      <c r="T1264" s="213"/>
      <c r="U1264" s="213" t="s">
        <v>538</v>
      </c>
      <c r="V1264" s="213">
        <v>2</v>
      </c>
      <c r="W1264" s="213" t="s">
        <v>545</v>
      </c>
      <c r="X1264" s="213" t="s">
        <v>549</v>
      </c>
      <c r="Y1264" s="213" t="s">
        <v>546</v>
      </c>
      <c r="Z1264" s="212">
        <v>374329</v>
      </c>
      <c r="AA1264" s="212">
        <v>22852279</v>
      </c>
      <c r="AB1264" s="217">
        <v>0.63005800000000001</v>
      </c>
      <c r="AC1264" s="217">
        <v>1.0139819999999999</v>
      </c>
      <c r="AD1264" s="212">
        <f t="shared" si="19"/>
        <v>14398261.202182001</v>
      </c>
    </row>
    <row r="1265" spans="2:30" x14ac:dyDescent="0.15">
      <c r="B1265" s="213">
        <v>17031006354</v>
      </c>
      <c r="C1265" s="213">
        <v>17031000407</v>
      </c>
      <c r="D1265" s="213">
        <v>17031004629</v>
      </c>
      <c r="E1265" s="213" t="s">
        <v>533</v>
      </c>
      <c r="F1265" s="213" t="s">
        <v>534</v>
      </c>
      <c r="G1265" s="213" t="s">
        <v>365</v>
      </c>
      <c r="H1265" s="213" t="s">
        <v>535</v>
      </c>
      <c r="I1265" s="213"/>
      <c r="J1265" s="213" t="s">
        <v>552</v>
      </c>
      <c r="K1265" s="213" t="s">
        <v>547</v>
      </c>
      <c r="L1265" s="213"/>
      <c r="M1265" s="213"/>
      <c r="N1265" s="213"/>
      <c r="O1265" s="213"/>
      <c r="P1265" s="213"/>
      <c r="Q1265" s="213"/>
      <c r="R1265" s="213"/>
      <c r="S1265" s="213" t="s">
        <v>548</v>
      </c>
      <c r="T1265" s="213" t="s">
        <v>671</v>
      </c>
      <c r="U1265" s="213" t="s">
        <v>538</v>
      </c>
      <c r="V1265" s="213">
        <v>3</v>
      </c>
      <c r="W1265" s="213" t="s">
        <v>545</v>
      </c>
      <c r="X1265" s="213" t="s">
        <v>554</v>
      </c>
      <c r="Y1265" s="213" t="s">
        <v>546</v>
      </c>
      <c r="Z1265" s="212">
        <v>456609</v>
      </c>
      <c r="AA1265" s="212">
        <v>23964799</v>
      </c>
      <c r="AB1265" s="217">
        <v>0.23457500000000001</v>
      </c>
      <c r="AC1265" s="217">
        <v>0.37751299999999999</v>
      </c>
      <c r="AD1265" s="212">
        <f t="shared" si="19"/>
        <v>5621542.7254250003</v>
      </c>
    </row>
    <row r="1266" spans="2:30" x14ac:dyDescent="0.15">
      <c r="B1266" s="213">
        <v>17031006355</v>
      </c>
      <c r="C1266" s="213">
        <v>17031000484</v>
      </c>
      <c r="D1266" s="213">
        <v>17031004641</v>
      </c>
      <c r="E1266" s="213" t="s">
        <v>533</v>
      </c>
      <c r="F1266" s="213" t="s">
        <v>534</v>
      </c>
      <c r="G1266" s="213" t="s">
        <v>365</v>
      </c>
      <c r="H1266" s="213" t="s">
        <v>552</v>
      </c>
      <c r="I1266" s="213"/>
      <c r="J1266" s="213" t="s">
        <v>551</v>
      </c>
      <c r="K1266" s="213" t="s">
        <v>547</v>
      </c>
      <c r="L1266" s="213" t="s">
        <v>382</v>
      </c>
      <c r="M1266" s="213" t="s">
        <v>563</v>
      </c>
      <c r="N1266" s="213"/>
      <c r="O1266" s="213"/>
      <c r="P1266" s="213"/>
      <c r="Q1266" s="213"/>
      <c r="R1266" s="213"/>
      <c r="S1266" s="213" t="s">
        <v>589</v>
      </c>
      <c r="T1266" s="213" t="s">
        <v>691</v>
      </c>
      <c r="U1266" s="213" t="s">
        <v>538</v>
      </c>
      <c r="V1266" s="213">
        <v>3</v>
      </c>
      <c r="W1266" s="213" t="s">
        <v>545</v>
      </c>
      <c r="X1266" s="213" t="s">
        <v>549</v>
      </c>
      <c r="Y1266" s="213" t="s">
        <v>549</v>
      </c>
      <c r="Z1266" s="212">
        <v>321019</v>
      </c>
      <c r="AA1266" s="212">
        <v>20272568</v>
      </c>
      <c r="AB1266" s="217">
        <v>0.44048100000000001</v>
      </c>
      <c r="AC1266" s="217">
        <v>0.70888700000000004</v>
      </c>
      <c r="AD1266" s="212">
        <f t="shared" si="19"/>
        <v>8929681.0252080001</v>
      </c>
    </row>
    <row r="1267" spans="2:30" x14ac:dyDescent="0.15">
      <c r="B1267" s="213">
        <v>17031006366</v>
      </c>
      <c r="C1267" s="213">
        <v>17031000749</v>
      </c>
      <c r="D1267" s="213">
        <v>17031000751</v>
      </c>
      <c r="E1267" s="213" t="s">
        <v>533</v>
      </c>
      <c r="F1267" s="213" t="s">
        <v>534</v>
      </c>
      <c r="G1267" s="213" t="s">
        <v>365</v>
      </c>
      <c r="H1267" s="213" t="s">
        <v>535</v>
      </c>
      <c r="I1267" s="213"/>
      <c r="J1267" s="213"/>
      <c r="K1267" s="213"/>
      <c r="L1267" s="213"/>
      <c r="M1267" s="213"/>
      <c r="N1267" s="213"/>
      <c r="O1267" s="213"/>
      <c r="P1267" s="213"/>
      <c r="Q1267" s="213"/>
      <c r="R1267" s="213"/>
      <c r="S1267" s="213" t="s">
        <v>624</v>
      </c>
      <c r="T1267" s="213" t="s">
        <v>682</v>
      </c>
      <c r="U1267" s="213" t="s">
        <v>538</v>
      </c>
      <c r="V1267" s="213">
        <v>2</v>
      </c>
      <c r="W1267" s="213" t="s">
        <v>582</v>
      </c>
      <c r="X1267" s="213" t="s">
        <v>554</v>
      </c>
      <c r="Y1267" s="213" t="s">
        <v>554</v>
      </c>
      <c r="Z1267" s="212">
        <v>0</v>
      </c>
      <c r="AA1267" s="212">
        <v>0</v>
      </c>
      <c r="AB1267" s="217">
        <v>0.32964700000000002</v>
      </c>
      <c r="AC1267" s="217">
        <v>0.53051700000000002</v>
      </c>
      <c r="AD1267" s="212">
        <f t="shared" si="19"/>
        <v>0</v>
      </c>
    </row>
    <row r="1268" spans="2:30" x14ac:dyDescent="0.15">
      <c r="B1268" s="213">
        <v>17031006381</v>
      </c>
      <c r="C1268" s="213">
        <v>17031000630</v>
      </c>
      <c r="D1268" s="213">
        <v>17031000631</v>
      </c>
      <c r="E1268" s="213" t="s">
        <v>533</v>
      </c>
      <c r="F1268" s="213" t="s">
        <v>534</v>
      </c>
      <c r="G1268" s="213" t="s">
        <v>365</v>
      </c>
      <c r="H1268" s="213" t="s">
        <v>551</v>
      </c>
      <c r="I1268" s="213"/>
      <c r="J1268" s="213" t="s">
        <v>535</v>
      </c>
      <c r="K1268" s="213"/>
      <c r="L1268" s="213"/>
      <c r="M1268" s="213"/>
      <c r="N1268" s="213"/>
      <c r="O1268" s="213"/>
      <c r="P1268" s="213"/>
      <c r="Q1268" s="213"/>
      <c r="R1268" s="213"/>
      <c r="S1268" s="213" t="s">
        <v>649</v>
      </c>
      <c r="T1268" s="213"/>
      <c r="U1268" s="213" t="s">
        <v>538</v>
      </c>
      <c r="V1268" s="213">
        <v>1</v>
      </c>
      <c r="W1268" s="213" t="s">
        <v>539</v>
      </c>
      <c r="X1268" s="213" t="s">
        <v>541</v>
      </c>
      <c r="Y1268" s="213" t="s">
        <v>541</v>
      </c>
      <c r="Z1268" s="212">
        <v>840</v>
      </c>
      <c r="AA1268" s="212">
        <v>73120</v>
      </c>
      <c r="AB1268" s="217">
        <v>0.16470599999999999</v>
      </c>
      <c r="AC1268" s="217">
        <v>0.26506999999999997</v>
      </c>
      <c r="AD1268" s="212">
        <f t="shared" si="19"/>
        <v>12043.30272</v>
      </c>
    </row>
    <row r="1269" spans="2:30" x14ac:dyDescent="0.15">
      <c r="B1269" s="213">
        <v>17031006385</v>
      </c>
      <c r="C1269" s="213">
        <v>17031004674</v>
      </c>
      <c r="D1269" s="213">
        <v>17031000744</v>
      </c>
      <c r="E1269" s="213" t="s">
        <v>533</v>
      </c>
      <c r="F1269" s="213" t="s">
        <v>534</v>
      </c>
      <c r="G1269" s="213" t="s">
        <v>365</v>
      </c>
      <c r="H1269" s="213" t="s">
        <v>644</v>
      </c>
      <c r="I1269" s="213"/>
      <c r="J1269" s="213" t="s">
        <v>535</v>
      </c>
      <c r="K1269" s="213"/>
      <c r="L1269" s="213"/>
      <c r="M1269" s="213"/>
      <c r="N1269" s="213"/>
      <c r="O1269" s="213"/>
      <c r="P1269" s="213"/>
      <c r="Q1269" s="213"/>
      <c r="R1269" s="213"/>
      <c r="S1269" s="213"/>
      <c r="T1269" s="213"/>
      <c r="U1269" s="213" t="s">
        <v>559</v>
      </c>
      <c r="V1269" s="213">
        <v>1</v>
      </c>
      <c r="W1269" s="213" t="s">
        <v>560</v>
      </c>
      <c r="X1269" s="213" t="s">
        <v>541</v>
      </c>
      <c r="Y1269" s="213" t="s">
        <v>541</v>
      </c>
      <c r="Z1269" s="212">
        <v>0</v>
      </c>
      <c r="AA1269" s="212">
        <v>0</v>
      </c>
      <c r="AB1269" s="217">
        <v>0.19927900000000001</v>
      </c>
      <c r="AC1269" s="217">
        <v>0.32071</v>
      </c>
      <c r="AD1269" s="212">
        <f t="shared" si="19"/>
        <v>0</v>
      </c>
    </row>
    <row r="1270" spans="2:30" x14ac:dyDescent="0.15">
      <c r="B1270" s="213">
        <v>17031006386</v>
      </c>
      <c r="C1270" s="213">
        <v>17031004673</v>
      </c>
      <c r="D1270" s="213">
        <v>17031004674</v>
      </c>
      <c r="E1270" s="213" t="s">
        <v>533</v>
      </c>
      <c r="F1270" s="213" t="s">
        <v>534</v>
      </c>
      <c r="G1270" s="213" t="s">
        <v>365</v>
      </c>
      <c r="H1270" s="213" t="s">
        <v>644</v>
      </c>
      <c r="I1270" s="213"/>
      <c r="J1270" s="213" t="s">
        <v>535</v>
      </c>
      <c r="K1270" s="213"/>
      <c r="L1270" s="213"/>
      <c r="M1270" s="213"/>
      <c r="N1270" s="213"/>
      <c r="O1270" s="213"/>
      <c r="P1270" s="213"/>
      <c r="Q1270" s="213"/>
      <c r="R1270" s="213"/>
      <c r="S1270" s="213"/>
      <c r="T1270" s="213"/>
      <c r="U1270" s="213" t="s">
        <v>559</v>
      </c>
      <c r="V1270" s="213">
        <v>1</v>
      </c>
      <c r="W1270" s="213" t="s">
        <v>560</v>
      </c>
      <c r="X1270" s="213" t="s">
        <v>541</v>
      </c>
      <c r="Y1270" s="213" t="s">
        <v>541</v>
      </c>
      <c r="Z1270" s="212">
        <v>0</v>
      </c>
      <c r="AA1270" s="212">
        <v>0</v>
      </c>
      <c r="AB1270" s="217">
        <v>0.162053</v>
      </c>
      <c r="AC1270" s="217">
        <v>0.260799</v>
      </c>
      <c r="AD1270" s="212">
        <f t="shared" si="19"/>
        <v>0</v>
      </c>
    </row>
    <row r="1271" spans="2:30" x14ac:dyDescent="0.15">
      <c r="B1271" s="213">
        <v>17031006404</v>
      </c>
      <c r="C1271" s="213">
        <v>17031004696</v>
      </c>
      <c r="D1271" s="213">
        <v>17031001333</v>
      </c>
      <c r="E1271" s="213" t="s">
        <v>533</v>
      </c>
      <c r="F1271" s="213" t="s">
        <v>534</v>
      </c>
      <c r="G1271" s="213" t="s">
        <v>365</v>
      </c>
      <c r="H1271" s="213" t="s">
        <v>547</v>
      </c>
      <c r="I1271" s="213"/>
      <c r="J1271" s="213" t="s">
        <v>577</v>
      </c>
      <c r="K1271" s="213" t="s">
        <v>551</v>
      </c>
      <c r="L1271" s="213" t="s">
        <v>615</v>
      </c>
      <c r="M1271" s="213"/>
      <c r="N1271" s="213"/>
      <c r="O1271" s="213"/>
      <c r="P1271" s="213"/>
      <c r="Q1271" s="213"/>
      <c r="R1271" s="213"/>
      <c r="S1271" s="213" t="s">
        <v>581</v>
      </c>
      <c r="T1271" s="213"/>
      <c r="U1271" s="213" t="s">
        <v>538</v>
      </c>
      <c r="V1271" s="213">
        <v>2</v>
      </c>
      <c r="W1271" s="213" t="s">
        <v>582</v>
      </c>
      <c r="X1271" s="213" t="s">
        <v>540</v>
      </c>
      <c r="Y1271" s="213" t="s">
        <v>540</v>
      </c>
      <c r="Z1271" s="212">
        <v>34796</v>
      </c>
      <c r="AA1271" s="212">
        <v>3311897</v>
      </c>
      <c r="AB1271" s="217">
        <v>2.3904000000000002E-2</v>
      </c>
      <c r="AC1271" s="217">
        <v>3.8469000000000003E-2</v>
      </c>
      <c r="AD1271" s="212">
        <f t="shared" si="19"/>
        <v>79167.585888000001</v>
      </c>
    </row>
    <row r="1272" spans="2:30" x14ac:dyDescent="0.15">
      <c r="B1272" s="213">
        <v>17031006405</v>
      </c>
      <c r="C1272" s="213">
        <v>17031001079</v>
      </c>
      <c r="D1272" s="213">
        <v>17031004706</v>
      </c>
      <c r="E1272" s="213" t="s">
        <v>533</v>
      </c>
      <c r="F1272" s="213" t="s">
        <v>534</v>
      </c>
      <c r="G1272" s="213" t="s">
        <v>365</v>
      </c>
      <c r="H1272" s="213" t="s">
        <v>547</v>
      </c>
      <c r="I1272" s="213"/>
      <c r="J1272" s="213"/>
      <c r="K1272" s="213"/>
      <c r="L1272" s="213"/>
      <c r="M1272" s="213"/>
      <c r="N1272" s="213"/>
      <c r="O1272" s="213"/>
      <c r="P1272" s="213"/>
      <c r="Q1272" s="213"/>
      <c r="R1272" s="213"/>
      <c r="S1272" s="213" t="s">
        <v>611</v>
      </c>
      <c r="T1272" s="213"/>
      <c r="U1272" s="213" t="s">
        <v>538</v>
      </c>
      <c r="V1272" s="213">
        <v>2</v>
      </c>
      <c r="W1272" s="213" t="s">
        <v>582</v>
      </c>
      <c r="X1272" s="213" t="s">
        <v>540</v>
      </c>
      <c r="Y1272" s="213" t="s">
        <v>541</v>
      </c>
      <c r="Z1272" s="212">
        <v>0</v>
      </c>
      <c r="AA1272" s="212">
        <v>0</v>
      </c>
      <c r="AB1272" s="217">
        <v>0.44930999999999999</v>
      </c>
      <c r="AC1272" s="217">
        <v>0.72309599999999996</v>
      </c>
      <c r="AD1272" s="212">
        <f t="shared" si="19"/>
        <v>0</v>
      </c>
    </row>
    <row r="1273" spans="2:30" x14ac:dyDescent="0.15">
      <c r="B1273" s="213">
        <v>17031006406</v>
      </c>
      <c r="C1273" s="213">
        <v>17031004706</v>
      </c>
      <c r="D1273" s="213">
        <v>17031004705</v>
      </c>
      <c r="E1273" s="213" t="s">
        <v>533</v>
      </c>
      <c r="F1273" s="213" t="s">
        <v>534</v>
      </c>
      <c r="G1273" s="213" t="s">
        <v>365</v>
      </c>
      <c r="H1273" s="213" t="s">
        <v>547</v>
      </c>
      <c r="I1273" s="213"/>
      <c r="J1273" s="213"/>
      <c r="K1273" s="213"/>
      <c r="L1273" s="213"/>
      <c r="M1273" s="213"/>
      <c r="N1273" s="213"/>
      <c r="O1273" s="213"/>
      <c r="P1273" s="213"/>
      <c r="Q1273" s="213"/>
      <c r="R1273" s="213"/>
      <c r="S1273" s="213" t="s">
        <v>611</v>
      </c>
      <c r="T1273" s="213"/>
      <c r="U1273" s="213" t="s">
        <v>538</v>
      </c>
      <c r="V1273" s="213">
        <v>2</v>
      </c>
      <c r="W1273" s="213" t="s">
        <v>582</v>
      </c>
      <c r="X1273" s="213" t="s">
        <v>540</v>
      </c>
      <c r="Y1273" s="213" t="s">
        <v>541</v>
      </c>
      <c r="Z1273" s="212">
        <v>0</v>
      </c>
      <c r="AA1273" s="212">
        <v>0</v>
      </c>
      <c r="AB1273" s="217">
        <v>0.55696599999999996</v>
      </c>
      <c r="AC1273" s="217">
        <v>0.89635200000000004</v>
      </c>
      <c r="AD1273" s="212">
        <f t="shared" si="19"/>
        <v>0</v>
      </c>
    </row>
    <row r="1274" spans="2:30" x14ac:dyDescent="0.15">
      <c r="B1274" s="213">
        <v>17031006409</v>
      </c>
      <c r="C1274" s="213">
        <v>17031004703</v>
      </c>
      <c r="D1274" s="213">
        <v>17031004702</v>
      </c>
      <c r="E1274" s="213" t="s">
        <v>533</v>
      </c>
      <c r="F1274" s="213" t="s">
        <v>534</v>
      </c>
      <c r="G1274" s="213" t="s">
        <v>365</v>
      </c>
      <c r="H1274" s="213" t="s">
        <v>547</v>
      </c>
      <c r="I1274" s="213"/>
      <c r="J1274" s="213"/>
      <c r="K1274" s="213"/>
      <c r="L1274" s="213"/>
      <c r="M1274" s="213"/>
      <c r="N1274" s="213"/>
      <c r="O1274" s="213"/>
      <c r="P1274" s="213"/>
      <c r="Q1274" s="213"/>
      <c r="R1274" s="213"/>
      <c r="S1274" s="213" t="s">
        <v>611</v>
      </c>
      <c r="T1274" s="213"/>
      <c r="U1274" s="213" t="s">
        <v>538</v>
      </c>
      <c r="V1274" s="213">
        <v>2</v>
      </c>
      <c r="W1274" s="213" t="s">
        <v>582</v>
      </c>
      <c r="X1274" s="213" t="s">
        <v>540</v>
      </c>
      <c r="Y1274" s="213" t="s">
        <v>541</v>
      </c>
      <c r="Z1274" s="212">
        <v>0</v>
      </c>
      <c r="AA1274" s="212">
        <v>0</v>
      </c>
      <c r="AB1274" s="217">
        <v>0.440326</v>
      </c>
      <c r="AC1274" s="217">
        <v>0.70863799999999999</v>
      </c>
      <c r="AD1274" s="212">
        <f t="shared" si="19"/>
        <v>0</v>
      </c>
    </row>
    <row r="1275" spans="2:30" x14ac:dyDescent="0.15">
      <c r="B1275" s="213">
        <v>17031006428</v>
      </c>
      <c r="C1275" s="213">
        <v>17031001108</v>
      </c>
      <c r="D1275" s="213">
        <v>17031001128</v>
      </c>
      <c r="E1275" s="213" t="s">
        <v>533</v>
      </c>
      <c r="F1275" s="213" t="s">
        <v>534</v>
      </c>
      <c r="G1275" s="213" t="s">
        <v>365</v>
      </c>
      <c r="H1275" s="213" t="s">
        <v>577</v>
      </c>
      <c r="I1275" s="213"/>
      <c r="J1275" s="213" t="s">
        <v>543</v>
      </c>
      <c r="K1275" s="213"/>
      <c r="L1275" s="213"/>
      <c r="M1275" s="213"/>
      <c r="N1275" s="213"/>
      <c r="O1275" s="213"/>
      <c r="P1275" s="213"/>
      <c r="Q1275" s="213"/>
      <c r="R1275" s="213"/>
      <c r="S1275" s="213"/>
      <c r="T1275" s="213"/>
      <c r="U1275" s="213" t="s">
        <v>538</v>
      </c>
      <c r="V1275" s="213">
        <v>1</v>
      </c>
      <c r="W1275" s="213" t="s">
        <v>560</v>
      </c>
      <c r="X1275" s="213" t="s">
        <v>541</v>
      </c>
      <c r="Y1275" s="213" t="s">
        <v>541</v>
      </c>
      <c r="Z1275" s="212">
        <v>0</v>
      </c>
      <c r="AA1275" s="212">
        <v>0</v>
      </c>
      <c r="AB1275" s="217">
        <v>0.11260100000000001</v>
      </c>
      <c r="AC1275" s="217">
        <v>0.18121499999999999</v>
      </c>
      <c r="AD1275" s="212">
        <f t="shared" si="19"/>
        <v>0</v>
      </c>
    </row>
    <row r="1276" spans="2:30" x14ac:dyDescent="0.15">
      <c r="B1276" s="213">
        <v>17031006433</v>
      </c>
      <c r="C1276" s="213">
        <v>17031001268</v>
      </c>
      <c r="D1276" s="213">
        <v>17031001267</v>
      </c>
      <c r="E1276" s="213" t="s">
        <v>533</v>
      </c>
      <c r="F1276" s="213" t="s">
        <v>534</v>
      </c>
      <c r="G1276" s="213" t="s">
        <v>365</v>
      </c>
      <c r="H1276" s="213" t="s">
        <v>613</v>
      </c>
      <c r="I1276" s="213"/>
      <c r="J1276" s="213" t="s">
        <v>577</v>
      </c>
      <c r="K1276" s="213" t="s">
        <v>572</v>
      </c>
      <c r="L1276" s="213"/>
      <c r="M1276" s="213"/>
      <c r="N1276" s="213"/>
      <c r="O1276" s="213"/>
      <c r="P1276" s="213"/>
      <c r="Q1276" s="213"/>
      <c r="R1276" s="213"/>
      <c r="S1276" s="213"/>
      <c r="T1276" s="213"/>
      <c r="U1276" s="213" t="s">
        <v>559</v>
      </c>
      <c r="V1276" s="213">
        <v>1</v>
      </c>
      <c r="W1276" s="213" t="s">
        <v>560</v>
      </c>
      <c r="X1276" s="213" t="s">
        <v>541</v>
      </c>
      <c r="Y1276" s="213" t="s">
        <v>541</v>
      </c>
      <c r="Z1276" s="212">
        <v>0</v>
      </c>
      <c r="AA1276" s="212">
        <v>0</v>
      </c>
      <c r="AB1276" s="217">
        <v>0.172518</v>
      </c>
      <c r="AC1276" s="217">
        <v>0.27764100000000003</v>
      </c>
      <c r="AD1276" s="212">
        <f t="shared" si="19"/>
        <v>0</v>
      </c>
    </row>
    <row r="1277" spans="2:30" x14ac:dyDescent="0.15">
      <c r="B1277" s="213">
        <v>17031006437</v>
      </c>
      <c r="C1277" s="213">
        <v>17031001346</v>
      </c>
      <c r="D1277" s="213">
        <v>17031001347</v>
      </c>
      <c r="E1277" s="213" t="s">
        <v>533</v>
      </c>
      <c r="F1277" s="213" t="s">
        <v>534</v>
      </c>
      <c r="G1277" s="213" t="s">
        <v>365</v>
      </c>
      <c r="H1277" s="213" t="s">
        <v>543</v>
      </c>
      <c r="I1277" s="213"/>
      <c r="J1277" s="213"/>
      <c r="K1277" s="213"/>
      <c r="L1277" s="213"/>
      <c r="M1277" s="213"/>
      <c r="N1277" s="213"/>
      <c r="O1277" s="213"/>
      <c r="P1277" s="213"/>
      <c r="Q1277" s="213"/>
      <c r="R1277" s="213"/>
      <c r="S1277" s="213"/>
      <c r="T1277" s="213" t="s">
        <v>669</v>
      </c>
      <c r="U1277" s="213" t="s">
        <v>559</v>
      </c>
      <c r="V1277" s="213">
        <v>1</v>
      </c>
      <c r="W1277" s="213" t="s">
        <v>560</v>
      </c>
      <c r="X1277" s="213" t="s">
        <v>541</v>
      </c>
      <c r="Y1277" s="213" t="s">
        <v>541</v>
      </c>
      <c r="Z1277" s="212">
        <v>0</v>
      </c>
      <c r="AA1277" s="212">
        <v>0</v>
      </c>
      <c r="AB1277" s="217">
        <v>5.1479999999999998E-2</v>
      </c>
      <c r="AC1277" s="217">
        <v>8.2849000000000006E-2</v>
      </c>
      <c r="AD1277" s="212">
        <f t="shared" si="19"/>
        <v>0</v>
      </c>
    </row>
    <row r="1278" spans="2:30" x14ac:dyDescent="0.15">
      <c r="B1278" s="213">
        <v>17031006448</v>
      </c>
      <c r="C1278" s="213">
        <v>17031001548</v>
      </c>
      <c r="D1278" s="213">
        <v>17031001553</v>
      </c>
      <c r="E1278" s="213" t="s">
        <v>533</v>
      </c>
      <c r="F1278" s="213" t="s">
        <v>534</v>
      </c>
      <c r="G1278" s="213" t="s">
        <v>365</v>
      </c>
      <c r="H1278" s="213" t="s">
        <v>382</v>
      </c>
      <c r="I1278" s="213"/>
      <c r="J1278" s="213"/>
      <c r="K1278" s="213"/>
      <c r="L1278" s="213"/>
      <c r="M1278" s="213"/>
      <c r="N1278" s="213"/>
      <c r="O1278" s="213"/>
      <c r="P1278" s="213"/>
      <c r="Q1278" s="213"/>
      <c r="R1278" s="213"/>
      <c r="S1278" s="213" t="s">
        <v>576</v>
      </c>
      <c r="T1278" s="213"/>
      <c r="U1278" s="213" t="s">
        <v>559</v>
      </c>
      <c r="V1278" s="213">
        <v>1</v>
      </c>
      <c r="W1278" s="213" t="s">
        <v>560</v>
      </c>
      <c r="X1278" s="213" t="s">
        <v>541</v>
      </c>
      <c r="Y1278" s="213" t="s">
        <v>541</v>
      </c>
      <c r="Z1278" s="212">
        <v>0</v>
      </c>
      <c r="AA1278" s="212">
        <v>0</v>
      </c>
      <c r="AB1278" s="217">
        <v>0.141564</v>
      </c>
      <c r="AC1278" s="217">
        <v>0.227825</v>
      </c>
      <c r="AD1278" s="212">
        <f t="shared" si="19"/>
        <v>0</v>
      </c>
    </row>
    <row r="1279" spans="2:30" x14ac:dyDescent="0.15">
      <c r="B1279" s="213">
        <v>17031006451</v>
      </c>
      <c r="C1279" s="213">
        <v>17031004710</v>
      </c>
      <c r="D1279" s="213">
        <v>17031001476</v>
      </c>
      <c r="E1279" s="213" t="s">
        <v>533</v>
      </c>
      <c r="F1279" s="213" t="s">
        <v>534</v>
      </c>
      <c r="G1279" s="213" t="s">
        <v>365</v>
      </c>
      <c r="H1279" s="213" t="s">
        <v>382</v>
      </c>
      <c r="I1279" s="213"/>
      <c r="J1279" s="213"/>
      <c r="K1279" s="213"/>
      <c r="L1279" s="213"/>
      <c r="M1279" s="213"/>
      <c r="N1279" s="213"/>
      <c r="O1279" s="213"/>
      <c r="P1279" s="213"/>
      <c r="Q1279" s="213"/>
      <c r="R1279" s="213"/>
      <c r="S1279" s="213"/>
      <c r="T1279" s="213"/>
      <c r="U1279" s="213" t="s">
        <v>559</v>
      </c>
      <c r="V1279" s="213">
        <v>1</v>
      </c>
      <c r="W1279" s="213" t="s">
        <v>560</v>
      </c>
      <c r="X1279" s="213" t="s">
        <v>541</v>
      </c>
      <c r="Y1279" s="213" t="s">
        <v>541</v>
      </c>
      <c r="Z1279" s="212">
        <v>0</v>
      </c>
      <c r="AA1279" s="212">
        <v>0</v>
      </c>
      <c r="AB1279" s="217">
        <v>0.23141999999999999</v>
      </c>
      <c r="AC1279" s="217">
        <v>0.37243399999999999</v>
      </c>
      <c r="AD1279" s="212">
        <f t="shared" si="19"/>
        <v>0</v>
      </c>
    </row>
    <row r="1280" spans="2:30" x14ac:dyDescent="0.15">
      <c r="B1280" s="213">
        <v>17031006458</v>
      </c>
      <c r="C1280" s="213">
        <v>17031001453</v>
      </c>
      <c r="D1280" s="213">
        <v>17031001449</v>
      </c>
      <c r="E1280" s="213" t="s">
        <v>533</v>
      </c>
      <c r="F1280" s="213" t="s">
        <v>534</v>
      </c>
      <c r="G1280" s="213" t="s">
        <v>365</v>
      </c>
      <c r="H1280" s="213" t="s">
        <v>551</v>
      </c>
      <c r="I1280" s="213"/>
      <c r="J1280" s="213"/>
      <c r="K1280" s="213"/>
      <c r="L1280" s="213"/>
      <c r="M1280" s="213"/>
      <c r="N1280" s="213"/>
      <c r="O1280" s="213"/>
      <c r="P1280" s="213"/>
      <c r="Q1280" s="213"/>
      <c r="R1280" s="213"/>
      <c r="S1280" s="213"/>
      <c r="T1280" s="213"/>
      <c r="U1280" s="213" t="s">
        <v>559</v>
      </c>
      <c r="V1280" s="213">
        <v>1</v>
      </c>
      <c r="W1280" s="213" t="s">
        <v>560</v>
      </c>
      <c r="X1280" s="213" t="s">
        <v>541</v>
      </c>
      <c r="Y1280" s="213" t="s">
        <v>541</v>
      </c>
      <c r="Z1280" s="212">
        <v>0</v>
      </c>
      <c r="AA1280" s="212">
        <v>0</v>
      </c>
      <c r="AB1280" s="217">
        <v>0.16144500000000001</v>
      </c>
      <c r="AC1280" s="217">
        <v>0.25982</v>
      </c>
      <c r="AD1280" s="212">
        <f t="shared" si="19"/>
        <v>0</v>
      </c>
    </row>
    <row r="1281" spans="2:30" x14ac:dyDescent="0.15">
      <c r="B1281" s="213">
        <v>17031006462</v>
      </c>
      <c r="C1281" s="213">
        <v>17031004509</v>
      </c>
      <c r="D1281" s="213">
        <v>17031001419</v>
      </c>
      <c r="E1281" s="213" t="s">
        <v>533</v>
      </c>
      <c r="F1281" s="213" t="s">
        <v>534</v>
      </c>
      <c r="G1281" s="213" t="s">
        <v>365</v>
      </c>
      <c r="H1281" s="213" t="s">
        <v>551</v>
      </c>
      <c r="I1281" s="213" t="s">
        <v>535</v>
      </c>
      <c r="J1281" s="213" t="s">
        <v>555</v>
      </c>
      <c r="K1281" s="213"/>
      <c r="L1281" s="213"/>
      <c r="M1281" s="213"/>
      <c r="N1281" s="213"/>
      <c r="O1281" s="213"/>
      <c r="P1281" s="213"/>
      <c r="Q1281" s="213"/>
      <c r="R1281" s="213"/>
      <c r="S1281" s="213" t="s">
        <v>553</v>
      </c>
      <c r="T1281" s="213"/>
      <c r="U1281" s="213" t="s">
        <v>538</v>
      </c>
      <c r="V1281" s="213">
        <v>2</v>
      </c>
      <c r="W1281" s="213" t="s">
        <v>545</v>
      </c>
      <c r="X1281" s="213" t="s">
        <v>549</v>
      </c>
      <c r="Y1281" s="213" t="s">
        <v>546</v>
      </c>
      <c r="Z1281" s="212">
        <v>402181</v>
      </c>
      <c r="AA1281" s="212">
        <v>22911577</v>
      </c>
      <c r="AB1281" s="217">
        <v>5.1357E-2</v>
      </c>
      <c r="AC1281" s="217">
        <v>8.2651000000000002E-2</v>
      </c>
      <c r="AD1281" s="212">
        <f t="shared" si="19"/>
        <v>1176669.859989</v>
      </c>
    </row>
    <row r="1282" spans="2:30" x14ac:dyDescent="0.15">
      <c r="B1282" s="213">
        <v>17031006463</v>
      </c>
      <c r="C1282" s="213">
        <v>17031004715</v>
      </c>
      <c r="D1282" s="213">
        <v>99999023704</v>
      </c>
      <c r="E1282" s="213" t="s">
        <v>533</v>
      </c>
      <c r="F1282" s="213" t="s">
        <v>534</v>
      </c>
      <c r="G1282" s="213" t="s">
        <v>365</v>
      </c>
      <c r="H1282" s="213" t="s">
        <v>551</v>
      </c>
      <c r="I1282" s="213" t="s">
        <v>535</v>
      </c>
      <c r="J1282" s="213" t="s">
        <v>542</v>
      </c>
      <c r="K1282" s="213"/>
      <c r="L1282" s="213"/>
      <c r="M1282" s="213"/>
      <c r="N1282" s="213"/>
      <c r="O1282" s="213"/>
      <c r="P1282" s="213"/>
      <c r="Q1282" s="213"/>
      <c r="R1282" s="213"/>
      <c r="S1282" s="213" t="s">
        <v>553</v>
      </c>
      <c r="T1282" s="213"/>
      <c r="U1282" s="213" t="s">
        <v>538</v>
      </c>
      <c r="V1282" s="213">
        <v>2</v>
      </c>
      <c r="W1282" s="213" t="s">
        <v>545</v>
      </c>
      <c r="X1282" s="213" t="s">
        <v>549</v>
      </c>
      <c r="Y1282" s="213" t="s">
        <v>546</v>
      </c>
      <c r="Z1282" s="212">
        <v>413655</v>
      </c>
      <c r="AA1282" s="212">
        <v>23799393</v>
      </c>
      <c r="AB1282" s="217">
        <v>1.9097390000000001</v>
      </c>
      <c r="AC1282" s="217">
        <v>3.0734330000000001</v>
      </c>
      <c r="AD1282" s="212">
        <f t="shared" si="19"/>
        <v>45450628.988426998</v>
      </c>
    </row>
    <row r="1283" spans="2:30" x14ac:dyDescent="0.15">
      <c r="B1283" s="213">
        <v>17031006468</v>
      </c>
      <c r="C1283" s="213">
        <v>17031000818</v>
      </c>
      <c r="D1283" s="213">
        <v>17031000821</v>
      </c>
      <c r="E1283" s="213" t="s">
        <v>533</v>
      </c>
      <c r="F1283" s="213" t="s">
        <v>534</v>
      </c>
      <c r="G1283" s="213" t="s">
        <v>365</v>
      </c>
      <c r="H1283" s="213" t="s">
        <v>543</v>
      </c>
      <c r="I1283" s="213"/>
      <c r="J1283" s="213" t="s">
        <v>535</v>
      </c>
      <c r="K1283" s="213"/>
      <c r="L1283" s="213"/>
      <c r="M1283" s="213"/>
      <c r="N1283" s="213"/>
      <c r="O1283" s="213"/>
      <c r="P1283" s="213"/>
      <c r="Q1283" s="213"/>
      <c r="R1283" s="213"/>
      <c r="S1283" s="213" t="s">
        <v>658</v>
      </c>
      <c r="T1283" s="213"/>
      <c r="U1283" s="213" t="s">
        <v>559</v>
      </c>
      <c r="V1283" s="213">
        <v>1</v>
      </c>
      <c r="W1283" s="213" t="s">
        <v>560</v>
      </c>
      <c r="X1283" s="213" t="s">
        <v>541</v>
      </c>
      <c r="Y1283" s="213" t="s">
        <v>541</v>
      </c>
      <c r="Z1283" s="212">
        <v>67764</v>
      </c>
      <c r="AA1283" s="212">
        <v>3962380</v>
      </c>
      <c r="AB1283" s="217">
        <v>6.5822000000000006E-2</v>
      </c>
      <c r="AC1283" s="217">
        <v>0.105931</v>
      </c>
      <c r="AD1283" s="212">
        <f t="shared" si="19"/>
        <v>260811.77636000002</v>
      </c>
    </row>
    <row r="1284" spans="2:30" x14ac:dyDescent="0.15">
      <c r="B1284" s="213">
        <v>17031006469</v>
      </c>
      <c r="C1284" s="213">
        <v>17031004717</v>
      </c>
      <c r="D1284" s="213">
        <v>17031004718</v>
      </c>
      <c r="E1284" s="213" t="s">
        <v>533</v>
      </c>
      <c r="F1284" s="213" t="s">
        <v>534</v>
      </c>
      <c r="G1284" s="213" t="s">
        <v>365</v>
      </c>
      <c r="H1284" s="213" t="s">
        <v>551</v>
      </c>
      <c r="I1284" s="213"/>
      <c r="J1284" s="213"/>
      <c r="K1284" s="213"/>
      <c r="L1284" s="213"/>
      <c r="M1284" s="213"/>
      <c r="N1284" s="213"/>
      <c r="O1284" s="213"/>
      <c r="P1284" s="213"/>
      <c r="Q1284" s="213"/>
      <c r="R1284" s="213"/>
      <c r="S1284" s="213" t="s">
        <v>600</v>
      </c>
      <c r="T1284" s="213"/>
      <c r="U1284" s="213" t="s">
        <v>538</v>
      </c>
      <c r="V1284" s="213">
        <v>3</v>
      </c>
      <c r="W1284" s="213" t="s">
        <v>582</v>
      </c>
      <c r="X1284" s="213" t="s">
        <v>540</v>
      </c>
      <c r="Y1284" s="213" t="s">
        <v>549</v>
      </c>
      <c r="Z1284" s="212">
        <v>174623</v>
      </c>
      <c r="AA1284" s="212">
        <v>7596917</v>
      </c>
      <c r="AB1284" s="217">
        <v>0.34063500000000002</v>
      </c>
      <c r="AC1284" s="217">
        <v>0.54820000000000002</v>
      </c>
      <c r="AD1284" s="212">
        <f t="shared" si="19"/>
        <v>2587775.8222950003</v>
      </c>
    </row>
    <row r="1285" spans="2:30" x14ac:dyDescent="0.15">
      <c r="B1285" s="213">
        <v>17031006478</v>
      </c>
      <c r="C1285" s="213">
        <v>17031001313</v>
      </c>
      <c r="D1285" s="213">
        <v>17031004748</v>
      </c>
      <c r="E1285" s="213" t="s">
        <v>533</v>
      </c>
      <c r="F1285" s="213" t="s">
        <v>534</v>
      </c>
      <c r="G1285" s="213" t="s">
        <v>365</v>
      </c>
      <c r="H1285" s="213" t="s">
        <v>551</v>
      </c>
      <c r="I1285" s="213"/>
      <c r="J1285" s="213"/>
      <c r="K1285" s="213"/>
      <c r="L1285" s="213"/>
      <c r="M1285" s="213"/>
      <c r="N1285" s="213"/>
      <c r="O1285" s="213"/>
      <c r="P1285" s="213"/>
      <c r="Q1285" s="213"/>
      <c r="R1285" s="213"/>
      <c r="S1285" s="213" t="s">
        <v>603</v>
      </c>
      <c r="T1285" s="213"/>
      <c r="U1285" s="213" t="s">
        <v>538</v>
      </c>
      <c r="V1285" s="213">
        <v>2</v>
      </c>
      <c r="W1285" s="213" t="s">
        <v>545</v>
      </c>
      <c r="X1285" s="213" t="s">
        <v>554</v>
      </c>
      <c r="Y1285" s="213" t="s">
        <v>575</v>
      </c>
      <c r="Z1285" s="212">
        <v>1653751</v>
      </c>
      <c r="AA1285" s="212">
        <v>62476728</v>
      </c>
      <c r="AB1285" s="217">
        <v>0.188416</v>
      </c>
      <c r="AC1285" s="217">
        <v>0.30322700000000002</v>
      </c>
      <c r="AD1285" s="212">
        <f t="shared" si="19"/>
        <v>11771615.182848001</v>
      </c>
    </row>
    <row r="1286" spans="2:30" x14ac:dyDescent="0.15">
      <c r="B1286" s="213">
        <v>17031006480</v>
      </c>
      <c r="C1286" s="213">
        <v>99999023003</v>
      </c>
      <c r="D1286" s="213">
        <v>17031004744</v>
      </c>
      <c r="E1286" s="213" t="s">
        <v>533</v>
      </c>
      <c r="F1286" s="213" t="s">
        <v>534</v>
      </c>
      <c r="G1286" s="213" t="s">
        <v>365</v>
      </c>
      <c r="H1286" s="213" t="s">
        <v>557</v>
      </c>
      <c r="I1286" s="213"/>
      <c r="J1286" s="213" t="s">
        <v>552</v>
      </c>
      <c r="K1286" s="213"/>
      <c r="L1286" s="213"/>
      <c r="M1286" s="213"/>
      <c r="N1286" s="213"/>
      <c r="O1286" s="213"/>
      <c r="P1286" s="213"/>
      <c r="Q1286" s="213"/>
      <c r="R1286" s="213"/>
      <c r="S1286" s="213" t="s">
        <v>634</v>
      </c>
      <c r="T1286" s="213"/>
      <c r="U1286" s="213" t="s">
        <v>559</v>
      </c>
      <c r="V1286" s="213">
        <v>1</v>
      </c>
      <c r="W1286" s="213" t="s">
        <v>560</v>
      </c>
      <c r="X1286" s="213" t="s">
        <v>541</v>
      </c>
      <c r="Y1286" s="213" t="s">
        <v>541</v>
      </c>
      <c r="Z1286" s="212">
        <v>0</v>
      </c>
      <c r="AA1286" s="212">
        <v>0</v>
      </c>
      <c r="AB1286" s="217">
        <v>3.5951999999999998E-2</v>
      </c>
      <c r="AC1286" s="217">
        <v>5.7859000000000001E-2</v>
      </c>
      <c r="AD1286" s="212">
        <f t="shared" ref="AD1286:AD1349" si="20">AA1286*AB1286</f>
        <v>0</v>
      </c>
    </row>
    <row r="1287" spans="2:30" x14ac:dyDescent="0.15">
      <c r="B1287" s="213">
        <v>17031006483</v>
      </c>
      <c r="C1287" s="213">
        <v>17031004743</v>
      </c>
      <c r="D1287" s="213">
        <v>17031004750</v>
      </c>
      <c r="E1287" s="213" t="s">
        <v>533</v>
      </c>
      <c r="F1287" s="213" t="s">
        <v>534</v>
      </c>
      <c r="G1287" s="213" t="s">
        <v>365</v>
      </c>
      <c r="H1287" s="213" t="s">
        <v>557</v>
      </c>
      <c r="I1287" s="213"/>
      <c r="J1287" s="213" t="s">
        <v>552</v>
      </c>
      <c r="K1287" s="213"/>
      <c r="L1287" s="213"/>
      <c r="M1287" s="213"/>
      <c r="N1287" s="213"/>
      <c r="O1287" s="213"/>
      <c r="P1287" s="213"/>
      <c r="Q1287" s="213"/>
      <c r="R1287" s="213"/>
      <c r="S1287" s="213" t="s">
        <v>634</v>
      </c>
      <c r="T1287" s="213" t="s">
        <v>704</v>
      </c>
      <c r="U1287" s="213" t="s">
        <v>559</v>
      </c>
      <c r="V1287" s="213">
        <v>1</v>
      </c>
      <c r="W1287" s="213" t="s">
        <v>560</v>
      </c>
      <c r="X1287" s="213" t="s">
        <v>541</v>
      </c>
      <c r="Y1287" s="213" t="s">
        <v>541</v>
      </c>
      <c r="Z1287" s="212">
        <v>120</v>
      </c>
      <c r="AA1287" s="212">
        <v>10120</v>
      </c>
      <c r="AB1287" s="217">
        <v>0.49211500000000002</v>
      </c>
      <c r="AC1287" s="217">
        <v>0.79198299999999999</v>
      </c>
      <c r="AD1287" s="212">
        <f t="shared" si="20"/>
        <v>4980.2038000000002</v>
      </c>
    </row>
    <row r="1288" spans="2:30" x14ac:dyDescent="0.15">
      <c r="B1288" s="213">
        <v>17031006487</v>
      </c>
      <c r="C1288" s="213">
        <v>17031004747</v>
      </c>
      <c r="D1288" s="213">
        <v>17031001397</v>
      </c>
      <c r="E1288" s="213" t="s">
        <v>533</v>
      </c>
      <c r="F1288" s="213" t="s">
        <v>534</v>
      </c>
      <c r="G1288" s="213" t="s">
        <v>365</v>
      </c>
      <c r="H1288" s="213" t="s">
        <v>557</v>
      </c>
      <c r="I1288" s="213"/>
      <c r="J1288" s="213"/>
      <c r="K1288" s="213"/>
      <c r="L1288" s="213"/>
      <c r="M1288" s="213"/>
      <c r="N1288" s="213"/>
      <c r="O1288" s="213"/>
      <c r="P1288" s="213"/>
      <c r="Q1288" s="213"/>
      <c r="R1288" s="213"/>
      <c r="S1288" s="213"/>
      <c r="T1288" s="213"/>
      <c r="U1288" s="213" t="s">
        <v>559</v>
      </c>
      <c r="V1288" s="213">
        <v>1</v>
      </c>
      <c r="W1288" s="213" t="s">
        <v>560</v>
      </c>
      <c r="X1288" s="213" t="s">
        <v>541</v>
      </c>
      <c r="Y1288" s="213" t="s">
        <v>541</v>
      </c>
      <c r="Z1288" s="212">
        <v>0</v>
      </c>
      <c r="AA1288" s="212">
        <v>0</v>
      </c>
      <c r="AB1288" s="217">
        <v>5.4996999999999997E-2</v>
      </c>
      <c r="AC1288" s="217">
        <v>8.8509000000000004E-2</v>
      </c>
      <c r="AD1288" s="212">
        <f t="shared" si="20"/>
        <v>0</v>
      </c>
    </row>
    <row r="1289" spans="2:30" x14ac:dyDescent="0.15">
      <c r="B1289" s="213">
        <v>17031006488</v>
      </c>
      <c r="C1289" s="213">
        <v>17031001383</v>
      </c>
      <c r="D1289" s="213">
        <v>17031004749</v>
      </c>
      <c r="E1289" s="213" t="s">
        <v>533</v>
      </c>
      <c r="F1289" s="213" t="s">
        <v>534</v>
      </c>
      <c r="G1289" s="213" t="s">
        <v>365</v>
      </c>
      <c r="H1289" s="213" t="s">
        <v>551</v>
      </c>
      <c r="I1289" s="213"/>
      <c r="J1289" s="213"/>
      <c r="K1289" s="213"/>
      <c r="L1289" s="213"/>
      <c r="M1289" s="213"/>
      <c r="N1289" s="213"/>
      <c r="O1289" s="213"/>
      <c r="P1289" s="213"/>
      <c r="Q1289" s="213"/>
      <c r="R1289" s="213"/>
      <c r="S1289" s="213" t="s">
        <v>686</v>
      </c>
      <c r="T1289" s="213"/>
      <c r="U1289" s="213" t="s">
        <v>559</v>
      </c>
      <c r="V1289" s="213">
        <v>1</v>
      </c>
      <c r="W1289" s="213" t="s">
        <v>560</v>
      </c>
      <c r="X1289" s="213" t="s">
        <v>541</v>
      </c>
      <c r="Y1289" s="213" t="s">
        <v>541</v>
      </c>
      <c r="Z1289" s="212">
        <v>0</v>
      </c>
      <c r="AA1289" s="212">
        <v>0</v>
      </c>
      <c r="AB1289" s="217">
        <v>4.2763000000000002E-2</v>
      </c>
      <c r="AC1289" s="217">
        <v>6.8820999999999993E-2</v>
      </c>
      <c r="AD1289" s="212">
        <f t="shared" si="20"/>
        <v>0</v>
      </c>
    </row>
    <row r="1290" spans="2:30" x14ac:dyDescent="0.15">
      <c r="B1290" s="213">
        <v>17031006492</v>
      </c>
      <c r="C1290" s="213">
        <v>17031004751</v>
      </c>
      <c r="D1290" s="213">
        <v>17031001049</v>
      </c>
      <c r="E1290" s="213" t="s">
        <v>533</v>
      </c>
      <c r="F1290" s="213" t="s">
        <v>534</v>
      </c>
      <c r="G1290" s="213" t="s">
        <v>365</v>
      </c>
      <c r="H1290" s="213" t="s">
        <v>535</v>
      </c>
      <c r="I1290" s="213"/>
      <c r="J1290" s="213" t="s">
        <v>542</v>
      </c>
      <c r="K1290" s="213" t="s">
        <v>572</v>
      </c>
      <c r="L1290" s="213"/>
      <c r="M1290" s="213"/>
      <c r="N1290" s="213"/>
      <c r="O1290" s="213"/>
      <c r="P1290" s="213"/>
      <c r="Q1290" s="213"/>
      <c r="R1290" s="213"/>
      <c r="S1290" s="213" t="s">
        <v>544</v>
      </c>
      <c r="T1290" s="213"/>
      <c r="U1290" s="213" t="s">
        <v>538</v>
      </c>
      <c r="V1290" s="213">
        <v>2</v>
      </c>
      <c r="W1290" s="213" t="s">
        <v>545</v>
      </c>
      <c r="X1290" s="213" t="s">
        <v>549</v>
      </c>
      <c r="Y1290" s="213" t="s">
        <v>549</v>
      </c>
      <c r="Z1290" s="212">
        <v>14866</v>
      </c>
      <c r="AA1290" s="212">
        <v>1555392</v>
      </c>
      <c r="AB1290" s="217">
        <v>0.18368300000000001</v>
      </c>
      <c r="AC1290" s="217">
        <v>0.29560999999999998</v>
      </c>
      <c r="AD1290" s="212">
        <f t="shared" si="20"/>
        <v>285699.06873600004</v>
      </c>
    </row>
    <row r="1291" spans="2:30" x14ac:dyDescent="0.15">
      <c r="B1291" s="213">
        <v>17031006502</v>
      </c>
      <c r="C1291" s="213">
        <v>17031004756</v>
      </c>
      <c r="D1291" s="213">
        <v>17031000906</v>
      </c>
      <c r="E1291" s="213" t="s">
        <v>533</v>
      </c>
      <c r="F1291" s="213" t="s">
        <v>534</v>
      </c>
      <c r="G1291" s="213" t="s">
        <v>365</v>
      </c>
      <c r="H1291" s="213" t="s">
        <v>547</v>
      </c>
      <c r="I1291" s="213"/>
      <c r="J1291" s="213" t="s">
        <v>577</v>
      </c>
      <c r="K1291" s="213"/>
      <c r="L1291" s="213"/>
      <c r="M1291" s="213"/>
      <c r="N1291" s="213"/>
      <c r="O1291" s="213"/>
      <c r="P1291" s="213"/>
      <c r="Q1291" s="213"/>
      <c r="R1291" s="213"/>
      <c r="S1291" s="213" t="s">
        <v>581</v>
      </c>
      <c r="T1291" s="213"/>
      <c r="U1291" s="213" t="s">
        <v>538</v>
      </c>
      <c r="V1291" s="213">
        <v>2</v>
      </c>
      <c r="W1291" s="213" t="s">
        <v>582</v>
      </c>
      <c r="X1291" s="213" t="s">
        <v>540</v>
      </c>
      <c r="Y1291" s="213" t="s">
        <v>541</v>
      </c>
      <c r="Z1291" s="212">
        <v>0</v>
      </c>
      <c r="AA1291" s="212">
        <v>0</v>
      </c>
      <c r="AB1291" s="217">
        <v>0.727572</v>
      </c>
      <c r="AC1291" s="217">
        <v>1.1709160000000001</v>
      </c>
      <c r="AD1291" s="212">
        <f t="shared" si="20"/>
        <v>0</v>
      </c>
    </row>
    <row r="1292" spans="2:30" x14ac:dyDescent="0.15">
      <c r="B1292" s="213">
        <v>17031006508</v>
      </c>
      <c r="C1292" s="213">
        <v>17031004761</v>
      </c>
      <c r="D1292" s="213">
        <v>17031000816</v>
      </c>
      <c r="E1292" s="213" t="s">
        <v>533</v>
      </c>
      <c r="F1292" s="213" t="s">
        <v>534</v>
      </c>
      <c r="G1292" s="213" t="s">
        <v>365</v>
      </c>
      <c r="H1292" s="213" t="s">
        <v>547</v>
      </c>
      <c r="I1292" s="213"/>
      <c r="J1292" s="213" t="s">
        <v>542</v>
      </c>
      <c r="K1292" s="213" t="s">
        <v>543</v>
      </c>
      <c r="L1292" s="213" t="s">
        <v>382</v>
      </c>
      <c r="M1292" s="213"/>
      <c r="N1292" s="213"/>
      <c r="O1292" s="213"/>
      <c r="P1292" s="213"/>
      <c r="Q1292" s="213"/>
      <c r="R1292" s="213"/>
      <c r="S1292" s="213" t="s">
        <v>602</v>
      </c>
      <c r="T1292" s="213"/>
      <c r="U1292" s="213" t="s">
        <v>538</v>
      </c>
      <c r="V1292" s="213">
        <v>2</v>
      </c>
      <c r="W1292" s="213" t="s">
        <v>545</v>
      </c>
      <c r="X1292" s="213" t="s">
        <v>554</v>
      </c>
      <c r="Y1292" s="213" t="s">
        <v>540</v>
      </c>
      <c r="Z1292" s="212">
        <v>186774</v>
      </c>
      <c r="AA1292" s="212">
        <v>8926948</v>
      </c>
      <c r="AB1292" s="217">
        <v>4.4121E-2</v>
      </c>
      <c r="AC1292" s="217">
        <v>7.1007000000000001E-2</v>
      </c>
      <c r="AD1292" s="212">
        <f t="shared" si="20"/>
        <v>393865.87270800001</v>
      </c>
    </row>
    <row r="1293" spans="2:30" x14ac:dyDescent="0.15">
      <c r="B1293" s="213">
        <v>17031006522</v>
      </c>
      <c r="C1293" s="213">
        <v>17031001138</v>
      </c>
      <c r="D1293" s="213">
        <v>17031001162</v>
      </c>
      <c r="E1293" s="213" t="s">
        <v>533</v>
      </c>
      <c r="F1293" s="213" t="s">
        <v>534</v>
      </c>
      <c r="G1293" s="213" t="s">
        <v>365</v>
      </c>
      <c r="H1293" s="213" t="s">
        <v>577</v>
      </c>
      <c r="I1293" s="213"/>
      <c r="J1293" s="213"/>
      <c r="K1293" s="213"/>
      <c r="L1293" s="213"/>
      <c r="M1293" s="213"/>
      <c r="N1293" s="213"/>
      <c r="O1293" s="213"/>
      <c r="P1293" s="213"/>
      <c r="Q1293" s="213"/>
      <c r="R1293" s="213"/>
      <c r="S1293" s="213"/>
      <c r="T1293" s="213" t="s">
        <v>641</v>
      </c>
      <c r="U1293" s="213" t="s">
        <v>538</v>
      </c>
      <c r="V1293" s="213">
        <v>1</v>
      </c>
      <c r="W1293" s="213" t="s">
        <v>560</v>
      </c>
      <c r="X1293" s="213" t="s">
        <v>541</v>
      </c>
      <c r="Y1293" s="213" t="s">
        <v>541</v>
      </c>
      <c r="Z1293" s="212">
        <v>0</v>
      </c>
      <c r="AA1293" s="212">
        <v>0</v>
      </c>
      <c r="AB1293" s="217">
        <v>0.21362600000000001</v>
      </c>
      <c r="AC1293" s="217">
        <v>0.34379799999999999</v>
      </c>
      <c r="AD1293" s="212">
        <f t="shared" si="20"/>
        <v>0</v>
      </c>
    </row>
    <row r="1294" spans="2:30" x14ac:dyDescent="0.15">
      <c r="B1294" s="213">
        <v>17031006523</v>
      </c>
      <c r="C1294" s="213">
        <v>17031001165</v>
      </c>
      <c r="D1294" s="213">
        <v>17031001179</v>
      </c>
      <c r="E1294" s="213" t="s">
        <v>533</v>
      </c>
      <c r="F1294" s="213" t="s">
        <v>534</v>
      </c>
      <c r="G1294" s="213" t="s">
        <v>365</v>
      </c>
      <c r="H1294" s="213" t="s">
        <v>571</v>
      </c>
      <c r="I1294" s="213"/>
      <c r="J1294" s="213" t="s">
        <v>577</v>
      </c>
      <c r="K1294" s="213"/>
      <c r="L1294" s="213"/>
      <c r="M1294" s="213"/>
      <c r="N1294" s="213"/>
      <c r="O1294" s="213"/>
      <c r="P1294" s="213"/>
      <c r="Q1294" s="213"/>
      <c r="R1294" s="213"/>
      <c r="S1294" s="213" t="s">
        <v>573</v>
      </c>
      <c r="T1294" s="213"/>
      <c r="U1294" s="213" t="s">
        <v>538</v>
      </c>
      <c r="V1294" s="213">
        <v>1</v>
      </c>
      <c r="W1294" s="213" t="s">
        <v>545</v>
      </c>
      <c r="X1294" s="213" t="s">
        <v>541</v>
      </c>
      <c r="Y1294" s="213" t="s">
        <v>554</v>
      </c>
      <c r="Z1294" s="212">
        <v>0</v>
      </c>
      <c r="AA1294" s="212">
        <v>0</v>
      </c>
      <c r="AB1294" s="217">
        <v>5.1123000000000002E-2</v>
      </c>
      <c r="AC1294" s="217">
        <v>8.2275000000000001E-2</v>
      </c>
      <c r="AD1294" s="212">
        <f t="shared" si="20"/>
        <v>0</v>
      </c>
    </row>
    <row r="1295" spans="2:30" x14ac:dyDescent="0.15">
      <c r="B1295" s="213">
        <v>17031006524</v>
      </c>
      <c r="C1295" s="213">
        <v>17031001204</v>
      </c>
      <c r="D1295" s="213">
        <v>17031001199</v>
      </c>
      <c r="E1295" s="213" t="s">
        <v>533</v>
      </c>
      <c r="F1295" s="213" t="s">
        <v>534</v>
      </c>
      <c r="G1295" s="213" t="s">
        <v>365</v>
      </c>
      <c r="H1295" s="213" t="s">
        <v>577</v>
      </c>
      <c r="I1295" s="213"/>
      <c r="J1295" s="213"/>
      <c r="K1295" s="213"/>
      <c r="L1295" s="213"/>
      <c r="M1295" s="213"/>
      <c r="N1295" s="213"/>
      <c r="O1295" s="213"/>
      <c r="P1295" s="213"/>
      <c r="Q1295" s="213"/>
      <c r="R1295" s="213"/>
      <c r="S1295" s="213"/>
      <c r="T1295" s="213"/>
      <c r="U1295" s="213" t="s">
        <v>559</v>
      </c>
      <c r="V1295" s="213">
        <v>1</v>
      </c>
      <c r="W1295" s="213" t="s">
        <v>560</v>
      </c>
      <c r="X1295" s="213" t="s">
        <v>541</v>
      </c>
      <c r="Y1295" s="213" t="s">
        <v>541</v>
      </c>
      <c r="Z1295" s="212">
        <v>0</v>
      </c>
      <c r="AA1295" s="212">
        <v>0</v>
      </c>
      <c r="AB1295" s="217">
        <v>4.1776000000000001E-2</v>
      </c>
      <c r="AC1295" s="217">
        <v>6.7232E-2</v>
      </c>
      <c r="AD1295" s="212">
        <f t="shared" si="20"/>
        <v>0</v>
      </c>
    </row>
    <row r="1296" spans="2:30" x14ac:dyDescent="0.15">
      <c r="B1296" s="213">
        <v>17031006526</v>
      </c>
      <c r="C1296" s="213">
        <v>17031001193</v>
      </c>
      <c r="D1296" s="213">
        <v>17031001196</v>
      </c>
      <c r="E1296" s="213" t="s">
        <v>533</v>
      </c>
      <c r="F1296" s="213" t="s">
        <v>534</v>
      </c>
      <c r="G1296" s="213" t="s">
        <v>365</v>
      </c>
      <c r="H1296" s="213" t="s">
        <v>577</v>
      </c>
      <c r="I1296" s="213"/>
      <c r="J1296" s="213"/>
      <c r="K1296" s="213"/>
      <c r="L1296" s="213"/>
      <c r="M1296" s="213"/>
      <c r="N1296" s="213"/>
      <c r="O1296" s="213"/>
      <c r="P1296" s="213"/>
      <c r="Q1296" s="213"/>
      <c r="R1296" s="213"/>
      <c r="S1296" s="213"/>
      <c r="T1296" s="213"/>
      <c r="U1296" s="213" t="s">
        <v>538</v>
      </c>
      <c r="V1296" s="213">
        <v>1</v>
      </c>
      <c r="W1296" s="213" t="s">
        <v>560</v>
      </c>
      <c r="X1296" s="213" t="s">
        <v>541</v>
      </c>
      <c r="Y1296" s="213" t="s">
        <v>541</v>
      </c>
      <c r="Z1296" s="212">
        <v>0</v>
      </c>
      <c r="AA1296" s="212">
        <v>0</v>
      </c>
      <c r="AB1296" s="217">
        <v>4.9120999999999998E-2</v>
      </c>
      <c r="AC1296" s="217">
        <v>7.9052999999999998E-2</v>
      </c>
      <c r="AD1296" s="212">
        <f t="shared" si="20"/>
        <v>0</v>
      </c>
    </row>
    <row r="1297" spans="2:30" x14ac:dyDescent="0.15">
      <c r="B1297" s="213">
        <v>17031006536</v>
      </c>
      <c r="C1297" s="213">
        <v>17999022465</v>
      </c>
      <c r="D1297" s="213">
        <v>17031004785</v>
      </c>
      <c r="E1297" s="213" t="s">
        <v>533</v>
      </c>
      <c r="F1297" s="213" t="s">
        <v>534</v>
      </c>
      <c r="G1297" s="213" t="s">
        <v>365</v>
      </c>
      <c r="H1297" s="213" t="s">
        <v>535</v>
      </c>
      <c r="I1297" s="213"/>
      <c r="J1297" s="213" t="s">
        <v>542</v>
      </c>
      <c r="K1297" s="213" t="s">
        <v>572</v>
      </c>
      <c r="L1297" s="213" t="s">
        <v>547</v>
      </c>
      <c r="M1297" s="213" t="s">
        <v>382</v>
      </c>
      <c r="N1297" s="213"/>
      <c r="O1297" s="213"/>
      <c r="P1297" s="213"/>
      <c r="Q1297" s="213"/>
      <c r="R1297" s="213"/>
      <c r="S1297" s="213" t="s">
        <v>601</v>
      </c>
      <c r="T1297" s="213"/>
      <c r="U1297" s="213" t="s">
        <v>538</v>
      </c>
      <c r="V1297" s="213">
        <v>2</v>
      </c>
      <c r="W1297" s="213" t="s">
        <v>545</v>
      </c>
      <c r="X1297" s="213" t="s">
        <v>549</v>
      </c>
      <c r="Y1297" s="213" t="s">
        <v>540</v>
      </c>
      <c r="Z1297" s="212">
        <v>162841</v>
      </c>
      <c r="AA1297" s="212">
        <v>7322355</v>
      </c>
      <c r="AB1297" s="217">
        <v>0.40533400000000003</v>
      </c>
      <c r="AC1297" s="217">
        <v>0.65232299999999999</v>
      </c>
      <c r="AD1297" s="212">
        <f t="shared" si="20"/>
        <v>2967999.4415700003</v>
      </c>
    </row>
    <row r="1298" spans="2:30" x14ac:dyDescent="0.15">
      <c r="B1298" s="213">
        <v>17031007051</v>
      </c>
      <c r="C1298" s="213">
        <v>17031001166</v>
      </c>
      <c r="D1298" s="213">
        <v>17031005597</v>
      </c>
      <c r="E1298" s="213" t="s">
        <v>533</v>
      </c>
      <c r="F1298" s="213" t="s">
        <v>534</v>
      </c>
      <c r="G1298" s="213" t="s">
        <v>365</v>
      </c>
      <c r="H1298" s="213" t="s">
        <v>535</v>
      </c>
      <c r="I1298" s="213"/>
      <c r="J1298" s="213"/>
      <c r="K1298" s="213"/>
      <c r="L1298" s="213"/>
      <c r="M1298" s="213"/>
      <c r="N1298" s="213"/>
      <c r="O1298" s="213"/>
      <c r="P1298" s="213"/>
      <c r="Q1298" s="213"/>
      <c r="R1298" s="213"/>
      <c r="S1298" s="213"/>
      <c r="T1298" s="213" t="s">
        <v>645</v>
      </c>
      <c r="U1298" s="213" t="s">
        <v>559</v>
      </c>
      <c r="V1298" s="213">
        <v>1</v>
      </c>
      <c r="W1298" s="213" t="s">
        <v>560</v>
      </c>
      <c r="X1298" s="213" t="s">
        <v>541</v>
      </c>
      <c r="Y1298" s="213" t="s">
        <v>541</v>
      </c>
      <c r="Z1298" s="212">
        <v>0</v>
      </c>
      <c r="AA1298" s="212">
        <v>0</v>
      </c>
      <c r="AB1298" s="217">
        <v>6.4616000000000007E-2</v>
      </c>
      <c r="AC1298" s="217">
        <v>0.103989</v>
      </c>
      <c r="AD1298" s="212">
        <f t="shared" si="20"/>
        <v>0</v>
      </c>
    </row>
    <row r="1299" spans="2:30" x14ac:dyDescent="0.15">
      <c r="B1299" s="213">
        <v>17031008379</v>
      </c>
      <c r="C1299" s="213">
        <v>17031000536</v>
      </c>
      <c r="D1299" s="213">
        <v>17031006684</v>
      </c>
      <c r="E1299" s="213" t="s">
        <v>533</v>
      </c>
      <c r="F1299" s="213" t="s">
        <v>534</v>
      </c>
      <c r="G1299" s="213" t="s">
        <v>365</v>
      </c>
      <c r="H1299" s="213" t="s">
        <v>382</v>
      </c>
      <c r="I1299" s="213"/>
      <c r="J1299" s="213" t="s">
        <v>535</v>
      </c>
      <c r="K1299" s="213" t="s">
        <v>552</v>
      </c>
      <c r="L1299" s="213" t="s">
        <v>572</v>
      </c>
      <c r="M1299" s="213" t="s">
        <v>557</v>
      </c>
      <c r="N1299" s="213" t="s">
        <v>543</v>
      </c>
      <c r="O1299" s="213"/>
      <c r="P1299" s="213"/>
      <c r="Q1299" s="213"/>
      <c r="R1299" s="213"/>
      <c r="S1299" s="213" t="s">
        <v>650</v>
      </c>
      <c r="T1299" s="213" t="s">
        <v>626</v>
      </c>
      <c r="U1299" s="213" t="s">
        <v>559</v>
      </c>
      <c r="V1299" s="213">
        <v>1</v>
      </c>
      <c r="W1299" s="213" t="s">
        <v>539</v>
      </c>
      <c r="X1299" s="213" t="s">
        <v>541</v>
      </c>
      <c r="Y1299" s="213" t="s">
        <v>540</v>
      </c>
      <c r="Z1299" s="212">
        <v>1220</v>
      </c>
      <c r="AA1299" s="212">
        <v>92280</v>
      </c>
      <c r="AB1299" s="217">
        <v>0.42225600000000002</v>
      </c>
      <c r="AC1299" s="217">
        <v>0.67955600000000005</v>
      </c>
      <c r="AD1299" s="212">
        <f t="shared" si="20"/>
        <v>38965.78368</v>
      </c>
    </row>
    <row r="1300" spans="2:30" x14ac:dyDescent="0.15">
      <c r="B1300" s="213">
        <v>17031008394</v>
      </c>
      <c r="C1300" s="213">
        <v>17031006699</v>
      </c>
      <c r="D1300" s="213">
        <v>17031001127</v>
      </c>
      <c r="E1300" s="213" t="s">
        <v>533</v>
      </c>
      <c r="F1300" s="213" t="s">
        <v>534</v>
      </c>
      <c r="G1300" s="213" t="s">
        <v>365</v>
      </c>
      <c r="H1300" s="213" t="s">
        <v>661</v>
      </c>
      <c r="I1300" s="213"/>
      <c r="J1300" s="213"/>
      <c r="K1300" s="213"/>
      <c r="L1300" s="213"/>
      <c r="M1300" s="213"/>
      <c r="N1300" s="213"/>
      <c r="O1300" s="213"/>
      <c r="P1300" s="213"/>
      <c r="Q1300" s="213"/>
      <c r="R1300" s="213"/>
      <c r="S1300" s="213"/>
      <c r="T1300" s="213" t="s">
        <v>662</v>
      </c>
      <c r="U1300" s="213" t="s">
        <v>538</v>
      </c>
      <c r="V1300" s="213">
        <v>1</v>
      </c>
      <c r="W1300" s="213" t="s">
        <v>560</v>
      </c>
      <c r="X1300" s="213" t="s">
        <v>541</v>
      </c>
      <c r="Y1300" s="213" t="s">
        <v>541</v>
      </c>
      <c r="Z1300" s="212">
        <v>0</v>
      </c>
      <c r="AA1300" s="212">
        <v>0</v>
      </c>
      <c r="AB1300" s="217">
        <v>2.0296000000000002E-2</v>
      </c>
      <c r="AC1300" s="217">
        <v>3.2662999999999998E-2</v>
      </c>
      <c r="AD1300" s="212">
        <f t="shared" si="20"/>
        <v>0</v>
      </c>
    </row>
    <row r="1301" spans="2:30" x14ac:dyDescent="0.15">
      <c r="B1301" s="213">
        <v>17031008472</v>
      </c>
      <c r="C1301" s="213">
        <v>17031000520</v>
      </c>
      <c r="D1301" s="213">
        <v>17031006979</v>
      </c>
      <c r="E1301" s="213" t="s">
        <v>533</v>
      </c>
      <c r="F1301" s="213" t="s">
        <v>534</v>
      </c>
      <c r="G1301" s="213" t="s">
        <v>365</v>
      </c>
      <c r="H1301" s="213" t="s">
        <v>382</v>
      </c>
      <c r="I1301" s="213"/>
      <c r="J1301" s="213" t="s">
        <v>547</v>
      </c>
      <c r="K1301" s="213"/>
      <c r="L1301" s="213"/>
      <c r="M1301" s="213"/>
      <c r="N1301" s="213"/>
      <c r="O1301" s="213"/>
      <c r="P1301" s="213"/>
      <c r="Q1301" s="213"/>
      <c r="R1301" s="213"/>
      <c r="S1301" s="213" t="s">
        <v>608</v>
      </c>
      <c r="T1301" s="213"/>
      <c r="U1301" s="213" t="s">
        <v>538</v>
      </c>
      <c r="V1301" s="213">
        <v>4</v>
      </c>
      <c r="W1301" s="213" t="s">
        <v>545</v>
      </c>
      <c r="X1301" s="213" t="s">
        <v>540</v>
      </c>
      <c r="Y1301" s="213" t="s">
        <v>541</v>
      </c>
      <c r="Z1301" s="212">
        <v>0</v>
      </c>
      <c r="AA1301" s="212">
        <v>0</v>
      </c>
      <c r="AB1301" s="217">
        <v>0.31862499999999999</v>
      </c>
      <c r="AC1301" s="217">
        <v>0.51277899999999998</v>
      </c>
      <c r="AD1301" s="212">
        <f t="shared" si="20"/>
        <v>0</v>
      </c>
    </row>
    <row r="1302" spans="2:30" x14ac:dyDescent="0.15">
      <c r="B1302" s="213">
        <v>17031008526</v>
      </c>
      <c r="C1302" s="213">
        <v>17031001388</v>
      </c>
      <c r="D1302" s="213">
        <v>17031007018</v>
      </c>
      <c r="E1302" s="213" t="s">
        <v>533</v>
      </c>
      <c r="F1302" s="213" t="s">
        <v>534</v>
      </c>
      <c r="G1302" s="213" t="s">
        <v>365</v>
      </c>
      <c r="H1302" s="213" t="s">
        <v>543</v>
      </c>
      <c r="I1302" s="213"/>
      <c r="J1302" s="213"/>
      <c r="K1302" s="213"/>
      <c r="L1302" s="213"/>
      <c r="M1302" s="213"/>
      <c r="N1302" s="213"/>
      <c r="O1302" s="213"/>
      <c r="P1302" s="213"/>
      <c r="Q1302" s="213"/>
      <c r="R1302" s="213"/>
      <c r="S1302" s="213" t="s">
        <v>604</v>
      </c>
      <c r="T1302" s="213"/>
      <c r="U1302" s="213" t="s">
        <v>538</v>
      </c>
      <c r="V1302" s="213">
        <v>2</v>
      </c>
      <c r="W1302" s="213" t="s">
        <v>545</v>
      </c>
      <c r="X1302" s="213" t="s">
        <v>554</v>
      </c>
      <c r="Y1302" s="213" t="s">
        <v>546</v>
      </c>
      <c r="Z1302" s="212">
        <v>5324</v>
      </c>
      <c r="AA1302" s="212">
        <v>474332</v>
      </c>
      <c r="AB1302" s="217">
        <v>5.0396999999999997E-2</v>
      </c>
      <c r="AC1302" s="217">
        <v>8.1105999999999998E-2</v>
      </c>
      <c r="AD1302" s="212">
        <f t="shared" si="20"/>
        <v>23904.909803999999</v>
      </c>
    </row>
    <row r="1303" spans="2:30" x14ac:dyDescent="0.15">
      <c r="B1303" s="213">
        <v>17031008630</v>
      </c>
      <c r="C1303" s="213">
        <v>17031006712</v>
      </c>
      <c r="D1303" s="213">
        <v>17031001137</v>
      </c>
      <c r="E1303" s="213" t="s">
        <v>533</v>
      </c>
      <c r="F1303" s="213" t="s">
        <v>534</v>
      </c>
      <c r="G1303" s="213" t="s">
        <v>365</v>
      </c>
      <c r="H1303" s="213" t="s">
        <v>571</v>
      </c>
      <c r="I1303" s="213"/>
      <c r="J1303" s="213"/>
      <c r="K1303" s="213"/>
      <c r="L1303" s="213"/>
      <c r="M1303" s="213"/>
      <c r="N1303" s="213"/>
      <c r="O1303" s="213"/>
      <c r="P1303" s="213"/>
      <c r="Q1303" s="213"/>
      <c r="R1303" s="213"/>
      <c r="S1303" s="213" t="s">
        <v>573</v>
      </c>
      <c r="T1303" s="213" t="s">
        <v>643</v>
      </c>
      <c r="U1303" s="213" t="s">
        <v>538</v>
      </c>
      <c r="V1303" s="213">
        <v>1</v>
      </c>
      <c r="W1303" s="213" t="s">
        <v>545</v>
      </c>
      <c r="X1303" s="213" t="s">
        <v>541</v>
      </c>
      <c r="Y1303" s="213" t="s">
        <v>546</v>
      </c>
      <c r="Z1303" s="212">
        <v>0</v>
      </c>
      <c r="AA1303" s="212">
        <v>0</v>
      </c>
      <c r="AB1303" s="217">
        <v>3.7130999999999997E-2</v>
      </c>
      <c r="AC1303" s="217">
        <v>5.9756999999999998E-2</v>
      </c>
      <c r="AD1303" s="212">
        <f t="shared" si="20"/>
        <v>0</v>
      </c>
    </row>
    <row r="1304" spans="2:30" x14ac:dyDescent="0.15">
      <c r="B1304" s="213">
        <v>17031008647</v>
      </c>
      <c r="C1304" s="213">
        <v>17031001214</v>
      </c>
      <c r="D1304" s="213">
        <v>17031006725</v>
      </c>
      <c r="E1304" s="213" t="s">
        <v>533</v>
      </c>
      <c r="F1304" s="213" t="s">
        <v>534</v>
      </c>
      <c r="G1304" s="213" t="s">
        <v>365</v>
      </c>
      <c r="H1304" s="213" t="s">
        <v>577</v>
      </c>
      <c r="I1304" s="213"/>
      <c r="J1304" s="213"/>
      <c r="K1304" s="213"/>
      <c r="L1304" s="213"/>
      <c r="M1304" s="213"/>
      <c r="N1304" s="213"/>
      <c r="O1304" s="213"/>
      <c r="P1304" s="213"/>
      <c r="Q1304" s="213"/>
      <c r="R1304" s="213"/>
      <c r="S1304" s="213"/>
      <c r="T1304" s="213"/>
      <c r="U1304" s="213" t="s">
        <v>559</v>
      </c>
      <c r="V1304" s="213">
        <v>1</v>
      </c>
      <c r="W1304" s="213" t="s">
        <v>560</v>
      </c>
      <c r="X1304" s="213" t="s">
        <v>541</v>
      </c>
      <c r="Y1304" s="213" t="s">
        <v>541</v>
      </c>
      <c r="Z1304" s="212">
        <v>0</v>
      </c>
      <c r="AA1304" s="212">
        <v>0</v>
      </c>
      <c r="AB1304" s="217">
        <v>4.8899999999999999E-2</v>
      </c>
      <c r="AC1304" s="217">
        <v>7.8697000000000003E-2</v>
      </c>
      <c r="AD1304" s="212">
        <f t="shared" si="20"/>
        <v>0</v>
      </c>
    </row>
    <row r="1305" spans="2:30" x14ac:dyDescent="0.15">
      <c r="B1305" s="213">
        <v>17031008648</v>
      </c>
      <c r="C1305" s="213">
        <v>17031006727</v>
      </c>
      <c r="D1305" s="213">
        <v>17031001228</v>
      </c>
      <c r="E1305" s="213" t="s">
        <v>533</v>
      </c>
      <c r="F1305" s="213" t="s">
        <v>534</v>
      </c>
      <c r="G1305" s="213" t="s">
        <v>365</v>
      </c>
      <c r="H1305" s="213" t="s">
        <v>577</v>
      </c>
      <c r="I1305" s="213"/>
      <c r="J1305" s="213"/>
      <c r="K1305" s="213"/>
      <c r="L1305" s="213"/>
      <c r="M1305" s="213"/>
      <c r="N1305" s="213"/>
      <c r="O1305" s="213"/>
      <c r="P1305" s="213"/>
      <c r="Q1305" s="213"/>
      <c r="R1305" s="213"/>
      <c r="S1305" s="213"/>
      <c r="T1305" s="213"/>
      <c r="U1305" s="213" t="s">
        <v>559</v>
      </c>
      <c r="V1305" s="213">
        <v>1</v>
      </c>
      <c r="W1305" s="213" t="s">
        <v>560</v>
      </c>
      <c r="X1305" s="213" t="s">
        <v>541</v>
      </c>
      <c r="Y1305" s="213" t="s">
        <v>541</v>
      </c>
      <c r="Z1305" s="212">
        <v>0</v>
      </c>
      <c r="AA1305" s="212">
        <v>0</v>
      </c>
      <c r="AB1305" s="217">
        <v>4.6232000000000002E-2</v>
      </c>
      <c r="AC1305" s="217">
        <v>7.4403999999999998E-2</v>
      </c>
      <c r="AD1305" s="212">
        <f t="shared" si="20"/>
        <v>0</v>
      </c>
    </row>
    <row r="1306" spans="2:30" x14ac:dyDescent="0.15">
      <c r="B1306" s="213">
        <v>17031008785</v>
      </c>
      <c r="C1306" s="213">
        <v>17031006832</v>
      </c>
      <c r="D1306" s="213">
        <v>17031000787</v>
      </c>
      <c r="E1306" s="213" t="s">
        <v>533</v>
      </c>
      <c r="F1306" s="213" t="s">
        <v>534</v>
      </c>
      <c r="G1306" s="213" t="s">
        <v>365</v>
      </c>
      <c r="H1306" s="213" t="s">
        <v>382</v>
      </c>
      <c r="I1306" s="213"/>
      <c r="J1306" s="213"/>
      <c r="K1306" s="213"/>
      <c r="L1306" s="213"/>
      <c r="M1306" s="213"/>
      <c r="N1306" s="213"/>
      <c r="O1306" s="213"/>
      <c r="P1306" s="213"/>
      <c r="Q1306" s="213"/>
      <c r="R1306" s="213"/>
      <c r="S1306" s="213"/>
      <c r="T1306" s="213"/>
      <c r="U1306" s="213" t="s">
        <v>559</v>
      </c>
      <c r="V1306" s="213">
        <v>1</v>
      </c>
      <c r="W1306" s="213" t="s">
        <v>560</v>
      </c>
      <c r="X1306" s="213" t="s">
        <v>541</v>
      </c>
      <c r="Y1306" s="213" t="s">
        <v>541</v>
      </c>
      <c r="Z1306" s="212">
        <v>640</v>
      </c>
      <c r="AA1306" s="212">
        <v>34200</v>
      </c>
      <c r="AB1306" s="217">
        <v>4.1928E-2</v>
      </c>
      <c r="AC1306" s="217">
        <v>6.7475999999999994E-2</v>
      </c>
      <c r="AD1306" s="212">
        <f t="shared" si="20"/>
        <v>1433.9376</v>
      </c>
    </row>
    <row r="1307" spans="2:30" x14ac:dyDescent="0.15">
      <c r="B1307" s="213">
        <v>17031008825</v>
      </c>
      <c r="C1307" s="213">
        <v>17031000816</v>
      </c>
      <c r="D1307" s="213">
        <v>17031006853</v>
      </c>
      <c r="E1307" s="213" t="s">
        <v>533</v>
      </c>
      <c r="F1307" s="213" t="s">
        <v>534</v>
      </c>
      <c r="G1307" s="213" t="s">
        <v>365</v>
      </c>
      <c r="H1307" s="213" t="s">
        <v>543</v>
      </c>
      <c r="I1307" s="213"/>
      <c r="J1307" s="213" t="s">
        <v>542</v>
      </c>
      <c r="K1307" s="213"/>
      <c r="L1307" s="213"/>
      <c r="M1307" s="213"/>
      <c r="N1307" s="213"/>
      <c r="O1307" s="213"/>
      <c r="P1307" s="213"/>
      <c r="Q1307" s="213"/>
      <c r="R1307" s="213"/>
      <c r="S1307" s="213" t="s">
        <v>630</v>
      </c>
      <c r="T1307" s="213"/>
      <c r="U1307" s="213" t="s">
        <v>538</v>
      </c>
      <c r="V1307" s="213">
        <v>2</v>
      </c>
      <c r="W1307" s="213" t="s">
        <v>545</v>
      </c>
      <c r="X1307" s="213" t="s">
        <v>540</v>
      </c>
      <c r="Y1307" s="213" t="s">
        <v>549</v>
      </c>
      <c r="Z1307" s="212">
        <v>1962622</v>
      </c>
      <c r="AA1307" s="212">
        <v>56698813</v>
      </c>
      <c r="AB1307" s="217">
        <v>2.1621999999999999E-2</v>
      </c>
      <c r="AC1307" s="217">
        <v>3.4797000000000002E-2</v>
      </c>
      <c r="AD1307" s="212">
        <f t="shared" si="20"/>
        <v>1225941.734686</v>
      </c>
    </row>
    <row r="1308" spans="2:30" x14ac:dyDescent="0.15">
      <c r="B1308" s="213">
        <v>17031009233</v>
      </c>
      <c r="C1308" s="213">
        <v>17031007120</v>
      </c>
      <c r="D1308" s="213">
        <v>17031000996</v>
      </c>
      <c r="E1308" s="213" t="s">
        <v>533</v>
      </c>
      <c r="F1308" s="213" t="s">
        <v>534</v>
      </c>
      <c r="G1308" s="213" t="s">
        <v>365</v>
      </c>
      <c r="H1308" s="213" t="s">
        <v>571</v>
      </c>
      <c r="I1308" s="213"/>
      <c r="J1308" s="213" t="s">
        <v>381</v>
      </c>
      <c r="K1308" s="213" t="s">
        <v>535</v>
      </c>
      <c r="L1308" s="213" t="s">
        <v>552</v>
      </c>
      <c r="M1308" s="213" t="s">
        <v>551</v>
      </c>
      <c r="N1308" s="213" t="s">
        <v>382</v>
      </c>
      <c r="O1308" s="213"/>
      <c r="P1308" s="213"/>
      <c r="Q1308" s="213"/>
      <c r="R1308" s="213"/>
      <c r="S1308" s="213"/>
      <c r="T1308" s="213" t="s">
        <v>574</v>
      </c>
      <c r="U1308" s="213" t="s">
        <v>559</v>
      </c>
      <c r="V1308" s="213">
        <v>1</v>
      </c>
      <c r="W1308" s="213" t="s">
        <v>560</v>
      </c>
      <c r="X1308" s="213" t="s">
        <v>541</v>
      </c>
      <c r="Y1308" s="213" t="s">
        <v>541</v>
      </c>
      <c r="Z1308" s="212">
        <v>0</v>
      </c>
      <c r="AA1308" s="212">
        <v>0</v>
      </c>
      <c r="AB1308" s="217">
        <v>8.6909E-2</v>
      </c>
      <c r="AC1308" s="217">
        <v>0.13986599999999999</v>
      </c>
      <c r="AD1308" s="212">
        <f t="shared" si="20"/>
        <v>0</v>
      </c>
    </row>
    <row r="1309" spans="2:30" x14ac:dyDescent="0.15">
      <c r="B1309" s="213">
        <v>17031009438</v>
      </c>
      <c r="C1309" s="213">
        <v>17031000323</v>
      </c>
      <c r="D1309" s="213">
        <v>17031007544</v>
      </c>
      <c r="E1309" s="213" t="s">
        <v>533</v>
      </c>
      <c r="F1309" s="213" t="s">
        <v>534</v>
      </c>
      <c r="G1309" s="213" t="s">
        <v>365</v>
      </c>
      <c r="H1309" s="213" t="s">
        <v>552</v>
      </c>
      <c r="I1309" s="213"/>
      <c r="J1309" s="213"/>
      <c r="K1309" s="213"/>
      <c r="L1309" s="213"/>
      <c r="M1309" s="213"/>
      <c r="N1309" s="213"/>
      <c r="O1309" s="213"/>
      <c r="P1309" s="213"/>
      <c r="Q1309" s="213"/>
      <c r="R1309" s="213"/>
      <c r="S1309" s="213"/>
      <c r="T1309" s="213"/>
      <c r="U1309" s="213" t="s">
        <v>538</v>
      </c>
      <c r="V1309" s="213">
        <v>1</v>
      </c>
      <c r="W1309" s="213" t="s">
        <v>560</v>
      </c>
      <c r="X1309" s="213" t="s">
        <v>541</v>
      </c>
      <c r="Y1309" s="213" t="s">
        <v>541</v>
      </c>
      <c r="Z1309" s="212">
        <v>40</v>
      </c>
      <c r="AA1309" s="212">
        <v>3640</v>
      </c>
      <c r="AB1309" s="217">
        <v>7.0014000000000007E-2</v>
      </c>
      <c r="AC1309" s="217">
        <v>0.112677</v>
      </c>
      <c r="AD1309" s="212">
        <f t="shared" si="20"/>
        <v>254.85096000000001</v>
      </c>
    </row>
    <row r="1310" spans="2:30" x14ac:dyDescent="0.15">
      <c r="B1310" s="213">
        <v>17031009442</v>
      </c>
      <c r="C1310" s="213">
        <v>17031007546</v>
      </c>
      <c r="D1310" s="213">
        <v>17031000331</v>
      </c>
      <c r="E1310" s="213" t="s">
        <v>533</v>
      </c>
      <c r="F1310" s="213" t="s">
        <v>534</v>
      </c>
      <c r="G1310" s="213" t="s">
        <v>365</v>
      </c>
      <c r="H1310" s="213" t="s">
        <v>552</v>
      </c>
      <c r="I1310" s="213"/>
      <c r="J1310" s="213"/>
      <c r="K1310" s="213"/>
      <c r="L1310" s="213"/>
      <c r="M1310" s="213"/>
      <c r="N1310" s="213"/>
      <c r="O1310" s="213"/>
      <c r="P1310" s="213"/>
      <c r="Q1310" s="213"/>
      <c r="R1310" s="213"/>
      <c r="S1310" s="213" t="s">
        <v>589</v>
      </c>
      <c r="T1310" s="213"/>
      <c r="U1310" s="213" t="s">
        <v>538</v>
      </c>
      <c r="V1310" s="213">
        <v>1</v>
      </c>
      <c r="W1310" s="213" t="s">
        <v>560</v>
      </c>
      <c r="X1310" s="213" t="s">
        <v>541</v>
      </c>
      <c r="Y1310" s="213" t="s">
        <v>541</v>
      </c>
      <c r="Z1310" s="212">
        <v>120</v>
      </c>
      <c r="AA1310" s="212">
        <v>8440</v>
      </c>
      <c r="AB1310" s="217">
        <v>6.5155000000000005E-2</v>
      </c>
      <c r="AC1310" s="217">
        <v>0.10485800000000001</v>
      </c>
      <c r="AD1310" s="212">
        <f t="shared" si="20"/>
        <v>549.90820000000008</v>
      </c>
    </row>
    <row r="1311" spans="2:30" x14ac:dyDescent="0.15">
      <c r="B1311" s="213">
        <v>17031009452</v>
      </c>
      <c r="C1311" s="213">
        <v>17031000351</v>
      </c>
      <c r="D1311" s="213">
        <v>17031007556</v>
      </c>
      <c r="E1311" s="213" t="s">
        <v>533</v>
      </c>
      <c r="F1311" s="213" t="s">
        <v>534</v>
      </c>
      <c r="G1311" s="213" t="s">
        <v>365</v>
      </c>
      <c r="H1311" s="213" t="s">
        <v>590</v>
      </c>
      <c r="I1311" s="213"/>
      <c r="J1311" s="213"/>
      <c r="K1311" s="213"/>
      <c r="L1311" s="213"/>
      <c r="M1311" s="213"/>
      <c r="N1311" s="213"/>
      <c r="O1311" s="213"/>
      <c r="P1311" s="213"/>
      <c r="Q1311" s="213"/>
      <c r="R1311" s="213"/>
      <c r="S1311" s="213"/>
      <c r="T1311" s="213"/>
      <c r="U1311" s="213" t="s">
        <v>559</v>
      </c>
      <c r="V1311" s="213">
        <v>1</v>
      </c>
      <c r="W1311" s="213" t="s">
        <v>560</v>
      </c>
      <c r="X1311" s="213" t="s">
        <v>541</v>
      </c>
      <c r="Y1311" s="213" t="s">
        <v>541</v>
      </c>
      <c r="Z1311" s="212">
        <v>0</v>
      </c>
      <c r="AA1311" s="212">
        <v>0</v>
      </c>
      <c r="AB1311" s="217">
        <v>3.5792999999999998E-2</v>
      </c>
      <c r="AC1311" s="217">
        <v>5.7604000000000002E-2</v>
      </c>
      <c r="AD1311" s="212">
        <f t="shared" si="20"/>
        <v>0</v>
      </c>
    </row>
    <row r="1312" spans="2:30" x14ac:dyDescent="0.15">
      <c r="B1312" s="213">
        <v>17031009453</v>
      </c>
      <c r="C1312" s="213">
        <v>17031007557</v>
      </c>
      <c r="D1312" s="213">
        <v>17031000354</v>
      </c>
      <c r="E1312" s="213" t="s">
        <v>533</v>
      </c>
      <c r="F1312" s="213" t="s">
        <v>534</v>
      </c>
      <c r="G1312" s="213" t="s">
        <v>365</v>
      </c>
      <c r="H1312" s="213" t="s">
        <v>590</v>
      </c>
      <c r="I1312" s="213"/>
      <c r="J1312" s="213"/>
      <c r="K1312" s="213"/>
      <c r="L1312" s="213"/>
      <c r="M1312" s="213"/>
      <c r="N1312" s="213"/>
      <c r="O1312" s="213"/>
      <c r="P1312" s="213"/>
      <c r="Q1312" s="213"/>
      <c r="R1312" s="213"/>
      <c r="S1312" s="213"/>
      <c r="T1312" s="213"/>
      <c r="U1312" s="213" t="s">
        <v>559</v>
      </c>
      <c r="V1312" s="213">
        <v>1</v>
      </c>
      <c r="W1312" s="213" t="s">
        <v>560</v>
      </c>
      <c r="X1312" s="213" t="s">
        <v>541</v>
      </c>
      <c r="Y1312" s="213" t="s">
        <v>541</v>
      </c>
      <c r="Z1312" s="212">
        <v>0</v>
      </c>
      <c r="AA1312" s="212">
        <v>0</v>
      </c>
      <c r="AB1312" s="217">
        <v>0.48377900000000001</v>
      </c>
      <c r="AC1312" s="217">
        <v>0.77856899999999996</v>
      </c>
      <c r="AD1312" s="212">
        <f t="shared" si="20"/>
        <v>0</v>
      </c>
    </row>
    <row r="1313" spans="2:30" x14ac:dyDescent="0.15">
      <c r="B1313" s="213">
        <v>17031009489</v>
      </c>
      <c r="C1313" s="213">
        <v>17031007586</v>
      </c>
      <c r="D1313" s="213">
        <v>17031007589</v>
      </c>
      <c r="E1313" s="213" t="s">
        <v>533</v>
      </c>
      <c r="F1313" s="213" t="s">
        <v>534</v>
      </c>
      <c r="G1313" s="213" t="s">
        <v>365</v>
      </c>
      <c r="H1313" s="213" t="s">
        <v>535</v>
      </c>
      <c r="I1313" s="213"/>
      <c r="J1313" s="213" t="s">
        <v>547</v>
      </c>
      <c r="K1313" s="213"/>
      <c r="L1313" s="213"/>
      <c r="M1313" s="213"/>
      <c r="N1313" s="213"/>
      <c r="O1313" s="213"/>
      <c r="P1313" s="213"/>
      <c r="Q1313" s="213"/>
      <c r="R1313" s="213"/>
      <c r="S1313" s="213" t="s">
        <v>548</v>
      </c>
      <c r="T1313" s="213"/>
      <c r="U1313" s="213" t="s">
        <v>538</v>
      </c>
      <c r="V1313" s="213">
        <v>2</v>
      </c>
      <c r="W1313" s="213" t="s">
        <v>545</v>
      </c>
      <c r="X1313" s="213" t="s">
        <v>549</v>
      </c>
      <c r="Y1313" s="213" t="s">
        <v>546</v>
      </c>
      <c r="Z1313" s="212">
        <v>374329</v>
      </c>
      <c r="AA1313" s="212">
        <v>22852279</v>
      </c>
      <c r="AB1313" s="217">
        <v>0.55068899999999998</v>
      </c>
      <c r="AC1313" s="217">
        <v>0.88625100000000001</v>
      </c>
      <c r="AD1313" s="212">
        <f t="shared" si="20"/>
        <v>12584498.670231</v>
      </c>
    </row>
    <row r="1314" spans="2:30" x14ac:dyDescent="0.15">
      <c r="B1314" s="213">
        <v>17031009513</v>
      </c>
      <c r="C1314" s="213">
        <v>17031004708</v>
      </c>
      <c r="D1314" s="213">
        <v>17031007611</v>
      </c>
      <c r="E1314" s="213" t="s">
        <v>533</v>
      </c>
      <c r="F1314" s="213" t="s">
        <v>534</v>
      </c>
      <c r="G1314" s="213" t="s">
        <v>365</v>
      </c>
      <c r="H1314" s="213" t="s">
        <v>535</v>
      </c>
      <c r="I1314" s="213"/>
      <c r="J1314" s="213" t="s">
        <v>382</v>
      </c>
      <c r="K1314" s="213" t="s">
        <v>536</v>
      </c>
      <c r="L1314" s="213"/>
      <c r="M1314" s="213"/>
      <c r="N1314" s="213"/>
      <c r="O1314" s="213"/>
      <c r="P1314" s="213"/>
      <c r="Q1314" s="213"/>
      <c r="R1314" s="213"/>
      <c r="S1314" s="213" t="s">
        <v>537</v>
      </c>
      <c r="T1314" s="213"/>
      <c r="U1314" s="213" t="s">
        <v>538</v>
      </c>
      <c r="V1314" s="213">
        <v>1</v>
      </c>
      <c r="W1314" s="213" t="s">
        <v>545</v>
      </c>
      <c r="X1314" s="213" t="s">
        <v>549</v>
      </c>
      <c r="Y1314" s="213" t="s">
        <v>540</v>
      </c>
      <c r="Z1314" s="212">
        <v>39128</v>
      </c>
      <c r="AA1314" s="212">
        <v>3874614</v>
      </c>
      <c r="AB1314" s="217">
        <v>1.289723</v>
      </c>
      <c r="AC1314" s="217">
        <v>2.075612</v>
      </c>
      <c r="AD1314" s="212">
        <f t="shared" si="20"/>
        <v>4997178.7919220002</v>
      </c>
    </row>
    <row r="1315" spans="2:30" x14ac:dyDescent="0.15">
      <c r="B1315" s="213">
        <v>17031009515</v>
      </c>
      <c r="C1315" s="213">
        <v>17031007613</v>
      </c>
      <c r="D1315" s="213">
        <v>17031007615</v>
      </c>
      <c r="E1315" s="213" t="s">
        <v>533</v>
      </c>
      <c r="F1315" s="213" t="s">
        <v>534</v>
      </c>
      <c r="G1315" s="213" t="s">
        <v>365</v>
      </c>
      <c r="H1315" s="213" t="s">
        <v>535</v>
      </c>
      <c r="I1315" s="213"/>
      <c r="J1315" s="213" t="s">
        <v>382</v>
      </c>
      <c r="K1315" s="213" t="s">
        <v>536</v>
      </c>
      <c r="L1315" s="213"/>
      <c r="M1315" s="213"/>
      <c r="N1315" s="213"/>
      <c r="O1315" s="213"/>
      <c r="P1315" s="213"/>
      <c r="Q1315" s="213"/>
      <c r="R1315" s="213"/>
      <c r="S1315" s="213" t="s">
        <v>537</v>
      </c>
      <c r="T1315" s="213"/>
      <c r="U1315" s="213" t="s">
        <v>538</v>
      </c>
      <c r="V1315" s="213">
        <v>2</v>
      </c>
      <c r="W1315" s="213" t="s">
        <v>582</v>
      </c>
      <c r="X1315" s="213" t="s">
        <v>549</v>
      </c>
      <c r="Y1315" s="213" t="s">
        <v>540</v>
      </c>
      <c r="Z1315" s="212">
        <v>10116</v>
      </c>
      <c r="AA1315" s="212">
        <v>893960</v>
      </c>
      <c r="AB1315" s="217">
        <v>0.468302</v>
      </c>
      <c r="AC1315" s="217">
        <v>0.75366</v>
      </c>
      <c r="AD1315" s="212">
        <f t="shared" si="20"/>
        <v>418643.25592000003</v>
      </c>
    </row>
    <row r="1316" spans="2:30" x14ac:dyDescent="0.15">
      <c r="B1316" s="213">
        <v>17031009528</v>
      </c>
      <c r="C1316" s="213">
        <v>17031001561</v>
      </c>
      <c r="D1316" s="213">
        <v>17031007626</v>
      </c>
      <c r="E1316" s="213" t="s">
        <v>533</v>
      </c>
      <c r="F1316" s="213" t="s">
        <v>534</v>
      </c>
      <c r="G1316" s="213" t="s">
        <v>365</v>
      </c>
      <c r="H1316" s="213" t="s">
        <v>382</v>
      </c>
      <c r="I1316" s="213"/>
      <c r="J1316" s="213"/>
      <c r="K1316" s="213"/>
      <c r="L1316" s="213"/>
      <c r="M1316" s="213"/>
      <c r="N1316" s="213"/>
      <c r="O1316" s="213"/>
      <c r="P1316" s="213"/>
      <c r="Q1316" s="213"/>
      <c r="R1316" s="213"/>
      <c r="S1316" s="213" t="s">
        <v>576</v>
      </c>
      <c r="T1316" s="213"/>
      <c r="U1316" s="213" t="s">
        <v>559</v>
      </c>
      <c r="V1316" s="213">
        <v>1</v>
      </c>
      <c r="W1316" s="213" t="s">
        <v>560</v>
      </c>
      <c r="X1316" s="213" t="s">
        <v>541</v>
      </c>
      <c r="Y1316" s="213" t="s">
        <v>541</v>
      </c>
      <c r="Z1316" s="212">
        <v>0</v>
      </c>
      <c r="AA1316" s="212">
        <v>0</v>
      </c>
      <c r="AB1316" s="217">
        <v>3.2427999999999998E-2</v>
      </c>
      <c r="AC1316" s="217">
        <v>5.2187999999999998E-2</v>
      </c>
      <c r="AD1316" s="212">
        <f t="shared" si="20"/>
        <v>0</v>
      </c>
    </row>
    <row r="1317" spans="2:30" x14ac:dyDescent="0.15">
      <c r="B1317" s="213">
        <v>17031009545</v>
      </c>
      <c r="C1317" s="213">
        <v>17031007641</v>
      </c>
      <c r="D1317" s="213">
        <v>17031001562</v>
      </c>
      <c r="E1317" s="213" t="s">
        <v>533</v>
      </c>
      <c r="F1317" s="213" t="s">
        <v>534</v>
      </c>
      <c r="G1317" s="213" t="s">
        <v>365</v>
      </c>
      <c r="H1317" s="213" t="s">
        <v>535</v>
      </c>
      <c r="I1317" s="213"/>
      <c r="J1317" s="213" t="s">
        <v>382</v>
      </c>
      <c r="K1317" s="213" t="s">
        <v>536</v>
      </c>
      <c r="L1317" s="213"/>
      <c r="M1317" s="213"/>
      <c r="N1317" s="213"/>
      <c r="O1317" s="213"/>
      <c r="P1317" s="213"/>
      <c r="Q1317" s="213"/>
      <c r="R1317" s="213"/>
      <c r="S1317" s="213" t="s">
        <v>537</v>
      </c>
      <c r="T1317" s="213"/>
      <c r="U1317" s="213" t="s">
        <v>538</v>
      </c>
      <c r="V1317" s="213">
        <v>2</v>
      </c>
      <c r="W1317" s="213" t="s">
        <v>582</v>
      </c>
      <c r="X1317" s="213" t="s">
        <v>549</v>
      </c>
      <c r="Y1317" s="213" t="s">
        <v>540</v>
      </c>
      <c r="Z1317" s="212">
        <v>1960</v>
      </c>
      <c r="AA1317" s="212">
        <v>166000</v>
      </c>
      <c r="AB1317" s="217">
        <v>0.99671699999999996</v>
      </c>
      <c r="AC1317" s="217">
        <v>1.6040639999999999</v>
      </c>
      <c r="AD1317" s="212">
        <f t="shared" si="20"/>
        <v>165455.022</v>
      </c>
    </row>
    <row r="1318" spans="2:30" x14ac:dyDescent="0.15">
      <c r="B1318" s="213">
        <v>17031009580</v>
      </c>
      <c r="C1318" s="213">
        <v>17031004684</v>
      </c>
      <c r="D1318" s="213">
        <v>17031007670</v>
      </c>
      <c r="E1318" s="213" t="s">
        <v>533</v>
      </c>
      <c r="F1318" s="213" t="s">
        <v>534</v>
      </c>
      <c r="G1318" s="213" t="s">
        <v>365</v>
      </c>
      <c r="H1318" s="213" t="s">
        <v>547</v>
      </c>
      <c r="I1318" s="213"/>
      <c r="J1318" s="213" t="s">
        <v>543</v>
      </c>
      <c r="K1318" s="213"/>
      <c r="L1318" s="213"/>
      <c r="M1318" s="213"/>
      <c r="N1318" s="213"/>
      <c r="O1318" s="213"/>
      <c r="P1318" s="213"/>
      <c r="Q1318" s="213"/>
      <c r="R1318" s="213"/>
      <c r="S1318" s="213" t="s">
        <v>602</v>
      </c>
      <c r="T1318" s="213"/>
      <c r="U1318" s="213" t="s">
        <v>538</v>
      </c>
      <c r="V1318" s="213">
        <v>2</v>
      </c>
      <c r="W1318" s="213" t="s">
        <v>582</v>
      </c>
      <c r="X1318" s="213" t="s">
        <v>540</v>
      </c>
      <c r="Y1318" s="213" t="s">
        <v>541</v>
      </c>
      <c r="Z1318" s="212">
        <v>520</v>
      </c>
      <c r="AA1318" s="212">
        <v>37800</v>
      </c>
      <c r="AB1318" s="217">
        <v>0.310695</v>
      </c>
      <c r="AC1318" s="217">
        <v>0.50001700000000004</v>
      </c>
      <c r="AD1318" s="212">
        <f t="shared" si="20"/>
        <v>11744.271000000001</v>
      </c>
    </row>
    <row r="1319" spans="2:30" x14ac:dyDescent="0.15">
      <c r="B1319" s="213">
        <v>17031009617</v>
      </c>
      <c r="C1319" s="213">
        <v>17031007705</v>
      </c>
      <c r="D1319" s="213">
        <v>17031000916</v>
      </c>
      <c r="E1319" s="213" t="s">
        <v>533</v>
      </c>
      <c r="F1319" s="213" t="s">
        <v>534</v>
      </c>
      <c r="G1319" s="213" t="s">
        <v>365</v>
      </c>
      <c r="H1319" s="213" t="s">
        <v>535</v>
      </c>
      <c r="I1319" s="213"/>
      <c r="J1319" s="213" t="s">
        <v>542</v>
      </c>
      <c r="K1319" s="213" t="s">
        <v>572</v>
      </c>
      <c r="L1319" s="213" t="s">
        <v>547</v>
      </c>
      <c r="M1319" s="213" t="s">
        <v>382</v>
      </c>
      <c r="N1319" s="213"/>
      <c r="O1319" s="213"/>
      <c r="P1319" s="213"/>
      <c r="Q1319" s="213"/>
      <c r="R1319" s="213"/>
      <c r="S1319" s="213" t="s">
        <v>601</v>
      </c>
      <c r="T1319" s="213"/>
      <c r="U1319" s="213" t="s">
        <v>538</v>
      </c>
      <c r="V1319" s="213">
        <v>2</v>
      </c>
      <c r="W1319" s="213" t="s">
        <v>545</v>
      </c>
      <c r="X1319" s="213" t="s">
        <v>549</v>
      </c>
      <c r="Y1319" s="213" t="s">
        <v>540</v>
      </c>
      <c r="Z1319" s="212">
        <v>168065</v>
      </c>
      <c r="AA1319" s="212">
        <v>7807855</v>
      </c>
      <c r="AB1319" s="217">
        <v>2.7733000000000001E-2</v>
      </c>
      <c r="AC1319" s="217">
        <v>4.4631999999999998E-2</v>
      </c>
      <c r="AD1319" s="212">
        <f t="shared" si="20"/>
        <v>216535.242715</v>
      </c>
    </row>
    <row r="1320" spans="2:30" x14ac:dyDescent="0.15">
      <c r="B1320" s="213">
        <v>17031009660</v>
      </c>
      <c r="C1320" s="213">
        <v>17031007743</v>
      </c>
      <c r="D1320" s="213">
        <v>17031007741</v>
      </c>
      <c r="E1320" s="213" t="s">
        <v>533</v>
      </c>
      <c r="F1320" s="213" t="s">
        <v>534</v>
      </c>
      <c r="G1320" s="213" t="s">
        <v>365</v>
      </c>
      <c r="H1320" s="213" t="s">
        <v>557</v>
      </c>
      <c r="I1320" s="213"/>
      <c r="J1320" s="213" t="s">
        <v>381</v>
      </c>
      <c r="K1320" s="213" t="s">
        <v>535</v>
      </c>
      <c r="L1320" s="213" t="s">
        <v>552</v>
      </c>
      <c r="M1320" s="213" t="s">
        <v>551</v>
      </c>
      <c r="N1320" s="213" t="s">
        <v>543</v>
      </c>
      <c r="O1320" s="213" t="s">
        <v>382</v>
      </c>
      <c r="P1320" s="213"/>
      <c r="Q1320" s="213"/>
      <c r="R1320" s="213"/>
      <c r="S1320" s="213" t="s">
        <v>570</v>
      </c>
      <c r="T1320" s="213"/>
      <c r="U1320" s="213" t="s">
        <v>538</v>
      </c>
      <c r="V1320" s="213">
        <v>2</v>
      </c>
      <c r="W1320" s="213" t="s">
        <v>545</v>
      </c>
      <c r="X1320" s="213" t="s">
        <v>540</v>
      </c>
      <c r="Y1320" s="213" t="s">
        <v>575</v>
      </c>
      <c r="Z1320" s="212">
        <v>883724</v>
      </c>
      <c r="AA1320" s="212">
        <v>56558327</v>
      </c>
      <c r="AB1320" s="217">
        <v>0.33642699999999998</v>
      </c>
      <c r="AC1320" s="217">
        <v>0.54142699999999999</v>
      </c>
      <c r="AD1320" s="212">
        <f t="shared" si="20"/>
        <v>19027748.277628999</v>
      </c>
    </row>
    <row r="1321" spans="2:30" x14ac:dyDescent="0.15">
      <c r="B1321" s="213">
        <v>17031009662</v>
      </c>
      <c r="C1321" s="213">
        <v>17031007745</v>
      </c>
      <c r="D1321" s="213">
        <v>17031007743</v>
      </c>
      <c r="E1321" s="213" t="s">
        <v>533</v>
      </c>
      <c r="F1321" s="213" t="s">
        <v>534</v>
      </c>
      <c r="G1321" s="213" t="s">
        <v>365</v>
      </c>
      <c r="H1321" s="213" t="s">
        <v>557</v>
      </c>
      <c r="I1321" s="213"/>
      <c r="J1321" s="213" t="s">
        <v>381</v>
      </c>
      <c r="K1321" s="213" t="s">
        <v>535</v>
      </c>
      <c r="L1321" s="213" t="s">
        <v>552</v>
      </c>
      <c r="M1321" s="213" t="s">
        <v>551</v>
      </c>
      <c r="N1321" s="213" t="s">
        <v>543</v>
      </c>
      <c r="O1321" s="213" t="s">
        <v>382</v>
      </c>
      <c r="P1321" s="213"/>
      <c r="Q1321" s="213"/>
      <c r="R1321" s="213"/>
      <c r="S1321" s="213" t="s">
        <v>570</v>
      </c>
      <c r="T1321" s="213"/>
      <c r="U1321" s="213" t="s">
        <v>538</v>
      </c>
      <c r="V1321" s="213">
        <v>2</v>
      </c>
      <c r="W1321" s="213" t="s">
        <v>545</v>
      </c>
      <c r="X1321" s="213" t="s">
        <v>540</v>
      </c>
      <c r="Y1321" s="213" t="s">
        <v>575</v>
      </c>
      <c r="Z1321" s="212">
        <v>883724</v>
      </c>
      <c r="AA1321" s="212">
        <v>56558327</v>
      </c>
      <c r="AB1321" s="217">
        <v>0.48234300000000002</v>
      </c>
      <c r="AC1321" s="217">
        <v>0.77625699999999997</v>
      </c>
      <c r="AD1321" s="212">
        <f t="shared" si="20"/>
        <v>27280513.120161001</v>
      </c>
    </row>
    <row r="1322" spans="2:30" x14ac:dyDescent="0.15">
      <c r="B1322" s="213">
        <v>17031009664</v>
      </c>
      <c r="C1322" s="213">
        <v>17031007741</v>
      </c>
      <c r="D1322" s="213">
        <v>17031007747</v>
      </c>
      <c r="E1322" s="213" t="s">
        <v>533</v>
      </c>
      <c r="F1322" s="213" t="s">
        <v>534</v>
      </c>
      <c r="G1322" s="213" t="s">
        <v>365</v>
      </c>
      <c r="H1322" s="213" t="s">
        <v>557</v>
      </c>
      <c r="I1322" s="213"/>
      <c r="J1322" s="213" t="s">
        <v>381</v>
      </c>
      <c r="K1322" s="213" t="s">
        <v>535</v>
      </c>
      <c r="L1322" s="213" t="s">
        <v>552</v>
      </c>
      <c r="M1322" s="213" t="s">
        <v>551</v>
      </c>
      <c r="N1322" s="213" t="s">
        <v>543</v>
      </c>
      <c r="O1322" s="213" t="s">
        <v>382</v>
      </c>
      <c r="P1322" s="213"/>
      <c r="Q1322" s="213"/>
      <c r="R1322" s="213"/>
      <c r="S1322" s="213" t="s">
        <v>570</v>
      </c>
      <c r="T1322" s="213"/>
      <c r="U1322" s="213" t="s">
        <v>538</v>
      </c>
      <c r="V1322" s="213">
        <v>2</v>
      </c>
      <c r="W1322" s="213" t="s">
        <v>545</v>
      </c>
      <c r="X1322" s="213" t="s">
        <v>540</v>
      </c>
      <c r="Y1322" s="213" t="s">
        <v>575</v>
      </c>
      <c r="Z1322" s="212">
        <v>883724</v>
      </c>
      <c r="AA1322" s="212">
        <v>56558327</v>
      </c>
      <c r="AB1322" s="217">
        <v>0.44909300000000002</v>
      </c>
      <c r="AC1322" s="217">
        <v>0.722746</v>
      </c>
      <c r="AD1322" s="212">
        <f t="shared" si="20"/>
        <v>25399948.747411001</v>
      </c>
    </row>
    <row r="1323" spans="2:30" x14ac:dyDescent="0.15">
      <c r="B1323" s="213">
        <v>17031009688</v>
      </c>
      <c r="C1323" s="213">
        <v>17031000881</v>
      </c>
      <c r="D1323" s="213">
        <v>17031007771</v>
      </c>
      <c r="E1323" s="213" t="s">
        <v>533</v>
      </c>
      <c r="F1323" s="213" t="s">
        <v>534</v>
      </c>
      <c r="G1323" s="213" t="s">
        <v>365</v>
      </c>
      <c r="H1323" s="213" t="s">
        <v>557</v>
      </c>
      <c r="I1323" s="213"/>
      <c r="J1323" s="213" t="s">
        <v>381</v>
      </c>
      <c r="K1323" s="213" t="s">
        <v>535</v>
      </c>
      <c r="L1323" s="213" t="s">
        <v>552</v>
      </c>
      <c r="M1323" s="213" t="s">
        <v>543</v>
      </c>
      <c r="N1323" s="213" t="s">
        <v>382</v>
      </c>
      <c r="O1323" s="213"/>
      <c r="P1323" s="213"/>
      <c r="Q1323" s="213"/>
      <c r="R1323" s="213"/>
      <c r="S1323" s="213" t="s">
        <v>570</v>
      </c>
      <c r="T1323" s="213"/>
      <c r="U1323" s="213" t="s">
        <v>538</v>
      </c>
      <c r="V1323" s="213">
        <v>2</v>
      </c>
      <c r="W1323" s="213" t="s">
        <v>545</v>
      </c>
      <c r="X1323" s="213" t="s">
        <v>540</v>
      </c>
      <c r="Y1323" s="213" t="s">
        <v>580</v>
      </c>
      <c r="Z1323" s="212">
        <v>1168398</v>
      </c>
      <c r="AA1323" s="212">
        <v>59194608</v>
      </c>
      <c r="AB1323" s="217">
        <v>1.128158</v>
      </c>
      <c r="AC1323" s="217">
        <v>1.815598</v>
      </c>
      <c r="AD1323" s="212">
        <f t="shared" si="20"/>
        <v>66780870.572063997</v>
      </c>
    </row>
    <row r="1324" spans="2:30" x14ac:dyDescent="0.15">
      <c r="B1324" s="213">
        <v>17031009716</v>
      </c>
      <c r="C1324" s="213">
        <v>17031000986</v>
      </c>
      <c r="D1324" s="213">
        <v>17031007797</v>
      </c>
      <c r="E1324" s="213" t="s">
        <v>533</v>
      </c>
      <c r="F1324" s="213" t="s">
        <v>534</v>
      </c>
      <c r="G1324" s="213" t="s">
        <v>365</v>
      </c>
      <c r="H1324" s="213" t="s">
        <v>557</v>
      </c>
      <c r="I1324" s="213"/>
      <c r="J1324" s="213" t="s">
        <v>381</v>
      </c>
      <c r="K1324" s="213" t="s">
        <v>535</v>
      </c>
      <c r="L1324" s="213" t="s">
        <v>552</v>
      </c>
      <c r="M1324" s="213" t="s">
        <v>551</v>
      </c>
      <c r="N1324" s="213" t="s">
        <v>543</v>
      </c>
      <c r="O1324" s="213" t="s">
        <v>382</v>
      </c>
      <c r="P1324" s="213"/>
      <c r="Q1324" s="213"/>
      <c r="R1324" s="213"/>
      <c r="S1324" s="213" t="s">
        <v>570</v>
      </c>
      <c r="T1324" s="213"/>
      <c r="U1324" s="213" t="s">
        <v>538</v>
      </c>
      <c r="V1324" s="213">
        <v>2</v>
      </c>
      <c r="W1324" s="213" t="s">
        <v>545</v>
      </c>
      <c r="X1324" s="213" t="s">
        <v>540</v>
      </c>
      <c r="Y1324" s="213" t="s">
        <v>575</v>
      </c>
      <c r="Z1324" s="212">
        <v>738528</v>
      </c>
      <c r="AA1324" s="212">
        <v>49292225</v>
      </c>
      <c r="AB1324" s="217">
        <v>6.5186999999999995E-2</v>
      </c>
      <c r="AC1324" s="217">
        <v>0.104908</v>
      </c>
      <c r="AD1324" s="212">
        <f t="shared" si="20"/>
        <v>3213212.2710749996</v>
      </c>
    </row>
    <row r="1325" spans="2:30" x14ac:dyDescent="0.15">
      <c r="B1325" s="213">
        <v>17031009727</v>
      </c>
      <c r="C1325" s="213">
        <v>17031007810</v>
      </c>
      <c r="D1325" s="213">
        <v>17031001267</v>
      </c>
      <c r="E1325" s="213" t="s">
        <v>533</v>
      </c>
      <c r="F1325" s="213" t="s">
        <v>534</v>
      </c>
      <c r="G1325" s="213" t="s">
        <v>365</v>
      </c>
      <c r="H1325" s="213" t="s">
        <v>613</v>
      </c>
      <c r="I1325" s="213"/>
      <c r="J1325" s="213" t="s">
        <v>577</v>
      </c>
      <c r="K1325" s="213" t="s">
        <v>572</v>
      </c>
      <c r="L1325" s="213"/>
      <c r="M1325" s="213"/>
      <c r="N1325" s="213"/>
      <c r="O1325" s="213"/>
      <c r="P1325" s="213"/>
      <c r="Q1325" s="213"/>
      <c r="R1325" s="213"/>
      <c r="S1325" s="213"/>
      <c r="T1325" s="213"/>
      <c r="U1325" s="213" t="s">
        <v>559</v>
      </c>
      <c r="V1325" s="213">
        <v>1</v>
      </c>
      <c r="W1325" s="213" t="s">
        <v>560</v>
      </c>
      <c r="X1325" s="213" t="s">
        <v>541</v>
      </c>
      <c r="Y1325" s="213" t="s">
        <v>541</v>
      </c>
      <c r="Z1325" s="212">
        <v>0</v>
      </c>
      <c r="AA1325" s="212">
        <v>0</v>
      </c>
      <c r="AB1325" s="217">
        <v>2.4060000000000002E-2</v>
      </c>
      <c r="AC1325" s="217">
        <v>3.8720999999999998E-2</v>
      </c>
      <c r="AD1325" s="212">
        <f t="shared" si="20"/>
        <v>0</v>
      </c>
    </row>
    <row r="1326" spans="2:30" x14ac:dyDescent="0.15">
      <c r="B1326" s="213">
        <v>17031009830</v>
      </c>
      <c r="C1326" s="213">
        <v>17031001558</v>
      </c>
      <c r="D1326" s="213">
        <v>17031007899</v>
      </c>
      <c r="E1326" s="213" t="s">
        <v>533</v>
      </c>
      <c r="F1326" s="213" t="s">
        <v>534</v>
      </c>
      <c r="G1326" s="213" t="s">
        <v>365</v>
      </c>
      <c r="H1326" s="213" t="s">
        <v>535</v>
      </c>
      <c r="I1326" s="213"/>
      <c r="J1326" s="213" t="s">
        <v>542</v>
      </c>
      <c r="K1326" s="213" t="s">
        <v>543</v>
      </c>
      <c r="L1326" s="213" t="s">
        <v>382</v>
      </c>
      <c r="M1326" s="213"/>
      <c r="N1326" s="213"/>
      <c r="O1326" s="213"/>
      <c r="P1326" s="213"/>
      <c r="Q1326" s="213"/>
      <c r="R1326" s="213"/>
      <c r="S1326" s="213" t="s">
        <v>544</v>
      </c>
      <c r="T1326" s="213"/>
      <c r="U1326" s="213" t="s">
        <v>538</v>
      </c>
      <c r="V1326" s="213">
        <v>2</v>
      </c>
      <c r="W1326" s="213" t="s">
        <v>545</v>
      </c>
      <c r="X1326" s="213" t="s">
        <v>540</v>
      </c>
      <c r="Y1326" s="213" t="s">
        <v>546</v>
      </c>
      <c r="Z1326" s="212">
        <v>321171</v>
      </c>
      <c r="AA1326" s="212">
        <v>18248148</v>
      </c>
      <c r="AB1326" s="217">
        <v>0.16717799999999999</v>
      </c>
      <c r="AC1326" s="217">
        <v>0.26904699999999998</v>
      </c>
      <c r="AD1326" s="212">
        <f t="shared" si="20"/>
        <v>3050688.8863439998</v>
      </c>
    </row>
    <row r="1327" spans="2:30" x14ac:dyDescent="0.15">
      <c r="B1327" s="213">
        <v>17031009832</v>
      </c>
      <c r="C1327" s="213">
        <v>17031007899</v>
      </c>
      <c r="D1327" s="213">
        <v>17031007900</v>
      </c>
      <c r="E1327" s="213" t="s">
        <v>533</v>
      </c>
      <c r="F1327" s="213" t="s">
        <v>534</v>
      </c>
      <c r="G1327" s="213" t="s">
        <v>365</v>
      </c>
      <c r="H1327" s="213" t="s">
        <v>535</v>
      </c>
      <c r="I1327" s="213"/>
      <c r="J1327" s="213" t="s">
        <v>382</v>
      </c>
      <c r="K1327" s="213"/>
      <c r="L1327" s="213"/>
      <c r="M1327" s="213"/>
      <c r="N1327" s="213"/>
      <c r="O1327" s="213"/>
      <c r="P1327" s="213"/>
      <c r="Q1327" s="213"/>
      <c r="R1327" s="213"/>
      <c r="S1327" s="213"/>
      <c r="T1327" s="213"/>
      <c r="U1327" s="213" t="s">
        <v>538</v>
      </c>
      <c r="V1327" s="213">
        <v>1</v>
      </c>
      <c r="W1327" s="213" t="s">
        <v>560</v>
      </c>
      <c r="X1327" s="213" t="s">
        <v>554</v>
      </c>
      <c r="Y1327" s="213" t="s">
        <v>554</v>
      </c>
      <c r="Z1327" s="212">
        <v>23954</v>
      </c>
      <c r="AA1327" s="212">
        <v>2482428</v>
      </c>
      <c r="AB1327" s="217">
        <v>0.145647</v>
      </c>
      <c r="AC1327" s="217">
        <v>0.23439599999999999</v>
      </c>
      <c r="AD1327" s="212">
        <f t="shared" si="20"/>
        <v>361558.19091599999</v>
      </c>
    </row>
    <row r="1328" spans="2:30" x14ac:dyDescent="0.15">
      <c r="B1328" s="213">
        <v>17031009836</v>
      </c>
      <c r="C1328" s="213">
        <v>17031007901</v>
      </c>
      <c r="D1328" s="213">
        <v>17031007902</v>
      </c>
      <c r="E1328" s="213" t="s">
        <v>533</v>
      </c>
      <c r="F1328" s="213" t="s">
        <v>534</v>
      </c>
      <c r="G1328" s="213" t="s">
        <v>365</v>
      </c>
      <c r="H1328" s="213" t="s">
        <v>535</v>
      </c>
      <c r="I1328" s="213"/>
      <c r="J1328" s="213" t="s">
        <v>382</v>
      </c>
      <c r="K1328" s="213" t="s">
        <v>536</v>
      </c>
      <c r="L1328" s="213"/>
      <c r="M1328" s="213"/>
      <c r="N1328" s="213"/>
      <c r="O1328" s="213"/>
      <c r="P1328" s="213"/>
      <c r="Q1328" s="213"/>
      <c r="R1328" s="213"/>
      <c r="S1328" s="213"/>
      <c r="T1328" s="213"/>
      <c r="U1328" s="213" t="s">
        <v>538</v>
      </c>
      <c r="V1328" s="213">
        <v>1</v>
      </c>
      <c r="W1328" s="213" t="s">
        <v>560</v>
      </c>
      <c r="X1328" s="213" t="s">
        <v>554</v>
      </c>
      <c r="Y1328" s="213" t="s">
        <v>554</v>
      </c>
      <c r="Z1328" s="212">
        <v>21470</v>
      </c>
      <c r="AA1328" s="212">
        <v>2253704</v>
      </c>
      <c r="AB1328" s="217">
        <v>0.30457499999999998</v>
      </c>
      <c r="AC1328" s="217">
        <v>0.49016799999999999</v>
      </c>
      <c r="AD1328" s="212">
        <f t="shared" si="20"/>
        <v>686421.89579999994</v>
      </c>
    </row>
    <row r="1329" spans="2:30" x14ac:dyDescent="0.15">
      <c r="B1329" s="213">
        <v>17031009838</v>
      </c>
      <c r="C1329" s="213">
        <v>17031007908</v>
      </c>
      <c r="D1329" s="213">
        <v>17031001193</v>
      </c>
      <c r="E1329" s="213" t="s">
        <v>533</v>
      </c>
      <c r="F1329" s="213" t="s">
        <v>534</v>
      </c>
      <c r="G1329" s="213" t="s">
        <v>365</v>
      </c>
      <c r="H1329" s="213" t="s">
        <v>577</v>
      </c>
      <c r="I1329" s="213"/>
      <c r="J1329" s="213"/>
      <c r="K1329" s="213"/>
      <c r="L1329" s="213"/>
      <c r="M1329" s="213"/>
      <c r="N1329" s="213"/>
      <c r="O1329" s="213"/>
      <c r="P1329" s="213"/>
      <c r="Q1329" s="213"/>
      <c r="R1329" s="213"/>
      <c r="S1329" s="213"/>
      <c r="T1329" s="213"/>
      <c r="U1329" s="213" t="s">
        <v>538</v>
      </c>
      <c r="V1329" s="213">
        <v>1</v>
      </c>
      <c r="W1329" s="213" t="s">
        <v>560</v>
      </c>
      <c r="X1329" s="213" t="s">
        <v>541</v>
      </c>
      <c r="Y1329" s="213" t="s">
        <v>541</v>
      </c>
      <c r="Z1329" s="212">
        <v>0</v>
      </c>
      <c r="AA1329" s="212">
        <v>0</v>
      </c>
      <c r="AB1329" s="217">
        <v>0.17807400000000001</v>
      </c>
      <c r="AC1329" s="217">
        <v>0.28658299999999998</v>
      </c>
      <c r="AD1329" s="212">
        <f t="shared" si="20"/>
        <v>0</v>
      </c>
    </row>
    <row r="1330" spans="2:30" x14ac:dyDescent="0.15">
      <c r="B1330" s="213">
        <v>17031010208</v>
      </c>
      <c r="C1330" s="213">
        <v>17031008301</v>
      </c>
      <c r="D1330" s="213">
        <v>17031000448</v>
      </c>
      <c r="E1330" s="213" t="s">
        <v>533</v>
      </c>
      <c r="F1330" s="213" t="s">
        <v>534</v>
      </c>
      <c r="G1330" s="213" t="s">
        <v>365</v>
      </c>
      <c r="H1330" s="213" t="s">
        <v>382</v>
      </c>
      <c r="I1330" s="213"/>
      <c r="J1330" s="213"/>
      <c r="K1330" s="213"/>
      <c r="L1330" s="213"/>
      <c r="M1330" s="213"/>
      <c r="N1330" s="213"/>
      <c r="O1330" s="213"/>
      <c r="P1330" s="213"/>
      <c r="Q1330" s="213"/>
      <c r="R1330" s="213"/>
      <c r="S1330" s="213" t="s">
        <v>586</v>
      </c>
      <c r="T1330" s="213" t="s">
        <v>689</v>
      </c>
      <c r="U1330" s="213" t="s">
        <v>538</v>
      </c>
      <c r="V1330" s="213">
        <v>2</v>
      </c>
      <c r="W1330" s="213" t="s">
        <v>582</v>
      </c>
      <c r="X1330" s="213" t="s">
        <v>554</v>
      </c>
      <c r="Y1330" s="213" t="s">
        <v>549</v>
      </c>
      <c r="Z1330" s="212">
        <v>86234</v>
      </c>
      <c r="AA1330" s="212">
        <v>9510170</v>
      </c>
      <c r="AB1330" s="217">
        <v>6.7058000000000006E-2</v>
      </c>
      <c r="AC1330" s="217">
        <v>0.10792</v>
      </c>
      <c r="AD1330" s="212">
        <f t="shared" si="20"/>
        <v>637732.97986000008</v>
      </c>
    </row>
    <row r="1331" spans="2:30" x14ac:dyDescent="0.15">
      <c r="B1331" s="213">
        <v>17031010209</v>
      </c>
      <c r="C1331" s="213">
        <v>17031008300</v>
      </c>
      <c r="D1331" s="213">
        <v>17031008301</v>
      </c>
      <c r="E1331" s="213" t="s">
        <v>533</v>
      </c>
      <c r="F1331" s="213" t="s">
        <v>534</v>
      </c>
      <c r="G1331" s="213" t="s">
        <v>365</v>
      </c>
      <c r="H1331" s="213" t="s">
        <v>382</v>
      </c>
      <c r="I1331" s="213"/>
      <c r="J1331" s="213"/>
      <c r="K1331" s="213"/>
      <c r="L1331" s="213"/>
      <c r="M1331" s="213"/>
      <c r="N1331" s="213"/>
      <c r="O1331" s="213"/>
      <c r="P1331" s="213"/>
      <c r="Q1331" s="213"/>
      <c r="R1331" s="213"/>
      <c r="S1331" s="213" t="s">
        <v>586</v>
      </c>
      <c r="T1331" s="213" t="s">
        <v>689</v>
      </c>
      <c r="U1331" s="213" t="s">
        <v>538</v>
      </c>
      <c r="V1331" s="213">
        <v>2</v>
      </c>
      <c r="W1331" s="213" t="s">
        <v>582</v>
      </c>
      <c r="X1331" s="213" t="s">
        <v>554</v>
      </c>
      <c r="Y1331" s="213" t="s">
        <v>549</v>
      </c>
      <c r="Z1331" s="212">
        <v>86234</v>
      </c>
      <c r="AA1331" s="212">
        <v>9510170</v>
      </c>
      <c r="AB1331" s="217">
        <v>0.101521</v>
      </c>
      <c r="AC1331" s="217">
        <v>0.163382</v>
      </c>
      <c r="AD1331" s="212">
        <f t="shared" si="20"/>
        <v>965481.96857000003</v>
      </c>
    </row>
    <row r="1332" spans="2:30" x14ac:dyDescent="0.15">
      <c r="B1332" s="213">
        <v>17031010240</v>
      </c>
      <c r="C1332" s="213">
        <v>17999019985</v>
      </c>
      <c r="D1332" s="213">
        <v>17031007549</v>
      </c>
      <c r="E1332" s="213" t="s">
        <v>533</v>
      </c>
      <c r="F1332" s="213" t="s">
        <v>534</v>
      </c>
      <c r="G1332" s="213" t="s">
        <v>365</v>
      </c>
      <c r="H1332" s="213" t="s">
        <v>535</v>
      </c>
      <c r="I1332" s="213"/>
      <c r="J1332" s="213" t="s">
        <v>536</v>
      </c>
      <c r="K1332" s="213" t="s">
        <v>382</v>
      </c>
      <c r="L1332" s="213"/>
      <c r="M1332" s="213"/>
      <c r="N1332" s="213"/>
      <c r="O1332" s="213"/>
      <c r="P1332" s="213"/>
      <c r="Q1332" s="213"/>
      <c r="R1332" s="213"/>
      <c r="S1332" s="213" t="s">
        <v>550</v>
      </c>
      <c r="T1332" s="213"/>
      <c r="U1332" s="213" t="s">
        <v>538</v>
      </c>
      <c r="V1332" s="213">
        <v>1</v>
      </c>
      <c r="W1332" s="213" t="s">
        <v>545</v>
      </c>
      <c r="X1332" s="213" t="s">
        <v>549</v>
      </c>
      <c r="Y1332" s="213" t="s">
        <v>540</v>
      </c>
      <c r="Z1332" s="212">
        <v>62203</v>
      </c>
      <c r="AA1332" s="212">
        <v>6445436</v>
      </c>
      <c r="AB1332" s="217">
        <v>0.48236099999999998</v>
      </c>
      <c r="AC1332" s="217">
        <v>0.77628699999999995</v>
      </c>
      <c r="AD1332" s="212">
        <f t="shared" si="20"/>
        <v>3109026.9543959997</v>
      </c>
    </row>
    <row r="1333" spans="2:30" x14ac:dyDescent="0.15">
      <c r="B1333" s="213">
        <v>17043002205</v>
      </c>
      <c r="C1333" s="213">
        <v>17043004773</v>
      </c>
      <c r="D1333" s="213">
        <v>17999019947</v>
      </c>
      <c r="E1333" s="213" t="s">
        <v>533</v>
      </c>
      <c r="F1333" s="213" t="s">
        <v>534</v>
      </c>
      <c r="G1333" s="213" t="s">
        <v>367</v>
      </c>
      <c r="H1333" s="213" t="s">
        <v>382</v>
      </c>
      <c r="I1333" s="213"/>
      <c r="J1333" s="213" t="s">
        <v>552</v>
      </c>
      <c r="K1333" s="213"/>
      <c r="L1333" s="213"/>
      <c r="M1333" s="213"/>
      <c r="N1333" s="213"/>
      <c r="O1333" s="213"/>
      <c r="P1333" s="213"/>
      <c r="Q1333" s="213"/>
      <c r="R1333" s="213"/>
      <c r="S1333" s="213" t="s">
        <v>586</v>
      </c>
      <c r="T1333" s="213"/>
      <c r="U1333" s="213" t="s">
        <v>538</v>
      </c>
      <c r="V1333" s="213">
        <v>2</v>
      </c>
      <c r="W1333" s="213" t="s">
        <v>582</v>
      </c>
      <c r="X1333" s="213" t="s">
        <v>549</v>
      </c>
      <c r="Y1333" s="213" t="s">
        <v>580</v>
      </c>
      <c r="Z1333" s="212">
        <v>534692</v>
      </c>
      <c r="AA1333" s="212">
        <v>38186685</v>
      </c>
      <c r="AB1333" s="217">
        <v>0.16269600000000001</v>
      </c>
      <c r="AC1333" s="217">
        <v>0.26183499999999998</v>
      </c>
      <c r="AD1333" s="212">
        <f t="shared" si="20"/>
        <v>6212820.90276</v>
      </c>
    </row>
    <row r="1334" spans="2:30" x14ac:dyDescent="0.15">
      <c r="B1334" s="213">
        <v>17043002229</v>
      </c>
      <c r="C1334" s="213">
        <v>17043000367</v>
      </c>
      <c r="D1334" s="213">
        <v>17043004769</v>
      </c>
      <c r="E1334" s="213" t="s">
        <v>533</v>
      </c>
      <c r="F1334" s="213" t="s">
        <v>534</v>
      </c>
      <c r="G1334" s="213" t="s">
        <v>367</v>
      </c>
      <c r="H1334" s="213" t="s">
        <v>552</v>
      </c>
      <c r="I1334" s="213"/>
      <c r="J1334" s="213" t="s">
        <v>547</v>
      </c>
      <c r="K1334" s="213"/>
      <c r="L1334" s="213"/>
      <c r="M1334" s="213"/>
      <c r="N1334" s="213"/>
      <c r="O1334" s="213"/>
      <c r="P1334" s="213"/>
      <c r="Q1334" s="213"/>
      <c r="R1334" s="213"/>
      <c r="S1334" s="213" t="s">
        <v>589</v>
      </c>
      <c r="T1334" s="213"/>
      <c r="U1334" s="213" t="s">
        <v>538</v>
      </c>
      <c r="V1334" s="213">
        <v>2</v>
      </c>
      <c r="W1334" s="213" t="s">
        <v>545</v>
      </c>
      <c r="X1334" s="213" t="s">
        <v>549</v>
      </c>
      <c r="Y1334" s="213" t="s">
        <v>540</v>
      </c>
      <c r="Z1334" s="212">
        <v>38298</v>
      </c>
      <c r="AA1334" s="212">
        <v>3612264</v>
      </c>
      <c r="AB1334" s="217">
        <v>0.37988300000000003</v>
      </c>
      <c r="AC1334" s="217">
        <v>0.61136299999999999</v>
      </c>
      <c r="AD1334" s="212">
        <f t="shared" si="20"/>
        <v>1372237.6851120002</v>
      </c>
    </row>
    <row r="1335" spans="2:30" x14ac:dyDescent="0.15">
      <c r="B1335" s="213">
        <v>17043002231</v>
      </c>
      <c r="C1335" s="213">
        <v>17043000388</v>
      </c>
      <c r="D1335" s="213">
        <v>17043000385</v>
      </c>
      <c r="E1335" s="213" t="s">
        <v>533</v>
      </c>
      <c r="F1335" s="213" t="s">
        <v>534</v>
      </c>
      <c r="G1335" s="213" t="s">
        <v>367</v>
      </c>
      <c r="H1335" s="213" t="s">
        <v>552</v>
      </c>
      <c r="I1335" s="213"/>
      <c r="J1335" s="213" t="s">
        <v>547</v>
      </c>
      <c r="K1335" s="213"/>
      <c r="L1335" s="213"/>
      <c r="M1335" s="213"/>
      <c r="N1335" s="213"/>
      <c r="O1335" s="213"/>
      <c r="P1335" s="213"/>
      <c r="Q1335" s="213"/>
      <c r="R1335" s="213"/>
      <c r="S1335" s="213" t="s">
        <v>589</v>
      </c>
      <c r="T1335" s="213"/>
      <c r="U1335" s="213" t="s">
        <v>538</v>
      </c>
      <c r="V1335" s="213">
        <v>2</v>
      </c>
      <c r="W1335" s="213" t="s">
        <v>545</v>
      </c>
      <c r="X1335" s="213" t="s">
        <v>549</v>
      </c>
      <c r="Y1335" s="213" t="s">
        <v>540</v>
      </c>
      <c r="Z1335" s="212">
        <v>38298</v>
      </c>
      <c r="AA1335" s="212">
        <v>3612264</v>
      </c>
      <c r="AB1335" s="217">
        <v>0.93958399999999997</v>
      </c>
      <c r="AC1335" s="217">
        <v>1.512116</v>
      </c>
      <c r="AD1335" s="212">
        <f t="shared" si="20"/>
        <v>3394025.458176</v>
      </c>
    </row>
    <row r="1336" spans="2:30" x14ac:dyDescent="0.15">
      <c r="B1336" s="213">
        <v>17043002233</v>
      </c>
      <c r="C1336" s="213">
        <v>17043000404</v>
      </c>
      <c r="D1336" s="213">
        <v>17043000386</v>
      </c>
      <c r="E1336" s="213" t="s">
        <v>533</v>
      </c>
      <c r="F1336" s="213" t="s">
        <v>534</v>
      </c>
      <c r="G1336" s="213" t="s">
        <v>367</v>
      </c>
      <c r="H1336" s="213" t="s">
        <v>552</v>
      </c>
      <c r="I1336" s="213"/>
      <c r="J1336" s="213" t="s">
        <v>638</v>
      </c>
      <c r="K1336" s="213" t="s">
        <v>382</v>
      </c>
      <c r="L1336" s="213"/>
      <c r="M1336" s="213"/>
      <c r="N1336" s="213"/>
      <c r="O1336" s="213"/>
      <c r="P1336" s="213"/>
      <c r="Q1336" s="213"/>
      <c r="R1336" s="213"/>
      <c r="S1336" s="213" t="s">
        <v>684</v>
      </c>
      <c r="T1336" s="213"/>
      <c r="U1336" s="213" t="s">
        <v>538</v>
      </c>
      <c r="V1336" s="213">
        <v>2</v>
      </c>
      <c r="W1336" s="213" t="s">
        <v>545</v>
      </c>
      <c r="X1336" s="213" t="s">
        <v>549</v>
      </c>
      <c r="Y1336" s="213" t="s">
        <v>549</v>
      </c>
      <c r="Z1336" s="212">
        <v>448601</v>
      </c>
      <c r="AA1336" s="212">
        <v>28692185</v>
      </c>
      <c r="AB1336" s="217">
        <v>1.2619199999999999</v>
      </c>
      <c r="AC1336" s="217">
        <v>2.0308679999999999</v>
      </c>
      <c r="AD1336" s="212">
        <f t="shared" si="20"/>
        <v>36207242.095199995</v>
      </c>
    </row>
    <row r="1337" spans="2:30" x14ac:dyDescent="0.15">
      <c r="B1337" s="213">
        <v>17043002316</v>
      </c>
      <c r="C1337" s="213">
        <v>17043000924</v>
      </c>
      <c r="D1337" s="213">
        <v>17043000921</v>
      </c>
      <c r="E1337" s="213" t="s">
        <v>533</v>
      </c>
      <c r="F1337" s="213" t="s">
        <v>534</v>
      </c>
      <c r="G1337" s="213" t="s">
        <v>367</v>
      </c>
      <c r="H1337" s="213" t="s">
        <v>381</v>
      </c>
      <c r="I1337" s="213"/>
      <c r="J1337" s="213" t="s">
        <v>542</v>
      </c>
      <c r="K1337" s="213" t="s">
        <v>547</v>
      </c>
      <c r="L1337" s="213" t="s">
        <v>382</v>
      </c>
      <c r="M1337" s="213"/>
      <c r="N1337" s="213"/>
      <c r="O1337" s="213"/>
      <c r="P1337" s="213"/>
      <c r="Q1337" s="213"/>
      <c r="R1337" s="213"/>
      <c r="S1337" s="213" t="s">
        <v>579</v>
      </c>
      <c r="T1337" s="213"/>
      <c r="U1337" s="213" t="s">
        <v>538</v>
      </c>
      <c r="V1337" s="213">
        <v>3</v>
      </c>
      <c r="W1337" s="213" t="s">
        <v>545</v>
      </c>
      <c r="X1337" s="213" t="s">
        <v>549</v>
      </c>
      <c r="Y1337" s="213" t="s">
        <v>580</v>
      </c>
      <c r="Z1337" s="212">
        <v>1207047</v>
      </c>
      <c r="AA1337" s="212">
        <v>52673927</v>
      </c>
      <c r="AB1337" s="217">
        <v>2.093537</v>
      </c>
      <c r="AC1337" s="217">
        <v>3.369227</v>
      </c>
      <c r="AD1337" s="212">
        <f t="shared" si="20"/>
        <v>110274815.109799</v>
      </c>
    </row>
    <row r="1338" spans="2:30" x14ac:dyDescent="0.15">
      <c r="B1338" s="213">
        <v>17043002378</v>
      </c>
      <c r="C1338" s="213">
        <v>17043000858</v>
      </c>
      <c r="D1338" s="213">
        <v>17043004884</v>
      </c>
      <c r="E1338" s="213" t="s">
        <v>533</v>
      </c>
      <c r="F1338" s="213" t="s">
        <v>534</v>
      </c>
      <c r="G1338" s="213" t="s">
        <v>367</v>
      </c>
      <c r="H1338" s="213" t="s">
        <v>381</v>
      </c>
      <c r="I1338" s="213"/>
      <c r="J1338" s="213" t="s">
        <v>542</v>
      </c>
      <c r="K1338" s="213" t="s">
        <v>547</v>
      </c>
      <c r="L1338" s="213" t="s">
        <v>382</v>
      </c>
      <c r="M1338" s="213"/>
      <c r="N1338" s="213"/>
      <c r="O1338" s="213"/>
      <c r="P1338" s="213"/>
      <c r="Q1338" s="213"/>
      <c r="R1338" s="213"/>
      <c r="S1338" s="213" t="s">
        <v>579</v>
      </c>
      <c r="T1338" s="213"/>
      <c r="U1338" s="213" t="s">
        <v>538</v>
      </c>
      <c r="V1338" s="213">
        <v>3</v>
      </c>
      <c r="W1338" s="213" t="s">
        <v>545</v>
      </c>
      <c r="X1338" s="213" t="s">
        <v>549</v>
      </c>
      <c r="Y1338" s="213" t="s">
        <v>580</v>
      </c>
      <c r="Z1338" s="212">
        <v>1206807</v>
      </c>
      <c r="AA1338" s="212">
        <v>52650967</v>
      </c>
      <c r="AB1338" s="217">
        <v>0.91690799999999995</v>
      </c>
      <c r="AC1338" s="217">
        <v>1.475624</v>
      </c>
      <c r="AD1338" s="212">
        <f t="shared" si="20"/>
        <v>48276092.850035995</v>
      </c>
    </row>
    <row r="1339" spans="2:30" x14ac:dyDescent="0.15">
      <c r="B1339" s="213">
        <v>17043002388</v>
      </c>
      <c r="C1339" s="213">
        <v>17043000499</v>
      </c>
      <c r="D1339" s="213">
        <v>17043004783</v>
      </c>
      <c r="E1339" s="213" t="s">
        <v>533</v>
      </c>
      <c r="F1339" s="213" t="s">
        <v>534</v>
      </c>
      <c r="G1339" s="213" t="s">
        <v>367</v>
      </c>
      <c r="H1339" s="213" t="s">
        <v>382</v>
      </c>
      <c r="I1339" s="213"/>
      <c r="J1339" s="213"/>
      <c r="K1339" s="213"/>
      <c r="L1339" s="213"/>
      <c r="M1339" s="213"/>
      <c r="N1339" s="213"/>
      <c r="O1339" s="213"/>
      <c r="P1339" s="213"/>
      <c r="Q1339" s="213"/>
      <c r="R1339" s="213"/>
      <c r="S1339" s="213" t="s">
        <v>561</v>
      </c>
      <c r="T1339" s="213"/>
      <c r="U1339" s="213" t="s">
        <v>538</v>
      </c>
      <c r="V1339" s="213">
        <v>1</v>
      </c>
      <c r="W1339" s="213" t="s">
        <v>562</v>
      </c>
      <c r="X1339" s="213" t="s">
        <v>540</v>
      </c>
      <c r="Y1339" s="213" t="s">
        <v>541</v>
      </c>
      <c r="Z1339" s="212">
        <v>12200</v>
      </c>
      <c r="AA1339" s="212">
        <v>287800</v>
      </c>
      <c r="AB1339" s="217">
        <v>2.8430849999999999</v>
      </c>
      <c r="AC1339" s="217">
        <v>4.5755119999999998</v>
      </c>
      <c r="AD1339" s="212">
        <f t="shared" si="20"/>
        <v>818239.86300000001</v>
      </c>
    </row>
    <row r="1340" spans="2:30" x14ac:dyDescent="0.15">
      <c r="B1340" s="213">
        <v>17043002401</v>
      </c>
      <c r="C1340" s="213">
        <v>17043000383</v>
      </c>
      <c r="D1340" s="213">
        <v>17043000382</v>
      </c>
      <c r="E1340" s="213" t="s">
        <v>533</v>
      </c>
      <c r="F1340" s="213" t="s">
        <v>534</v>
      </c>
      <c r="G1340" s="213" t="s">
        <v>367</v>
      </c>
      <c r="H1340" s="213" t="s">
        <v>638</v>
      </c>
      <c r="I1340" s="213"/>
      <c r="J1340" s="213"/>
      <c r="K1340" s="213"/>
      <c r="L1340" s="213"/>
      <c r="M1340" s="213"/>
      <c r="N1340" s="213"/>
      <c r="O1340" s="213"/>
      <c r="P1340" s="213"/>
      <c r="Q1340" s="213"/>
      <c r="R1340" s="213"/>
      <c r="S1340" s="213"/>
      <c r="T1340" s="213"/>
      <c r="U1340" s="213" t="s">
        <v>559</v>
      </c>
      <c r="V1340" s="213">
        <v>1</v>
      </c>
      <c r="W1340" s="213" t="s">
        <v>560</v>
      </c>
      <c r="X1340" s="213" t="s">
        <v>541</v>
      </c>
      <c r="Y1340" s="213" t="s">
        <v>541</v>
      </c>
      <c r="Z1340" s="212">
        <v>0</v>
      </c>
      <c r="AA1340" s="212">
        <v>0</v>
      </c>
      <c r="AB1340" s="217">
        <v>2.1684999999999999E-2</v>
      </c>
      <c r="AC1340" s="217">
        <v>3.4898999999999999E-2</v>
      </c>
      <c r="AD1340" s="212">
        <f t="shared" si="20"/>
        <v>0</v>
      </c>
    </row>
    <row r="1341" spans="2:30" x14ac:dyDescent="0.15">
      <c r="B1341" s="213">
        <v>17043002409</v>
      </c>
      <c r="C1341" s="213">
        <v>17043004887</v>
      </c>
      <c r="D1341" s="213">
        <v>17043004888</v>
      </c>
      <c r="E1341" s="213" t="s">
        <v>533</v>
      </c>
      <c r="F1341" s="213" t="s">
        <v>534</v>
      </c>
      <c r="G1341" s="213" t="s">
        <v>367</v>
      </c>
      <c r="H1341" s="213" t="s">
        <v>381</v>
      </c>
      <c r="I1341" s="213"/>
      <c r="J1341" s="213" t="s">
        <v>542</v>
      </c>
      <c r="K1341" s="213" t="s">
        <v>547</v>
      </c>
      <c r="L1341" s="213" t="s">
        <v>382</v>
      </c>
      <c r="M1341" s="213"/>
      <c r="N1341" s="213"/>
      <c r="O1341" s="213"/>
      <c r="P1341" s="213"/>
      <c r="Q1341" s="213"/>
      <c r="R1341" s="213"/>
      <c r="S1341" s="213" t="s">
        <v>579</v>
      </c>
      <c r="T1341" s="213"/>
      <c r="U1341" s="213" t="s">
        <v>538</v>
      </c>
      <c r="V1341" s="213">
        <v>3</v>
      </c>
      <c r="W1341" s="213" t="s">
        <v>545</v>
      </c>
      <c r="X1341" s="213" t="s">
        <v>549</v>
      </c>
      <c r="Y1341" s="213" t="s">
        <v>580</v>
      </c>
      <c r="Z1341" s="212">
        <v>1206767</v>
      </c>
      <c r="AA1341" s="212">
        <v>52647247</v>
      </c>
      <c r="AB1341" s="217">
        <v>1.7565949999999999</v>
      </c>
      <c r="AC1341" s="217">
        <v>2.8269709999999999</v>
      </c>
      <c r="AD1341" s="212">
        <f t="shared" si="20"/>
        <v>92479890.843964994</v>
      </c>
    </row>
    <row r="1342" spans="2:30" x14ac:dyDescent="0.15">
      <c r="B1342" s="213">
        <v>17043002410</v>
      </c>
      <c r="C1342" s="213">
        <v>17043007372</v>
      </c>
      <c r="D1342" s="213">
        <v>17043007373</v>
      </c>
      <c r="E1342" s="213" t="s">
        <v>533</v>
      </c>
      <c r="F1342" s="213" t="s">
        <v>534</v>
      </c>
      <c r="G1342" s="213" t="s">
        <v>367</v>
      </c>
      <c r="H1342" s="213" t="s">
        <v>381</v>
      </c>
      <c r="I1342" s="213"/>
      <c r="J1342" s="213" t="s">
        <v>542</v>
      </c>
      <c r="K1342" s="213" t="s">
        <v>547</v>
      </c>
      <c r="L1342" s="213" t="s">
        <v>382</v>
      </c>
      <c r="M1342" s="213"/>
      <c r="N1342" s="213"/>
      <c r="O1342" s="213"/>
      <c r="P1342" s="213"/>
      <c r="Q1342" s="213"/>
      <c r="R1342" s="213"/>
      <c r="S1342" s="213" t="s">
        <v>579</v>
      </c>
      <c r="T1342" s="213"/>
      <c r="U1342" s="213" t="s">
        <v>538</v>
      </c>
      <c r="V1342" s="213">
        <v>3</v>
      </c>
      <c r="W1342" s="213" t="s">
        <v>545</v>
      </c>
      <c r="X1342" s="213" t="s">
        <v>549</v>
      </c>
      <c r="Y1342" s="213" t="s">
        <v>580</v>
      </c>
      <c r="Z1342" s="212">
        <v>1206767</v>
      </c>
      <c r="AA1342" s="212">
        <v>52647247</v>
      </c>
      <c r="AB1342" s="217">
        <v>0.78493100000000005</v>
      </c>
      <c r="AC1342" s="217">
        <v>1.263226</v>
      </c>
      <c r="AD1342" s="212">
        <f t="shared" si="20"/>
        <v>41324456.234957002</v>
      </c>
    </row>
    <row r="1343" spans="2:30" x14ac:dyDescent="0.15">
      <c r="B1343" s="213">
        <v>17043002419</v>
      </c>
      <c r="C1343" s="213">
        <v>17043000383</v>
      </c>
      <c r="D1343" s="213">
        <v>17043000380</v>
      </c>
      <c r="E1343" s="213" t="s">
        <v>533</v>
      </c>
      <c r="F1343" s="213" t="s">
        <v>534</v>
      </c>
      <c r="G1343" s="213" t="s">
        <v>367</v>
      </c>
      <c r="H1343" s="213" t="s">
        <v>638</v>
      </c>
      <c r="I1343" s="213"/>
      <c r="J1343" s="213"/>
      <c r="K1343" s="213"/>
      <c r="L1343" s="213"/>
      <c r="M1343" s="213"/>
      <c r="N1343" s="213"/>
      <c r="O1343" s="213"/>
      <c r="P1343" s="213"/>
      <c r="Q1343" s="213"/>
      <c r="R1343" s="213"/>
      <c r="S1343" s="213"/>
      <c r="T1343" s="213"/>
      <c r="U1343" s="213" t="s">
        <v>559</v>
      </c>
      <c r="V1343" s="213">
        <v>1</v>
      </c>
      <c r="W1343" s="213" t="s">
        <v>560</v>
      </c>
      <c r="X1343" s="213" t="s">
        <v>541</v>
      </c>
      <c r="Y1343" s="213" t="s">
        <v>541</v>
      </c>
      <c r="Z1343" s="212">
        <v>0</v>
      </c>
      <c r="AA1343" s="212">
        <v>0</v>
      </c>
      <c r="AB1343" s="217">
        <v>0.16653100000000001</v>
      </c>
      <c r="AC1343" s="217">
        <v>0.26800499999999999</v>
      </c>
      <c r="AD1343" s="212">
        <f t="shared" si="20"/>
        <v>0</v>
      </c>
    </row>
    <row r="1344" spans="2:30" x14ac:dyDescent="0.15">
      <c r="B1344" s="213">
        <v>17043002499</v>
      </c>
      <c r="C1344" s="213">
        <v>17043000386</v>
      </c>
      <c r="D1344" s="213">
        <v>17043000363</v>
      </c>
      <c r="E1344" s="213" t="s">
        <v>533</v>
      </c>
      <c r="F1344" s="213" t="s">
        <v>534</v>
      </c>
      <c r="G1344" s="213" t="s">
        <v>367</v>
      </c>
      <c r="H1344" s="213" t="s">
        <v>552</v>
      </c>
      <c r="I1344" s="213"/>
      <c r="J1344" s="213" t="s">
        <v>638</v>
      </c>
      <c r="K1344" s="213" t="s">
        <v>382</v>
      </c>
      <c r="L1344" s="213"/>
      <c r="M1344" s="213"/>
      <c r="N1344" s="213"/>
      <c r="O1344" s="213"/>
      <c r="P1344" s="213"/>
      <c r="Q1344" s="213"/>
      <c r="R1344" s="213"/>
      <c r="S1344" s="213" t="s">
        <v>684</v>
      </c>
      <c r="T1344" s="213"/>
      <c r="U1344" s="213" t="s">
        <v>538</v>
      </c>
      <c r="V1344" s="213">
        <v>2</v>
      </c>
      <c r="W1344" s="213" t="s">
        <v>545</v>
      </c>
      <c r="X1344" s="213" t="s">
        <v>549</v>
      </c>
      <c r="Y1344" s="213" t="s">
        <v>549</v>
      </c>
      <c r="Z1344" s="212">
        <v>448601</v>
      </c>
      <c r="AA1344" s="212">
        <v>28692185</v>
      </c>
      <c r="AB1344" s="217">
        <v>1.133067</v>
      </c>
      <c r="AC1344" s="217">
        <v>1.8234980000000001</v>
      </c>
      <c r="AD1344" s="212">
        <f t="shared" si="20"/>
        <v>32510167.981395002</v>
      </c>
    </row>
    <row r="1345" spans="2:30" x14ac:dyDescent="0.15">
      <c r="B1345" s="213">
        <v>17043002991</v>
      </c>
      <c r="C1345" s="213">
        <v>17043000503</v>
      </c>
      <c r="D1345" s="213">
        <v>17043004896</v>
      </c>
      <c r="E1345" s="213" t="s">
        <v>533</v>
      </c>
      <c r="F1345" s="213" t="s">
        <v>534</v>
      </c>
      <c r="G1345" s="213" t="s">
        <v>367</v>
      </c>
      <c r="H1345" s="213" t="s">
        <v>535</v>
      </c>
      <c r="I1345" s="213"/>
      <c r="J1345" s="213" t="s">
        <v>536</v>
      </c>
      <c r="K1345" s="213" t="s">
        <v>382</v>
      </c>
      <c r="L1345" s="213"/>
      <c r="M1345" s="213"/>
      <c r="N1345" s="213"/>
      <c r="O1345" s="213"/>
      <c r="P1345" s="213"/>
      <c r="Q1345" s="213"/>
      <c r="R1345" s="213"/>
      <c r="S1345" s="213" t="s">
        <v>550</v>
      </c>
      <c r="T1345" s="213"/>
      <c r="U1345" s="213" t="s">
        <v>538</v>
      </c>
      <c r="V1345" s="213">
        <v>2</v>
      </c>
      <c r="W1345" s="213" t="s">
        <v>545</v>
      </c>
      <c r="X1345" s="213" t="s">
        <v>540</v>
      </c>
      <c r="Y1345" s="213" t="s">
        <v>540</v>
      </c>
      <c r="Z1345" s="212">
        <v>43627</v>
      </c>
      <c r="AA1345" s="212">
        <v>4713541</v>
      </c>
      <c r="AB1345" s="217">
        <v>1.8327150000000001</v>
      </c>
      <c r="AC1345" s="217">
        <v>2.9494739999999999</v>
      </c>
      <c r="AD1345" s="212">
        <f t="shared" si="20"/>
        <v>8638577.293815</v>
      </c>
    </row>
    <row r="1346" spans="2:30" x14ac:dyDescent="0.15">
      <c r="B1346" s="213">
        <v>17043002995</v>
      </c>
      <c r="C1346" s="213">
        <v>17043000939</v>
      </c>
      <c r="D1346" s="213">
        <v>17043004889</v>
      </c>
      <c r="E1346" s="213" t="s">
        <v>533</v>
      </c>
      <c r="F1346" s="213" t="s">
        <v>534</v>
      </c>
      <c r="G1346" s="213" t="s">
        <v>367</v>
      </c>
      <c r="H1346" s="213" t="s">
        <v>381</v>
      </c>
      <c r="I1346" s="213"/>
      <c r="J1346" s="213" t="s">
        <v>542</v>
      </c>
      <c r="K1346" s="213" t="s">
        <v>547</v>
      </c>
      <c r="L1346" s="213" t="s">
        <v>382</v>
      </c>
      <c r="M1346" s="213"/>
      <c r="N1346" s="213"/>
      <c r="O1346" s="213"/>
      <c r="P1346" s="213"/>
      <c r="Q1346" s="213"/>
      <c r="R1346" s="213"/>
      <c r="S1346" s="213" t="s">
        <v>579</v>
      </c>
      <c r="T1346" s="213"/>
      <c r="U1346" s="213" t="s">
        <v>538</v>
      </c>
      <c r="V1346" s="213">
        <v>3</v>
      </c>
      <c r="W1346" s="213" t="s">
        <v>545</v>
      </c>
      <c r="X1346" s="213" t="s">
        <v>549</v>
      </c>
      <c r="Y1346" s="213" t="s">
        <v>580</v>
      </c>
      <c r="Z1346" s="212">
        <v>1207047</v>
      </c>
      <c r="AA1346" s="212">
        <v>52673927</v>
      </c>
      <c r="AB1346" s="217">
        <v>1.66859</v>
      </c>
      <c r="AC1346" s="217">
        <v>2.6853400000000001</v>
      </c>
      <c r="AD1346" s="212">
        <f t="shared" si="20"/>
        <v>87891187.852929994</v>
      </c>
    </row>
    <row r="1347" spans="2:30" x14ac:dyDescent="0.15">
      <c r="B1347" s="213">
        <v>17043003100</v>
      </c>
      <c r="C1347" s="213">
        <v>17043000391</v>
      </c>
      <c r="D1347" s="213">
        <v>17043000394</v>
      </c>
      <c r="E1347" s="213" t="s">
        <v>533</v>
      </c>
      <c r="F1347" s="213" t="s">
        <v>534</v>
      </c>
      <c r="G1347" s="213" t="s">
        <v>367</v>
      </c>
      <c r="H1347" s="213" t="s">
        <v>535</v>
      </c>
      <c r="I1347" s="213"/>
      <c r="J1347" s="213"/>
      <c r="K1347" s="213"/>
      <c r="L1347" s="213"/>
      <c r="M1347" s="213"/>
      <c r="N1347" s="213"/>
      <c r="O1347" s="213"/>
      <c r="P1347" s="213"/>
      <c r="Q1347" s="213"/>
      <c r="R1347" s="213"/>
      <c r="S1347" s="213" t="s">
        <v>624</v>
      </c>
      <c r="T1347" s="213"/>
      <c r="U1347" s="213" t="s">
        <v>538</v>
      </c>
      <c r="V1347" s="213">
        <v>1</v>
      </c>
      <c r="W1347" s="213" t="s">
        <v>560</v>
      </c>
      <c r="X1347" s="213" t="s">
        <v>541</v>
      </c>
      <c r="Y1347" s="213" t="s">
        <v>541</v>
      </c>
      <c r="Z1347" s="212">
        <v>42772</v>
      </c>
      <c r="AA1347" s="212">
        <v>4007651</v>
      </c>
      <c r="AB1347" s="217">
        <v>0.43375900000000001</v>
      </c>
      <c r="AC1347" s="217">
        <v>0.69806900000000005</v>
      </c>
      <c r="AD1347" s="212">
        <f t="shared" si="20"/>
        <v>1738354.6901090001</v>
      </c>
    </row>
    <row r="1348" spans="2:30" x14ac:dyDescent="0.15">
      <c r="B1348" s="213">
        <v>17043003146</v>
      </c>
      <c r="C1348" s="213">
        <v>17043004768</v>
      </c>
      <c r="D1348" s="213">
        <v>17043000368</v>
      </c>
      <c r="E1348" s="213" t="s">
        <v>533</v>
      </c>
      <c r="F1348" s="213" t="s">
        <v>534</v>
      </c>
      <c r="G1348" s="213" t="s">
        <v>367</v>
      </c>
      <c r="H1348" s="213" t="s">
        <v>552</v>
      </c>
      <c r="I1348" s="213"/>
      <c r="J1348" s="213" t="s">
        <v>547</v>
      </c>
      <c r="K1348" s="213"/>
      <c r="L1348" s="213"/>
      <c r="M1348" s="213"/>
      <c r="N1348" s="213"/>
      <c r="O1348" s="213"/>
      <c r="P1348" s="213"/>
      <c r="Q1348" s="213"/>
      <c r="R1348" s="213"/>
      <c r="S1348" s="213" t="s">
        <v>589</v>
      </c>
      <c r="T1348" s="213"/>
      <c r="U1348" s="213" t="s">
        <v>538</v>
      </c>
      <c r="V1348" s="213">
        <v>2</v>
      </c>
      <c r="W1348" s="213" t="s">
        <v>545</v>
      </c>
      <c r="X1348" s="213" t="s">
        <v>549</v>
      </c>
      <c r="Y1348" s="213" t="s">
        <v>540</v>
      </c>
      <c r="Z1348" s="212">
        <v>38298</v>
      </c>
      <c r="AA1348" s="212">
        <v>3612264</v>
      </c>
      <c r="AB1348" s="217">
        <v>1.407643</v>
      </c>
      <c r="AC1348" s="217">
        <v>2.2653859999999999</v>
      </c>
      <c r="AD1348" s="212">
        <f t="shared" si="20"/>
        <v>5084778.1337519996</v>
      </c>
    </row>
    <row r="1349" spans="2:30" x14ac:dyDescent="0.15">
      <c r="B1349" s="213">
        <v>17043003319</v>
      </c>
      <c r="C1349" s="213">
        <v>17043001186</v>
      </c>
      <c r="D1349" s="213">
        <v>17999021964</v>
      </c>
      <c r="E1349" s="213" t="s">
        <v>533</v>
      </c>
      <c r="F1349" s="213" t="s">
        <v>534</v>
      </c>
      <c r="G1349" s="213" t="s">
        <v>367</v>
      </c>
      <c r="H1349" s="213" t="s">
        <v>381</v>
      </c>
      <c r="I1349" s="213"/>
      <c r="J1349" s="213" t="s">
        <v>382</v>
      </c>
      <c r="K1349" s="213"/>
      <c r="L1349" s="213"/>
      <c r="M1349" s="213"/>
      <c r="N1349" s="213"/>
      <c r="O1349" s="213"/>
      <c r="P1349" s="213"/>
      <c r="Q1349" s="213"/>
      <c r="R1349" s="213"/>
      <c r="S1349" s="213" t="s">
        <v>647</v>
      </c>
      <c r="T1349" s="213"/>
      <c r="U1349" s="213" t="s">
        <v>538</v>
      </c>
      <c r="V1349" s="213">
        <v>2</v>
      </c>
      <c r="W1349" s="213" t="s">
        <v>545</v>
      </c>
      <c r="X1349" s="213" t="s">
        <v>549</v>
      </c>
      <c r="Y1349" s="213" t="s">
        <v>580</v>
      </c>
      <c r="Z1349" s="212">
        <v>1669193</v>
      </c>
      <c r="AA1349" s="212">
        <v>43918951</v>
      </c>
      <c r="AB1349" s="217">
        <v>3.4404270000000001</v>
      </c>
      <c r="AC1349" s="217">
        <v>5.536842</v>
      </c>
      <c r="AD1349" s="212">
        <f t="shared" si="20"/>
        <v>151099944.832077</v>
      </c>
    </row>
    <row r="1350" spans="2:30" x14ac:dyDescent="0.15">
      <c r="B1350" s="213">
        <v>17043003506</v>
      </c>
      <c r="C1350" s="213">
        <v>17043000584</v>
      </c>
      <c r="D1350" s="213">
        <v>17999020762</v>
      </c>
      <c r="E1350" s="213" t="s">
        <v>533</v>
      </c>
      <c r="F1350" s="213" t="s">
        <v>534</v>
      </c>
      <c r="G1350" s="213" t="s">
        <v>367</v>
      </c>
      <c r="H1350" s="213" t="s">
        <v>535</v>
      </c>
      <c r="I1350" s="213"/>
      <c r="J1350" s="213"/>
      <c r="K1350" s="213"/>
      <c r="L1350" s="213"/>
      <c r="M1350" s="213"/>
      <c r="N1350" s="213"/>
      <c r="O1350" s="213"/>
      <c r="P1350" s="213"/>
      <c r="Q1350" s="213"/>
      <c r="R1350" s="213"/>
      <c r="S1350" s="213" t="s">
        <v>624</v>
      </c>
      <c r="T1350" s="213"/>
      <c r="U1350" s="213" t="s">
        <v>538</v>
      </c>
      <c r="V1350" s="213">
        <v>1</v>
      </c>
      <c r="W1350" s="213" t="s">
        <v>582</v>
      </c>
      <c r="X1350" s="213" t="s">
        <v>540</v>
      </c>
      <c r="Y1350" s="213" t="s">
        <v>554</v>
      </c>
      <c r="Z1350" s="212">
        <v>1960</v>
      </c>
      <c r="AA1350" s="212">
        <v>160440</v>
      </c>
      <c r="AB1350" s="217">
        <v>1.086066</v>
      </c>
      <c r="AC1350" s="217">
        <v>1.747857</v>
      </c>
      <c r="AD1350" s="212">
        <f t="shared" ref="AD1350:AD1413" si="21">AA1350*AB1350</f>
        <v>174248.42903999999</v>
      </c>
    </row>
    <row r="1351" spans="2:30" x14ac:dyDescent="0.15">
      <c r="B1351" s="213">
        <v>17043003509</v>
      </c>
      <c r="C1351" s="213">
        <v>17043000595</v>
      </c>
      <c r="D1351" s="213">
        <v>17043004782</v>
      </c>
      <c r="E1351" s="213" t="s">
        <v>533</v>
      </c>
      <c r="F1351" s="213" t="s">
        <v>534</v>
      </c>
      <c r="G1351" s="213" t="s">
        <v>367</v>
      </c>
      <c r="H1351" s="213" t="s">
        <v>382</v>
      </c>
      <c r="I1351" s="213"/>
      <c r="J1351" s="213"/>
      <c r="K1351" s="213"/>
      <c r="L1351" s="213"/>
      <c r="M1351" s="213"/>
      <c r="N1351" s="213"/>
      <c r="O1351" s="213"/>
      <c r="P1351" s="213"/>
      <c r="Q1351" s="213"/>
      <c r="R1351" s="213"/>
      <c r="S1351" s="213"/>
      <c r="T1351" s="213" t="s">
        <v>587</v>
      </c>
      <c r="U1351" s="213" t="s">
        <v>559</v>
      </c>
      <c r="V1351" s="213">
        <v>1</v>
      </c>
      <c r="W1351" s="213" t="s">
        <v>560</v>
      </c>
      <c r="X1351" s="213" t="s">
        <v>541</v>
      </c>
      <c r="Y1351" s="213" t="s">
        <v>541</v>
      </c>
      <c r="Z1351" s="212">
        <v>80</v>
      </c>
      <c r="AA1351" s="212">
        <v>4720</v>
      </c>
      <c r="AB1351" s="217">
        <v>5.4356000000000002E-2</v>
      </c>
      <c r="AC1351" s="217">
        <v>8.7478E-2</v>
      </c>
      <c r="AD1351" s="212">
        <f t="shared" si="21"/>
        <v>256.56031999999999</v>
      </c>
    </row>
    <row r="1352" spans="2:30" x14ac:dyDescent="0.15">
      <c r="B1352" s="213">
        <v>17043003528</v>
      </c>
      <c r="C1352" s="213">
        <v>17043000378</v>
      </c>
      <c r="D1352" s="213">
        <v>17043000371</v>
      </c>
      <c r="E1352" s="213" t="s">
        <v>533</v>
      </c>
      <c r="F1352" s="213" t="s">
        <v>534</v>
      </c>
      <c r="G1352" s="213" t="s">
        <v>367</v>
      </c>
      <c r="H1352" s="213" t="s">
        <v>552</v>
      </c>
      <c r="I1352" s="213"/>
      <c r="J1352" s="213"/>
      <c r="K1352" s="213"/>
      <c r="L1352" s="213"/>
      <c r="M1352" s="213"/>
      <c r="N1352" s="213"/>
      <c r="O1352" s="213"/>
      <c r="P1352" s="213"/>
      <c r="Q1352" s="213"/>
      <c r="R1352" s="213"/>
      <c r="S1352" s="213"/>
      <c r="T1352" s="213"/>
      <c r="U1352" s="213" t="s">
        <v>559</v>
      </c>
      <c r="V1352" s="213">
        <v>1</v>
      </c>
      <c r="W1352" s="213" t="s">
        <v>560</v>
      </c>
      <c r="X1352" s="213" t="s">
        <v>541</v>
      </c>
      <c r="Y1352" s="213" t="s">
        <v>541</v>
      </c>
      <c r="Z1352" s="212">
        <v>0</v>
      </c>
      <c r="AA1352" s="212">
        <v>0</v>
      </c>
      <c r="AB1352" s="217">
        <v>0.43118699999999999</v>
      </c>
      <c r="AC1352" s="217">
        <v>0.69392900000000002</v>
      </c>
      <c r="AD1352" s="212">
        <f t="shared" si="21"/>
        <v>0</v>
      </c>
    </row>
    <row r="1353" spans="2:30" x14ac:dyDescent="0.15">
      <c r="B1353" s="213">
        <v>17043004004</v>
      </c>
      <c r="C1353" s="213">
        <v>17043000503</v>
      </c>
      <c r="D1353" s="213">
        <v>17043000510</v>
      </c>
      <c r="E1353" s="213" t="s">
        <v>533</v>
      </c>
      <c r="F1353" s="213" t="s">
        <v>534</v>
      </c>
      <c r="G1353" s="213" t="s">
        <v>367</v>
      </c>
      <c r="H1353" s="213" t="s">
        <v>382</v>
      </c>
      <c r="I1353" s="213"/>
      <c r="J1353" s="213" t="s">
        <v>535</v>
      </c>
      <c r="K1353" s="213"/>
      <c r="L1353" s="213"/>
      <c r="M1353" s="213"/>
      <c r="N1353" s="213"/>
      <c r="O1353" s="213"/>
      <c r="P1353" s="213"/>
      <c r="Q1353" s="213"/>
      <c r="R1353" s="213"/>
      <c r="S1353" s="213" t="s">
        <v>653</v>
      </c>
      <c r="T1353" s="213"/>
      <c r="U1353" s="213" t="s">
        <v>559</v>
      </c>
      <c r="V1353" s="213">
        <v>1</v>
      </c>
      <c r="W1353" s="213" t="s">
        <v>560</v>
      </c>
      <c r="X1353" s="213" t="s">
        <v>541</v>
      </c>
      <c r="Y1353" s="213" t="s">
        <v>541</v>
      </c>
      <c r="Z1353" s="212">
        <v>0</v>
      </c>
      <c r="AA1353" s="212">
        <v>0</v>
      </c>
      <c r="AB1353" s="217">
        <v>0.88567499999999999</v>
      </c>
      <c r="AC1353" s="217">
        <v>1.425359</v>
      </c>
      <c r="AD1353" s="212">
        <f t="shared" si="21"/>
        <v>0</v>
      </c>
    </row>
    <row r="1354" spans="2:30" x14ac:dyDescent="0.15">
      <c r="B1354" s="213">
        <v>17043004085</v>
      </c>
      <c r="C1354" s="213">
        <v>17043000431</v>
      </c>
      <c r="D1354" s="213">
        <v>17043007311</v>
      </c>
      <c r="E1354" s="213" t="s">
        <v>533</v>
      </c>
      <c r="F1354" s="213" t="s">
        <v>534</v>
      </c>
      <c r="G1354" s="213" t="s">
        <v>367</v>
      </c>
      <c r="H1354" s="213" t="s">
        <v>535</v>
      </c>
      <c r="I1354" s="213"/>
      <c r="J1354" s="213"/>
      <c r="K1354" s="213"/>
      <c r="L1354" s="213"/>
      <c r="M1354" s="213"/>
      <c r="N1354" s="213"/>
      <c r="O1354" s="213"/>
      <c r="P1354" s="213"/>
      <c r="Q1354" s="213"/>
      <c r="R1354" s="213"/>
      <c r="S1354" s="213" t="s">
        <v>624</v>
      </c>
      <c r="T1354" s="213"/>
      <c r="U1354" s="213" t="s">
        <v>538</v>
      </c>
      <c r="V1354" s="213">
        <v>1</v>
      </c>
      <c r="W1354" s="213" t="s">
        <v>582</v>
      </c>
      <c r="X1354" s="213" t="s">
        <v>540</v>
      </c>
      <c r="Y1354" s="213" t="s">
        <v>554</v>
      </c>
      <c r="Z1354" s="212">
        <v>400</v>
      </c>
      <c r="AA1354" s="212">
        <v>28360</v>
      </c>
      <c r="AB1354" s="217">
        <v>4.389888</v>
      </c>
      <c r="AC1354" s="217">
        <v>7.0648540000000004</v>
      </c>
      <c r="AD1354" s="212">
        <f t="shared" si="21"/>
        <v>124497.22368</v>
      </c>
    </row>
    <row r="1355" spans="2:30" x14ac:dyDescent="0.15">
      <c r="B1355" s="213">
        <v>17043005746</v>
      </c>
      <c r="C1355" s="213">
        <v>17043000593</v>
      </c>
      <c r="D1355" s="213">
        <v>17043000589</v>
      </c>
      <c r="E1355" s="213" t="s">
        <v>533</v>
      </c>
      <c r="F1355" s="213" t="s">
        <v>534</v>
      </c>
      <c r="G1355" s="213" t="s">
        <v>367</v>
      </c>
      <c r="H1355" s="213" t="s">
        <v>382</v>
      </c>
      <c r="I1355" s="213"/>
      <c r="J1355" s="213"/>
      <c r="K1355" s="213"/>
      <c r="L1355" s="213"/>
      <c r="M1355" s="213"/>
      <c r="N1355" s="213"/>
      <c r="O1355" s="213"/>
      <c r="P1355" s="213"/>
      <c r="Q1355" s="213"/>
      <c r="R1355" s="213"/>
      <c r="S1355" s="213" t="s">
        <v>635</v>
      </c>
      <c r="T1355" s="213" t="s">
        <v>587</v>
      </c>
      <c r="U1355" s="213" t="s">
        <v>559</v>
      </c>
      <c r="V1355" s="213">
        <v>1</v>
      </c>
      <c r="W1355" s="213" t="s">
        <v>560</v>
      </c>
      <c r="X1355" s="213" t="s">
        <v>541</v>
      </c>
      <c r="Y1355" s="213" t="s">
        <v>541</v>
      </c>
      <c r="Z1355" s="212">
        <v>0</v>
      </c>
      <c r="AA1355" s="212">
        <v>0</v>
      </c>
      <c r="AB1355" s="217">
        <v>0.55985200000000002</v>
      </c>
      <c r="AC1355" s="217">
        <v>0.90099600000000002</v>
      </c>
      <c r="AD1355" s="212">
        <f t="shared" si="21"/>
        <v>0</v>
      </c>
    </row>
    <row r="1356" spans="2:30" x14ac:dyDescent="0.15">
      <c r="B1356" s="213">
        <v>17043005748</v>
      </c>
      <c r="C1356" s="213">
        <v>17043007296</v>
      </c>
      <c r="D1356" s="213">
        <v>17043007298</v>
      </c>
      <c r="E1356" s="213" t="s">
        <v>533</v>
      </c>
      <c r="F1356" s="213" t="s">
        <v>534</v>
      </c>
      <c r="G1356" s="213" t="s">
        <v>367</v>
      </c>
      <c r="H1356" s="213" t="s">
        <v>382</v>
      </c>
      <c r="I1356" s="213"/>
      <c r="J1356" s="213"/>
      <c r="K1356" s="213"/>
      <c r="L1356" s="213"/>
      <c r="M1356" s="213"/>
      <c r="N1356" s="213"/>
      <c r="O1356" s="213"/>
      <c r="P1356" s="213"/>
      <c r="Q1356" s="213"/>
      <c r="R1356" s="213"/>
      <c r="S1356" s="213"/>
      <c r="T1356" s="213"/>
      <c r="U1356" s="213" t="s">
        <v>559</v>
      </c>
      <c r="V1356" s="213">
        <v>1</v>
      </c>
      <c r="W1356" s="213" t="s">
        <v>560</v>
      </c>
      <c r="X1356" s="213" t="s">
        <v>541</v>
      </c>
      <c r="Y1356" s="213" t="s">
        <v>541</v>
      </c>
      <c r="Z1356" s="212">
        <v>0</v>
      </c>
      <c r="AA1356" s="212">
        <v>0</v>
      </c>
      <c r="AB1356" s="217">
        <v>0.232102</v>
      </c>
      <c r="AC1356" s="217">
        <v>0.373533</v>
      </c>
      <c r="AD1356" s="212">
        <f t="shared" si="21"/>
        <v>0</v>
      </c>
    </row>
    <row r="1357" spans="2:30" x14ac:dyDescent="0.15">
      <c r="B1357" s="213">
        <v>17043005761</v>
      </c>
      <c r="C1357" s="213">
        <v>17043000382</v>
      </c>
      <c r="D1357" s="213">
        <v>17043000386</v>
      </c>
      <c r="E1357" s="213" t="s">
        <v>533</v>
      </c>
      <c r="F1357" s="213" t="s">
        <v>534</v>
      </c>
      <c r="G1357" s="213" t="s">
        <v>367</v>
      </c>
      <c r="H1357" s="213" t="s">
        <v>638</v>
      </c>
      <c r="I1357" s="213"/>
      <c r="J1357" s="213"/>
      <c r="K1357" s="213"/>
      <c r="L1357" s="213"/>
      <c r="M1357" s="213"/>
      <c r="N1357" s="213"/>
      <c r="O1357" s="213"/>
      <c r="P1357" s="213"/>
      <c r="Q1357" s="213"/>
      <c r="R1357" s="213"/>
      <c r="S1357" s="213"/>
      <c r="T1357" s="213"/>
      <c r="U1357" s="213" t="s">
        <v>559</v>
      </c>
      <c r="V1357" s="213">
        <v>1</v>
      </c>
      <c r="W1357" s="213" t="s">
        <v>560</v>
      </c>
      <c r="X1357" s="213" t="s">
        <v>541</v>
      </c>
      <c r="Y1357" s="213" t="s">
        <v>541</v>
      </c>
      <c r="Z1357" s="212">
        <v>0</v>
      </c>
      <c r="AA1357" s="212">
        <v>0</v>
      </c>
      <c r="AB1357" s="217">
        <v>0.56168399999999996</v>
      </c>
      <c r="AC1357" s="217">
        <v>0.90394399999999997</v>
      </c>
      <c r="AD1357" s="212">
        <f t="shared" si="21"/>
        <v>0</v>
      </c>
    </row>
    <row r="1358" spans="2:30" x14ac:dyDescent="0.15">
      <c r="B1358" s="213">
        <v>17043006528</v>
      </c>
      <c r="C1358" s="213">
        <v>17043004780</v>
      </c>
      <c r="D1358" s="213">
        <v>17043000579</v>
      </c>
      <c r="E1358" s="213" t="s">
        <v>533</v>
      </c>
      <c r="F1358" s="213" t="s">
        <v>534</v>
      </c>
      <c r="G1358" s="213" t="s">
        <v>367</v>
      </c>
      <c r="H1358" s="213" t="s">
        <v>382</v>
      </c>
      <c r="I1358" s="213"/>
      <c r="J1358" s="213"/>
      <c r="K1358" s="213"/>
      <c r="L1358" s="213"/>
      <c r="M1358" s="213"/>
      <c r="N1358" s="213"/>
      <c r="O1358" s="213"/>
      <c r="P1358" s="213"/>
      <c r="Q1358" s="213"/>
      <c r="R1358" s="213"/>
      <c r="S1358" s="213" t="s">
        <v>653</v>
      </c>
      <c r="T1358" s="213"/>
      <c r="U1358" s="213" t="s">
        <v>559</v>
      </c>
      <c r="V1358" s="213">
        <v>1</v>
      </c>
      <c r="W1358" s="213" t="s">
        <v>560</v>
      </c>
      <c r="X1358" s="213" t="s">
        <v>541</v>
      </c>
      <c r="Y1358" s="213" t="s">
        <v>541</v>
      </c>
      <c r="Z1358" s="212">
        <v>50872</v>
      </c>
      <c r="AA1358" s="212">
        <v>6068794</v>
      </c>
      <c r="AB1358" s="217">
        <v>0.20343800000000001</v>
      </c>
      <c r="AC1358" s="217">
        <v>0.32740200000000003</v>
      </c>
      <c r="AD1358" s="212">
        <f t="shared" si="21"/>
        <v>1234623.3137720001</v>
      </c>
    </row>
    <row r="1359" spans="2:30" x14ac:dyDescent="0.15">
      <c r="B1359" s="213">
        <v>17043006532</v>
      </c>
      <c r="C1359" s="213">
        <v>17043004634</v>
      </c>
      <c r="D1359" s="213">
        <v>17043004774</v>
      </c>
      <c r="E1359" s="213" t="s">
        <v>533</v>
      </c>
      <c r="F1359" s="213" t="s">
        <v>534</v>
      </c>
      <c r="G1359" s="213" t="s">
        <v>367</v>
      </c>
      <c r="H1359" s="213" t="s">
        <v>552</v>
      </c>
      <c r="I1359" s="213"/>
      <c r="J1359" s="213" t="s">
        <v>551</v>
      </c>
      <c r="K1359" s="213" t="s">
        <v>547</v>
      </c>
      <c r="L1359" s="213" t="s">
        <v>382</v>
      </c>
      <c r="M1359" s="213" t="s">
        <v>563</v>
      </c>
      <c r="N1359" s="213"/>
      <c r="O1359" s="213"/>
      <c r="P1359" s="213"/>
      <c r="Q1359" s="213"/>
      <c r="R1359" s="213"/>
      <c r="S1359" s="213" t="s">
        <v>589</v>
      </c>
      <c r="T1359" s="213" t="s">
        <v>632</v>
      </c>
      <c r="U1359" s="213" t="s">
        <v>538</v>
      </c>
      <c r="V1359" s="213">
        <v>2</v>
      </c>
      <c r="W1359" s="213" t="s">
        <v>545</v>
      </c>
      <c r="X1359" s="213" t="s">
        <v>549</v>
      </c>
      <c r="Y1359" s="213" t="s">
        <v>549</v>
      </c>
      <c r="Z1359" s="212">
        <v>481121</v>
      </c>
      <c r="AA1359" s="212">
        <v>31735951</v>
      </c>
      <c r="AB1359" s="217">
        <v>0.35178799999999999</v>
      </c>
      <c r="AC1359" s="217">
        <v>0.56614900000000001</v>
      </c>
      <c r="AD1359" s="212">
        <f t="shared" si="21"/>
        <v>11164326.730387999</v>
      </c>
    </row>
    <row r="1360" spans="2:30" x14ac:dyDescent="0.15">
      <c r="B1360" s="213">
        <v>17043008190</v>
      </c>
      <c r="C1360" s="213">
        <v>17043006569</v>
      </c>
      <c r="D1360" s="213">
        <v>17043006563</v>
      </c>
      <c r="E1360" s="213" t="s">
        <v>533</v>
      </c>
      <c r="F1360" s="213" t="s">
        <v>534</v>
      </c>
      <c r="G1360" s="213" t="s">
        <v>367</v>
      </c>
      <c r="H1360" s="213" t="s">
        <v>382</v>
      </c>
      <c r="I1360" s="213"/>
      <c r="J1360" s="213"/>
      <c r="K1360" s="213"/>
      <c r="L1360" s="213"/>
      <c r="M1360" s="213"/>
      <c r="N1360" s="213"/>
      <c r="O1360" s="213"/>
      <c r="P1360" s="213"/>
      <c r="Q1360" s="213"/>
      <c r="R1360" s="213"/>
      <c r="S1360" s="213" t="s">
        <v>635</v>
      </c>
      <c r="T1360" s="213" t="s">
        <v>587</v>
      </c>
      <c r="U1360" s="213" t="s">
        <v>559</v>
      </c>
      <c r="V1360" s="213">
        <v>1</v>
      </c>
      <c r="W1360" s="213" t="s">
        <v>560</v>
      </c>
      <c r="X1360" s="213" t="s">
        <v>541</v>
      </c>
      <c r="Y1360" s="213" t="s">
        <v>541</v>
      </c>
      <c r="Z1360" s="212">
        <v>0</v>
      </c>
      <c r="AA1360" s="212">
        <v>0</v>
      </c>
      <c r="AB1360" s="217">
        <v>6.3062000000000007E-2</v>
      </c>
      <c r="AC1360" s="217">
        <v>0.101489</v>
      </c>
      <c r="AD1360" s="212">
        <f t="shared" si="21"/>
        <v>0</v>
      </c>
    </row>
    <row r="1361" spans="2:30" x14ac:dyDescent="0.15">
      <c r="B1361" s="213">
        <v>17043008200</v>
      </c>
      <c r="C1361" s="213">
        <v>17043006566</v>
      </c>
      <c r="D1361" s="213">
        <v>17043006568</v>
      </c>
      <c r="E1361" s="213" t="s">
        <v>533</v>
      </c>
      <c r="F1361" s="213" t="s">
        <v>534</v>
      </c>
      <c r="G1361" s="213" t="s">
        <v>367</v>
      </c>
      <c r="H1361" s="213" t="s">
        <v>382</v>
      </c>
      <c r="I1361" s="213"/>
      <c r="J1361" s="213"/>
      <c r="K1361" s="213"/>
      <c r="L1361" s="213"/>
      <c r="M1361" s="213"/>
      <c r="N1361" s="213"/>
      <c r="O1361" s="213"/>
      <c r="P1361" s="213"/>
      <c r="Q1361" s="213"/>
      <c r="R1361" s="213"/>
      <c r="S1361" s="213" t="s">
        <v>635</v>
      </c>
      <c r="T1361" s="213" t="s">
        <v>587</v>
      </c>
      <c r="U1361" s="213" t="s">
        <v>559</v>
      </c>
      <c r="V1361" s="213">
        <v>1</v>
      </c>
      <c r="W1361" s="213" t="s">
        <v>560</v>
      </c>
      <c r="X1361" s="213" t="s">
        <v>541</v>
      </c>
      <c r="Y1361" s="213" t="s">
        <v>541</v>
      </c>
      <c r="Z1361" s="212">
        <v>0</v>
      </c>
      <c r="AA1361" s="212">
        <v>0</v>
      </c>
      <c r="AB1361" s="217">
        <v>8.9109999999999995E-2</v>
      </c>
      <c r="AC1361" s="217">
        <v>0.14340900000000001</v>
      </c>
      <c r="AD1361" s="212">
        <f t="shared" si="21"/>
        <v>0</v>
      </c>
    </row>
    <row r="1362" spans="2:30" x14ac:dyDescent="0.15">
      <c r="B1362" s="213">
        <v>17043009071</v>
      </c>
      <c r="C1362" s="213">
        <v>17043007283</v>
      </c>
      <c r="D1362" s="213">
        <v>17043004895</v>
      </c>
      <c r="E1362" s="213" t="s">
        <v>533</v>
      </c>
      <c r="F1362" s="213" t="s">
        <v>534</v>
      </c>
      <c r="G1362" s="213" t="s">
        <v>367</v>
      </c>
      <c r="H1362" s="213" t="s">
        <v>535</v>
      </c>
      <c r="I1362" s="213"/>
      <c r="J1362" s="213" t="s">
        <v>536</v>
      </c>
      <c r="K1362" s="213" t="s">
        <v>382</v>
      </c>
      <c r="L1362" s="213"/>
      <c r="M1362" s="213"/>
      <c r="N1362" s="213"/>
      <c r="O1362" s="213"/>
      <c r="P1362" s="213"/>
      <c r="Q1362" s="213"/>
      <c r="R1362" s="213"/>
      <c r="S1362" s="213" t="s">
        <v>550</v>
      </c>
      <c r="T1362" s="213"/>
      <c r="U1362" s="213" t="s">
        <v>538</v>
      </c>
      <c r="V1362" s="213">
        <v>1</v>
      </c>
      <c r="W1362" s="213" t="s">
        <v>545</v>
      </c>
      <c r="X1362" s="213" t="s">
        <v>549</v>
      </c>
      <c r="Y1362" s="213" t="s">
        <v>540</v>
      </c>
      <c r="Z1362" s="212">
        <v>93779</v>
      </c>
      <c r="AA1362" s="212">
        <v>10709215</v>
      </c>
      <c r="AB1362" s="217">
        <v>0.95983799999999997</v>
      </c>
      <c r="AC1362" s="217">
        <v>1.544713</v>
      </c>
      <c r="AD1362" s="212">
        <f t="shared" si="21"/>
        <v>10279111.507169999</v>
      </c>
    </row>
    <row r="1363" spans="2:30" x14ac:dyDescent="0.15">
      <c r="B1363" s="213">
        <v>17043009082</v>
      </c>
      <c r="C1363" s="213">
        <v>17043007291</v>
      </c>
      <c r="D1363" s="213">
        <v>17043007293</v>
      </c>
      <c r="E1363" s="213" t="s">
        <v>533</v>
      </c>
      <c r="F1363" s="213" t="s">
        <v>534</v>
      </c>
      <c r="G1363" s="213" t="s">
        <v>367</v>
      </c>
      <c r="H1363" s="213" t="s">
        <v>382</v>
      </c>
      <c r="I1363" s="213"/>
      <c r="J1363" s="213"/>
      <c r="K1363" s="213"/>
      <c r="L1363" s="213"/>
      <c r="M1363" s="213"/>
      <c r="N1363" s="213"/>
      <c r="O1363" s="213"/>
      <c r="P1363" s="213"/>
      <c r="Q1363" s="213"/>
      <c r="R1363" s="213"/>
      <c r="S1363" s="213"/>
      <c r="T1363" s="213"/>
      <c r="U1363" s="213" t="s">
        <v>559</v>
      </c>
      <c r="V1363" s="213">
        <v>1</v>
      </c>
      <c r="W1363" s="213" t="s">
        <v>560</v>
      </c>
      <c r="X1363" s="213" t="s">
        <v>541</v>
      </c>
      <c r="Y1363" s="213" t="s">
        <v>541</v>
      </c>
      <c r="Z1363" s="212">
        <v>0</v>
      </c>
      <c r="AA1363" s="212">
        <v>0</v>
      </c>
      <c r="AB1363" s="217">
        <v>0.34531000000000001</v>
      </c>
      <c r="AC1363" s="217">
        <v>0.555724</v>
      </c>
      <c r="AD1363" s="212">
        <f t="shared" si="21"/>
        <v>0</v>
      </c>
    </row>
    <row r="1364" spans="2:30" x14ac:dyDescent="0.15">
      <c r="B1364" s="213">
        <v>17043009123</v>
      </c>
      <c r="C1364" s="213">
        <v>17043007329</v>
      </c>
      <c r="D1364" s="213">
        <v>17043007330</v>
      </c>
      <c r="E1364" s="213" t="s">
        <v>533</v>
      </c>
      <c r="F1364" s="213" t="s">
        <v>534</v>
      </c>
      <c r="G1364" s="213" t="s">
        <v>367</v>
      </c>
      <c r="H1364" s="213" t="s">
        <v>535</v>
      </c>
      <c r="I1364" s="213"/>
      <c r="J1364" s="213"/>
      <c r="K1364" s="213"/>
      <c r="L1364" s="213"/>
      <c r="M1364" s="213"/>
      <c r="N1364" s="213"/>
      <c r="O1364" s="213"/>
      <c r="P1364" s="213"/>
      <c r="Q1364" s="213"/>
      <c r="R1364" s="213"/>
      <c r="S1364" s="213"/>
      <c r="T1364" s="213"/>
      <c r="U1364" s="213" t="s">
        <v>559</v>
      </c>
      <c r="V1364" s="213">
        <v>1</v>
      </c>
      <c r="W1364" s="213" t="s">
        <v>560</v>
      </c>
      <c r="X1364" s="213" t="s">
        <v>541</v>
      </c>
      <c r="Y1364" s="213" t="s">
        <v>541</v>
      </c>
      <c r="Z1364" s="212">
        <v>0</v>
      </c>
      <c r="AA1364" s="212">
        <v>0</v>
      </c>
      <c r="AB1364" s="217">
        <v>3.9003000000000003E-2</v>
      </c>
      <c r="AC1364" s="217">
        <v>6.2769000000000005E-2</v>
      </c>
      <c r="AD1364" s="212">
        <f t="shared" si="21"/>
        <v>0</v>
      </c>
    </row>
    <row r="1365" spans="2:30" x14ac:dyDescent="0.15">
      <c r="B1365" s="213">
        <v>17043009130</v>
      </c>
      <c r="C1365" s="213">
        <v>17043000364</v>
      </c>
      <c r="D1365" s="213">
        <v>17043007337</v>
      </c>
      <c r="E1365" s="213" t="s">
        <v>533</v>
      </c>
      <c r="F1365" s="213" t="s">
        <v>534</v>
      </c>
      <c r="G1365" s="213" t="s">
        <v>367</v>
      </c>
      <c r="H1365" s="213" t="s">
        <v>552</v>
      </c>
      <c r="I1365" s="213"/>
      <c r="J1365" s="213"/>
      <c r="K1365" s="213"/>
      <c r="L1365" s="213"/>
      <c r="M1365" s="213"/>
      <c r="N1365" s="213"/>
      <c r="O1365" s="213"/>
      <c r="P1365" s="213"/>
      <c r="Q1365" s="213"/>
      <c r="R1365" s="213"/>
      <c r="S1365" s="213"/>
      <c r="T1365" s="213"/>
      <c r="U1365" s="213" t="s">
        <v>559</v>
      </c>
      <c r="V1365" s="213">
        <v>1</v>
      </c>
      <c r="W1365" s="213" t="s">
        <v>560</v>
      </c>
      <c r="X1365" s="213" t="s">
        <v>541</v>
      </c>
      <c r="Y1365" s="213" t="s">
        <v>541</v>
      </c>
      <c r="Z1365" s="212">
        <v>0</v>
      </c>
      <c r="AA1365" s="212">
        <v>0</v>
      </c>
      <c r="AB1365" s="217">
        <v>0.11065</v>
      </c>
      <c r="AC1365" s="217">
        <v>0.17807500000000001</v>
      </c>
      <c r="AD1365" s="212">
        <f t="shared" si="21"/>
        <v>0</v>
      </c>
    </row>
    <row r="1366" spans="2:30" x14ac:dyDescent="0.15">
      <c r="B1366" s="213">
        <v>17043009139</v>
      </c>
      <c r="C1366" s="213">
        <v>17043007345</v>
      </c>
      <c r="D1366" s="213">
        <v>17043004770</v>
      </c>
      <c r="E1366" s="213" t="s">
        <v>533</v>
      </c>
      <c r="F1366" s="213" t="s">
        <v>534</v>
      </c>
      <c r="G1366" s="213" t="s">
        <v>367</v>
      </c>
      <c r="H1366" s="213" t="s">
        <v>552</v>
      </c>
      <c r="I1366" s="213"/>
      <c r="J1366" s="213"/>
      <c r="K1366" s="213"/>
      <c r="L1366" s="213"/>
      <c r="M1366" s="213"/>
      <c r="N1366" s="213"/>
      <c r="O1366" s="213"/>
      <c r="P1366" s="213"/>
      <c r="Q1366" s="213"/>
      <c r="R1366" s="213"/>
      <c r="S1366" s="213"/>
      <c r="T1366" s="213"/>
      <c r="U1366" s="213" t="s">
        <v>559</v>
      </c>
      <c r="V1366" s="213">
        <v>1</v>
      </c>
      <c r="W1366" s="213" t="s">
        <v>560</v>
      </c>
      <c r="X1366" s="213" t="s">
        <v>541</v>
      </c>
      <c r="Y1366" s="213" t="s">
        <v>541</v>
      </c>
      <c r="Z1366" s="212">
        <v>0</v>
      </c>
      <c r="AA1366" s="212">
        <v>0</v>
      </c>
      <c r="AB1366" s="217">
        <v>0.16194700000000001</v>
      </c>
      <c r="AC1366" s="217">
        <v>0.26062999999999997</v>
      </c>
      <c r="AD1366" s="212">
        <f t="shared" si="21"/>
        <v>0</v>
      </c>
    </row>
    <row r="1367" spans="2:30" x14ac:dyDescent="0.15">
      <c r="B1367" s="213">
        <v>17043009149</v>
      </c>
      <c r="C1367" s="213">
        <v>17999020464</v>
      </c>
      <c r="D1367" s="213">
        <v>17043007355</v>
      </c>
      <c r="E1367" s="213" t="s">
        <v>533</v>
      </c>
      <c r="F1367" s="213" t="s">
        <v>534</v>
      </c>
      <c r="G1367" s="213" t="s">
        <v>367</v>
      </c>
      <c r="H1367" s="213" t="s">
        <v>382</v>
      </c>
      <c r="I1367" s="213"/>
      <c r="J1367" s="213"/>
      <c r="K1367" s="213"/>
      <c r="L1367" s="213"/>
      <c r="M1367" s="213"/>
      <c r="N1367" s="213"/>
      <c r="O1367" s="213"/>
      <c r="P1367" s="213"/>
      <c r="Q1367" s="213"/>
      <c r="R1367" s="213"/>
      <c r="S1367" s="213" t="s">
        <v>635</v>
      </c>
      <c r="T1367" s="213"/>
      <c r="U1367" s="213" t="s">
        <v>559</v>
      </c>
      <c r="V1367" s="213">
        <v>1</v>
      </c>
      <c r="W1367" s="213" t="s">
        <v>560</v>
      </c>
      <c r="X1367" s="213" t="s">
        <v>541</v>
      </c>
      <c r="Y1367" s="213" t="s">
        <v>541</v>
      </c>
      <c r="Z1367" s="212">
        <v>80</v>
      </c>
      <c r="AA1367" s="212">
        <v>4720</v>
      </c>
      <c r="AB1367" s="217">
        <v>1.159368</v>
      </c>
      <c r="AC1367" s="217">
        <v>1.865826</v>
      </c>
      <c r="AD1367" s="212">
        <f t="shared" si="21"/>
        <v>5472.2169599999997</v>
      </c>
    </row>
    <row r="1368" spans="2:30" x14ac:dyDescent="0.15">
      <c r="B1368" s="213">
        <v>17043009160</v>
      </c>
      <c r="C1368" s="213">
        <v>17043007368</v>
      </c>
      <c r="D1368" s="213">
        <v>17043007362</v>
      </c>
      <c r="E1368" s="213" t="s">
        <v>533</v>
      </c>
      <c r="F1368" s="213" t="s">
        <v>534</v>
      </c>
      <c r="G1368" s="213" t="s">
        <v>367</v>
      </c>
      <c r="H1368" s="213" t="s">
        <v>382</v>
      </c>
      <c r="I1368" s="213"/>
      <c r="J1368" s="213"/>
      <c r="K1368" s="213"/>
      <c r="L1368" s="213"/>
      <c r="M1368" s="213"/>
      <c r="N1368" s="213"/>
      <c r="O1368" s="213"/>
      <c r="P1368" s="213"/>
      <c r="Q1368" s="213"/>
      <c r="R1368" s="213"/>
      <c r="S1368" s="213" t="s">
        <v>561</v>
      </c>
      <c r="T1368" s="213"/>
      <c r="U1368" s="213" t="s">
        <v>538</v>
      </c>
      <c r="V1368" s="213">
        <v>1</v>
      </c>
      <c r="W1368" s="213" t="s">
        <v>562</v>
      </c>
      <c r="X1368" s="213" t="s">
        <v>540</v>
      </c>
      <c r="Y1368" s="213" t="s">
        <v>541</v>
      </c>
      <c r="Z1368" s="212">
        <v>12200</v>
      </c>
      <c r="AA1368" s="212">
        <v>287800</v>
      </c>
      <c r="AB1368" s="217">
        <v>0.20298099999999999</v>
      </c>
      <c r="AC1368" s="217">
        <v>0.32666600000000001</v>
      </c>
      <c r="AD1368" s="212">
        <f t="shared" si="21"/>
        <v>58417.931799999998</v>
      </c>
    </row>
    <row r="1369" spans="2:30" x14ac:dyDescent="0.15">
      <c r="B1369" s="213">
        <v>17089001823</v>
      </c>
      <c r="C1369" s="213">
        <v>17089001056</v>
      </c>
      <c r="D1369" s="213">
        <v>17089001050</v>
      </c>
      <c r="E1369" s="213" t="s">
        <v>533</v>
      </c>
      <c r="F1369" s="213" t="s">
        <v>534</v>
      </c>
      <c r="G1369" s="213" t="s">
        <v>369</v>
      </c>
      <c r="H1369" s="213" t="s">
        <v>381</v>
      </c>
      <c r="I1369" s="213"/>
      <c r="J1369" s="213"/>
      <c r="K1369" s="213"/>
      <c r="L1369" s="213"/>
      <c r="M1369" s="213"/>
      <c r="N1369" s="213"/>
      <c r="O1369" s="213"/>
      <c r="P1369" s="213"/>
      <c r="Q1369" s="213"/>
      <c r="R1369" s="213"/>
      <c r="S1369" s="213" t="s">
        <v>595</v>
      </c>
      <c r="T1369" s="213"/>
      <c r="U1369" s="213" t="s">
        <v>538</v>
      </c>
      <c r="V1369" s="213">
        <v>1</v>
      </c>
      <c r="W1369" s="213" t="s">
        <v>545</v>
      </c>
      <c r="X1369" s="213" t="s">
        <v>549</v>
      </c>
      <c r="Y1369" s="213" t="s">
        <v>546</v>
      </c>
      <c r="Z1369" s="212">
        <v>890011</v>
      </c>
      <c r="AA1369" s="212">
        <v>24228461</v>
      </c>
      <c r="AB1369" s="217">
        <v>0.45287899999999998</v>
      </c>
      <c r="AC1369" s="217">
        <v>0.72883900000000001</v>
      </c>
      <c r="AD1369" s="212">
        <f t="shared" si="21"/>
        <v>10972561.189219</v>
      </c>
    </row>
    <row r="1370" spans="2:30" x14ac:dyDescent="0.15">
      <c r="B1370" s="213">
        <v>17089002033</v>
      </c>
      <c r="C1370" s="213">
        <v>17089004850</v>
      </c>
      <c r="D1370" s="213">
        <v>17089000297</v>
      </c>
      <c r="E1370" s="213" t="s">
        <v>533</v>
      </c>
      <c r="F1370" s="213" t="s">
        <v>534</v>
      </c>
      <c r="G1370" s="213" t="s">
        <v>369</v>
      </c>
      <c r="H1370" s="213" t="s">
        <v>535</v>
      </c>
      <c r="I1370" s="213"/>
      <c r="J1370" s="213"/>
      <c r="K1370" s="213"/>
      <c r="L1370" s="213"/>
      <c r="M1370" s="213"/>
      <c r="N1370" s="213"/>
      <c r="O1370" s="213"/>
      <c r="P1370" s="213"/>
      <c r="Q1370" s="213"/>
      <c r="R1370" s="213"/>
      <c r="S1370" s="213" t="s">
        <v>624</v>
      </c>
      <c r="T1370" s="213"/>
      <c r="U1370" s="213" t="s">
        <v>538</v>
      </c>
      <c r="V1370" s="213">
        <v>1</v>
      </c>
      <c r="W1370" s="213" t="s">
        <v>582</v>
      </c>
      <c r="X1370" s="213" t="s">
        <v>549</v>
      </c>
      <c r="Y1370" s="213" t="s">
        <v>554</v>
      </c>
      <c r="Z1370" s="212">
        <v>42612</v>
      </c>
      <c r="AA1370" s="212">
        <v>3996491</v>
      </c>
      <c r="AB1370" s="217">
        <v>4.8643510000000001</v>
      </c>
      <c r="AC1370" s="217">
        <v>7.82843</v>
      </c>
      <c r="AD1370" s="212">
        <f t="shared" si="21"/>
        <v>19440334.992341001</v>
      </c>
    </row>
    <row r="1371" spans="2:30" x14ac:dyDescent="0.15">
      <c r="B1371" s="213">
        <v>17089002037</v>
      </c>
      <c r="C1371" s="213">
        <v>17089004849</v>
      </c>
      <c r="D1371" s="213">
        <v>17089004850</v>
      </c>
      <c r="E1371" s="213" t="s">
        <v>533</v>
      </c>
      <c r="F1371" s="213" t="s">
        <v>534</v>
      </c>
      <c r="G1371" s="213" t="s">
        <v>369</v>
      </c>
      <c r="H1371" s="213" t="s">
        <v>535</v>
      </c>
      <c r="I1371" s="213"/>
      <c r="J1371" s="213"/>
      <c r="K1371" s="213"/>
      <c r="L1371" s="213"/>
      <c r="M1371" s="213"/>
      <c r="N1371" s="213"/>
      <c r="O1371" s="213"/>
      <c r="P1371" s="213"/>
      <c r="Q1371" s="213"/>
      <c r="R1371" s="213"/>
      <c r="S1371" s="213" t="s">
        <v>624</v>
      </c>
      <c r="T1371" s="213"/>
      <c r="U1371" s="213" t="s">
        <v>538</v>
      </c>
      <c r="V1371" s="213">
        <v>1</v>
      </c>
      <c r="W1371" s="213" t="s">
        <v>582</v>
      </c>
      <c r="X1371" s="213" t="s">
        <v>549</v>
      </c>
      <c r="Y1371" s="213" t="s">
        <v>554</v>
      </c>
      <c r="Z1371" s="212">
        <v>42612</v>
      </c>
      <c r="AA1371" s="212">
        <v>3996491</v>
      </c>
      <c r="AB1371" s="217">
        <v>2.4022350000000001</v>
      </c>
      <c r="AC1371" s="217">
        <v>3.8660299999999999</v>
      </c>
      <c r="AD1371" s="212">
        <f t="shared" si="21"/>
        <v>9600510.5573850013</v>
      </c>
    </row>
    <row r="1372" spans="2:30" x14ac:dyDescent="0.15">
      <c r="B1372" s="213">
        <v>17089002039</v>
      </c>
      <c r="C1372" s="213">
        <v>17089000361</v>
      </c>
      <c r="D1372" s="213">
        <v>17089004849</v>
      </c>
      <c r="E1372" s="213" t="s">
        <v>533</v>
      </c>
      <c r="F1372" s="213" t="s">
        <v>534</v>
      </c>
      <c r="G1372" s="213" t="s">
        <v>369</v>
      </c>
      <c r="H1372" s="213" t="s">
        <v>535</v>
      </c>
      <c r="I1372" s="213"/>
      <c r="J1372" s="213"/>
      <c r="K1372" s="213"/>
      <c r="L1372" s="213"/>
      <c r="M1372" s="213"/>
      <c r="N1372" s="213"/>
      <c r="O1372" s="213"/>
      <c r="P1372" s="213"/>
      <c r="Q1372" s="213"/>
      <c r="R1372" s="213"/>
      <c r="S1372" s="213" t="s">
        <v>624</v>
      </c>
      <c r="T1372" s="213"/>
      <c r="U1372" s="213" t="s">
        <v>538</v>
      </c>
      <c r="V1372" s="213">
        <v>1</v>
      </c>
      <c r="W1372" s="213" t="s">
        <v>582</v>
      </c>
      <c r="X1372" s="213" t="s">
        <v>549</v>
      </c>
      <c r="Y1372" s="213" t="s">
        <v>554</v>
      </c>
      <c r="Z1372" s="212">
        <v>42612</v>
      </c>
      <c r="AA1372" s="212">
        <v>3996491</v>
      </c>
      <c r="AB1372" s="217">
        <v>2.8643299999999998</v>
      </c>
      <c r="AC1372" s="217">
        <v>4.6097020000000004</v>
      </c>
      <c r="AD1372" s="212">
        <f t="shared" si="21"/>
        <v>11447269.066029999</v>
      </c>
    </row>
    <row r="1373" spans="2:30" x14ac:dyDescent="0.15">
      <c r="B1373" s="213">
        <v>17089002040</v>
      </c>
      <c r="C1373" s="213">
        <v>17089000379</v>
      </c>
      <c r="D1373" s="213">
        <v>17089000361</v>
      </c>
      <c r="E1373" s="213" t="s">
        <v>533</v>
      </c>
      <c r="F1373" s="213" t="s">
        <v>534</v>
      </c>
      <c r="G1373" s="213" t="s">
        <v>369</v>
      </c>
      <c r="H1373" s="213" t="s">
        <v>535</v>
      </c>
      <c r="I1373" s="213"/>
      <c r="J1373" s="213"/>
      <c r="K1373" s="213"/>
      <c r="L1373" s="213"/>
      <c r="M1373" s="213"/>
      <c r="N1373" s="213"/>
      <c r="O1373" s="213"/>
      <c r="P1373" s="213"/>
      <c r="Q1373" s="213"/>
      <c r="R1373" s="213"/>
      <c r="S1373" s="213" t="s">
        <v>624</v>
      </c>
      <c r="T1373" s="213"/>
      <c r="U1373" s="213" t="s">
        <v>538</v>
      </c>
      <c r="V1373" s="213">
        <v>1</v>
      </c>
      <c r="W1373" s="213" t="s">
        <v>582</v>
      </c>
      <c r="X1373" s="213" t="s">
        <v>549</v>
      </c>
      <c r="Y1373" s="213" t="s">
        <v>554</v>
      </c>
      <c r="Z1373" s="212">
        <v>42612</v>
      </c>
      <c r="AA1373" s="212">
        <v>3996491</v>
      </c>
      <c r="AB1373" s="217">
        <v>2.5022660000000001</v>
      </c>
      <c r="AC1373" s="217">
        <v>4.0270140000000003</v>
      </c>
      <c r="AD1373" s="212">
        <f t="shared" si="21"/>
        <v>10000283.548606001</v>
      </c>
    </row>
    <row r="1374" spans="2:30" x14ac:dyDescent="0.15">
      <c r="B1374" s="213">
        <v>17089002044</v>
      </c>
      <c r="C1374" s="213">
        <v>17089004848</v>
      </c>
      <c r="D1374" s="213">
        <v>17089000544</v>
      </c>
      <c r="E1374" s="213" t="s">
        <v>533</v>
      </c>
      <c r="F1374" s="213" t="s">
        <v>534</v>
      </c>
      <c r="G1374" s="213" t="s">
        <v>369</v>
      </c>
      <c r="H1374" s="213" t="s">
        <v>382</v>
      </c>
      <c r="I1374" s="213"/>
      <c r="J1374" s="213" t="s">
        <v>547</v>
      </c>
      <c r="K1374" s="213"/>
      <c r="L1374" s="213"/>
      <c r="M1374" s="213"/>
      <c r="N1374" s="213"/>
      <c r="O1374" s="213"/>
      <c r="P1374" s="213"/>
      <c r="Q1374" s="213"/>
      <c r="R1374" s="213"/>
      <c r="S1374" s="213" t="s">
        <v>583</v>
      </c>
      <c r="T1374" s="213"/>
      <c r="U1374" s="213" t="s">
        <v>538</v>
      </c>
      <c r="V1374" s="213">
        <v>3</v>
      </c>
      <c r="W1374" s="213" t="s">
        <v>588</v>
      </c>
      <c r="X1374" s="213" t="s">
        <v>549</v>
      </c>
      <c r="Y1374" s="213" t="s">
        <v>575</v>
      </c>
      <c r="Z1374" s="212">
        <v>1875948</v>
      </c>
      <c r="AA1374" s="212">
        <v>76055962</v>
      </c>
      <c r="AB1374" s="217">
        <v>2.7214469999999999</v>
      </c>
      <c r="AC1374" s="217">
        <v>4.379753</v>
      </c>
      <c r="AD1374" s="212">
        <f t="shared" si="21"/>
        <v>206982269.61701399</v>
      </c>
    </row>
    <row r="1375" spans="2:30" x14ac:dyDescent="0.15">
      <c r="B1375" s="213">
        <v>17089002201</v>
      </c>
      <c r="C1375" s="213">
        <v>17089004853</v>
      </c>
      <c r="D1375" s="213">
        <v>17089000304</v>
      </c>
      <c r="E1375" s="213" t="s">
        <v>533</v>
      </c>
      <c r="F1375" s="213" t="s">
        <v>534</v>
      </c>
      <c r="G1375" s="213" t="s">
        <v>369</v>
      </c>
      <c r="H1375" s="213" t="s">
        <v>552</v>
      </c>
      <c r="I1375" s="213"/>
      <c r="J1375" s="213" t="s">
        <v>547</v>
      </c>
      <c r="K1375" s="213"/>
      <c r="L1375" s="213"/>
      <c r="M1375" s="213"/>
      <c r="N1375" s="213"/>
      <c r="O1375" s="213"/>
      <c r="P1375" s="213"/>
      <c r="Q1375" s="213"/>
      <c r="R1375" s="213"/>
      <c r="S1375" s="213" t="s">
        <v>589</v>
      </c>
      <c r="T1375" s="213"/>
      <c r="U1375" s="213" t="s">
        <v>538</v>
      </c>
      <c r="V1375" s="213">
        <v>2</v>
      </c>
      <c r="W1375" s="213" t="s">
        <v>545</v>
      </c>
      <c r="X1375" s="213" t="s">
        <v>549</v>
      </c>
      <c r="Y1375" s="213" t="s">
        <v>540</v>
      </c>
      <c r="Z1375" s="212">
        <v>36089</v>
      </c>
      <c r="AA1375" s="212">
        <v>3395595</v>
      </c>
      <c r="AB1375" s="217">
        <v>0.77068899999999996</v>
      </c>
      <c r="AC1375" s="217">
        <v>1.2403059999999999</v>
      </c>
      <c r="AD1375" s="212">
        <f t="shared" si="21"/>
        <v>2616947.7149549997</v>
      </c>
    </row>
    <row r="1376" spans="2:30" x14ac:dyDescent="0.15">
      <c r="B1376" s="213">
        <v>17089002202</v>
      </c>
      <c r="C1376" s="213">
        <v>17089004851</v>
      </c>
      <c r="D1376" s="213">
        <v>17089004852</v>
      </c>
      <c r="E1376" s="213" t="s">
        <v>533</v>
      </c>
      <c r="F1376" s="213" t="s">
        <v>534</v>
      </c>
      <c r="G1376" s="213" t="s">
        <v>369</v>
      </c>
      <c r="H1376" s="213" t="s">
        <v>552</v>
      </c>
      <c r="I1376" s="213"/>
      <c r="J1376" s="213" t="s">
        <v>547</v>
      </c>
      <c r="K1376" s="213"/>
      <c r="L1376" s="213"/>
      <c r="M1376" s="213"/>
      <c r="N1376" s="213"/>
      <c r="O1376" s="213"/>
      <c r="P1376" s="213"/>
      <c r="Q1376" s="213"/>
      <c r="R1376" s="213"/>
      <c r="S1376" s="213" t="s">
        <v>589</v>
      </c>
      <c r="T1376" s="213"/>
      <c r="U1376" s="213" t="s">
        <v>538</v>
      </c>
      <c r="V1376" s="213">
        <v>1</v>
      </c>
      <c r="W1376" s="213" t="s">
        <v>545</v>
      </c>
      <c r="X1376" s="213" t="s">
        <v>549</v>
      </c>
      <c r="Y1376" s="213" t="s">
        <v>540</v>
      </c>
      <c r="Z1376" s="212">
        <v>36089</v>
      </c>
      <c r="AA1376" s="212">
        <v>3395595</v>
      </c>
      <c r="AB1376" s="217">
        <v>0.256436</v>
      </c>
      <c r="AC1376" s="217">
        <v>0.41269499999999998</v>
      </c>
      <c r="AD1376" s="212">
        <f t="shared" si="21"/>
        <v>870752.79941999994</v>
      </c>
    </row>
    <row r="1377" spans="2:30" x14ac:dyDescent="0.15">
      <c r="B1377" s="213">
        <v>17089003097</v>
      </c>
      <c r="C1377" s="213">
        <v>17089004845</v>
      </c>
      <c r="D1377" s="213">
        <v>17089000598</v>
      </c>
      <c r="E1377" s="213" t="s">
        <v>533</v>
      </c>
      <c r="F1377" s="213" t="s">
        <v>534</v>
      </c>
      <c r="G1377" s="213" t="s">
        <v>369</v>
      </c>
      <c r="H1377" s="213" t="s">
        <v>382</v>
      </c>
      <c r="I1377" s="213"/>
      <c r="J1377" s="213" t="s">
        <v>547</v>
      </c>
      <c r="K1377" s="213"/>
      <c r="L1377" s="213"/>
      <c r="M1377" s="213"/>
      <c r="N1377" s="213"/>
      <c r="O1377" s="213"/>
      <c r="P1377" s="213"/>
      <c r="Q1377" s="213"/>
      <c r="R1377" s="213"/>
      <c r="S1377" s="213" t="s">
        <v>583</v>
      </c>
      <c r="T1377" s="213"/>
      <c r="U1377" s="213" t="s">
        <v>538</v>
      </c>
      <c r="V1377" s="213">
        <v>3</v>
      </c>
      <c r="W1377" s="213" t="s">
        <v>588</v>
      </c>
      <c r="X1377" s="213" t="s">
        <v>549</v>
      </c>
      <c r="Y1377" s="213" t="s">
        <v>575</v>
      </c>
      <c r="Z1377" s="212">
        <v>1876588</v>
      </c>
      <c r="AA1377" s="212">
        <v>76118122</v>
      </c>
      <c r="AB1377" s="217">
        <v>1.1730689999999999</v>
      </c>
      <c r="AC1377" s="217">
        <v>1.8878760000000001</v>
      </c>
      <c r="AD1377" s="212">
        <f t="shared" si="21"/>
        <v>89291809.25641799</v>
      </c>
    </row>
    <row r="1378" spans="2:30" x14ac:dyDescent="0.15">
      <c r="B1378" s="213">
        <v>17089003099</v>
      </c>
      <c r="C1378" s="213">
        <v>17089001050</v>
      </c>
      <c r="D1378" s="213">
        <v>17089001038</v>
      </c>
      <c r="E1378" s="213" t="s">
        <v>533</v>
      </c>
      <c r="F1378" s="213" t="s">
        <v>534</v>
      </c>
      <c r="G1378" s="213" t="s">
        <v>369</v>
      </c>
      <c r="H1378" s="213" t="s">
        <v>381</v>
      </c>
      <c r="I1378" s="213"/>
      <c r="J1378" s="213" t="s">
        <v>542</v>
      </c>
      <c r="K1378" s="213" t="s">
        <v>578</v>
      </c>
      <c r="L1378" s="213" t="s">
        <v>382</v>
      </c>
      <c r="M1378" s="213"/>
      <c r="N1378" s="213"/>
      <c r="O1378" s="213"/>
      <c r="P1378" s="213"/>
      <c r="Q1378" s="213"/>
      <c r="R1378" s="213"/>
      <c r="S1378" s="213" t="s">
        <v>579</v>
      </c>
      <c r="T1378" s="213"/>
      <c r="U1378" s="213" t="s">
        <v>538</v>
      </c>
      <c r="V1378" s="213">
        <v>2</v>
      </c>
      <c r="W1378" s="213" t="s">
        <v>545</v>
      </c>
      <c r="X1378" s="213" t="s">
        <v>549</v>
      </c>
      <c r="Y1378" s="213" t="s">
        <v>575</v>
      </c>
      <c r="Z1378" s="212">
        <v>1291066</v>
      </c>
      <c r="AA1378" s="212">
        <v>62278706</v>
      </c>
      <c r="AB1378" s="217">
        <v>0.74954399999999999</v>
      </c>
      <c r="AC1378" s="217">
        <v>1.206277</v>
      </c>
      <c r="AD1378" s="212">
        <f t="shared" si="21"/>
        <v>46680630.410063997</v>
      </c>
    </row>
    <row r="1379" spans="2:30" x14ac:dyDescent="0.15">
      <c r="B1379" s="213">
        <v>17089003255</v>
      </c>
      <c r="C1379" s="213">
        <v>17089001010</v>
      </c>
      <c r="D1379" s="213">
        <v>17089000990</v>
      </c>
      <c r="E1379" s="213" t="s">
        <v>533</v>
      </c>
      <c r="F1379" s="213" t="s">
        <v>534</v>
      </c>
      <c r="G1379" s="213" t="s">
        <v>369</v>
      </c>
      <c r="H1379" s="213" t="s">
        <v>547</v>
      </c>
      <c r="I1379" s="213"/>
      <c r="J1379" s="213"/>
      <c r="K1379" s="213"/>
      <c r="L1379" s="213"/>
      <c r="M1379" s="213"/>
      <c r="N1379" s="213"/>
      <c r="O1379" s="213"/>
      <c r="P1379" s="213"/>
      <c r="Q1379" s="213"/>
      <c r="R1379" s="213"/>
      <c r="S1379" s="213"/>
      <c r="T1379" s="213"/>
      <c r="U1379" s="213" t="s">
        <v>538</v>
      </c>
      <c r="V1379" s="213">
        <v>2</v>
      </c>
      <c r="W1379" s="213" t="s">
        <v>545</v>
      </c>
      <c r="X1379" s="213" t="s">
        <v>554</v>
      </c>
      <c r="Y1379" s="213" t="s">
        <v>541</v>
      </c>
      <c r="Z1379" s="212">
        <v>0</v>
      </c>
      <c r="AA1379" s="212">
        <v>0</v>
      </c>
      <c r="AB1379" s="217">
        <v>0.52129300000000001</v>
      </c>
      <c r="AC1379" s="217">
        <v>0.83894199999999997</v>
      </c>
      <c r="AD1379" s="212">
        <f t="shared" si="21"/>
        <v>0</v>
      </c>
    </row>
    <row r="1380" spans="2:30" x14ac:dyDescent="0.15">
      <c r="B1380" s="213">
        <v>17089003510</v>
      </c>
      <c r="C1380" s="213">
        <v>17089000598</v>
      </c>
      <c r="D1380" s="213">
        <v>17999020738</v>
      </c>
      <c r="E1380" s="213" t="s">
        <v>533</v>
      </c>
      <c r="F1380" s="213" t="s">
        <v>534</v>
      </c>
      <c r="G1380" s="213" t="s">
        <v>369</v>
      </c>
      <c r="H1380" s="213" t="s">
        <v>382</v>
      </c>
      <c r="I1380" s="213"/>
      <c r="J1380" s="213" t="s">
        <v>547</v>
      </c>
      <c r="K1380" s="213"/>
      <c r="L1380" s="213"/>
      <c r="M1380" s="213"/>
      <c r="N1380" s="213"/>
      <c r="O1380" s="213"/>
      <c r="P1380" s="213"/>
      <c r="Q1380" s="213"/>
      <c r="R1380" s="213"/>
      <c r="S1380" s="213" t="s">
        <v>583</v>
      </c>
      <c r="T1380" s="213"/>
      <c r="U1380" s="213" t="s">
        <v>538</v>
      </c>
      <c r="V1380" s="213">
        <v>3</v>
      </c>
      <c r="W1380" s="213" t="s">
        <v>588</v>
      </c>
      <c r="X1380" s="213" t="s">
        <v>549</v>
      </c>
      <c r="Y1380" s="213" t="s">
        <v>575</v>
      </c>
      <c r="Z1380" s="212">
        <v>1876588</v>
      </c>
      <c r="AA1380" s="212">
        <v>76118122</v>
      </c>
      <c r="AB1380" s="217">
        <v>1.266664</v>
      </c>
      <c r="AC1380" s="217">
        <v>2.0385019999999998</v>
      </c>
      <c r="AD1380" s="212">
        <f t="shared" si="21"/>
        <v>96416084.885008007</v>
      </c>
    </row>
    <row r="1381" spans="2:30" x14ac:dyDescent="0.15">
      <c r="B1381" s="213">
        <v>17089003970</v>
      </c>
      <c r="C1381" s="213">
        <v>17089000960</v>
      </c>
      <c r="D1381" s="213">
        <v>17999021568</v>
      </c>
      <c r="E1381" s="213" t="s">
        <v>533</v>
      </c>
      <c r="F1381" s="213" t="s">
        <v>534</v>
      </c>
      <c r="G1381" s="213" t="s">
        <v>369</v>
      </c>
      <c r="H1381" s="213" t="s">
        <v>381</v>
      </c>
      <c r="I1381" s="213"/>
      <c r="J1381" s="213" t="s">
        <v>542</v>
      </c>
      <c r="K1381" s="213" t="s">
        <v>578</v>
      </c>
      <c r="L1381" s="213" t="s">
        <v>547</v>
      </c>
      <c r="M1381" s="213" t="s">
        <v>382</v>
      </c>
      <c r="N1381" s="213"/>
      <c r="O1381" s="213"/>
      <c r="P1381" s="213"/>
      <c r="Q1381" s="213"/>
      <c r="R1381" s="213"/>
      <c r="S1381" s="213" t="s">
        <v>579</v>
      </c>
      <c r="T1381" s="213" t="s">
        <v>694</v>
      </c>
      <c r="U1381" s="213" t="s">
        <v>538</v>
      </c>
      <c r="V1381" s="213">
        <v>3</v>
      </c>
      <c r="W1381" s="213" t="s">
        <v>545</v>
      </c>
      <c r="X1381" s="213" t="s">
        <v>540</v>
      </c>
      <c r="Y1381" s="213" t="s">
        <v>575</v>
      </c>
      <c r="Z1381" s="212">
        <v>1289946</v>
      </c>
      <c r="AA1381" s="212">
        <v>62180706</v>
      </c>
      <c r="AB1381" s="217">
        <v>0.608039</v>
      </c>
      <c r="AC1381" s="217">
        <v>0.97854600000000003</v>
      </c>
      <c r="AD1381" s="212">
        <f t="shared" si="21"/>
        <v>37808294.295534</v>
      </c>
    </row>
    <row r="1382" spans="2:30" x14ac:dyDescent="0.15">
      <c r="B1382" s="213">
        <v>17089006564</v>
      </c>
      <c r="C1382" s="213">
        <v>17089000476</v>
      </c>
      <c r="D1382" s="213">
        <v>17089000473</v>
      </c>
      <c r="E1382" s="213" t="s">
        <v>533</v>
      </c>
      <c r="F1382" s="213" t="s">
        <v>534</v>
      </c>
      <c r="G1382" s="213" t="s">
        <v>369</v>
      </c>
      <c r="H1382" s="213" t="s">
        <v>382</v>
      </c>
      <c r="I1382" s="213"/>
      <c r="J1382" s="213"/>
      <c r="K1382" s="213"/>
      <c r="L1382" s="213"/>
      <c r="M1382" s="213"/>
      <c r="N1382" s="213"/>
      <c r="O1382" s="213"/>
      <c r="P1382" s="213"/>
      <c r="Q1382" s="213"/>
      <c r="R1382" s="213"/>
      <c r="S1382" s="213" t="s">
        <v>635</v>
      </c>
      <c r="T1382" s="213"/>
      <c r="U1382" s="213" t="s">
        <v>559</v>
      </c>
      <c r="V1382" s="213">
        <v>1</v>
      </c>
      <c r="W1382" s="213" t="s">
        <v>560</v>
      </c>
      <c r="X1382" s="213" t="s">
        <v>541</v>
      </c>
      <c r="Y1382" s="213" t="s">
        <v>541</v>
      </c>
      <c r="Z1382" s="212">
        <v>0</v>
      </c>
      <c r="AA1382" s="212">
        <v>0</v>
      </c>
      <c r="AB1382" s="217">
        <v>0.225996</v>
      </c>
      <c r="AC1382" s="217">
        <v>0.363707</v>
      </c>
      <c r="AD1382" s="212">
        <f t="shared" si="21"/>
        <v>0</v>
      </c>
    </row>
    <row r="1383" spans="2:30" x14ac:dyDescent="0.15">
      <c r="B1383" s="213">
        <v>17089006566</v>
      </c>
      <c r="C1383" s="213">
        <v>17089004854</v>
      </c>
      <c r="D1383" s="213">
        <v>17089000288</v>
      </c>
      <c r="E1383" s="213" t="s">
        <v>533</v>
      </c>
      <c r="F1383" s="213" t="s">
        <v>534</v>
      </c>
      <c r="G1383" s="213" t="s">
        <v>369</v>
      </c>
      <c r="H1383" s="213" t="s">
        <v>552</v>
      </c>
      <c r="I1383" s="213"/>
      <c r="J1383" s="213" t="s">
        <v>547</v>
      </c>
      <c r="K1383" s="213"/>
      <c r="L1383" s="213"/>
      <c r="M1383" s="213"/>
      <c r="N1383" s="213"/>
      <c r="O1383" s="213"/>
      <c r="P1383" s="213"/>
      <c r="Q1383" s="213"/>
      <c r="R1383" s="213"/>
      <c r="S1383" s="213" t="s">
        <v>589</v>
      </c>
      <c r="T1383" s="213"/>
      <c r="U1383" s="213" t="s">
        <v>538</v>
      </c>
      <c r="V1383" s="213">
        <v>2</v>
      </c>
      <c r="W1383" s="213" t="s">
        <v>545</v>
      </c>
      <c r="X1383" s="213" t="s">
        <v>540</v>
      </c>
      <c r="Y1383" s="213" t="s">
        <v>540</v>
      </c>
      <c r="Z1383" s="212">
        <v>36089</v>
      </c>
      <c r="AA1383" s="212">
        <v>3395595</v>
      </c>
      <c r="AB1383" s="217">
        <v>0.107504</v>
      </c>
      <c r="AC1383" s="217">
        <v>0.173011</v>
      </c>
      <c r="AD1383" s="212">
        <f t="shared" si="21"/>
        <v>365040.04488</v>
      </c>
    </row>
    <row r="1384" spans="2:30" x14ac:dyDescent="0.15">
      <c r="B1384" s="213">
        <v>17089006581</v>
      </c>
      <c r="C1384" s="213">
        <v>17089004872</v>
      </c>
      <c r="D1384" s="213">
        <v>17089000509</v>
      </c>
      <c r="E1384" s="213" t="s">
        <v>533</v>
      </c>
      <c r="F1384" s="213" t="s">
        <v>534</v>
      </c>
      <c r="G1384" s="213" t="s">
        <v>369</v>
      </c>
      <c r="H1384" s="213" t="s">
        <v>382</v>
      </c>
      <c r="I1384" s="213"/>
      <c r="J1384" s="213"/>
      <c r="K1384" s="213"/>
      <c r="L1384" s="213"/>
      <c r="M1384" s="213"/>
      <c r="N1384" s="213"/>
      <c r="O1384" s="213"/>
      <c r="P1384" s="213"/>
      <c r="Q1384" s="213"/>
      <c r="R1384" s="213"/>
      <c r="S1384" s="213" t="s">
        <v>583</v>
      </c>
      <c r="T1384" s="213"/>
      <c r="U1384" s="213" t="s">
        <v>538</v>
      </c>
      <c r="V1384" s="213">
        <v>3</v>
      </c>
      <c r="W1384" s="213" t="s">
        <v>588</v>
      </c>
      <c r="X1384" s="213" t="s">
        <v>549</v>
      </c>
      <c r="Y1384" s="213" t="s">
        <v>575</v>
      </c>
      <c r="Z1384" s="212">
        <v>1875948</v>
      </c>
      <c r="AA1384" s="212">
        <v>76055962</v>
      </c>
      <c r="AB1384" s="217">
        <v>1.810265</v>
      </c>
      <c r="AC1384" s="217">
        <v>2.9133460000000002</v>
      </c>
      <c r="AD1384" s="212">
        <f t="shared" si="21"/>
        <v>137681446.04993001</v>
      </c>
    </row>
    <row r="1385" spans="2:30" x14ac:dyDescent="0.15">
      <c r="B1385" s="213">
        <v>17089010215</v>
      </c>
      <c r="C1385" s="213">
        <v>17089001087</v>
      </c>
      <c r="D1385" s="213">
        <v>17089001083</v>
      </c>
      <c r="E1385" s="213" t="s">
        <v>533</v>
      </c>
      <c r="F1385" s="213" t="s">
        <v>534</v>
      </c>
      <c r="G1385" s="213" t="s">
        <v>369</v>
      </c>
      <c r="H1385" s="213" t="s">
        <v>381</v>
      </c>
      <c r="I1385" s="213"/>
      <c r="J1385" s="213" t="s">
        <v>542</v>
      </c>
      <c r="K1385" s="213" t="s">
        <v>382</v>
      </c>
      <c r="L1385" s="213"/>
      <c r="M1385" s="213"/>
      <c r="N1385" s="213"/>
      <c r="O1385" s="213"/>
      <c r="P1385" s="213"/>
      <c r="Q1385" s="213"/>
      <c r="R1385" s="213"/>
      <c r="S1385" s="213" t="s">
        <v>619</v>
      </c>
      <c r="T1385" s="213"/>
      <c r="U1385" s="213" t="s">
        <v>538</v>
      </c>
      <c r="V1385" s="213">
        <v>2</v>
      </c>
      <c r="W1385" s="213" t="s">
        <v>545</v>
      </c>
      <c r="X1385" s="213" t="s">
        <v>549</v>
      </c>
      <c r="Y1385" s="213" t="s">
        <v>580</v>
      </c>
      <c r="Z1385" s="212">
        <v>413307</v>
      </c>
      <c r="AA1385" s="212">
        <v>39202049</v>
      </c>
      <c r="AB1385" s="217">
        <v>0.16081599999999999</v>
      </c>
      <c r="AC1385" s="217">
        <v>0.25880999999999998</v>
      </c>
      <c r="AD1385" s="212">
        <f t="shared" si="21"/>
        <v>6304316.7119839992</v>
      </c>
    </row>
    <row r="1386" spans="2:30" x14ac:dyDescent="0.15">
      <c r="B1386" s="213">
        <v>17093002019</v>
      </c>
      <c r="C1386" s="213">
        <v>17093004860</v>
      </c>
      <c r="D1386" s="213">
        <v>17999021945</v>
      </c>
      <c r="E1386" s="213" t="s">
        <v>533</v>
      </c>
      <c r="F1386" s="213" t="s">
        <v>534</v>
      </c>
      <c r="G1386" s="213" t="s">
        <v>371</v>
      </c>
      <c r="H1386" s="213" t="s">
        <v>578</v>
      </c>
      <c r="I1386" s="213"/>
      <c r="J1386" s="213"/>
      <c r="K1386" s="213"/>
      <c r="L1386" s="213"/>
      <c r="M1386" s="213"/>
      <c r="N1386" s="213"/>
      <c r="O1386" s="213"/>
      <c r="P1386" s="213"/>
      <c r="Q1386" s="213"/>
      <c r="R1386" s="213"/>
      <c r="S1386" s="213"/>
      <c r="T1386" s="213"/>
      <c r="U1386" s="213" t="s">
        <v>538</v>
      </c>
      <c r="V1386" s="213">
        <v>1</v>
      </c>
      <c r="W1386" s="213" t="s">
        <v>560</v>
      </c>
      <c r="X1386" s="213" t="s">
        <v>541</v>
      </c>
      <c r="Y1386" s="213" t="s">
        <v>541</v>
      </c>
      <c r="Z1386" s="212">
        <v>15608</v>
      </c>
      <c r="AA1386" s="212">
        <v>1529652</v>
      </c>
      <c r="AB1386" s="217">
        <v>2.8019810000000001</v>
      </c>
      <c r="AC1386" s="217">
        <v>4.50936</v>
      </c>
      <c r="AD1386" s="212">
        <f t="shared" si="21"/>
        <v>4286055.8406119999</v>
      </c>
    </row>
    <row r="1387" spans="2:30" x14ac:dyDescent="0.15">
      <c r="B1387" s="213">
        <v>17093002021</v>
      </c>
      <c r="C1387" s="213">
        <v>17093004861</v>
      </c>
      <c r="D1387" s="213">
        <v>17093004860</v>
      </c>
      <c r="E1387" s="213" t="s">
        <v>533</v>
      </c>
      <c r="F1387" s="213" t="s">
        <v>534</v>
      </c>
      <c r="G1387" s="213" t="s">
        <v>371</v>
      </c>
      <c r="H1387" s="213" t="s">
        <v>578</v>
      </c>
      <c r="I1387" s="213"/>
      <c r="J1387" s="213"/>
      <c r="K1387" s="213"/>
      <c r="L1387" s="213"/>
      <c r="M1387" s="213"/>
      <c r="N1387" s="213"/>
      <c r="O1387" s="213"/>
      <c r="P1387" s="213"/>
      <c r="Q1387" s="213"/>
      <c r="R1387" s="213"/>
      <c r="S1387" s="213"/>
      <c r="T1387" s="213"/>
      <c r="U1387" s="213" t="s">
        <v>538</v>
      </c>
      <c r="V1387" s="213">
        <v>1</v>
      </c>
      <c r="W1387" s="213" t="s">
        <v>560</v>
      </c>
      <c r="X1387" s="213" t="s">
        <v>541</v>
      </c>
      <c r="Y1387" s="213" t="s">
        <v>541</v>
      </c>
      <c r="Z1387" s="212">
        <v>15608</v>
      </c>
      <c r="AA1387" s="212">
        <v>1529652</v>
      </c>
      <c r="AB1387" s="217">
        <v>6.1444320000000001</v>
      </c>
      <c r="AC1387" s="217">
        <v>9.8885249999999996</v>
      </c>
      <c r="AD1387" s="212">
        <f t="shared" si="21"/>
        <v>9398842.6976640001</v>
      </c>
    </row>
    <row r="1388" spans="2:30" x14ac:dyDescent="0.15">
      <c r="B1388" s="213">
        <v>17093002024</v>
      </c>
      <c r="C1388" s="213">
        <v>17093001425</v>
      </c>
      <c r="D1388" s="213">
        <v>17093004862</v>
      </c>
      <c r="E1388" s="213" t="s">
        <v>533</v>
      </c>
      <c r="F1388" s="213" t="s">
        <v>534</v>
      </c>
      <c r="G1388" s="213" t="s">
        <v>371</v>
      </c>
      <c r="H1388" s="213" t="s">
        <v>578</v>
      </c>
      <c r="I1388" s="213"/>
      <c r="J1388" s="213"/>
      <c r="K1388" s="213"/>
      <c r="L1388" s="213"/>
      <c r="M1388" s="213"/>
      <c r="N1388" s="213"/>
      <c r="O1388" s="213"/>
      <c r="P1388" s="213"/>
      <c r="Q1388" s="213"/>
      <c r="R1388" s="213"/>
      <c r="S1388" s="213"/>
      <c r="T1388" s="213"/>
      <c r="U1388" s="213" t="s">
        <v>538</v>
      </c>
      <c r="V1388" s="213">
        <v>1</v>
      </c>
      <c r="W1388" s="213" t="s">
        <v>560</v>
      </c>
      <c r="X1388" s="213" t="s">
        <v>541</v>
      </c>
      <c r="Y1388" s="213" t="s">
        <v>541</v>
      </c>
      <c r="Z1388" s="212">
        <v>15608</v>
      </c>
      <c r="AA1388" s="212">
        <v>1529652</v>
      </c>
      <c r="AB1388" s="217">
        <v>3.5062069999999999</v>
      </c>
      <c r="AC1388" s="217">
        <v>5.6427050000000003</v>
      </c>
      <c r="AD1388" s="212">
        <f t="shared" si="21"/>
        <v>5363276.5499639995</v>
      </c>
    </row>
    <row r="1389" spans="2:30" x14ac:dyDescent="0.15">
      <c r="B1389" s="213">
        <v>17093002437</v>
      </c>
      <c r="C1389" s="213">
        <v>17093001126</v>
      </c>
      <c r="D1389" s="213">
        <v>17999021944</v>
      </c>
      <c r="E1389" s="213" t="s">
        <v>533</v>
      </c>
      <c r="F1389" s="213" t="s">
        <v>534</v>
      </c>
      <c r="G1389" s="213" t="s">
        <v>371</v>
      </c>
      <c r="H1389" s="213" t="s">
        <v>381</v>
      </c>
      <c r="I1389" s="213"/>
      <c r="J1389" s="213" t="s">
        <v>542</v>
      </c>
      <c r="K1389" s="213" t="s">
        <v>382</v>
      </c>
      <c r="L1389" s="213"/>
      <c r="M1389" s="213"/>
      <c r="N1389" s="213"/>
      <c r="O1389" s="213"/>
      <c r="P1389" s="213"/>
      <c r="Q1389" s="213"/>
      <c r="R1389" s="213"/>
      <c r="S1389" s="213" t="s">
        <v>619</v>
      </c>
      <c r="T1389" s="213"/>
      <c r="U1389" s="213" t="s">
        <v>538</v>
      </c>
      <c r="V1389" s="213">
        <v>2</v>
      </c>
      <c r="W1389" s="213" t="s">
        <v>545</v>
      </c>
      <c r="X1389" s="213" t="s">
        <v>549</v>
      </c>
      <c r="Y1389" s="213" t="s">
        <v>580</v>
      </c>
      <c r="Z1389" s="212">
        <v>413307</v>
      </c>
      <c r="AA1389" s="212">
        <v>39202049</v>
      </c>
      <c r="AB1389" s="217">
        <v>1.3535189999999999</v>
      </c>
      <c r="AC1389" s="217">
        <v>2.1782819999999998</v>
      </c>
      <c r="AD1389" s="212">
        <f t="shared" si="21"/>
        <v>53060718.160430998</v>
      </c>
    </row>
    <row r="1390" spans="2:30" x14ac:dyDescent="0.15">
      <c r="B1390" s="213">
        <v>17093009941</v>
      </c>
      <c r="C1390" s="213">
        <v>17093001271</v>
      </c>
      <c r="D1390" s="213">
        <v>17093008039</v>
      </c>
      <c r="E1390" s="213" t="s">
        <v>533</v>
      </c>
      <c r="F1390" s="213" t="s">
        <v>534</v>
      </c>
      <c r="G1390" s="213" t="s">
        <v>371</v>
      </c>
      <c r="H1390" s="213" t="s">
        <v>381</v>
      </c>
      <c r="I1390" s="213"/>
      <c r="J1390" s="213" t="s">
        <v>542</v>
      </c>
      <c r="K1390" s="213" t="s">
        <v>382</v>
      </c>
      <c r="L1390" s="213"/>
      <c r="M1390" s="213"/>
      <c r="N1390" s="213"/>
      <c r="O1390" s="213"/>
      <c r="P1390" s="213"/>
      <c r="Q1390" s="213"/>
      <c r="R1390" s="213"/>
      <c r="S1390" s="213" t="s">
        <v>619</v>
      </c>
      <c r="T1390" s="213"/>
      <c r="U1390" s="213" t="s">
        <v>538</v>
      </c>
      <c r="V1390" s="213">
        <v>2</v>
      </c>
      <c r="W1390" s="213" t="s">
        <v>545</v>
      </c>
      <c r="X1390" s="213" t="s">
        <v>549</v>
      </c>
      <c r="Y1390" s="213" t="s">
        <v>580</v>
      </c>
      <c r="Z1390" s="212">
        <v>413347</v>
      </c>
      <c r="AA1390" s="212">
        <v>39205729</v>
      </c>
      <c r="AB1390" s="217">
        <v>1.4553780000000001</v>
      </c>
      <c r="AC1390" s="217">
        <v>2.3422079999999998</v>
      </c>
      <c r="AD1390" s="212">
        <f t="shared" si="21"/>
        <v>57059155.460562006</v>
      </c>
    </row>
    <row r="1391" spans="2:30" x14ac:dyDescent="0.15">
      <c r="B1391" s="213">
        <v>17093009943</v>
      </c>
      <c r="C1391" s="213">
        <v>17093008041</v>
      </c>
      <c r="D1391" s="213">
        <v>17093001210</v>
      </c>
      <c r="E1391" s="213" t="s">
        <v>533</v>
      </c>
      <c r="F1391" s="213" t="s">
        <v>534</v>
      </c>
      <c r="G1391" s="213" t="s">
        <v>371</v>
      </c>
      <c r="H1391" s="213" t="s">
        <v>381</v>
      </c>
      <c r="I1391" s="213"/>
      <c r="J1391" s="213" t="s">
        <v>542</v>
      </c>
      <c r="K1391" s="213" t="s">
        <v>382</v>
      </c>
      <c r="L1391" s="213"/>
      <c r="M1391" s="213"/>
      <c r="N1391" s="213"/>
      <c r="O1391" s="213"/>
      <c r="P1391" s="213"/>
      <c r="Q1391" s="213"/>
      <c r="R1391" s="213"/>
      <c r="S1391" s="213" t="s">
        <v>619</v>
      </c>
      <c r="T1391" s="213"/>
      <c r="U1391" s="213" t="s">
        <v>538</v>
      </c>
      <c r="V1391" s="213">
        <v>2</v>
      </c>
      <c r="W1391" s="213" t="s">
        <v>545</v>
      </c>
      <c r="X1391" s="213" t="s">
        <v>549</v>
      </c>
      <c r="Y1391" s="213" t="s">
        <v>580</v>
      </c>
      <c r="Z1391" s="212">
        <v>413347</v>
      </c>
      <c r="AA1391" s="212">
        <v>39205729</v>
      </c>
      <c r="AB1391" s="217">
        <v>1.2420869999999999</v>
      </c>
      <c r="AC1391" s="217">
        <v>1.9989490000000001</v>
      </c>
      <c r="AD1391" s="212">
        <f t="shared" si="21"/>
        <v>48696926.316422999</v>
      </c>
    </row>
    <row r="1392" spans="2:30" x14ac:dyDescent="0.15">
      <c r="B1392" s="213">
        <v>17097001928</v>
      </c>
      <c r="C1392" s="213">
        <v>17097000078</v>
      </c>
      <c r="D1392" s="213">
        <v>17097000077</v>
      </c>
      <c r="E1392" s="213" t="s">
        <v>533</v>
      </c>
      <c r="F1392" s="213" t="s">
        <v>534</v>
      </c>
      <c r="G1392" s="213" t="s">
        <v>373</v>
      </c>
      <c r="H1392" s="213" t="s">
        <v>552</v>
      </c>
      <c r="I1392" s="213"/>
      <c r="J1392" s="213" t="s">
        <v>547</v>
      </c>
      <c r="K1392" s="213" t="s">
        <v>563</v>
      </c>
      <c r="L1392" s="213"/>
      <c r="M1392" s="213"/>
      <c r="N1392" s="213"/>
      <c r="O1392" s="213"/>
      <c r="P1392" s="213"/>
      <c r="Q1392" s="213"/>
      <c r="R1392" s="213"/>
      <c r="S1392" s="213" t="s">
        <v>629</v>
      </c>
      <c r="T1392" s="213"/>
      <c r="U1392" s="213" t="s">
        <v>538</v>
      </c>
      <c r="V1392" s="213">
        <v>1</v>
      </c>
      <c r="W1392" s="213" t="s">
        <v>582</v>
      </c>
      <c r="X1392" s="213" t="s">
        <v>540</v>
      </c>
      <c r="Y1392" s="213" t="s">
        <v>554</v>
      </c>
      <c r="Z1392" s="212">
        <v>21588</v>
      </c>
      <c r="AA1392" s="212">
        <v>1927380</v>
      </c>
      <c r="AB1392" s="217">
        <v>2.2519809999999998</v>
      </c>
      <c r="AC1392" s="217">
        <v>3.6242200000000002</v>
      </c>
      <c r="AD1392" s="212">
        <f t="shared" si="21"/>
        <v>4340423.1397799999</v>
      </c>
    </row>
    <row r="1393" spans="2:30" x14ac:dyDescent="0.15">
      <c r="B1393" s="213">
        <v>17097001931</v>
      </c>
      <c r="C1393" s="213">
        <v>17097000097</v>
      </c>
      <c r="D1393" s="213">
        <v>17097000080</v>
      </c>
      <c r="E1393" s="213" t="s">
        <v>533</v>
      </c>
      <c r="F1393" s="213" t="s">
        <v>534</v>
      </c>
      <c r="G1393" s="213" t="s">
        <v>373</v>
      </c>
      <c r="H1393" s="213" t="s">
        <v>382</v>
      </c>
      <c r="I1393" s="213"/>
      <c r="J1393" s="213" t="s">
        <v>535</v>
      </c>
      <c r="K1393" s="213"/>
      <c r="L1393" s="213"/>
      <c r="M1393" s="213"/>
      <c r="N1393" s="213"/>
      <c r="O1393" s="213"/>
      <c r="P1393" s="213"/>
      <c r="Q1393" s="213"/>
      <c r="R1393" s="213"/>
      <c r="S1393" s="213" t="s">
        <v>703</v>
      </c>
      <c r="T1393" s="213"/>
      <c r="U1393" s="213" t="s">
        <v>538</v>
      </c>
      <c r="V1393" s="213">
        <v>1</v>
      </c>
      <c r="W1393" s="213" t="s">
        <v>582</v>
      </c>
      <c r="X1393" s="213" t="s">
        <v>540</v>
      </c>
      <c r="Y1393" s="213" t="s">
        <v>540</v>
      </c>
      <c r="Z1393" s="212">
        <v>23972</v>
      </c>
      <c r="AA1393" s="212">
        <v>2775064</v>
      </c>
      <c r="AB1393" s="217">
        <v>2.0672169999999999</v>
      </c>
      <c r="AC1393" s="217">
        <v>3.32687</v>
      </c>
      <c r="AD1393" s="212">
        <f t="shared" si="21"/>
        <v>5736659.476888</v>
      </c>
    </row>
    <row r="1394" spans="2:30" x14ac:dyDescent="0.15">
      <c r="B1394" s="213">
        <v>17097001934</v>
      </c>
      <c r="C1394" s="213">
        <v>17097004564</v>
      </c>
      <c r="D1394" s="213">
        <v>17097004563</v>
      </c>
      <c r="E1394" s="213" t="s">
        <v>533</v>
      </c>
      <c r="F1394" s="213" t="s">
        <v>534</v>
      </c>
      <c r="G1394" s="213" t="s">
        <v>373</v>
      </c>
      <c r="H1394" s="213" t="s">
        <v>382</v>
      </c>
      <c r="I1394" s="213"/>
      <c r="J1394" s="213" t="s">
        <v>535</v>
      </c>
      <c r="K1394" s="213" t="s">
        <v>547</v>
      </c>
      <c r="L1394" s="213"/>
      <c r="M1394" s="213"/>
      <c r="N1394" s="213"/>
      <c r="O1394" s="213"/>
      <c r="P1394" s="213"/>
      <c r="Q1394" s="213"/>
      <c r="R1394" s="213"/>
      <c r="S1394" s="213" t="s">
        <v>565</v>
      </c>
      <c r="T1394" s="213"/>
      <c r="U1394" s="213" t="s">
        <v>538</v>
      </c>
      <c r="V1394" s="213">
        <v>2</v>
      </c>
      <c r="W1394" s="213" t="s">
        <v>566</v>
      </c>
      <c r="X1394" s="213" t="s">
        <v>549</v>
      </c>
      <c r="Y1394" s="213" t="s">
        <v>540</v>
      </c>
      <c r="Z1394" s="212">
        <v>3388</v>
      </c>
      <c r="AA1394" s="212">
        <v>316944</v>
      </c>
      <c r="AB1394" s="217">
        <v>2.150271</v>
      </c>
      <c r="AC1394" s="217">
        <v>3.4605329999999999</v>
      </c>
      <c r="AD1394" s="212">
        <f t="shared" si="21"/>
        <v>681515.49182400003</v>
      </c>
    </row>
    <row r="1395" spans="2:30" x14ac:dyDescent="0.15">
      <c r="B1395" s="213">
        <v>17097002099</v>
      </c>
      <c r="C1395" s="213">
        <v>17097007517</v>
      </c>
      <c r="D1395" s="213">
        <v>17097004561</v>
      </c>
      <c r="E1395" s="213" t="s">
        <v>533</v>
      </c>
      <c r="F1395" s="213" t="s">
        <v>534</v>
      </c>
      <c r="G1395" s="213" t="s">
        <v>373</v>
      </c>
      <c r="H1395" s="213" t="s">
        <v>535</v>
      </c>
      <c r="I1395" s="213"/>
      <c r="J1395" s="213" t="s">
        <v>547</v>
      </c>
      <c r="K1395" s="213"/>
      <c r="L1395" s="213"/>
      <c r="M1395" s="213"/>
      <c r="N1395" s="213"/>
      <c r="O1395" s="213"/>
      <c r="P1395" s="213"/>
      <c r="Q1395" s="213"/>
      <c r="R1395" s="213"/>
      <c r="S1395" s="213" t="s">
        <v>548</v>
      </c>
      <c r="T1395" s="213"/>
      <c r="U1395" s="213" t="s">
        <v>538</v>
      </c>
      <c r="V1395" s="213">
        <v>1</v>
      </c>
      <c r="W1395" s="213" t="s">
        <v>545</v>
      </c>
      <c r="X1395" s="213" t="s">
        <v>549</v>
      </c>
      <c r="Y1395" s="213" t="s">
        <v>546</v>
      </c>
      <c r="Z1395" s="212">
        <v>374009</v>
      </c>
      <c r="AA1395" s="212">
        <v>22824039</v>
      </c>
      <c r="AB1395" s="217">
        <v>0.76541000000000003</v>
      </c>
      <c r="AC1395" s="217">
        <v>1.231811</v>
      </c>
      <c r="AD1395" s="212">
        <f t="shared" si="21"/>
        <v>17469747.690990001</v>
      </c>
    </row>
    <row r="1396" spans="2:30" x14ac:dyDescent="0.15">
      <c r="B1396" s="213">
        <v>17097002105</v>
      </c>
      <c r="C1396" s="213">
        <v>17097004561</v>
      </c>
      <c r="D1396" s="213">
        <v>17097004560</v>
      </c>
      <c r="E1396" s="213" t="s">
        <v>533</v>
      </c>
      <c r="F1396" s="213" t="s">
        <v>534</v>
      </c>
      <c r="G1396" s="213" t="s">
        <v>373</v>
      </c>
      <c r="H1396" s="213" t="s">
        <v>535</v>
      </c>
      <c r="I1396" s="213"/>
      <c r="J1396" s="213" t="s">
        <v>547</v>
      </c>
      <c r="K1396" s="213"/>
      <c r="L1396" s="213"/>
      <c r="M1396" s="213"/>
      <c r="N1396" s="213"/>
      <c r="O1396" s="213"/>
      <c r="P1396" s="213"/>
      <c r="Q1396" s="213"/>
      <c r="R1396" s="213"/>
      <c r="S1396" s="213" t="s">
        <v>548</v>
      </c>
      <c r="T1396" s="213"/>
      <c r="U1396" s="213" t="s">
        <v>538</v>
      </c>
      <c r="V1396" s="213">
        <v>2</v>
      </c>
      <c r="W1396" s="213" t="s">
        <v>545</v>
      </c>
      <c r="X1396" s="213" t="s">
        <v>549</v>
      </c>
      <c r="Y1396" s="213" t="s">
        <v>546</v>
      </c>
      <c r="Z1396" s="212">
        <v>373849</v>
      </c>
      <c r="AA1396" s="212">
        <v>22810399</v>
      </c>
      <c r="AB1396" s="217">
        <v>1.0895649999999999</v>
      </c>
      <c r="AC1396" s="217">
        <v>1.7534879999999999</v>
      </c>
      <c r="AD1396" s="212">
        <f t="shared" si="21"/>
        <v>24853412.386434998</v>
      </c>
    </row>
    <row r="1397" spans="2:30" x14ac:dyDescent="0.15">
      <c r="B1397" s="213">
        <v>17097002106</v>
      </c>
      <c r="C1397" s="213">
        <v>17097004560</v>
      </c>
      <c r="D1397" s="213">
        <v>17097004559</v>
      </c>
      <c r="E1397" s="213" t="s">
        <v>533</v>
      </c>
      <c r="F1397" s="213" t="s">
        <v>534</v>
      </c>
      <c r="G1397" s="213" t="s">
        <v>373</v>
      </c>
      <c r="H1397" s="213" t="s">
        <v>535</v>
      </c>
      <c r="I1397" s="213"/>
      <c r="J1397" s="213" t="s">
        <v>547</v>
      </c>
      <c r="K1397" s="213"/>
      <c r="L1397" s="213"/>
      <c r="M1397" s="213"/>
      <c r="N1397" s="213"/>
      <c r="O1397" s="213"/>
      <c r="P1397" s="213"/>
      <c r="Q1397" s="213"/>
      <c r="R1397" s="213"/>
      <c r="S1397" s="213" t="s">
        <v>548</v>
      </c>
      <c r="T1397" s="213"/>
      <c r="U1397" s="213" t="s">
        <v>538</v>
      </c>
      <c r="V1397" s="213">
        <v>2</v>
      </c>
      <c r="W1397" s="213" t="s">
        <v>545</v>
      </c>
      <c r="X1397" s="213" t="s">
        <v>549</v>
      </c>
      <c r="Y1397" s="213" t="s">
        <v>546</v>
      </c>
      <c r="Z1397" s="212">
        <v>373849</v>
      </c>
      <c r="AA1397" s="212">
        <v>22810399</v>
      </c>
      <c r="AB1397" s="217">
        <v>1.338678</v>
      </c>
      <c r="AC1397" s="217">
        <v>2.1543969999999999</v>
      </c>
      <c r="AD1397" s="212">
        <f t="shared" si="21"/>
        <v>30535779.312522002</v>
      </c>
    </row>
    <row r="1398" spans="2:30" x14ac:dyDescent="0.15">
      <c r="B1398" s="213">
        <v>17097002107</v>
      </c>
      <c r="C1398" s="213">
        <v>17097004559</v>
      </c>
      <c r="D1398" s="213">
        <v>17097007515</v>
      </c>
      <c r="E1398" s="213" t="s">
        <v>533</v>
      </c>
      <c r="F1398" s="213" t="s">
        <v>534</v>
      </c>
      <c r="G1398" s="213" t="s">
        <v>373</v>
      </c>
      <c r="H1398" s="213" t="s">
        <v>535</v>
      </c>
      <c r="I1398" s="213"/>
      <c r="J1398" s="213" t="s">
        <v>547</v>
      </c>
      <c r="K1398" s="213"/>
      <c r="L1398" s="213"/>
      <c r="M1398" s="213"/>
      <c r="N1398" s="213"/>
      <c r="O1398" s="213"/>
      <c r="P1398" s="213"/>
      <c r="Q1398" s="213"/>
      <c r="R1398" s="213"/>
      <c r="S1398" s="213" t="s">
        <v>548</v>
      </c>
      <c r="T1398" s="213"/>
      <c r="U1398" s="213" t="s">
        <v>538</v>
      </c>
      <c r="V1398" s="213">
        <v>2</v>
      </c>
      <c r="W1398" s="213" t="s">
        <v>545</v>
      </c>
      <c r="X1398" s="213" t="s">
        <v>549</v>
      </c>
      <c r="Y1398" s="213" t="s">
        <v>546</v>
      </c>
      <c r="Z1398" s="212">
        <v>373849</v>
      </c>
      <c r="AA1398" s="212">
        <v>22810399</v>
      </c>
      <c r="AB1398" s="217">
        <v>1.305717</v>
      </c>
      <c r="AC1398" s="217">
        <v>2.1013519999999999</v>
      </c>
      <c r="AD1398" s="212">
        <f t="shared" si="21"/>
        <v>29783925.751083001</v>
      </c>
    </row>
    <row r="1399" spans="2:30" x14ac:dyDescent="0.15">
      <c r="B1399" s="213">
        <v>17097002109</v>
      </c>
      <c r="C1399" s="213">
        <v>17097004558</v>
      </c>
      <c r="D1399" s="213">
        <v>17097004557</v>
      </c>
      <c r="E1399" s="213" t="s">
        <v>533</v>
      </c>
      <c r="F1399" s="213" t="s">
        <v>534</v>
      </c>
      <c r="G1399" s="213" t="s">
        <v>373</v>
      </c>
      <c r="H1399" s="213" t="s">
        <v>535</v>
      </c>
      <c r="I1399" s="213"/>
      <c r="J1399" s="213" t="s">
        <v>547</v>
      </c>
      <c r="K1399" s="213"/>
      <c r="L1399" s="213"/>
      <c r="M1399" s="213"/>
      <c r="N1399" s="213"/>
      <c r="O1399" s="213"/>
      <c r="P1399" s="213"/>
      <c r="Q1399" s="213"/>
      <c r="R1399" s="213"/>
      <c r="S1399" s="213" t="s">
        <v>548</v>
      </c>
      <c r="T1399" s="213"/>
      <c r="U1399" s="213" t="s">
        <v>538</v>
      </c>
      <c r="V1399" s="213">
        <v>2</v>
      </c>
      <c r="W1399" s="213" t="s">
        <v>545</v>
      </c>
      <c r="X1399" s="213" t="s">
        <v>549</v>
      </c>
      <c r="Y1399" s="213" t="s">
        <v>546</v>
      </c>
      <c r="Z1399" s="212">
        <v>371672</v>
      </c>
      <c r="AA1399" s="212">
        <v>23230333</v>
      </c>
      <c r="AB1399" s="217">
        <v>0.93016900000000002</v>
      </c>
      <c r="AC1399" s="217">
        <v>1.496966</v>
      </c>
      <c r="AD1399" s="212">
        <f t="shared" si="21"/>
        <v>21608135.616277002</v>
      </c>
    </row>
    <row r="1400" spans="2:30" x14ac:dyDescent="0.15">
      <c r="B1400" s="213">
        <v>17097002111</v>
      </c>
      <c r="C1400" s="213">
        <v>17097007506</v>
      </c>
      <c r="D1400" s="213">
        <v>17097004533</v>
      </c>
      <c r="E1400" s="213" t="s">
        <v>533</v>
      </c>
      <c r="F1400" s="213" t="s">
        <v>534</v>
      </c>
      <c r="G1400" s="213" t="s">
        <v>373</v>
      </c>
      <c r="H1400" s="213" t="s">
        <v>552</v>
      </c>
      <c r="I1400" s="213"/>
      <c r="J1400" s="213" t="s">
        <v>547</v>
      </c>
      <c r="K1400" s="213" t="s">
        <v>563</v>
      </c>
      <c r="L1400" s="213"/>
      <c r="M1400" s="213"/>
      <c r="N1400" s="213"/>
      <c r="O1400" s="213"/>
      <c r="P1400" s="213"/>
      <c r="Q1400" s="213"/>
      <c r="R1400" s="213"/>
      <c r="S1400" s="213" t="s">
        <v>629</v>
      </c>
      <c r="T1400" s="213"/>
      <c r="U1400" s="213" t="s">
        <v>538</v>
      </c>
      <c r="V1400" s="213">
        <v>1</v>
      </c>
      <c r="W1400" s="213" t="s">
        <v>582</v>
      </c>
      <c r="X1400" s="213" t="s">
        <v>540</v>
      </c>
      <c r="Y1400" s="213" t="s">
        <v>554</v>
      </c>
      <c r="Z1400" s="212">
        <v>21588</v>
      </c>
      <c r="AA1400" s="212">
        <v>1927380</v>
      </c>
      <c r="AB1400" s="217">
        <v>0.79005199999999998</v>
      </c>
      <c r="AC1400" s="217">
        <v>1.271468</v>
      </c>
      <c r="AD1400" s="212">
        <f t="shared" si="21"/>
        <v>1522730.4237599999</v>
      </c>
    </row>
    <row r="1401" spans="2:30" x14ac:dyDescent="0.15">
      <c r="B1401" s="213">
        <v>17097002114</v>
      </c>
      <c r="C1401" s="213">
        <v>17097000022</v>
      </c>
      <c r="D1401" s="213">
        <v>17097007500</v>
      </c>
      <c r="E1401" s="213" t="s">
        <v>533</v>
      </c>
      <c r="F1401" s="213" t="s">
        <v>534</v>
      </c>
      <c r="G1401" s="213" t="s">
        <v>373</v>
      </c>
      <c r="H1401" s="213" t="s">
        <v>535</v>
      </c>
      <c r="I1401" s="213"/>
      <c r="J1401" s="213"/>
      <c r="K1401" s="213"/>
      <c r="L1401" s="213"/>
      <c r="M1401" s="213"/>
      <c r="N1401" s="213"/>
      <c r="O1401" s="213"/>
      <c r="P1401" s="213"/>
      <c r="Q1401" s="213"/>
      <c r="R1401" s="213"/>
      <c r="S1401" s="213" t="s">
        <v>548</v>
      </c>
      <c r="T1401" s="213"/>
      <c r="U1401" s="213" t="s">
        <v>538</v>
      </c>
      <c r="V1401" s="213">
        <v>2</v>
      </c>
      <c r="W1401" s="213" t="s">
        <v>545</v>
      </c>
      <c r="X1401" s="213" t="s">
        <v>549</v>
      </c>
      <c r="Y1401" s="213" t="s">
        <v>546</v>
      </c>
      <c r="Z1401" s="212">
        <v>374620</v>
      </c>
      <c r="AA1401" s="212">
        <v>23516813</v>
      </c>
      <c r="AB1401" s="217">
        <v>0.68996199999999996</v>
      </c>
      <c r="AC1401" s="217">
        <v>1.1103890000000001</v>
      </c>
      <c r="AD1401" s="212">
        <f t="shared" si="21"/>
        <v>16225707.331106</v>
      </c>
    </row>
    <row r="1402" spans="2:30" x14ac:dyDescent="0.15">
      <c r="B1402" s="213">
        <v>17097002116</v>
      </c>
      <c r="C1402" s="213">
        <v>17097000049</v>
      </c>
      <c r="D1402" s="213">
        <v>17097004529</v>
      </c>
      <c r="E1402" s="213" t="s">
        <v>533</v>
      </c>
      <c r="F1402" s="213" t="s">
        <v>534</v>
      </c>
      <c r="G1402" s="213" t="s">
        <v>373</v>
      </c>
      <c r="H1402" s="213" t="s">
        <v>552</v>
      </c>
      <c r="I1402" s="213"/>
      <c r="J1402" s="213" t="s">
        <v>563</v>
      </c>
      <c r="K1402" s="213"/>
      <c r="L1402" s="213"/>
      <c r="M1402" s="213"/>
      <c r="N1402" s="213"/>
      <c r="O1402" s="213"/>
      <c r="P1402" s="213"/>
      <c r="Q1402" s="213"/>
      <c r="R1402" s="213"/>
      <c r="S1402" s="213" t="s">
        <v>629</v>
      </c>
      <c r="T1402" s="213"/>
      <c r="U1402" s="213" t="s">
        <v>538</v>
      </c>
      <c r="V1402" s="213">
        <v>1</v>
      </c>
      <c r="W1402" s="213" t="s">
        <v>539</v>
      </c>
      <c r="X1402" s="213" t="s">
        <v>541</v>
      </c>
      <c r="Y1402" s="213" t="s">
        <v>554</v>
      </c>
      <c r="Z1402" s="212">
        <v>21588</v>
      </c>
      <c r="AA1402" s="212">
        <v>1927380</v>
      </c>
      <c r="AB1402" s="217">
        <v>0.19794800000000001</v>
      </c>
      <c r="AC1402" s="217">
        <v>0.31856699999999999</v>
      </c>
      <c r="AD1402" s="212">
        <f t="shared" si="21"/>
        <v>381521.01624000003</v>
      </c>
    </row>
    <row r="1403" spans="2:30" x14ac:dyDescent="0.15">
      <c r="B1403" s="213">
        <v>17097002132</v>
      </c>
      <c r="C1403" s="213">
        <v>17097004532</v>
      </c>
      <c r="D1403" s="213">
        <v>17097000056</v>
      </c>
      <c r="E1403" s="213" t="s">
        <v>533</v>
      </c>
      <c r="F1403" s="213" t="s">
        <v>534</v>
      </c>
      <c r="G1403" s="213" t="s">
        <v>373</v>
      </c>
      <c r="H1403" s="213" t="s">
        <v>552</v>
      </c>
      <c r="I1403" s="213"/>
      <c r="J1403" s="213" t="s">
        <v>547</v>
      </c>
      <c r="K1403" s="213" t="s">
        <v>563</v>
      </c>
      <c r="L1403" s="213"/>
      <c r="M1403" s="213"/>
      <c r="N1403" s="213"/>
      <c r="O1403" s="213"/>
      <c r="P1403" s="213"/>
      <c r="Q1403" s="213"/>
      <c r="R1403" s="213"/>
      <c r="S1403" s="213" t="s">
        <v>629</v>
      </c>
      <c r="T1403" s="213"/>
      <c r="U1403" s="213" t="s">
        <v>538</v>
      </c>
      <c r="V1403" s="213">
        <v>1</v>
      </c>
      <c r="W1403" s="213" t="s">
        <v>582</v>
      </c>
      <c r="X1403" s="213" t="s">
        <v>540</v>
      </c>
      <c r="Y1403" s="213" t="s">
        <v>554</v>
      </c>
      <c r="Z1403" s="212">
        <v>21588</v>
      </c>
      <c r="AA1403" s="212">
        <v>1927380</v>
      </c>
      <c r="AB1403" s="217">
        <v>1.969595</v>
      </c>
      <c r="AC1403" s="217">
        <v>3.169762</v>
      </c>
      <c r="AD1403" s="212">
        <f t="shared" si="21"/>
        <v>3796158.0110999998</v>
      </c>
    </row>
    <row r="1404" spans="2:30" x14ac:dyDescent="0.15">
      <c r="B1404" s="213">
        <v>17097002136</v>
      </c>
      <c r="C1404" s="213">
        <v>17097004524</v>
      </c>
      <c r="D1404" s="213">
        <v>17097000055</v>
      </c>
      <c r="E1404" s="213" t="s">
        <v>533</v>
      </c>
      <c r="F1404" s="213" t="s">
        <v>534</v>
      </c>
      <c r="G1404" s="213" t="s">
        <v>373</v>
      </c>
      <c r="H1404" s="213" t="s">
        <v>552</v>
      </c>
      <c r="I1404" s="213"/>
      <c r="J1404" s="213" t="s">
        <v>542</v>
      </c>
      <c r="K1404" s="213"/>
      <c r="L1404" s="213"/>
      <c r="M1404" s="213"/>
      <c r="N1404" s="213"/>
      <c r="O1404" s="213"/>
      <c r="P1404" s="213"/>
      <c r="Q1404" s="213"/>
      <c r="R1404" s="213"/>
      <c r="S1404" s="213" t="s">
        <v>564</v>
      </c>
      <c r="T1404" s="213"/>
      <c r="U1404" s="213" t="s">
        <v>538</v>
      </c>
      <c r="V1404" s="213">
        <v>2</v>
      </c>
      <c r="W1404" s="213" t="s">
        <v>545</v>
      </c>
      <c r="X1404" s="213" t="s">
        <v>549</v>
      </c>
      <c r="Y1404" s="213" t="s">
        <v>549</v>
      </c>
      <c r="Z1404" s="212">
        <v>423217</v>
      </c>
      <c r="AA1404" s="212">
        <v>26259270</v>
      </c>
      <c r="AB1404" s="217">
        <v>4.3400670000000003</v>
      </c>
      <c r="AC1404" s="217">
        <v>6.9846750000000002</v>
      </c>
      <c r="AD1404" s="212">
        <f t="shared" si="21"/>
        <v>113966991.17109001</v>
      </c>
    </row>
    <row r="1405" spans="2:30" x14ac:dyDescent="0.15">
      <c r="B1405" s="213">
        <v>17097002139</v>
      </c>
      <c r="C1405" s="213">
        <v>17097004536</v>
      </c>
      <c r="D1405" s="213">
        <v>17097004535</v>
      </c>
      <c r="E1405" s="213" t="s">
        <v>533</v>
      </c>
      <c r="F1405" s="213" t="s">
        <v>534</v>
      </c>
      <c r="G1405" s="213" t="s">
        <v>373</v>
      </c>
      <c r="H1405" s="213" t="s">
        <v>552</v>
      </c>
      <c r="I1405" s="213"/>
      <c r="J1405" s="213" t="s">
        <v>547</v>
      </c>
      <c r="K1405" s="213" t="s">
        <v>563</v>
      </c>
      <c r="L1405" s="213"/>
      <c r="M1405" s="213"/>
      <c r="N1405" s="213"/>
      <c r="O1405" s="213"/>
      <c r="P1405" s="213"/>
      <c r="Q1405" s="213"/>
      <c r="R1405" s="213"/>
      <c r="S1405" s="213" t="s">
        <v>629</v>
      </c>
      <c r="T1405" s="213"/>
      <c r="U1405" s="213" t="s">
        <v>538</v>
      </c>
      <c r="V1405" s="213">
        <v>1</v>
      </c>
      <c r="W1405" s="213" t="s">
        <v>582</v>
      </c>
      <c r="X1405" s="213" t="s">
        <v>540</v>
      </c>
      <c r="Y1405" s="213" t="s">
        <v>554</v>
      </c>
      <c r="Z1405" s="212">
        <v>21588</v>
      </c>
      <c r="AA1405" s="212">
        <v>1927380</v>
      </c>
      <c r="AB1405" s="217">
        <v>3.6989190000000001</v>
      </c>
      <c r="AC1405" s="217">
        <v>5.9528439999999998</v>
      </c>
      <c r="AD1405" s="212">
        <f t="shared" si="21"/>
        <v>7129222.5022200001</v>
      </c>
    </row>
    <row r="1406" spans="2:30" x14ac:dyDescent="0.15">
      <c r="B1406" s="213">
        <v>17097002140</v>
      </c>
      <c r="C1406" s="213">
        <v>17097000077</v>
      </c>
      <c r="D1406" s="213">
        <v>17097004536</v>
      </c>
      <c r="E1406" s="213" t="s">
        <v>533</v>
      </c>
      <c r="F1406" s="213" t="s">
        <v>534</v>
      </c>
      <c r="G1406" s="213" t="s">
        <v>373</v>
      </c>
      <c r="H1406" s="213" t="s">
        <v>552</v>
      </c>
      <c r="I1406" s="213"/>
      <c r="J1406" s="213" t="s">
        <v>547</v>
      </c>
      <c r="K1406" s="213" t="s">
        <v>563</v>
      </c>
      <c r="L1406" s="213"/>
      <c r="M1406" s="213"/>
      <c r="N1406" s="213"/>
      <c r="O1406" s="213"/>
      <c r="P1406" s="213"/>
      <c r="Q1406" s="213"/>
      <c r="R1406" s="213"/>
      <c r="S1406" s="213" t="s">
        <v>629</v>
      </c>
      <c r="T1406" s="213"/>
      <c r="U1406" s="213" t="s">
        <v>538</v>
      </c>
      <c r="V1406" s="213">
        <v>1</v>
      </c>
      <c r="W1406" s="213" t="s">
        <v>582</v>
      </c>
      <c r="X1406" s="213" t="s">
        <v>540</v>
      </c>
      <c r="Y1406" s="213" t="s">
        <v>554</v>
      </c>
      <c r="Z1406" s="212">
        <v>21588</v>
      </c>
      <c r="AA1406" s="212">
        <v>1927380</v>
      </c>
      <c r="AB1406" s="217">
        <v>0.97117699999999996</v>
      </c>
      <c r="AC1406" s="217">
        <v>1.562961</v>
      </c>
      <c r="AD1406" s="212">
        <f t="shared" si="21"/>
        <v>1871827.1262599998</v>
      </c>
    </row>
    <row r="1407" spans="2:30" x14ac:dyDescent="0.15">
      <c r="B1407" s="213">
        <v>17097002145</v>
      </c>
      <c r="C1407" s="213">
        <v>17097004550</v>
      </c>
      <c r="D1407" s="213">
        <v>17097000038</v>
      </c>
      <c r="E1407" s="213" t="s">
        <v>533</v>
      </c>
      <c r="F1407" s="213" t="s">
        <v>534</v>
      </c>
      <c r="G1407" s="213" t="s">
        <v>373</v>
      </c>
      <c r="H1407" s="213" t="s">
        <v>382</v>
      </c>
      <c r="I1407" s="213"/>
      <c r="J1407" s="213" t="s">
        <v>535</v>
      </c>
      <c r="K1407" s="213" t="s">
        <v>547</v>
      </c>
      <c r="L1407" s="213"/>
      <c r="M1407" s="213"/>
      <c r="N1407" s="213"/>
      <c r="O1407" s="213"/>
      <c r="P1407" s="213"/>
      <c r="Q1407" s="213"/>
      <c r="R1407" s="213"/>
      <c r="S1407" s="213" t="s">
        <v>565</v>
      </c>
      <c r="T1407" s="213"/>
      <c r="U1407" s="213" t="s">
        <v>538</v>
      </c>
      <c r="V1407" s="213">
        <v>2</v>
      </c>
      <c r="W1407" s="213" t="s">
        <v>566</v>
      </c>
      <c r="X1407" s="213" t="s">
        <v>549</v>
      </c>
      <c r="Y1407" s="213" t="s">
        <v>540</v>
      </c>
      <c r="Z1407" s="212">
        <v>3388</v>
      </c>
      <c r="AA1407" s="212">
        <v>316944</v>
      </c>
      <c r="AB1407" s="217">
        <v>3.3994200000000001</v>
      </c>
      <c r="AC1407" s="217">
        <v>5.470847</v>
      </c>
      <c r="AD1407" s="212">
        <f t="shared" si="21"/>
        <v>1077425.77248</v>
      </c>
    </row>
    <row r="1408" spans="2:30" x14ac:dyDescent="0.15">
      <c r="B1408" s="213">
        <v>17097002146</v>
      </c>
      <c r="C1408" s="213">
        <v>17097004531</v>
      </c>
      <c r="D1408" s="213">
        <v>17097004530</v>
      </c>
      <c r="E1408" s="213" t="s">
        <v>533</v>
      </c>
      <c r="F1408" s="213" t="s">
        <v>534</v>
      </c>
      <c r="G1408" s="213" t="s">
        <v>373</v>
      </c>
      <c r="H1408" s="213" t="s">
        <v>552</v>
      </c>
      <c r="I1408" s="213"/>
      <c r="J1408" s="213" t="s">
        <v>547</v>
      </c>
      <c r="K1408" s="213" t="s">
        <v>563</v>
      </c>
      <c r="L1408" s="213"/>
      <c r="M1408" s="213"/>
      <c r="N1408" s="213"/>
      <c r="O1408" s="213"/>
      <c r="P1408" s="213"/>
      <c r="Q1408" s="213"/>
      <c r="R1408" s="213"/>
      <c r="S1408" s="213" t="s">
        <v>629</v>
      </c>
      <c r="T1408" s="213"/>
      <c r="U1408" s="213" t="s">
        <v>538</v>
      </c>
      <c r="V1408" s="213">
        <v>1</v>
      </c>
      <c r="W1408" s="213" t="s">
        <v>582</v>
      </c>
      <c r="X1408" s="213" t="s">
        <v>540</v>
      </c>
      <c r="Y1408" s="213" t="s">
        <v>554</v>
      </c>
      <c r="Z1408" s="212">
        <v>21588</v>
      </c>
      <c r="AA1408" s="212">
        <v>1927380</v>
      </c>
      <c r="AB1408" s="217">
        <v>0.986259</v>
      </c>
      <c r="AC1408" s="217">
        <v>1.587234</v>
      </c>
      <c r="AD1408" s="212">
        <f t="shared" si="21"/>
        <v>1900895.87142</v>
      </c>
    </row>
    <row r="1409" spans="2:30" x14ac:dyDescent="0.15">
      <c r="B1409" s="213">
        <v>17097002154</v>
      </c>
      <c r="C1409" s="213">
        <v>17097000196</v>
      </c>
      <c r="D1409" s="213">
        <v>17097004569</v>
      </c>
      <c r="E1409" s="213" t="s">
        <v>533</v>
      </c>
      <c r="F1409" s="213" t="s">
        <v>534</v>
      </c>
      <c r="G1409" s="213" t="s">
        <v>373</v>
      </c>
      <c r="H1409" s="213" t="s">
        <v>382</v>
      </c>
      <c r="I1409" s="213"/>
      <c r="J1409" s="213" t="s">
        <v>547</v>
      </c>
      <c r="K1409" s="213"/>
      <c r="L1409" s="213"/>
      <c r="M1409" s="213"/>
      <c r="N1409" s="213"/>
      <c r="O1409" s="213"/>
      <c r="P1409" s="213"/>
      <c r="Q1409" s="213"/>
      <c r="R1409" s="213"/>
      <c r="S1409" s="213" t="s">
        <v>565</v>
      </c>
      <c r="T1409" s="213"/>
      <c r="U1409" s="213" t="s">
        <v>538</v>
      </c>
      <c r="V1409" s="213">
        <v>2</v>
      </c>
      <c r="W1409" s="213" t="s">
        <v>566</v>
      </c>
      <c r="X1409" s="213" t="s">
        <v>549</v>
      </c>
      <c r="Y1409" s="213" t="s">
        <v>541</v>
      </c>
      <c r="Z1409" s="212">
        <v>0</v>
      </c>
      <c r="AA1409" s="212">
        <v>0</v>
      </c>
      <c r="AB1409" s="217">
        <v>1.1028800000000001</v>
      </c>
      <c r="AC1409" s="217">
        <v>1.7749170000000001</v>
      </c>
      <c r="AD1409" s="212">
        <f t="shared" si="21"/>
        <v>0</v>
      </c>
    </row>
    <row r="1410" spans="2:30" x14ac:dyDescent="0.15">
      <c r="B1410" s="213">
        <v>17097002160</v>
      </c>
      <c r="C1410" s="213">
        <v>17097007465</v>
      </c>
      <c r="D1410" s="213">
        <v>17999018890</v>
      </c>
      <c r="E1410" s="213" t="s">
        <v>533</v>
      </c>
      <c r="F1410" s="213" t="s">
        <v>534</v>
      </c>
      <c r="G1410" s="213" t="s">
        <v>373</v>
      </c>
      <c r="H1410" s="213" t="s">
        <v>382</v>
      </c>
      <c r="I1410" s="213"/>
      <c r="J1410" s="213" t="s">
        <v>547</v>
      </c>
      <c r="K1410" s="213"/>
      <c r="L1410" s="213"/>
      <c r="M1410" s="213"/>
      <c r="N1410" s="213"/>
      <c r="O1410" s="213"/>
      <c r="P1410" s="213"/>
      <c r="Q1410" s="213"/>
      <c r="R1410" s="213"/>
      <c r="S1410" s="213" t="s">
        <v>608</v>
      </c>
      <c r="T1410" s="213"/>
      <c r="U1410" s="213" t="s">
        <v>538</v>
      </c>
      <c r="V1410" s="213">
        <v>2</v>
      </c>
      <c r="W1410" s="213" t="s">
        <v>566</v>
      </c>
      <c r="X1410" s="213" t="s">
        <v>549</v>
      </c>
      <c r="Y1410" s="213" t="s">
        <v>549</v>
      </c>
      <c r="Z1410" s="212">
        <v>10671</v>
      </c>
      <c r="AA1410" s="212">
        <v>940168</v>
      </c>
      <c r="AB1410" s="217">
        <v>3.247544</v>
      </c>
      <c r="AC1410" s="217">
        <v>5.226426</v>
      </c>
      <c r="AD1410" s="212">
        <f t="shared" si="21"/>
        <v>3053236.9473919999</v>
      </c>
    </row>
    <row r="1411" spans="2:30" x14ac:dyDescent="0.15">
      <c r="B1411" s="213">
        <v>17097002194</v>
      </c>
      <c r="C1411" s="213">
        <v>17999019035</v>
      </c>
      <c r="D1411" s="213">
        <v>17097004520</v>
      </c>
      <c r="E1411" s="213" t="s">
        <v>533</v>
      </c>
      <c r="F1411" s="213" t="s">
        <v>534</v>
      </c>
      <c r="G1411" s="213" t="s">
        <v>373</v>
      </c>
      <c r="H1411" s="213" t="s">
        <v>382</v>
      </c>
      <c r="I1411" s="213"/>
      <c r="J1411" s="213" t="s">
        <v>535</v>
      </c>
      <c r="K1411" s="213" t="s">
        <v>547</v>
      </c>
      <c r="L1411" s="213"/>
      <c r="M1411" s="213"/>
      <c r="N1411" s="213"/>
      <c r="O1411" s="213"/>
      <c r="P1411" s="213"/>
      <c r="Q1411" s="213"/>
      <c r="R1411" s="213"/>
      <c r="S1411" s="213" t="s">
        <v>608</v>
      </c>
      <c r="T1411" s="213"/>
      <c r="U1411" s="213" t="s">
        <v>538</v>
      </c>
      <c r="V1411" s="213">
        <v>2</v>
      </c>
      <c r="W1411" s="213" t="s">
        <v>566</v>
      </c>
      <c r="X1411" s="213" t="s">
        <v>549</v>
      </c>
      <c r="Y1411" s="213" t="s">
        <v>549</v>
      </c>
      <c r="Z1411" s="212">
        <v>10751</v>
      </c>
      <c r="AA1411" s="212">
        <v>946568</v>
      </c>
      <c r="AB1411" s="217">
        <v>0.228904</v>
      </c>
      <c r="AC1411" s="217">
        <v>0.36838500000000002</v>
      </c>
      <c r="AD1411" s="212">
        <f t="shared" si="21"/>
        <v>216673.20147199999</v>
      </c>
    </row>
    <row r="1412" spans="2:30" x14ac:dyDescent="0.15">
      <c r="B1412" s="213">
        <v>17097002261</v>
      </c>
      <c r="C1412" s="213">
        <v>17097000082</v>
      </c>
      <c r="D1412" s="213">
        <v>17097000083</v>
      </c>
      <c r="E1412" s="213" t="s">
        <v>533</v>
      </c>
      <c r="F1412" s="213" t="s">
        <v>534</v>
      </c>
      <c r="G1412" s="213" t="s">
        <v>373</v>
      </c>
      <c r="H1412" s="213" t="s">
        <v>535</v>
      </c>
      <c r="I1412" s="213"/>
      <c r="J1412" s="213" t="s">
        <v>382</v>
      </c>
      <c r="K1412" s="213"/>
      <c r="L1412" s="213"/>
      <c r="M1412" s="213"/>
      <c r="N1412" s="213"/>
      <c r="O1412" s="213"/>
      <c r="P1412" s="213"/>
      <c r="Q1412" s="213"/>
      <c r="R1412" s="213"/>
      <c r="S1412" s="213"/>
      <c r="T1412" s="213"/>
      <c r="U1412" s="213" t="s">
        <v>538</v>
      </c>
      <c r="V1412" s="213">
        <v>1</v>
      </c>
      <c r="W1412" s="213" t="s">
        <v>560</v>
      </c>
      <c r="X1412" s="213" t="s">
        <v>541</v>
      </c>
      <c r="Y1412" s="213" t="s">
        <v>541</v>
      </c>
      <c r="Z1412" s="212">
        <v>1916</v>
      </c>
      <c r="AA1412" s="212">
        <v>184636</v>
      </c>
      <c r="AB1412" s="217">
        <v>0.195961</v>
      </c>
      <c r="AC1412" s="217">
        <v>0.31536900000000001</v>
      </c>
      <c r="AD1412" s="212">
        <f t="shared" si="21"/>
        <v>36181.455196000003</v>
      </c>
    </row>
    <row r="1413" spans="2:30" x14ac:dyDescent="0.15">
      <c r="B1413" s="213">
        <v>17097002408</v>
      </c>
      <c r="C1413" s="213">
        <v>17097004564</v>
      </c>
      <c r="D1413" s="213">
        <v>17097000031</v>
      </c>
      <c r="E1413" s="213" t="s">
        <v>533</v>
      </c>
      <c r="F1413" s="213" t="s">
        <v>534</v>
      </c>
      <c r="G1413" s="213" t="s">
        <v>373</v>
      </c>
      <c r="H1413" s="213" t="s">
        <v>382</v>
      </c>
      <c r="I1413" s="213"/>
      <c r="J1413" s="213" t="s">
        <v>535</v>
      </c>
      <c r="K1413" s="213"/>
      <c r="L1413" s="213"/>
      <c r="M1413" s="213"/>
      <c r="N1413" s="213"/>
      <c r="O1413" s="213"/>
      <c r="P1413" s="213"/>
      <c r="Q1413" s="213"/>
      <c r="R1413" s="213"/>
      <c r="S1413" s="213"/>
      <c r="T1413" s="213"/>
      <c r="U1413" s="213" t="s">
        <v>559</v>
      </c>
      <c r="V1413" s="213">
        <v>1</v>
      </c>
      <c r="W1413" s="213" t="s">
        <v>560</v>
      </c>
      <c r="X1413" s="213" t="s">
        <v>541</v>
      </c>
      <c r="Y1413" s="213" t="s">
        <v>541</v>
      </c>
      <c r="Z1413" s="212">
        <v>0</v>
      </c>
      <c r="AA1413" s="212">
        <v>0</v>
      </c>
      <c r="AB1413" s="217">
        <v>1.1960820000000001</v>
      </c>
      <c r="AC1413" s="217">
        <v>1.924911</v>
      </c>
      <c r="AD1413" s="212">
        <f t="shared" si="21"/>
        <v>0</v>
      </c>
    </row>
    <row r="1414" spans="2:30" x14ac:dyDescent="0.15">
      <c r="B1414" s="213">
        <v>17097002546</v>
      </c>
      <c r="C1414" s="213">
        <v>17097000110</v>
      </c>
      <c r="D1414" s="213">
        <v>17097000111</v>
      </c>
      <c r="E1414" s="213" t="s">
        <v>533</v>
      </c>
      <c r="F1414" s="213" t="s">
        <v>534</v>
      </c>
      <c r="G1414" s="213" t="s">
        <v>373</v>
      </c>
      <c r="H1414" s="213" t="s">
        <v>535</v>
      </c>
      <c r="I1414" s="213"/>
      <c r="J1414" s="213" t="s">
        <v>382</v>
      </c>
      <c r="K1414" s="213"/>
      <c r="L1414" s="213"/>
      <c r="M1414" s="213"/>
      <c r="N1414" s="213"/>
      <c r="O1414" s="213"/>
      <c r="P1414" s="213"/>
      <c r="Q1414" s="213"/>
      <c r="R1414" s="213"/>
      <c r="S1414" s="213" t="s">
        <v>550</v>
      </c>
      <c r="T1414" s="213"/>
      <c r="U1414" s="213" t="s">
        <v>538</v>
      </c>
      <c r="V1414" s="213">
        <v>1</v>
      </c>
      <c r="W1414" s="213" t="s">
        <v>545</v>
      </c>
      <c r="X1414" s="213" t="s">
        <v>541</v>
      </c>
      <c r="Y1414" s="213" t="s">
        <v>541</v>
      </c>
      <c r="Z1414" s="212">
        <v>0</v>
      </c>
      <c r="AA1414" s="212">
        <v>0</v>
      </c>
      <c r="AB1414" s="217">
        <v>0.19822699999999999</v>
      </c>
      <c r="AC1414" s="217">
        <v>0.31901600000000002</v>
      </c>
      <c r="AD1414" s="212">
        <f t="shared" ref="AD1414:AD1477" si="22">AA1414*AB1414</f>
        <v>0</v>
      </c>
    </row>
    <row r="1415" spans="2:30" x14ac:dyDescent="0.15">
      <c r="B1415" s="213">
        <v>17097003090</v>
      </c>
      <c r="C1415" s="213">
        <v>17097000065</v>
      </c>
      <c r="D1415" s="213">
        <v>17097004567</v>
      </c>
      <c r="E1415" s="213" t="s">
        <v>533</v>
      </c>
      <c r="F1415" s="213" t="s">
        <v>534</v>
      </c>
      <c r="G1415" s="213" t="s">
        <v>373</v>
      </c>
      <c r="H1415" s="213" t="s">
        <v>382</v>
      </c>
      <c r="I1415" s="213"/>
      <c r="J1415" s="213" t="s">
        <v>535</v>
      </c>
      <c r="K1415" s="213" t="s">
        <v>547</v>
      </c>
      <c r="L1415" s="213"/>
      <c r="M1415" s="213"/>
      <c r="N1415" s="213"/>
      <c r="O1415" s="213"/>
      <c r="P1415" s="213"/>
      <c r="Q1415" s="213"/>
      <c r="R1415" s="213"/>
      <c r="S1415" s="213" t="s">
        <v>565</v>
      </c>
      <c r="T1415" s="213"/>
      <c r="U1415" s="213" t="s">
        <v>538</v>
      </c>
      <c r="V1415" s="213">
        <v>2</v>
      </c>
      <c r="W1415" s="213" t="s">
        <v>566</v>
      </c>
      <c r="X1415" s="213" t="s">
        <v>549</v>
      </c>
      <c r="Y1415" s="213" t="s">
        <v>549</v>
      </c>
      <c r="Z1415" s="212">
        <v>23972</v>
      </c>
      <c r="AA1415" s="212">
        <v>2775064</v>
      </c>
      <c r="AB1415" s="217">
        <v>0.78420100000000004</v>
      </c>
      <c r="AC1415" s="217">
        <v>1.262052</v>
      </c>
      <c r="AD1415" s="212">
        <f t="shared" si="22"/>
        <v>2176207.963864</v>
      </c>
    </row>
    <row r="1416" spans="2:30" x14ac:dyDescent="0.15">
      <c r="B1416" s="213">
        <v>17097003091</v>
      </c>
      <c r="C1416" s="213">
        <v>17097000080</v>
      </c>
      <c r="D1416" s="213">
        <v>17097000071</v>
      </c>
      <c r="E1416" s="213" t="s">
        <v>533</v>
      </c>
      <c r="F1416" s="213" t="s">
        <v>534</v>
      </c>
      <c r="G1416" s="213" t="s">
        <v>373</v>
      </c>
      <c r="H1416" s="213" t="s">
        <v>382</v>
      </c>
      <c r="I1416" s="213"/>
      <c r="J1416" s="213" t="s">
        <v>535</v>
      </c>
      <c r="K1416" s="213" t="s">
        <v>547</v>
      </c>
      <c r="L1416" s="213"/>
      <c r="M1416" s="213"/>
      <c r="N1416" s="213"/>
      <c r="O1416" s="213"/>
      <c r="P1416" s="213"/>
      <c r="Q1416" s="213"/>
      <c r="R1416" s="213"/>
      <c r="S1416" s="213" t="s">
        <v>565</v>
      </c>
      <c r="T1416" s="213"/>
      <c r="U1416" s="213" t="s">
        <v>538</v>
      </c>
      <c r="V1416" s="213">
        <v>2</v>
      </c>
      <c r="W1416" s="213" t="s">
        <v>566</v>
      </c>
      <c r="X1416" s="213" t="s">
        <v>549</v>
      </c>
      <c r="Y1416" s="213" t="s">
        <v>549</v>
      </c>
      <c r="Z1416" s="212">
        <v>23972</v>
      </c>
      <c r="AA1416" s="212">
        <v>2775064</v>
      </c>
      <c r="AB1416" s="217">
        <v>1.8258840000000001</v>
      </c>
      <c r="AC1416" s="217">
        <v>2.9384809999999999</v>
      </c>
      <c r="AD1416" s="212">
        <f t="shared" si="22"/>
        <v>5066944.956576</v>
      </c>
    </row>
    <row r="1417" spans="2:30" x14ac:dyDescent="0.15">
      <c r="B1417" s="213">
        <v>17097003095</v>
      </c>
      <c r="C1417" s="213">
        <v>17097004547</v>
      </c>
      <c r="D1417" s="213">
        <v>17097007471</v>
      </c>
      <c r="E1417" s="213" t="s">
        <v>533</v>
      </c>
      <c r="F1417" s="213" t="s">
        <v>534</v>
      </c>
      <c r="G1417" s="213" t="s">
        <v>373</v>
      </c>
      <c r="H1417" s="213" t="s">
        <v>535</v>
      </c>
      <c r="I1417" s="213"/>
      <c r="J1417" s="213" t="s">
        <v>382</v>
      </c>
      <c r="K1417" s="213" t="s">
        <v>536</v>
      </c>
      <c r="L1417" s="213"/>
      <c r="M1417" s="213"/>
      <c r="N1417" s="213"/>
      <c r="O1417" s="213"/>
      <c r="P1417" s="213"/>
      <c r="Q1417" s="213"/>
      <c r="R1417" s="213"/>
      <c r="S1417" s="213" t="s">
        <v>550</v>
      </c>
      <c r="T1417" s="213"/>
      <c r="U1417" s="213" t="s">
        <v>538</v>
      </c>
      <c r="V1417" s="213">
        <v>2</v>
      </c>
      <c r="W1417" s="213" t="s">
        <v>545</v>
      </c>
      <c r="X1417" s="213" t="s">
        <v>549</v>
      </c>
      <c r="Y1417" s="213" t="s">
        <v>540</v>
      </c>
      <c r="Z1417" s="212">
        <v>65183</v>
      </c>
      <c r="AA1417" s="212">
        <v>6709796</v>
      </c>
      <c r="AB1417" s="217">
        <v>0.71067599999999997</v>
      </c>
      <c r="AC1417" s="217">
        <v>1.143724</v>
      </c>
      <c r="AD1417" s="212">
        <f t="shared" si="22"/>
        <v>4768490.9820959996</v>
      </c>
    </row>
    <row r="1418" spans="2:30" x14ac:dyDescent="0.15">
      <c r="B1418" s="213">
        <v>17097003096</v>
      </c>
      <c r="C1418" s="213">
        <v>17097000181</v>
      </c>
      <c r="D1418" s="213">
        <v>17097004547</v>
      </c>
      <c r="E1418" s="213" t="s">
        <v>533</v>
      </c>
      <c r="F1418" s="213" t="s">
        <v>534</v>
      </c>
      <c r="G1418" s="213" t="s">
        <v>373</v>
      </c>
      <c r="H1418" s="213" t="s">
        <v>535</v>
      </c>
      <c r="I1418" s="213"/>
      <c r="J1418" s="213" t="s">
        <v>382</v>
      </c>
      <c r="K1418" s="213" t="s">
        <v>536</v>
      </c>
      <c r="L1418" s="213"/>
      <c r="M1418" s="213"/>
      <c r="N1418" s="213"/>
      <c r="O1418" s="213"/>
      <c r="P1418" s="213"/>
      <c r="Q1418" s="213"/>
      <c r="R1418" s="213"/>
      <c r="S1418" s="213" t="s">
        <v>550</v>
      </c>
      <c r="T1418" s="213"/>
      <c r="U1418" s="213" t="s">
        <v>538</v>
      </c>
      <c r="V1418" s="213">
        <v>1</v>
      </c>
      <c r="W1418" s="213" t="s">
        <v>545</v>
      </c>
      <c r="X1418" s="213" t="s">
        <v>549</v>
      </c>
      <c r="Y1418" s="213" t="s">
        <v>540</v>
      </c>
      <c r="Z1418" s="212">
        <v>65183</v>
      </c>
      <c r="AA1418" s="212">
        <v>6709796</v>
      </c>
      <c r="AB1418" s="217">
        <v>2.4038560000000002</v>
      </c>
      <c r="AC1418" s="217">
        <v>3.8686379999999998</v>
      </c>
      <c r="AD1418" s="212">
        <f t="shared" si="22"/>
        <v>16129383.373376001</v>
      </c>
    </row>
    <row r="1419" spans="2:30" x14ac:dyDescent="0.15">
      <c r="B1419" s="213">
        <v>17097003237</v>
      </c>
      <c r="C1419" s="213">
        <v>17097004543</v>
      </c>
      <c r="D1419" s="213">
        <v>17097000097</v>
      </c>
      <c r="E1419" s="213" t="s">
        <v>533</v>
      </c>
      <c r="F1419" s="213" t="s">
        <v>534</v>
      </c>
      <c r="G1419" s="213" t="s">
        <v>373</v>
      </c>
      <c r="H1419" s="213" t="s">
        <v>382</v>
      </c>
      <c r="I1419" s="213"/>
      <c r="J1419" s="213" t="s">
        <v>535</v>
      </c>
      <c r="K1419" s="213"/>
      <c r="L1419" s="213"/>
      <c r="M1419" s="213"/>
      <c r="N1419" s="213"/>
      <c r="O1419" s="213"/>
      <c r="P1419" s="213"/>
      <c r="Q1419" s="213"/>
      <c r="R1419" s="213"/>
      <c r="S1419" s="213" t="s">
        <v>586</v>
      </c>
      <c r="T1419" s="213"/>
      <c r="U1419" s="213" t="s">
        <v>538</v>
      </c>
      <c r="V1419" s="213">
        <v>2</v>
      </c>
      <c r="W1419" s="213" t="s">
        <v>582</v>
      </c>
      <c r="X1419" s="213" t="s">
        <v>549</v>
      </c>
      <c r="Y1419" s="213" t="s">
        <v>549</v>
      </c>
      <c r="Z1419" s="212">
        <v>98392</v>
      </c>
      <c r="AA1419" s="212">
        <v>10782047</v>
      </c>
      <c r="AB1419" s="217">
        <v>0.59916100000000005</v>
      </c>
      <c r="AC1419" s="217">
        <v>0.96425799999999995</v>
      </c>
      <c r="AD1419" s="212">
        <f t="shared" si="22"/>
        <v>6460182.0625670003</v>
      </c>
    </row>
    <row r="1420" spans="2:30" x14ac:dyDescent="0.15">
      <c r="B1420" s="213">
        <v>17097004183</v>
      </c>
      <c r="C1420" s="213">
        <v>17097000079</v>
      </c>
      <c r="D1420" s="213">
        <v>17097000083</v>
      </c>
      <c r="E1420" s="213" t="s">
        <v>533</v>
      </c>
      <c r="F1420" s="213" t="s">
        <v>534</v>
      </c>
      <c r="G1420" s="213" t="s">
        <v>373</v>
      </c>
      <c r="H1420" s="213" t="s">
        <v>535</v>
      </c>
      <c r="I1420" s="213"/>
      <c r="J1420" s="213"/>
      <c r="K1420" s="213"/>
      <c r="L1420" s="213"/>
      <c r="M1420" s="213"/>
      <c r="N1420" s="213"/>
      <c r="O1420" s="213"/>
      <c r="P1420" s="213"/>
      <c r="Q1420" s="213"/>
      <c r="R1420" s="213"/>
      <c r="S1420" s="213"/>
      <c r="T1420" s="213"/>
      <c r="U1420" s="213" t="s">
        <v>538</v>
      </c>
      <c r="V1420" s="213">
        <v>1</v>
      </c>
      <c r="W1420" s="213" t="s">
        <v>560</v>
      </c>
      <c r="X1420" s="213" t="s">
        <v>541</v>
      </c>
      <c r="Y1420" s="213" t="s">
        <v>541</v>
      </c>
      <c r="Z1420" s="212">
        <v>0</v>
      </c>
      <c r="AA1420" s="212">
        <v>0</v>
      </c>
      <c r="AB1420" s="217">
        <v>0.176817</v>
      </c>
      <c r="AC1420" s="217">
        <v>0.28455999999999998</v>
      </c>
      <c r="AD1420" s="212">
        <f t="shared" si="22"/>
        <v>0</v>
      </c>
    </row>
    <row r="1421" spans="2:30" x14ac:dyDescent="0.15">
      <c r="B1421" s="213">
        <v>17097004190</v>
      </c>
      <c r="C1421" s="213">
        <v>17097004520</v>
      </c>
      <c r="D1421" s="213">
        <v>17097000238</v>
      </c>
      <c r="E1421" s="213" t="s">
        <v>533</v>
      </c>
      <c r="F1421" s="213" t="s">
        <v>534</v>
      </c>
      <c r="G1421" s="213" t="s">
        <v>373</v>
      </c>
      <c r="H1421" s="213" t="s">
        <v>382</v>
      </c>
      <c r="I1421" s="213"/>
      <c r="J1421" s="213" t="s">
        <v>535</v>
      </c>
      <c r="K1421" s="213" t="s">
        <v>547</v>
      </c>
      <c r="L1421" s="213"/>
      <c r="M1421" s="213"/>
      <c r="N1421" s="213"/>
      <c r="O1421" s="213"/>
      <c r="P1421" s="213"/>
      <c r="Q1421" s="213"/>
      <c r="R1421" s="213"/>
      <c r="S1421" s="213"/>
      <c r="T1421" s="213"/>
      <c r="U1421" s="213" t="s">
        <v>538</v>
      </c>
      <c r="V1421" s="213">
        <v>1</v>
      </c>
      <c r="W1421" s="213" t="s">
        <v>560</v>
      </c>
      <c r="X1421" s="213" t="s">
        <v>541</v>
      </c>
      <c r="Y1421" s="213" t="s">
        <v>541</v>
      </c>
      <c r="Z1421" s="212">
        <v>80</v>
      </c>
      <c r="AA1421" s="212">
        <v>6400</v>
      </c>
      <c r="AB1421" s="217">
        <v>0.187884</v>
      </c>
      <c r="AC1421" s="217">
        <v>0.30237000000000003</v>
      </c>
      <c r="AD1421" s="212">
        <f t="shared" si="22"/>
        <v>1202.4576</v>
      </c>
    </row>
    <row r="1422" spans="2:30" x14ac:dyDescent="0.15">
      <c r="B1422" s="213">
        <v>17097006301</v>
      </c>
      <c r="C1422" s="213">
        <v>17097004549</v>
      </c>
      <c r="D1422" s="213">
        <v>17097004552</v>
      </c>
      <c r="E1422" s="213" t="s">
        <v>533</v>
      </c>
      <c r="F1422" s="213" t="s">
        <v>534</v>
      </c>
      <c r="G1422" s="213" t="s">
        <v>373</v>
      </c>
      <c r="H1422" s="213" t="s">
        <v>382</v>
      </c>
      <c r="I1422" s="213"/>
      <c r="J1422" s="213" t="s">
        <v>535</v>
      </c>
      <c r="K1422" s="213"/>
      <c r="L1422" s="213"/>
      <c r="M1422" s="213"/>
      <c r="N1422" s="213"/>
      <c r="O1422" s="213"/>
      <c r="P1422" s="213"/>
      <c r="Q1422" s="213"/>
      <c r="R1422" s="213"/>
      <c r="S1422" s="213"/>
      <c r="T1422" s="213"/>
      <c r="U1422" s="213" t="s">
        <v>559</v>
      </c>
      <c r="V1422" s="213">
        <v>1</v>
      </c>
      <c r="W1422" s="213" t="s">
        <v>560</v>
      </c>
      <c r="X1422" s="213" t="s">
        <v>541</v>
      </c>
      <c r="Y1422" s="213" t="s">
        <v>541</v>
      </c>
      <c r="Z1422" s="212">
        <v>0</v>
      </c>
      <c r="AA1422" s="212">
        <v>0</v>
      </c>
      <c r="AB1422" s="217">
        <v>0.29351699999999997</v>
      </c>
      <c r="AC1422" s="217">
        <v>0.47237000000000001</v>
      </c>
      <c r="AD1422" s="212">
        <f t="shared" si="22"/>
        <v>0</v>
      </c>
    </row>
    <row r="1423" spans="2:30" x14ac:dyDescent="0.15">
      <c r="B1423" s="213">
        <v>17097006320</v>
      </c>
      <c r="C1423" s="213">
        <v>17097004545</v>
      </c>
      <c r="D1423" s="213">
        <v>17097007533</v>
      </c>
      <c r="E1423" s="213" t="s">
        <v>533</v>
      </c>
      <c r="F1423" s="213" t="s">
        <v>534</v>
      </c>
      <c r="G1423" s="213" t="s">
        <v>373</v>
      </c>
      <c r="H1423" s="213" t="s">
        <v>382</v>
      </c>
      <c r="I1423" s="213"/>
      <c r="J1423" s="213"/>
      <c r="K1423" s="213"/>
      <c r="L1423" s="213"/>
      <c r="M1423" s="213"/>
      <c r="N1423" s="213"/>
      <c r="O1423" s="213"/>
      <c r="P1423" s="213"/>
      <c r="Q1423" s="213"/>
      <c r="R1423" s="213"/>
      <c r="S1423" s="213" t="s">
        <v>586</v>
      </c>
      <c r="T1423" s="213"/>
      <c r="U1423" s="213" t="s">
        <v>538</v>
      </c>
      <c r="V1423" s="213">
        <v>2</v>
      </c>
      <c r="W1423" s="213" t="s">
        <v>582</v>
      </c>
      <c r="X1423" s="213" t="s">
        <v>549</v>
      </c>
      <c r="Y1423" s="213" t="s">
        <v>549</v>
      </c>
      <c r="Z1423" s="212">
        <v>75128</v>
      </c>
      <c r="AA1423" s="212">
        <v>8087367</v>
      </c>
      <c r="AB1423" s="217">
        <v>0.45281199999999999</v>
      </c>
      <c r="AC1423" s="217">
        <v>0.72873200000000005</v>
      </c>
      <c r="AD1423" s="212">
        <f t="shared" si="22"/>
        <v>3662056.8260039999</v>
      </c>
    </row>
    <row r="1424" spans="2:30" x14ac:dyDescent="0.15">
      <c r="B1424" s="213">
        <v>17097006321</v>
      </c>
      <c r="C1424" s="213">
        <v>17097004548</v>
      </c>
      <c r="D1424" s="213">
        <v>17097004549</v>
      </c>
      <c r="E1424" s="213" t="s">
        <v>533</v>
      </c>
      <c r="F1424" s="213" t="s">
        <v>534</v>
      </c>
      <c r="G1424" s="213" t="s">
        <v>373</v>
      </c>
      <c r="H1424" s="213" t="s">
        <v>382</v>
      </c>
      <c r="I1424" s="213"/>
      <c r="J1424" s="213" t="s">
        <v>535</v>
      </c>
      <c r="K1424" s="213"/>
      <c r="L1424" s="213"/>
      <c r="M1424" s="213"/>
      <c r="N1424" s="213"/>
      <c r="O1424" s="213"/>
      <c r="P1424" s="213"/>
      <c r="Q1424" s="213"/>
      <c r="R1424" s="213"/>
      <c r="S1424" s="213"/>
      <c r="T1424" s="213"/>
      <c r="U1424" s="213" t="s">
        <v>559</v>
      </c>
      <c r="V1424" s="213">
        <v>1</v>
      </c>
      <c r="W1424" s="213" t="s">
        <v>560</v>
      </c>
      <c r="X1424" s="213" t="s">
        <v>541</v>
      </c>
      <c r="Y1424" s="213" t="s">
        <v>541</v>
      </c>
      <c r="Z1424" s="212">
        <v>0</v>
      </c>
      <c r="AA1424" s="212">
        <v>0</v>
      </c>
      <c r="AB1424" s="217">
        <v>5.4426000000000002E-2</v>
      </c>
      <c r="AC1424" s="217">
        <v>8.7590000000000001E-2</v>
      </c>
      <c r="AD1424" s="212">
        <f t="shared" si="22"/>
        <v>0</v>
      </c>
    </row>
    <row r="1425" spans="2:30" x14ac:dyDescent="0.15">
      <c r="B1425" s="213">
        <v>17097006326</v>
      </c>
      <c r="C1425" s="213">
        <v>17097004539</v>
      </c>
      <c r="D1425" s="213">
        <v>17097004524</v>
      </c>
      <c r="E1425" s="213" t="s">
        <v>533</v>
      </c>
      <c r="F1425" s="213" t="s">
        <v>534</v>
      </c>
      <c r="G1425" s="213" t="s">
        <v>373</v>
      </c>
      <c r="H1425" s="213" t="s">
        <v>552</v>
      </c>
      <c r="I1425" s="213"/>
      <c r="J1425" s="213" t="s">
        <v>542</v>
      </c>
      <c r="K1425" s="213"/>
      <c r="L1425" s="213"/>
      <c r="M1425" s="213"/>
      <c r="N1425" s="213"/>
      <c r="O1425" s="213"/>
      <c r="P1425" s="213"/>
      <c r="Q1425" s="213"/>
      <c r="R1425" s="213"/>
      <c r="S1425" s="213" t="s">
        <v>564</v>
      </c>
      <c r="T1425" s="213"/>
      <c r="U1425" s="213" t="s">
        <v>538</v>
      </c>
      <c r="V1425" s="213">
        <v>3</v>
      </c>
      <c r="W1425" s="213" t="s">
        <v>545</v>
      </c>
      <c r="X1425" s="213" t="s">
        <v>549</v>
      </c>
      <c r="Y1425" s="213" t="s">
        <v>549</v>
      </c>
      <c r="Z1425" s="212">
        <v>423217</v>
      </c>
      <c r="AA1425" s="212">
        <v>26259270</v>
      </c>
      <c r="AB1425" s="217">
        <v>0.536995</v>
      </c>
      <c r="AC1425" s="217">
        <v>0.86421099999999995</v>
      </c>
      <c r="AD1425" s="212">
        <f t="shared" si="22"/>
        <v>14101096.69365</v>
      </c>
    </row>
    <row r="1426" spans="2:30" x14ac:dyDescent="0.15">
      <c r="B1426" s="213">
        <v>17097006328</v>
      </c>
      <c r="C1426" s="213">
        <v>17097000057</v>
      </c>
      <c r="D1426" s="213">
        <v>17097004565</v>
      </c>
      <c r="E1426" s="213" t="s">
        <v>533</v>
      </c>
      <c r="F1426" s="213" t="s">
        <v>534</v>
      </c>
      <c r="G1426" s="213" t="s">
        <v>373</v>
      </c>
      <c r="H1426" s="213" t="s">
        <v>382</v>
      </c>
      <c r="I1426" s="213"/>
      <c r="J1426" s="213" t="s">
        <v>535</v>
      </c>
      <c r="K1426" s="213" t="s">
        <v>547</v>
      </c>
      <c r="L1426" s="213"/>
      <c r="M1426" s="213"/>
      <c r="N1426" s="213"/>
      <c r="O1426" s="213"/>
      <c r="P1426" s="213"/>
      <c r="Q1426" s="213"/>
      <c r="R1426" s="213"/>
      <c r="S1426" s="213" t="s">
        <v>565</v>
      </c>
      <c r="T1426" s="213" t="s">
        <v>701</v>
      </c>
      <c r="U1426" s="213" t="s">
        <v>538</v>
      </c>
      <c r="V1426" s="213">
        <v>2</v>
      </c>
      <c r="W1426" s="213" t="s">
        <v>566</v>
      </c>
      <c r="X1426" s="213" t="s">
        <v>549</v>
      </c>
      <c r="Y1426" s="213" t="s">
        <v>549</v>
      </c>
      <c r="Z1426" s="212">
        <v>3468</v>
      </c>
      <c r="AA1426" s="212">
        <v>323344</v>
      </c>
      <c r="AB1426" s="217">
        <v>0.61029599999999995</v>
      </c>
      <c r="AC1426" s="217">
        <v>0.982178</v>
      </c>
      <c r="AD1426" s="212">
        <f t="shared" si="22"/>
        <v>197335.54982399999</v>
      </c>
    </row>
    <row r="1427" spans="2:30" x14ac:dyDescent="0.15">
      <c r="B1427" s="213">
        <v>17097009360</v>
      </c>
      <c r="C1427" s="213">
        <v>17097004567</v>
      </c>
      <c r="D1427" s="213">
        <v>17097007479</v>
      </c>
      <c r="E1427" s="213" t="s">
        <v>533</v>
      </c>
      <c r="F1427" s="213" t="s">
        <v>534</v>
      </c>
      <c r="G1427" s="213" t="s">
        <v>373</v>
      </c>
      <c r="H1427" s="213" t="s">
        <v>382</v>
      </c>
      <c r="I1427" s="213"/>
      <c r="J1427" s="213" t="s">
        <v>535</v>
      </c>
      <c r="K1427" s="213" t="s">
        <v>547</v>
      </c>
      <c r="L1427" s="213"/>
      <c r="M1427" s="213"/>
      <c r="N1427" s="213"/>
      <c r="O1427" s="213"/>
      <c r="P1427" s="213"/>
      <c r="Q1427" s="213"/>
      <c r="R1427" s="213"/>
      <c r="S1427" s="213" t="s">
        <v>565</v>
      </c>
      <c r="T1427" s="213"/>
      <c r="U1427" s="213" t="s">
        <v>538</v>
      </c>
      <c r="V1427" s="213">
        <v>2</v>
      </c>
      <c r="W1427" s="213" t="s">
        <v>566</v>
      </c>
      <c r="X1427" s="213" t="s">
        <v>549</v>
      </c>
      <c r="Y1427" s="213" t="s">
        <v>549</v>
      </c>
      <c r="Z1427" s="212">
        <v>23812</v>
      </c>
      <c r="AA1427" s="212">
        <v>2759904</v>
      </c>
      <c r="AB1427" s="217">
        <v>0.47429399999999999</v>
      </c>
      <c r="AC1427" s="217">
        <v>0.76330399999999998</v>
      </c>
      <c r="AD1427" s="212">
        <f t="shared" si="22"/>
        <v>1309005.907776</v>
      </c>
    </row>
    <row r="1428" spans="2:30" x14ac:dyDescent="0.15">
      <c r="B1428" s="213">
        <v>17097009368</v>
      </c>
      <c r="C1428" s="213">
        <v>17097007487</v>
      </c>
      <c r="D1428" s="213">
        <v>17097004566</v>
      </c>
      <c r="E1428" s="213" t="s">
        <v>533</v>
      </c>
      <c r="F1428" s="213" t="s">
        <v>534</v>
      </c>
      <c r="G1428" s="213" t="s">
        <v>373</v>
      </c>
      <c r="H1428" s="213" t="s">
        <v>382</v>
      </c>
      <c r="I1428" s="213"/>
      <c r="J1428" s="213" t="s">
        <v>535</v>
      </c>
      <c r="K1428" s="213" t="s">
        <v>547</v>
      </c>
      <c r="L1428" s="213"/>
      <c r="M1428" s="213"/>
      <c r="N1428" s="213"/>
      <c r="O1428" s="213"/>
      <c r="P1428" s="213"/>
      <c r="Q1428" s="213"/>
      <c r="R1428" s="213"/>
      <c r="S1428" s="213" t="s">
        <v>565</v>
      </c>
      <c r="T1428" s="213"/>
      <c r="U1428" s="213" t="s">
        <v>538</v>
      </c>
      <c r="V1428" s="213">
        <v>2</v>
      </c>
      <c r="W1428" s="213" t="s">
        <v>566</v>
      </c>
      <c r="X1428" s="213" t="s">
        <v>549</v>
      </c>
      <c r="Y1428" s="213" t="s">
        <v>549</v>
      </c>
      <c r="Z1428" s="212">
        <v>23812</v>
      </c>
      <c r="AA1428" s="212">
        <v>2759904</v>
      </c>
      <c r="AB1428" s="217">
        <v>0.30727500000000002</v>
      </c>
      <c r="AC1428" s="217">
        <v>0.49451099999999998</v>
      </c>
      <c r="AD1428" s="212">
        <f t="shared" si="22"/>
        <v>848049.50160000008</v>
      </c>
    </row>
    <row r="1429" spans="2:30" x14ac:dyDescent="0.15">
      <c r="B1429" s="213">
        <v>17097009386</v>
      </c>
      <c r="C1429" s="213">
        <v>17097007500</v>
      </c>
      <c r="D1429" s="213">
        <v>99999016983</v>
      </c>
      <c r="E1429" s="213" t="s">
        <v>533</v>
      </c>
      <c r="F1429" s="213" t="s">
        <v>534</v>
      </c>
      <c r="G1429" s="213" t="s">
        <v>373</v>
      </c>
      <c r="H1429" s="213" t="s">
        <v>535</v>
      </c>
      <c r="I1429" s="213"/>
      <c r="J1429" s="213"/>
      <c r="K1429" s="213"/>
      <c r="L1429" s="213"/>
      <c r="M1429" s="213"/>
      <c r="N1429" s="213"/>
      <c r="O1429" s="213"/>
      <c r="P1429" s="213"/>
      <c r="Q1429" s="213"/>
      <c r="R1429" s="213"/>
      <c r="S1429" s="213" t="s">
        <v>548</v>
      </c>
      <c r="T1429" s="213"/>
      <c r="U1429" s="213" t="s">
        <v>538</v>
      </c>
      <c r="V1429" s="213">
        <v>2</v>
      </c>
      <c r="W1429" s="213" t="s">
        <v>545</v>
      </c>
      <c r="X1429" s="213" t="s">
        <v>549</v>
      </c>
      <c r="Y1429" s="213" t="s">
        <v>546</v>
      </c>
      <c r="Z1429" s="212">
        <v>374620</v>
      </c>
      <c r="AA1429" s="212">
        <v>23516813</v>
      </c>
      <c r="AB1429" s="217">
        <v>0.45537</v>
      </c>
      <c r="AC1429" s="217">
        <v>0.73284800000000005</v>
      </c>
      <c r="AD1429" s="212">
        <f t="shared" si="22"/>
        <v>10708851.135810001</v>
      </c>
    </row>
    <row r="1430" spans="2:30" x14ac:dyDescent="0.15">
      <c r="B1430" s="213">
        <v>17097009389</v>
      </c>
      <c r="C1430" s="213">
        <v>17097000042</v>
      </c>
      <c r="D1430" s="213">
        <v>17097007502</v>
      </c>
      <c r="E1430" s="213" t="s">
        <v>533</v>
      </c>
      <c r="F1430" s="213" t="s">
        <v>534</v>
      </c>
      <c r="G1430" s="213" t="s">
        <v>373</v>
      </c>
      <c r="H1430" s="213" t="s">
        <v>535</v>
      </c>
      <c r="I1430" s="213"/>
      <c r="J1430" s="213" t="s">
        <v>547</v>
      </c>
      <c r="K1430" s="213"/>
      <c r="L1430" s="213"/>
      <c r="M1430" s="213"/>
      <c r="N1430" s="213"/>
      <c r="O1430" s="213"/>
      <c r="P1430" s="213"/>
      <c r="Q1430" s="213"/>
      <c r="R1430" s="213"/>
      <c r="S1430" s="213" t="s">
        <v>548</v>
      </c>
      <c r="T1430" s="213"/>
      <c r="U1430" s="213" t="s">
        <v>538</v>
      </c>
      <c r="V1430" s="213">
        <v>2</v>
      </c>
      <c r="W1430" s="213" t="s">
        <v>545</v>
      </c>
      <c r="X1430" s="213" t="s">
        <v>549</v>
      </c>
      <c r="Y1430" s="213" t="s">
        <v>546</v>
      </c>
      <c r="Z1430" s="212">
        <v>374620</v>
      </c>
      <c r="AA1430" s="212">
        <v>23516813</v>
      </c>
      <c r="AB1430" s="217">
        <v>1.420407</v>
      </c>
      <c r="AC1430" s="217">
        <v>2.2859280000000002</v>
      </c>
      <c r="AD1430" s="212">
        <f t="shared" si="22"/>
        <v>33403445.802891001</v>
      </c>
    </row>
    <row r="1431" spans="2:30" x14ac:dyDescent="0.15">
      <c r="B1431" s="213">
        <v>17097009395</v>
      </c>
      <c r="C1431" s="213">
        <v>17097000061</v>
      </c>
      <c r="D1431" s="213">
        <v>17097007508</v>
      </c>
      <c r="E1431" s="213" t="s">
        <v>533</v>
      </c>
      <c r="F1431" s="213" t="s">
        <v>534</v>
      </c>
      <c r="G1431" s="213" t="s">
        <v>373</v>
      </c>
      <c r="H1431" s="213" t="s">
        <v>535</v>
      </c>
      <c r="I1431" s="213"/>
      <c r="J1431" s="213" t="s">
        <v>547</v>
      </c>
      <c r="K1431" s="213"/>
      <c r="L1431" s="213"/>
      <c r="M1431" s="213"/>
      <c r="N1431" s="213"/>
      <c r="O1431" s="213"/>
      <c r="P1431" s="213"/>
      <c r="Q1431" s="213"/>
      <c r="R1431" s="213"/>
      <c r="S1431" s="213" t="s">
        <v>548</v>
      </c>
      <c r="T1431" s="213"/>
      <c r="U1431" s="213" t="s">
        <v>538</v>
      </c>
      <c r="V1431" s="213">
        <v>2</v>
      </c>
      <c r="W1431" s="213" t="s">
        <v>545</v>
      </c>
      <c r="X1431" s="213" t="s">
        <v>549</v>
      </c>
      <c r="Y1431" s="213" t="s">
        <v>546</v>
      </c>
      <c r="Z1431" s="212">
        <v>374620</v>
      </c>
      <c r="AA1431" s="212">
        <v>23516813</v>
      </c>
      <c r="AB1431" s="217">
        <v>0.44246000000000002</v>
      </c>
      <c r="AC1431" s="217">
        <v>0.71207100000000001</v>
      </c>
      <c r="AD1431" s="212">
        <f t="shared" si="22"/>
        <v>10405249.079980001</v>
      </c>
    </row>
    <row r="1432" spans="2:30" x14ac:dyDescent="0.15">
      <c r="B1432" s="213">
        <v>17097009402</v>
      </c>
      <c r="C1432" s="213">
        <v>17097000109</v>
      </c>
      <c r="D1432" s="213">
        <v>17097007513</v>
      </c>
      <c r="E1432" s="213" t="s">
        <v>533</v>
      </c>
      <c r="F1432" s="213" t="s">
        <v>534</v>
      </c>
      <c r="G1432" s="213" t="s">
        <v>373</v>
      </c>
      <c r="H1432" s="213" t="s">
        <v>535</v>
      </c>
      <c r="I1432" s="213"/>
      <c r="J1432" s="213" t="s">
        <v>547</v>
      </c>
      <c r="K1432" s="213"/>
      <c r="L1432" s="213"/>
      <c r="M1432" s="213"/>
      <c r="N1432" s="213"/>
      <c r="O1432" s="213"/>
      <c r="P1432" s="213"/>
      <c r="Q1432" s="213"/>
      <c r="R1432" s="213"/>
      <c r="S1432" s="213" t="s">
        <v>548</v>
      </c>
      <c r="T1432" s="213"/>
      <c r="U1432" s="213" t="s">
        <v>538</v>
      </c>
      <c r="V1432" s="213">
        <v>2</v>
      </c>
      <c r="W1432" s="213" t="s">
        <v>545</v>
      </c>
      <c r="X1432" s="213" t="s">
        <v>549</v>
      </c>
      <c r="Y1432" s="213" t="s">
        <v>546</v>
      </c>
      <c r="Z1432" s="212">
        <v>371008</v>
      </c>
      <c r="AA1432" s="212">
        <v>23163493</v>
      </c>
      <c r="AB1432" s="217">
        <v>0.51465300000000003</v>
      </c>
      <c r="AC1432" s="217">
        <v>0.82825599999999999</v>
      </c>
      <c r="AD1432" s="212">
        <f t="shared" si="22"/>
        <v>11921161.162929</v>
      </c>
    </row>
    <row r="1433" spans="2:30" x14ac:dyDescent="0.15">
      <c r="B1433" s="213">
        <v>17097009404</v>
      </c>
      <c r="C1433" s="213">
        <v>17097007515</v>
      </c>
      <c r="D1433" s="213">
        <v>17097000111</v>
      </c>
      <c r="E1433" s="213" t="s">
        <v>533</v>
      </c>
      <c r="F1433" s="213" t="s">
        <v>534</v>
      </c>
      <c r="G1433" s="213" t="s">
        <v>373</v>
      </c>
      <c r="H1433" s="213" t="s">
        <v>535</v>
      </c>
      <c r="I1433" s="213"/>
      <c r="J1433" s="213" t="s">
        <v>547</v>
      </c>
      <c r="K1433" s="213"/>
      <c r="L1433" s="213"/>
      <c r="M1433" s="213"/>
      <c r="N1433" s="213"/>
      <c r="O1433" s="213"/>
      <c r="P1433" s="213"/>
      <c r="Q1433" s="213"/>
      <c r="R1433" s="213"/>
      <c r="S1433" s="213" t="s">
        <v>548</v>
      </c>
      <c r="T1433" s="213"/>
      <c r="U1433" s="213" t="s">
        <v>538</v>
      </c>
      <c r="V1433" s="213">
        <v>2</v>
      </c>
      <c r="W1433" s="213" t="s">
        <v>545</v>
      </c>
      <c r="X1433" s="213" t="s">
        <v>549</v>
      </c>
      <c r="Y1433" s="213" t="s">
        <v>546</v>
      </c>
      <c r="Z1433" s="212">
        <v>373849</v>
      </c>
      <c r="AA1433" s="212">
        <v>22810399</v>
      </c>
      <c r="AB1433" s="217">
        <v>0.90354299999999999</v>
      </c>
      <c r="AC1433" s="217">
        <v>1.454115</v>
      </c>
      <c r="AD1433" s="212">
        <f t="shared" si="22"/>
        <v>20610176.343656998</v>
      </c>
    </row>
    <row r="1434" spans="2:30" x14ac:dyDescent="0.15">
      <c r="B1434" s="213">
        <v>17097009421</v>
      </c>
      <c r="C1434" s="213">
        <v>17097000053</v>
      </c>
      <c r="D1434" s="213">
        <v>17097007529</v>
      </c>
      <c r="E1434" s="213" t="s">
        <v>533</v>
      </c>
      <c r="F1434" s="213" t="s">
        <v>534</v>
      </c>
      <c r="G1434" s="213" t="s">
        <v>373</v>
      </c>
      <c r="H1434" s="213" t="s">
        <v>382</v>
      </c>
      <c r="I1434" s="213"/>
      <c r="J1434" s="213"/>
      <c r="K1434" s="213"/>
      <c r="L1434" s="213"/>
      <c r="M1434" s="213"/>
      <c r="N1434" s="213"/>
      <c r="O1434" s="213"/>
      <c r="P1434" s="213"/>
      <c r="Q1434" s="213"/>
      <c r="R1434" s="213"/>
      <c r="S1434" s="213" t="s">
        <v>586</v>
      </c>
      <c r="T1434" s="213"/>
      <c r="U1434" s="213" t="s">
        <v>538</v>
      </c>
      <c r="V1434" s="213">
        <v>1</v>
      </c>
      <c r="W1434" s="213" t="s">
        <v>582</v>
      </c>
      <c r="X1434" s="213" t="s">
        <v>549</v>
      </c>
      <c r="Y1434" s="213" t="s">
        <v>549</v>
      </c>
      <c r="Z1434" s="212">
        <v>75128</v>
      </c>
      <c r="AA1434" s="212">
        <v>8087367</v>
      </c>
      <c r="AB1434" s="217">
        <v>0.62365700000000002</v>
      </c>
      <c r="AC1434" s="217">
        <v>1.0036799999999999</v>
      </c>
      <c r="AD1434" s="212">
        <f t="shared" si="22"/>
        <v>5043743.0411189999</v>
      </c>
    </row>
    <row r="1435" spans="2:30" x14ac:dyDescent="0.15">
      <c r="B1435" s="213">
        <v>17097009423</v>
      </c>
      <c r="C1435" s="213">
        <v>17097007531</v>
      </c>
      <c r="D1435" s="213">
        <v>17097000053</v>
      </c>
      <c r="E1435" s="213" t="s">
        <v>533</v>
      </c>
      <c r="F1435" s="213" t="s">
        <v>534</v>
      </c>
      <c r="G1435" s="213" t="s">
        <v>373</v>
      </c>
      <c r="H1435" s="213" t="s">
        <v>382</v>
      </c>
      <c r="I1435" s="213"/>
      <c r="J1435" s="213"/>
      <c r="K1435" s="213"/>
      <c r="L1435" s="213"/>
      <c r="M1435" s="213"/>
      <c r="N1435" s="213"/>
      <c r="O1435" s="213"/>
      <c r="P1435" s="213"/>
      <c r="Q1435" s="213"/>
      <c r="R1435" s="213"/>
      <c r="S1435" s="213" t="s">
        <v>586</v>
      </c>
      <c r="T1435" s="213"/>
      <c r="U1435" s="213" t="s">
        <v>538</v>
      </c>
      <c r="V1435" s="213">
        <v>2</v>
      </c>
      <c r="W1435" s="213" t="s">
        <v>582</v>
      </c>
      <c r="X1435" s="213" t="s">
        <v>549</v>
      </c>
      <c r="Y1435" s="213" t="s">
        <v>549</v>
      </c>
      <c r="Z1435" s="212">
        <v>75128</v>
      </c>
      <c r="AA1435" s="212">
        <v>8087367</v>
      </c>
      <c r="AB1435" s="217">
        <v>0.10194</v>
      </c>
      <c r="AC1435" s="217">
        <v>0.16405700000000001</v>
      </c>
      <c r="AD1435" s="212">
        <f t="shared" si="22"/>
        <v>824426.19198</v>
      </c>
    </row>
    <row r="1436" spans="2:30" x14ac:dyDescent="0.15">
      <c r="B1436" s="213">
        <v>17097009430</v>
      </c>
      <c r="C1436" s="213">
        <v>17097007533</v>
      </c>
      <c r="D1436" s="213">
        <v>17097007531</v>
      </c>
      <c r="E1436" s="213" t="s">
        <v>533</v>
      </c>
      <c r="F1436" s="213" t="s">
        <v>534</v>
      </c>
      <c r="G1436" s="213" t="s">
        <v>373</v>
      </c>
      <c r="H1436" s="213" t="s">
        <v>382</v>
      </c>
      <c r="I1436" s="213"/>
      <c r="J1436" s="213"/>
      <c r="K1436" s="213"/>
      <c r="L1436" s="213"/>
      <c r="M1436" s="213"/>
      <c r="N1436" s="213"/>
      <c r="O1436" s="213"/>
      <c r="P1436" s="213"/>
      <c r="Q1436" s="213"/>
      <c r="R1436" s="213"/>
      <c r="S1436" s="213" t="s">
        <v>586</v>
      </c>
      <c r="T1436" s="213"/>
      <c r="U1436" s="213" t="s">
        <v>538</v>
      </c>
      <c r="V1436" s="213">
        <v>2</v>
      </c>
      <c r="W1436" s="213" t="s">
        <v>582</v>
      </c>
      <c r="X1436" s="213" t="s">
        <v>549</v>
      </c>
      <c r="Y1436" s="213" t="s">
        <v>549</v>
      </c>
      <c r="Z1436" s="212">
        <v>75128</v>
      </c>
      <c r="AA1436" s="212">
        <v>8087367</v>
      </c>
      <c r="AB1436" s="217">
        <v>6.8984000000000004E-2</v>
      </c>
      <c r="AC1436" s="217">
        <v>0.11101999999999999</v>
      </c>
      <c r="AD1436" s="212">
        <f t="shared" si="22"/>
        <v>557898.92512799997</v>
      </c>
    </row>
    <row r="1437" spans="2:30" x14ac:dyDescent="0.15">
      <c r="B1437" s="213">
        <v>17097009436</v>
      </c>
      <c r="C1437" s="213">
        <v>17097004528</v>
      </c>
      <c r="D1437" s="213">
        <v>17097007543</v>
      </c>
      <c r="E1437" s="213" t="s">
        <v>533</v>
      </c>
      <c r="F1437" s="213" t="s">
        <v>534</v>
      </c>
      <c r="G1437" s="213" t="s">
        <v>373</v>
      </c>
      <c r="H1437" s="213" t="s">
        <v>382</v>
      </c>
      <c r="I1437" s="213"/>
      <c r="J1437" s="213"/>
      <c r="K1437" s="213"/>
      <c r="L1437" s="213"/>
      <c r="M1437" s="213"/>
      <c r="N1437" s="213"/>
      <c r="O1437" s="213"/>
      <c r="P1437" s="213"/>
      <c r="Q1437" s="213"/>
      <c r="R1437" s="213"/>
      <c r="S1437" s="213" t="s">
        <v>586</v>
      </c>
      <c r="T1437" s="213"/>
      <c r="U1437" s="213" t="s">
        <v>538</v>
      </c>
      <c r="V1437" s="213">
        <v>1</v>
      </c>
      <c r="W1437" s="213" t="s">
        <v>582</v>
      </c>
      <c r="X1437" s="213" t="s">
        <v>549</v>
      </c>
      <c r="Y1437" s="213" t="s">
        <v>549</v>
      </c>
      <c r="Z1437" s="212">
        <v>77408</v>
      </c>
      <c r="AA1437" s="212">
        <v>8294727</v>
      </c>
      <c r="AB1437" s="217">
        <v>0.66388999999999998</v>
      </c>
      <c r="AC1437" s="217">
        <v>1.0684290000000001</v>
      </c>
      <c r="AD1437" s="212">
        <f t="shared" si="22"/>
        <v>5506786.30803</v>
      </c>
    </row>
    <row r="1438" spans="2:30" x14ac:dyDescent="0.15">
      <c r="B1438" s="213">
        <v>17111001949</v>
      </c>
      <c r="C1438" s="213">
        <v>17111000018</v>
      </c>
      <c r="D1438" s="213">
        <v>99999016991</v>
      </c>
      <c r="E1438" s="213" t="s">
        <v>533</v>
      </c>
      <c r="F1438" s="213" t="s">
        <v>534</v>
      </c>
      <c r="G1438" s="213" t="s">
        <v>375</v>
      </c>
      <c r="H1438" s="213" t="s">
        <v>563</v>
      </c>
      <c r="I1438" s="213"/>
      <c r="J1438" s="213"/>
      <c r="K1438" s="213"/>
      <c r="L1438" s="213"/>
      <c r="M1438" s="213"/>
      <c r="N1438" s="213"/>
      <c r="O1438" s="213"/>
      <c r="P1438" s="213"/>
      <c r="Q1438" s="213"/>
      <c r="R1438" s="213"/>
      <c r="S1438" s="213" t="s">
        <v>629</v>
      </c>
      <c r="T1438" s="213"/>
      <c r="U1438" s="213" t="s">
        <v>538</v>
      </c>
      <c r="V1438" s="213">
        <v>1</v>
      </c>
      <c r="W1438" s="213" t="s">
        <v>562</v>
      </c>
      <c r="X1438" s="213" t="s">
        <v>554</v>
      </c>
      <c r="Y1438" s="213" t="s">
        <v>554</v>
      </c>
      <c r="Z1438" s="212">
        <v>21028</v>
      </c>
      <c r="AA1438" s="212">
        <v>1874420</v>
      </c>
      <c r="AB1438" s="217">
        <v>2.168523</v>
      </c>
      <c r="AC1438" s="217">
        <v>3.489906</v>
      </c>
      <c r="AD1438" s="212">
        <f t="shared" si="22"/>
        <v>4064722.88166</v>
      </c>
    </row>
    <row r="1439" spans="2:30" x14ac:dyDescent="0.15">
      <c r="B1439" s="213">
        <v>17111001976</v>
      </c>
      <c r="C1439" s="213">
        <v>17111000108</v>
      </c>
      <c r="D1439" s="213">
        <v>17111004834</v>
      </c>
      <c r="E1439" s="213" t="s">
        <v>533</v>
      </c>
      <c r="F1439" s="213" t="s">
        <v>534</v>
      </c>
      <c r="G1439" s="213" t="s">
        <v>375</v>
      </c>
      <c r="H1439" s="213" t="s">
        <v>382</v>
      </c>
      <c r="I1439" s="213"/>
      <c r="J1439" s="213" t="s">
        <v>547</v>
      </c>
      <c r="K1439" s="213"/>
      <c r="L1439" s="213"/>
      <c r="M1439" s="213"/>
      <c r="N1439" s="213"/>
      <c r="O1439" s="213"/>
      <c r="P1439" s="213"/>
      <c r="Q1439" s="213"/>
      <c r="R1439" s="213"/>
      <c r="S1439" s="213" t="s">
        <v>608</v>
      </c>
      <c r="T1439" s="213"/>
      <c r="U1439" s="213" t="s">
        <v>538</v>
      </c>
      <c r="V1439" s="213">
        <v>2</v>
      </c>
      <c r="W1439" s="213" t="s">
        <v>566</v>
      </c>
      <c r="X1439" s="213" t="s">
        <v>549</v>
      </c>
      <c r="Y1439" s="213" t="s">
        <v>549</v>
      </c>
      <c r="Z1439" s="212">
        <v>10111</v>
      </c>
      <c r="AA1439" s="212">
        <v>889728</v>
      </c>
      <c r="AB1439" s="217">
        <v>2.1744750000000002</v>
      </c>
      <c r="AC1439" s="217">
        <v>3.4994860000000001</v>
      </c>
      <c r="AD1439" s="212">
        <f t="shared" si="22"/>
        <v>1934691.2928000002</v>
      </c>
    </row>
    <row r="1440" spans="2:30" x14ac:dyDescent="0.15">
      <c r="B1440" s="213">
        <v>17111001979</v>
      </c>
      <c r="C1440" s="213">
        <v>17111000236</v>
      </c>
      <c r="D1440" s="213">
        <v>17111000152</v>
      </c>
      <c r="E1440" s="213" t="s">
        <v>533</v>
      </c>
      <c r="F1440" s="213" t="s">
        <v>534</v>
      </c>
      <c r="G1440" s="213" t="s">
        <v>375</v>
      </c>
      <c r="H1440" s="213" t="s">
        <v>382</v>
      </c>
      <c r="I1440" s="213"/>
      <c r="J1440" s="213"/>
      <c r="K1440" s="213"/>
      <c r="L1440" s="213"/>
      <c r="M1440" s="213"/>
      <c r="N1440" s="213"/>
      <c r="O1440" s="213"/>
      <c r="P1440" s="213"/>
      <c r="Q1440" s="213"/>
      <c r="R1440" s="213"/>
      <c r="S1440" s="213" t="s">
        <v>561</v>
      </c>
      <c r="T1440" s="213"/>
      <c r="U1440" s="213" t="s">
        <v>538</v>
      </c>
      <c r="V1440" s="213">
        <v>1</v>
      </c>
      <c r="W1440" s="213" t="s">
        <v>562</v>
      </c>
      <c r="X1440" s="213" t="s">
        <v>540</v>
      </c>
      <c r="Y1440" s="213" t="s">
        <v>541</v>
      </c>
      <c r="Z1440" s="212">
        <v>12120</v>
      </c>
      <c r="AA1440" s="212">
        <v>280000</v>
      </c>
      <c r="AB1440" s="217">
        <v>7.4491680000000002</v>
      </c>
      <c r="AC1440" s="217">
        <v>11.988298</v>
      </c>
      <c r="AD1440" s="212">
        <f t="shared" si="22"/>
        <v>2085767.04</v>
      </c>
    </row>
    <row r="1441" spans="2:30" x14ac:dyDescent="0.15">
      <c r="B1441" s="213">
        <v>17111001981</v>
      </c>
      <c r="C1441" s="213">
        <v>17999018890</v>
      </c>
      <c r="D1441" s="213">
        <v>17111004833</v>
      </c>
      <c r="E1441" s="213" t="s">
        <v>533</v>
      </c>
      <c r="F1441" s="213" t="s">
        <v>534</v>
      </c>
      <c r="G1441" s="213" t="s">
        <v>375</v>
      </c>
      <c r="H1441" s="213" t="s">
        <v>382</v>
      </c>
      <c r="I1441" s="213"/>
      <c r="J1441" s="213" t="s">
        <v>547</v>
      </c>
      <c r="K1441" s="213"/>
      <c r="L1441" s="213"/>
      <c r="M1441" s="213"/>
      <c r="N1441" s="213"/>
      <c r="O1441" s="213"/>
      <c r="P1441" s="213"/>
      <c r="Q1441" s="213"/>
      <c r="R1441" s="213"/>
      <c r="S1441" s="213" t="s">
        <v>608</v>
      </c>
      <c r="T1441" s="213"/>
      <c r="U1441" s="213" t="s">
        <v>538</v>
      </c>
      <c r="V1441" s="213">
        <v>2</v>
      </c>
      <c r="W1441" s="213" t="s">
        <v>566</v>
      </c>
      <c r="X1441" s="213" t="s">
        <v>549</v>
      </c>
      <c r="Y1441" s="213" t="s">
        <v>549</v>
      </c>
      <c r="Z1441" s="212">
        <v>10671</v>
      </c>
      <c r="AA1441" s="212">
        <v>940168</v>
      </c>
      <c r="AB1441" s="217">
        <v>1.238639</v>
      </c>
      <c r="AC1441" s="217">
        <v>1.9934000000000001</v>
      </c>
      <c r="AD1441" s="212">
        <f t="shared" si="22"/>
        <v>1164528.7513520001</v>
      </c>
    </row>
    <row r="1442" spans="2:30" x14ac:dyDescent="0.15">
      <c r="B1442" s="213">
        <v>17111001982</v>
      </c>
      <c r="C1442" s="213">
        <v>17111004837</v>
      </c>
      <c r="D1442" s="213">
        <v>17111000045</v>
      </c>
      <c r="E1442" s="213" t="s">
        <v>533</v>
      </c>
      <c r="F1442" s="213" t="s">
        <v>534</v>
      </c>
      <c r="G1442" s="213" t="s">
        <v>375</v>
      </c>
      <c r="H1442" s="213" t="s">
        <v>382</v>
      </c>
      <c r="I1442" s="213"/>
      <c r="J1442" s="213" t="s">
        <v>547</v>
      </c>
      <c r="K1442" s="213"/>
      <c r="L1442" s="213"/>
      <c r="M1442" s="213"/>
      <c r="N1442" s="213"/>
      <c r="O1442" s="213"/>
      <c r="P1442" s="213"/>
      <c r="Q1442" s="213"/>
      <c r="R1442" s="213"/>
      <c r="S1442" s="213" t="s">
        <v>608</v>
      </c>
      <c r="T1442" s="213"/>
      <c r="U1442" s="213" t="s">
        <v>538</v>
      </c>
      <c r="V1442" s="213">
        <v>2</v>
      </c>
      <c r="W1442" s="213" t="s">
        <v>566</v>
      </c>
      <c r="X1442" s="213" t="s">
        <v>549</v>
      </c>
      <c r="Y1442" s="213" t="s">
        <v>549</v>
      </c>
      <c r="Z1442" s="212">
        <v>9751</v>
      </c>
      <c r="AA1442" s="212">
        <v>862328</v>
      </c>
      <c r="AB1442" s="217">
        <v>6.6996419999999999</v>
      </c>
      <c r="AC1442" s="217">
        <v>10.782050999999999</v>
      </c>
      <c r="AD1442" s="212">
        <f t="shared" si="22"/>
        <v>5777288.8865759997</v>
      </c>
    </row>
    <row r="1443" spans="2:30" x14ac:dyDescent="0.15">
      <c r="B1443" s="213">
        <v>17111002126</v>
      </c>
      <c r="C1443" s="213">
        <v>17111000032</v>
      </c>
      <c r="D1443" s="213">
        <v>17111004830</v>
      </c>
      <c r="E1443" s="213" t="s">
        <v>533</v>
      </c>
      <c r="F1443" s="213" t="s">
        <v>534</v>
      </c>
      <c r="G1443" s="213" t="s">
        <v>375</v>
      </c>
      <c r="H1443" s="213" t="s">
        <v>563</v>
      </c>
      <c r="I1443" s="213"/>
      <c r="J1443" s="213"/>
      <c r="K1443" s="213"/>
      <c r="L1443" s="213"/>
      <c r="M1443" s="213"/>
      <c r="N1443" s="213"/>
      <c r="O1443" s="213"/>
      <c r="P1443" s="213"/>
      <c r="Q1443" s="213"/>
      <c r="R1443" s="213"/>
      <c r="S1443" s="213" t="s">
        <v>629</v>
      </c>
      <c r="T1443" s="213"/>
      <c r="U1443" s="213" t="s">
        <v>538</v>
      </c>
      <c r="V1443" s="213">
        <v>1</v>
      </c>
      <c r="W1443" s="213" t="s">
        <v>562</v>
      </c>
      <c r="X1443" s="213" t="s">
        <v>554</v>
      </c>
      <c r="Y1443" s="213" t="s">
        <v>554</v>
      </c>
      <c r="Z1443" s="212">
        <v>21068</v>
      </c>
      <c r="AA1443" s="212">
        <v>1878340</v>
      </c>
      <c r="AB1443" s="217">
        <v>4.4978680000000004</v>
      </c>
      <c r="AC1443" s="217">
        <v>7.238632</v>
      </c>
      <c r="AD1443" s="212">
        <f t="shared" si="22"/>
        <v>8448525.3791200016</v>
      </c>
    </row>
    <row r="1444" spans="2:30" x14ac:dyDescent="0.15">
      <c r="B1444" s="213">
        <v>17111002548</v>
      </c>
      <c r="C1444" s="213">
        <v>17111004836</v>
      </c>
      <c r="D1444" s="213">
        <v>17111004837</v>
      </c>
      <c r="E1444" s="213" t="s">
        <v>533</v>
      </c>
      <c r="F1444" s="213" t="s">
        <v>534</v>
      </c>
      <c r="G1444" s="213" t="s">
        <v>375</v>
      </c>
      <c r="H1444" s="213" t="s">
        <v>382</v>
      </c>
      <c r="I1444" s="213"/>
      <c r="J1444" s="213" t="s">
        <v>547</v>
      </c>
      <c r="K1444" s="213"/>
      <c r="L1444" s="213"/>
      <c r="M1444" s="213"/>
      <c r="N1444" s="213"/>
      <c r="O1444" s="213"/>
      <c r="P1444" s="213"/>
      <c r="Q1444" s="213"/>
      <c r="R1444" s="213"/>
      <c r="S1444" s="213" t="s">
        <v>608</v>
      </c>
      <c r="T1444" s="213"/>
      <c r="U1444" s="213" t="s">
        <v>538</v>
      </c>
      <c r="V1444" s="213">
        <v>2</v>
      </c>
      <c r="W1444" s="213" t="s">
        <v>566</v>
      </c>
      <c r="X1444" s="213" t="s">
        <v>549</v>
      </c>
      <c r="Y1444" s="213" t="s">
        <v>549</v>
      </c>
      <c r="Z1444" s="212">
        <v>9751</v>
      </c>
      <c r="AA1444" s="212">
        <v>862328</v>
      </c>
      <c r="AB1444" s="217">
        <v>4.4494369999999996</v>
      </c>
      <c r="AC1444" s="217">
        <v>7.1606880000000004</v>
      </c>
      <c r="AD1444" s="212">
        <f t="shared" si="22"/>
        <v>3836874.1093359995</v>
      </c>
    </row>
    <row r="1445" spans="2:30" x14ac:dyDescent="0.15">
      <c r="B1445" s="213">
        <v>17111002558</v>
      </c>
      <c r="C1445" s="213">
        <v>17111004841</v>
      </c>
      <c r="D1445" s="213">
        <v>17111000158</v>
      </c>
      <c r="E1445" s="213" t="s">
        <v>533</v>
      </c>
      <c r="F1445" s="213" t="s">
        <v>534</v>
      </c>
      <c r="G1445" s="213" t="s">
        <v>375</v>
      </c>
      <c r="H1445" s="213" t="s">
        <v>678</v>
      </c>
      <c r="I1445" s="213"/>
      <c r="J1445" s="213"/>
      <c r="K1445" s="213"/>
      <c r="L1445" s="213"/>
      <c r="M1445" s="213"/>
      <c r="N1445" s="213"/>
      <c r="O1445" s="213"/>
      <c r="P1445" s="213"/>
      <c r="Q1445" s="213"/>
      <c r="R1445" s="213"/>
      <c r="S1445" s="213"/>
      <c r="T1445" s="213"/>
      <c r="U1445" s="213" t="s">
        <v>538</v>
      </c>
      <c r="V1445" s="213">
        <v>1</v>
      </c>
      <c r="W1445" s="213" t="s">
        <v>560</v>
      </c>
      <c r="X1445" s="213" t="s">
        <v>541</v>
      </c>
      <c r="Y1445" s="213" t="s">
        <v>541</v>
      </c>
      <c r="Z1445" s="212">
        <v>0</v>
      </c>
      <c r="AA1445" s="212">
        <v>0</v>
      </c>
      <c r="AB1445" s="217">
        <v>0.14360500000000001</v>
      </c>
      <c r="AC1445" s="217">
        <v>0.23111100000000001</v>
      </c>
      <c r="AD1445" s="212">
        <f t="shared" si="22"/>
        <v>0</v>
      </c>
    </row>
    <row r="1446" spans="2:30" x14ac:dyDescent="0.15">
      <c r="B1446" s="213">
        <v>17111003009</v>
      </c>
      <c r="C1446" s="213">
        <v>17111000040</v>
      </c>
      <c r="D1446" s="213">
        <v>17111000041</v>
      </c>
      <c r="E1446" s="213" t="s">
        <v>533</v>
      </c>
      <c r="F1446" s="213" t="s">
        <v>534</v>
      </c>
      <c r="G1446" s="213" t="s">
        <v>375</v>
      </c>
      <c r="H1446" s="213" t="s">
        <v>636</v>
      </c>
      <c r="I1446" s="213"/>
      <c r="J1446" s="213"/>
      <c r="K1446" s="213"/>
      <c r="L1446" s="213"/>
      <c r="M1446" s="213"/>
      <c r="N1446" s="213"/>
      <c r="O1446" s="213"/>
      <c r="P1446" s="213"/>
      <c r="Q1446" s="213"/>
      <c r="R1446" s="213"/>
      <c r="S1446" s="213"/>
      <c r="T1446" s="213"/>
      <c r="U1446" s="213" t="s">
        <v>538</v>
      </c>
      <c r="V1446" s="213">
        <v>1</v>
      </c>
      <c r="W1446" s="213" t="s">
        <v>560</v>
      </c>
      <c r="X1446" s="213" t="s">
        <v>637</v>
      </c>
      <c r="Y1446" s="213" t="s">
        <v>541</v>
      </c>
      <c r="Z1446" s="212">
        <v>0</v>
      </c>
      <c r="AA1446" s="212">
        <v>0</v>
      </c>
      <c r="AB1446" s="217">
        <v>0.187055</v>
      </c>
      <c r="AC1446" s="217">
        <v>0.301037</v>
      </c>
      <c r="AD1446" s="212">
        <f t="shared" si="22"/>
        <v>0</v>
      </c>
    </row>
    <row r="1447" spans="2:30" x14ac:dyDescent="0.15">
      <c r="B1447" s="213">
        <v>17111003225</v>
      </c>
      <c r="C1447" s="213">
        <v>17999019031</v>
      </c>
      <c r="D1447" s="213">
        <v>17111004840</v>
      </c>
      <c r="E1447" s="213" t="s">
        <v>533</v>
      </c>
      <c r="F1447" s="213" t="s">
        <v>534</v>
      </c>
      <c r="G1447" s="213" t="s">
        <v>375</v>
      </c>
      <c r="H1447" s="213" t="s">
        <v>382</v>
      </c>
      <c r="I1447" s="213"/>
      <c r="J1447" s="213"/>
      <c r="K1447" s="213"/>
      <c r="L1447" s="213"/>
      <c r="M1447" s="213"/>
      <c r="N1447" s="213"/>
      <c r="O1447" s="213"/>
      <c r="P1447" s="213"/>
      <c r="Q1447" s="213"/>
      <c r="R1447" s="213"/>
      <c r="S1447" s="213" t="s">
        <v>561</v>
      </c>
      <c r="T1447" s="213"/>
      <c r="U1447" s="213" t="s">
        <v>538</v>
      </c>
      <c r="V1447" s="213">
        <v>1</v>
      </c>
      <c r="W1447" s="213" t="s">
        <v>562</v>
      </c>
      <c r="X1447" s="213" t="s">
        <v>540</v>
      </c>
      <c r="Y1447" s="213" t="s">
        <v>541</v>
      </c>
      <c r="Z1447" s="212">
        <v>12200</v>
      </c>
      <c r="AA1447" s="212">
        <v>287800</v>
      </c>
      <c r="AB1447" s="217">
        <v>0.10917</v>
      </c>
      <c r="AC1447" s="217">
        <v>0.17569199999999999</v>
      </c>
      <c r="AD1447" s="212">
        <f t="shared" si="22"/>
        <v>31419.126</v>
      </c>
    </row>
    <row r="1448" spans="2:30" x14ac:dyDescent="0.15">
      <c r="B1448" s="213">
        <v>17111003951</v>
      </c>
      <c r="C1448" s="213">
        <v>17111000120</v>
      </c>
      <c r="D1448" s="213">
        <v>17111000112</v>
      </c>
      <c r="E1448" s="213" t="s">
        <v>533</v>
      </c>
      <c r="F1448" s="213" t="s">
        <v>534</v>
      </c>
      <c r="G1448" s="213" t="s">
        <v>375</v>
      </c>
      <c r="H1448" s="213" t="s">
        <v>382</v>
      </c>
      <c r="I1448" s="213"/>
      <c r="J1448" s="213" t="s">
        <v>547</v>
      </c>
      <c r="K1448" s="213"/>
      <c r="L1448" s="213"/>
      <c r="M1448" s="213"/>
      <c r="N1448" s="213"/>
      <c r="O1448" s="213"/>
      <c r="P1448" s="213"/>
      <c r="Q1448" s="213"/>
      <c r="R1448" s="213"/>
      <c r="S1448" s="213" t="s">
        <v>376</v>
      </c>
      <c r="T1448" s="213"/>
      <c r="U1448" s="213" t="s">
        <v>538</v>
      </c>
      <c r="V1448" s="213">
        <v>1</v>
      </c>
      <c r="W1448" s="213" t="s">
        <v>539</v>
      </c>
      <c r="X1448" s="213" t="s">
        <v>541</v>
      </c>
      <c r="Y1448" s="213" t="s">
        <v>541</v>
      </c>
      <c r="Z1448" s="212">
        <v>0</v>
      </c>
      <c r="AA1448" s="212">
        <v>0</v>
      </c>
      <c r="AB1448" s="217">
        <v>0.399287</v>
      </c>
      <c r="AC1448" s="217">
        <v>0.64259100000000002</v>
      </c>
      <c r="AD1448" s="212">
        <f t="shared" si="22"/>
        <v>0</v>
      </c>
    </row>
    <row r="1449" spans="2:30" x14ac:dyDescent="0.15">
      <c r="B1449" s="213">
        <v>17111005927</v>
      </c>
      <c r="C1449" s="213">
        <v>17111000154</v>
      </c>
      <c r="D1449" s="213">
        <v>17111000152</v>
      </c>
      <c r="E1449" s="213" t="s">
        <v>533</v>
      </c>
      <c r="F1449" s="213" t="s">
        <v>534</v>
      </c>
      <c r="G1449" s="213" t="s">
        <v>375</v>
      </c>
      <c r="H1449" s="213" t="s">
        <v>678</v>
      </c>
      <c r="I1449" s="213"/>
      <c r="J1449" s="213"/>
      <c r="K1449" s="213"/>
      <c r="L1449" s="213"/>
      <c r="M1449" s="213"/>
      <c r="N1449" s="213"/>
      <c r="O1449" s="213"/>
      <c r="P1449" s="213"/>
      <c r="Q1449" s="213"/>
      <c r="R1449" s="213"/>
      <c r="S1449" s="213"/>
      <c r="T1449" s="213"/>
      <c r="U1449" s="213" t="s">
        <v>538</v>
      </c>
      <c r="V1449" s="213">
        <v>1</v>
      </c>
      <c r="W1449" s="213" t="s">
        <v>560</v>
      </c>
      <c r="X1449" s="213" t="s">
        <v>541</v>
      </c>
      <c r="Y1449" s="213" t="s">
        <v>541</v>
      </c>
      <c r="Z1449" s="212">
        <v>0</v>
      </c>
      <c r="AA1449" s="212">
        <v>0</v>
      </c>
      <c r="AB1449" s="217">
        <v>7.4020000000000002E-2</v>
      </c>
      <c r="AC1449" s="217">
        <v>0.11912399999999999</v>
      </c>
      <c r="AD1449" s="212">
        <f t="shared" si="22"/>
        <v>0</v>
      </c>
    </row>
    <row r="1450" spans="2:30" x14ac:dyDescent="0.15">
      <c r="B1450" s="213">
        <v>17111005950</v>
      </c>
      <c r="C1450" s="213">
        <v>17111004841</v>
      </c>
      <c r="D1450" s="213">
        <v>17111000169</v>
      </c>
      <c r="E1450" s="213" t="s">
        <v>533</v>
      </c>
      <c r="F1450" s="213" t="s">
        <v>534</v>
      </c>
      <c r="G1450" s="213" t="s">
        <v>375</v>
      </c>
      <c r="H1450" s="213" t="s">
        <v>678</v>
      </c>
      <c r="I1450" s="213"/>
      <c r="J1450" s="213"/>
      <c r="K1450" s="213"/>
      <c r="L1450" s="213"/>
      <c r="M1450" s="213"/>
      <c r="N1450" s="213"/>
      <c r="O1450" s="213"/>
      <c r="P1450" s="213"/>
      <c r="Q1450" s="213"/>
      <c r="R1450" s="213"/>
      <c r="S1450" s="213"/>
      <c r="T1450" s="213"/>
      <c r="U1450" s="213" t="s">
        <v>538</v>
      </c>
      <c r="V1450" s="213">
        <v>1</v>
      </c>
      <c r="W1450" s="213" t="s">
        <v>560</v>
      </c>
      <c r="X1450" s="213" t="s">
        <v>541</v>
      </c>
      <c r="Y1450" s="213" t="s">
        <v>541</v>
      </c>
      <c r="Z1450" s="212">
        <v>0</v>
      </c>
      <c r="AA1450" s="212">
        <v>0</v>
      </c>
      <c r="AB1450" s="217">
        <v>3.8404289999999999</v>
      </c>
      <c r="AC1450" s="217">
        <v>6.1805839999999996</v>
      </c>
      <c r="AD1450" s="212">
        <f t="shared" si="22"/>
        <v>0</v>
      </c>
    </row>
    <row r="1451" spans="2:30" x14ac:dyDescent="0.15">
      <c r="B1451" s="213">
        <v>17111006561</v>
      </c>
      <c r="C1451" s="213">
        <v>17111004835</v>
      </c>
      <c r="D1451" s="213">
        <v>17111000138</v>
      </c>
      <c r="E1451" s="213" t="s">
        <v>533</v>
      </c>
      <c r="F1451" s="213" t="s">
        <v>534</v>
      </c>
      <c r="G1451" s="213" t="s">
        <v>375</v>
      </c>
      <c r="H1451" s="213" t="s">
        <v>382</v>
      </c>
      <c r="I1451" s="213"/>
      <c r="J1451" s="213" t="s">
        <v>547</v>
      </c>
      <c r="K1451" s="213"/>
      <c r="L1451" s="213"/>
      <c r="M1451" s="213"/>
      <c r="N1451" s="213"/>
      <c r="O1451" s="213"/>
      <c r="P1451" s="213"/>
      <c r="Q1451" s="213"/>
      <c r="R1451" s="213"/>
      <c r="S1451" s="213" t="s">
        <v>608</v>
      </c>
      <c r="T1451" s="213"/>
      <c r="U1451" s="213" t="s">
        <v>538</v>
      </c>
      <c r="V1451" s="213">
        <v>2</v>
      </c>
      <c r="W1451" s="213" t="s">
        <v>566</v>
      </c>
      <c r="X1451" s="213" t="s">
        <v>549</v>
      </c>
      <c r="Y1451" s="213" t="s">
        <v>549</v>
      </c>
      <c r="Z1451" s="212">
        <v>10671</v>
      </c>
      <c r="AA1451" s="212">
        <v>940168</v>
      </c>
      <c r="AB1451" s="217">
        <v>0.223466</v>
      </c>
      <c r="AC1451" s="217">
        <v>0.35963400000000001</v>
      </c>
      <c r="AD1451" s="212">
        <f t="shared" si="22"/>
        <v>210095.58228800001</v>
      </c>
    </row>
    <row r="1452" spans="2:30" x14ac:dyDescent="0.15">
      <c r="B1452" s="213">
        <v>17111009861</v>
      </c>
      <c r="C1452" s="213">
        <v>17111007943</v>
      </c>
      <c r="D1452" s="213">
        <v>17111004836</v>
      </c>
      <c r="E1452" s="213" t="s">
        <v>533</v>
      </c>
      <c r="F1452" s="213" t="s">
        <v>534</v>
      </c>
      <c r="G1452" s="213" t="s">
        <v>375</v>
      </c>
      <c r="H1452" s="213" t="s">
        <v>382</v>
      </c>
      <c r="I1452" s="213"/>
      <c r="J1452" s="213" t="s">
        <v>547</v>
      </c>
      <c r="K1452" s="213"/>
      <c r="L1452" s="213"/>
      <c r="M1452" s="213"/>
      <c r="N1452" s="213"/>
      <c r="O1452" s="213"/>
      <c r="P1452" s="213"/>
      <c r="Q1452" s="213"/>
      <c r="R1452" s="213"/>
      <c r="S1452" s="213" t="s">
        <v>608</v>
      </c>
      <c r="T1452" s="213"/>
      <c r="U1452" s="213" t="s">
        <v>538</v>
      </c>
      <c r="V1452" s="213">
        <v>2</v>
      </c>
      <c r="W1452" s="213" t="s">
        <v>566</v>
      </c>
      <c r="X1452" s="213" t="s">
        <v>549</v>
      </c>
      <c r="Y1452" s="213" t="s">
        <v>549</v>
      </c>
      <c r="Z1452" s="212">
        <v>10111</v>
      </c>
      <c r="AA1452" s="212">
        <v>889728</v>
      </c>
      <c r="AB1452" s="217">
        <v>2.253905</v>
      </c>
      <c r="AC1452" s="217">
        <v>3.627316</v>
      </c>
      <c r="AD1452" s="212">
        <f t="shared" si="22"/>
        <v>2005362.38784</v>
      </c>
    </row>
    <row r="1453" spans="2:30" x14ac:dyDescent="0.15">
      <c r="B1453" s="213">
        <v>17197000604</v>
      </c>
      <c r="C1453" s="213">
        <v>17197007426</v>
      </c>
      <c r="D1453" s="213">
        <v>17197007432</v>
      </c>
      <c r="E1453" s="213" t="s">
        <v>533</v>
      </c>
      <c r="F1453" s="213" t="s">
        <v>534</v>
      </c>
      <c r="G1453" s="213" t="s">
        <v>377</v>
      </c>
      <c r="H1453" s="213" t="s">
        <v>551</v>
      </c>
      <c r="I1453" s="213"/>
      <c r="J1453" s="213" t="s">
        <v>535</v>
      </c>
      <c r="K1453" s="213"/>
      <c r="L1453" s="213"/>
      <c r="M1453" s="213"/>
      <c r="N1453" s="213"/>
      <c r="O1453" s="213"/>
      <c r="P1453" s="213"/>
      <c r="Q1453" s="213"/>
      <c r="R1453" s="213"/>
      <c r="S1453" s="213" t="s">
        <v>594</v>
      </c>
      <c r="T1453" s="213"/>
      <c r="U1453" s="213" t="s">
        <v>559</v>
      </c>
      <c r="V1453" s="213">
        <v>1</v>
      </c>
      <c r="W1453" s="213" t="s">
        <v>560</v>
      </c>
      <c r="X1453" s="213" t="s">
        <v>541</v>
      </c>
      <c r="Y1453" s="213" t="s">
        <v>541</v>
      </c>
      <c r="Z1453" s="212">
        <v>0</v>
      </c>
      <c r="AA1453" s="212">
        <v>0</v>
      </c>
      <c r="AB1453" s="217">
        <v>0.470277</v>
      </c>
      <c r="AC1453" s="217">
        <v>0.75683999999999996</v>
      </c>
      <c r="AD1453" s="212">
        <f t="shared" si="22"/>
        <v>0</v>
      </c>
    </row>
    <row r="1454" spans="2:30" x14ac:dyDescent="0.15">
      <c r="B1454" s="213">
        <v>17197001969</v>
      </c>
      <c r="C1454" s="213">
        <v>17197001473</v>
      </c>
      <c r="D1454" s="213">
        <v>17197007179</v>
      </c>
      <c r="E1454" s="213" t="s">
        <v>533</v>
      </c>
      <c r="F1454" s="213" t="s">
        <v>534</v>
      </c>
      <c r="G1454" s="213" t="s">
        <v>377</v>
      </c>
      <c r="H1454" s="213" t="s">
        <v>535</v>
      </c>
      <c r="I1454" s="213"/>
      <c r="J1454" s="213" t="s">
        <v>542</v>
      </c>
      <c r="K1454" s="213" t="s">
        <v>572</v>
      </c>
      <c r="L1454" s="213" t="s">
        <v>547</v>
      </c>
      <c r="M1454" s="213" t="s">
        <v>382</v>
      </c>
      <c r="N1454" s="213"/>
      <c r="O1454" s="213"/>
      <c r="P1454" s="213"/>
      <c r="Q1454" s="213"/>
      <c r="R1454" s="213"/>
      <c r="S1454" s="213" t="s">
        <v>601</v>
      </c>
      <c r="T1454" s="213"/>
      <c r="U1454" s="213" t="s">
        <v>538</v>
      </c>
      <c r="V1454" s="213">
        <v>2</v>
      </c>
      <c r="W1454" s="213" t="s">
        <v>545</v>
      </c>
      <c r="X1454" s="213" t="s">
        <v>549</v>
      </c>
      <c r="Y1454" s="213" t="s">
        <v>540</v>
      </c>
      <c r="Z1454" s="212">
        <v>162841</v>
      </c>
      <c r="AA1454" s="212">
        <v>7322355</v>
      </c>
      <c r="AB1454" s="217">
        <v>0.59473500000000001</v>
      </c>
      <c r="AC1454" s="217">
        <v>0.95713499999999996</v>
      </c>
      <c r="AD1454" s="212">
        <f t="shared" si="22"/>
        <v>4354860.8009249996</v>
      </c>
    </row>
    <row r="1455" spans="2:30" x14ac:dyDescent="0.15">
      <c r="B1455" s="213">
        <v>17197002066</v>
      </c>
      <c r="C1455" s="213">
        <v>17197001606</v>
      </c>
      <c r="D1455" s="213">
        <v>17999024401</v>
      </c>
      <c r="E1455" s="213" t="s">
        <v>533</v>
      </c>
      <c r="F1455" s="213" t="s">
        <v>534</v>
      </c>
      <c r="G1455" s="213" t="s">
        <v>377</v>
      </c>
      <c r="H1455" s="213" t="s">
        <v>382</v>
      </c>
      <c r="I1455" s="213"/>
      <c r="J1455" s="213" t="s">
        <v>551</v>
      </c>
      <c r="K1455" s="213" t="s">
        <v>555</v>
      </c>
      <c r="L1455" s="213"/>
      <c r="M1455" s="213"/>
      <c r="N1455" s="213"/>
      <c r="O1455" s="213"/>
      <c r="P1455" s="213"/>
      <c r="Q1455" s="213"/>
      <c r="R1455" s="213"/>
      <c r="S1455" s="213" t="s">
        <v>556</v>
      </c>
      <c r="T1455" s="213"/>
      <c r="U1455" s="213" t="s">
        <v>538</v>
      </c>
      <c r="V1455" s="213">
        <v>2</v>
      </c>
      <c r="W1455" s="213" t="s">
        <v>545</v>
      </c>
      <c r="X1455" s="213" t="s">
        <v>540</v>
      </c>
      <c r="Y1455" s="213" t="s">
        <v>580</v>
      </c>
      <c r="Z1455" s="212">
        <v>687866</v>
      </c>
      <c r="AA1455" s="212">
        <v>29191196</v>
      </c>
      <c r="AB1455" s="217">
        <v>1.627521</v>
      </c>
      <c r="AC1455" s="217">
        <v>2.619246</v>
      </c>
      <c r="AD1455" s="212">
        <f t="shared" si="22"/>
        <v>47509284.505116001</v>
      </c>
    </row>
    <row r="1456" spans="2:30" x14ac:dyDescent="0.15">
      <c r="B1456" s="213">
        <v>17197002265</v>
      </c>
      <c r="C1456" s="213">
        <v>17197001431</v>
      </c>
      <c r="D1456" s="213">
        <v>17197004802</v>
      </c>
      <c r="E1456" s="213" t="s">
        <v>533</v>
      </c>
      <c r="F1456" s="213" t="s">
        <v>534</v>
      </c>
      <c r="G1456" s="213" t="s">
        <v>377</v>
      </c>
      <c r="H1456" s="213" t="s">
        <v>535</v>
      </c>
      <c r="I1456" s="213"/>
      <c r="J1456" s="213" t="s">
        <v>542</v>
      </c>
      <c r="K1456" s="213" t="s">
        <v>572</v>
      </c>
      <c r="L1456" s="213" t="s">
        <v>547</v>
      </c>
      <c r="M1456" s="213" t="s">
        <v>382</v>
      </c>
      <c r="N1456" s="213"/>
      <c r="O1456" s="213"/>
      <c r="P1456" s="213"/>
      <c r="Q1456" s="213"/>
      <c r="R1456" s="213"/>
      <c r="S1456" s="213" t="s">
        <v>601</v>
      </c>
      <c r="T1456" s="213"/>
      <c r="U1456" s="213" t="s">
        <v>538</v>
      </c>
      <c r="V1456" s="213">
        <v>2</v>
      </c>
      <c r="W1456" s="213" t="s">
        <v>545</v>
      </c>
      <c r="X1456" s="213" t="s">
        <v>549</v>
      </c>
      <c r="Y1456" s="213" t="s">
        <v>540</v>
      </c>
      <c r="Z1456" s="212">
        <v>162841</v>
      </c>
      <c r="AA1456" s="212">
        <v>7322355</v>
      </c>
      <c r="AB1456" s="217">
        <v>5.6763240000000001</v>
      </c>
      <c r="AC1456" s="217">
        <v>9.1351759999999995</v>
      </c>
      <c r="AD1456" s="212">
        <f t="shared" si="22"/>
        <v>41564059.423019998</v>
      </c>
    </row>
    <row r="1457" spans="2:30" x14ac:dyDescent="0.15">
      <c r="B1457" s="213">
        <v>17197002267</v>
      </c>
      <c r="C1457" s="213">
        <v>17197001465</v>
      </c>
      <c r="D1457" s="213">
        <v>17197001431</v>
      </c>
      <c r="E1457" s="213" t="s">
        <v>533</v>
      </c>
      <c r="F1457" s="213" t="s">
        <v>534</v>
      </c>
      <c r="G1457" s="213" t="s">
        <v>377</v>
      </c>
      <c r="H1457" s="213" t="s">
        <v>535</v>
      </c>
      <c r="I1457" s="213"/>
      <c r="J1457" s="213" t="s">
        <v>542</v>
      </c>
      <c r="K1457" s="213" t="s">
        <v>572</v>
      </c>
      <c r="L1457" s="213" t="s">
        <v>547</v>
      </c>
      <c r="M1457" s="213" t="s">
        <v>382</v>
      </c>
      <c r="N1457" s="213"/>
      <c r="O1457" s="213"/>
      <c r="P1457" s="213"/>
      <c r="Q1457" s="213"/>
      <c r="R1457" s="213"/>
      <c r="S1457" s="213" t="s">
        <v>601</v>
      </c>
      <c r="T1457" s="213"/>
      <c r="U1457" s="213" t="s">
        <v>538</v>
      </c>
      <c r="V1457" s="213">
        <v>2</v>
      </c>
      <c r="W1457" s="213" t="s">
        <v>545</v>
      </c>
      <c r="X1457" s="213" t="s">
        <v>549</v>
      </c>
      <c r="Y1457" s="213" t="s">
        <v>540</v>
      </c>
      <c r="Z1457" s="212">
        <v>162841</v>
      </c>
      <c r="AA1457" s="212">
        <v>7322355</v>
      </c>
      <c r="AB1457" s="217">
        <v>2.6804830000000002</v>
      </c>
      <c r="AC1457" s="217">
        <v>4.3138269999999999</v>
      </c>
      <c r="AD1457" s="212">
        <f t="shared" si="22"/>
        <v>19627448.097465001</v>
      </c>
    </row>
    <row r="1458" spans="2:30" x14ac:dyDescent="0.15">
      <c r="B1458" s="213">
        <v>17197002275</v>
      </c>
      <c r="C1458" s="213">
        <v>17999024341</v>
      </c>
      <c r="D1458" s="213">
        <v>17197004795</v>
      </c>
      <c r="E1458" s="213" t="s">
        <v>533</v>
      </c>
      <c r="F1458" s="213" t="s">
        <v>534</v>
      </c>
      <c r="G1458" s="213" t="s">
        <v>377</v>
      </c>
      <c r="H1458" s="213" t="s">
        <v>535</v>
      </c>
      <c r="I1458" s="213"/>
      <c r="J1458" s="213"/>
      <c r="K1458" s="213"/>
      <c r="L1458" s="213"/>
      <c r="M1458" s="213"/>
      <c r="N1458" s="213"/>
      <c r="O1458" s="213"/>
      <c r="P1458" s="213"/>
      <c r="Q1458" s="213"/>
      <c r="R1458" s="213"/>
      <c r="S1458" s="213" t="s">
        <v>673</v>
      </c>
      <c r="T1458" s="213"/>
      <c r="U1458" s="213" t="s">
        <v>538</v>
      </c>
      <c r="V1458" s="213">
        <v>1</v>
      </c>
      <c r="W1458" s="213" t="s">
        <v>560</v>
      </c>
      <c r="X1458" s="213" t="s">
        <v>554</v>
      </c>
      <c r="Y1458" s="213" t="s">
        <v>541</v>
      </c>
      <c r="Z1458" s="212">
        <v>19076</v>
      </c>
      <c r="AA1458" s="212">
        <v>1685976</v>
      </c>
      <c r="AB1458" s="217">
        <v>6.3181700000000003</v>
      </c>
      <c r="AC1458" s="217">
        <v>10.168129</v>
      </c>
      <c r="AD1458" s="212">
        <f t="shared" si="22"/>
        <v>10652282.98392</v>
      </c>
    </row>
    <row r="1459" spans="2:30" x14ac:dyDescent="0.15">
      <c r="B1459" s="213">
        <v>17197002277</v>
      </c>
      <c r="C1459" s="213">
        <v>17197001588</v>
      </c>
      <c r="D1459" s="213">
        <v>17197004807</v>
      </c>
      <c r="E1459" s="213" t="s">
        <v>533</v>
      </c>
      <c r="F1459" s="213" t="s">
        <v>534</v>
      </c>
      <c r="G1459" s="213" t="s">
        <v>377</v>
      </c>
      <c r="H1459" s="213" t="s">
        <v>381</v>
      </c>
      <c r="I1459" s="213"/>
      <c r="J1459" s="213" t="s">
        <v>382</v>
      </c>
      <c r="K1459" s="213"/>
      <c r="L1459" s="213"/>
      <c r="M1459" s="213"/>
      <c r="N1459" s="213"/>
      <c r="O1459" s="213"/>
      <c r="P1459" s="213"/>
      <c r="Q1459" s="213"/>
      <c r="R1459" s="213"/>
      <c r="S1459" s="213" t="s">
        <v>647</v>
      </c>
      <c r="T1459" s="213"/>
      <c r="U1459" s="213" t="s">
        <v>538</v>
      </c>
      <c r="V1459" s="213">
        <v>1</v>
      </c>
      <c r="W1459" s="213" t="s">
        <v>545</v>
      </c>
      <c r="X1459" s="213" t="s">
        <v>549</v>
      </c>
      <c r="Y1459" s="213" t="s">
        <v>580</v>
      </c>
      <c r="Z1459" s="212">
        <v>219540</v>
      </c>
      <c r="AA1459" s="212">
        <v>2954280</v>
      </c>
      <c r="AB1459" s="217">
        <v>0.53257399999999999</v>
      </c>
      <c r="AC1459" s="217">
        <v>0.857097</v>
      </c>
      <c r="AD1459" s="212">
        <f t="shared" si="22"/>
        <v>1573372.7167199999</v>
      </c>
    </row>
    <row r="1460" spans="2:30" x14ac:dyDescent="0.15">
      <c r="B1460" s="213">
        <v>17197002590</v>
      </c>
      <c r="C1460" s="213">
        <v>17197001420</v>
      </c>
      <c r="D1460" s="213">
        <v>17197001412</v>
      </c>
      <c r="E1460" s="213" t="s">
        <v>533</v>
      </c>
      <c r="F1460" s="213" t="s">
        <v>534</v>
      </c>
      <c r="G1460" s="213" t="s">
        <v>377</v>
      </c>
      <c r="H1460" s="213" t="s">
        <v>535</v>
      </c>
      <c r="I1460" s="213"/>
      <c r="J1460" s="213" t="s">
        <v>382</v>
      </c>
      <c r="K1460" s="213" t="s">
        <v>536</v>
      </c>
      <c r="L1460" s="213"/>
      <c r="M1460" s="213"/>
      <c r="N1460" s="213"/>
      <c r="O1460" s="213"/>
      <c r="P1460" s="213"/>
      <c r="Q1460" s="213"/>
      <c r="R1460" s="213"/>
      <c r="S1460" s="213" t="s">
        <v>550</v>
      </c>
      <c r="T1460" s="213"/>
      <c r="U1460" s="213" t="s">
        <v>538</v>
      </c>
      <c r="V1460" s="213">
        <v>1</v>
      </c>
      <c r="W1460" s="213" t="s">
        <v>545</v>
      </c>
      <c r="X1460" s="213" t="s">
        <v>549</v>
      </c>
      <c r="Y1460" s="213" t="s">
        <v>540</v>
      </c>
      <c r="Z1460" s="212">
        <v>89616</v>
      </c>
      <c r="AA1460" s="212">
        <v>9950908</v>
      </c>
      <c r="AB1460" s="217">
        <v>0.31075799999999998</v>
      </c>
      <c r="AC1460" s="217">
        <v>0.50011700000000003</v>
      </c>
      <c r="AD1460" s="212">
        <f t="shared" si="22"/>
        <v>3092324.2682639998</v>
      </c>
    </row>
    <row r="1461" spans="2:30" x14ac:dyDescent="0.15">
      <c r="B1461" s="213">
        <v>17197002626</v>
      </c>
      <c r="C1461" s="213">
        <v>17197001591</v>
      </c>
      <c r="D1461" s="213">
        <v>17197001569</v>
      </c>
      <c r="E1461" s="213" t="s">
        <v>533</v>
      </c>
      <c r="F1461" s="213" t="s">
        <v>534</v>
      </c>
      <c r="G1461" s="213" t="s">
        <v>377</v>
      </c>
      <c r="H1461" s="213" t="s">
        <v>551</v>
      </c>
      <c r="I1461" s="213"/>
      <c r="J1461" s="213" t="s">
        <v>535</v>
      </c>
      <c r="K1461" s="213" t="s">
        <v>615</v>
      </c>
      <c r="L1461" s="213"/>
      <c r="M1461" s="213"/>
      <c r="N1461" s="213"/>
      <c r="O1461" s="213"/>
      <c r="P1461" s="213"/>
      <c r="Q1461" s="213"/>
      <c r="R1461" s="213"/>
      <c r="S1461" s="213" t="s">
        <v>663</v>
      </c>
      <c r="T1461" s="213"/>
      <c r="U1461" s="213" t="s">
        <v>538</v>
      </c>
      <c r="V1461" s="213">
        <v>1</v>
      </c>
      <c r="W1461" s="213" t="s">
        <v>539</v>
      </c>
      <c r="X1461" s="213" t="s">
        <v>554</v>
      </c>
      <c r="Y1461" s="213" t="s">
        <v>540</v>
      </c>
      <c r="Z1461" s="212">
        <v>30540</v>
      </c>
      <c r="AA1461" s="212">
        <v>2934621</v>
      </c>
      <c r="AB1461" s="217">
        <v>1.480262</v>
      </c>
      <c r="AC1461" s="217">
        <v>2.3822559999999999</v>
      </c>
      <c r="AD1461" s="212">
        <f t="shared" si="22"/>
        <v>4344007.9507019995</v>
      </c>
    </row>
    <row r="1462" spans="2:30" x14ac:dyDescent="0.15">
      <c r="B1462" s="213">
        <v>17197002628</v>
      </c>
      <c r="C1462" s="213">
        <v>17197001555</v>
      </c>
      <c r="D1462" s="213">
        <v>17197004789</v>
      </c>
      <c r="E1462" s="213" t="s">
        <v>533</v>
      </c>
      <c r="F1462" s="213" t="s">
        <v>534</v>
      </c>
      <c r="G1462" s="213" t="s">
        <v>377</v>
      </c>
      <c r="H1462" s="213" t="s">
        <v>551</v>
      </c>
      <c r="I1462" s="213"/>
      <c r="J1462" s="213" t="s">
        <v>535</v>
      </c>
      <c r="K1462" s="213" t="s">
        <v>615</v>
      </c>
      <c r="L1462" s="213"/>
      <c r="M1462" s="213"/>
      <c r="N1462" s="213"/>
      <c r="O1462" s="213"/>
      <c r="P1462" s="213"/>
      <c r="Q1462" s="213"/>
      <c r="R1462" s="213"/>
      <c r="S1462" s="213" t="s">
        <v>663</v>
      </c>
      <c r="T1462" s="213"/>
      <c r="U1462" s="213" t="s">
        <v>538</v>
      </c>
      <c r="V1462" s="213">
        <v>1</v>
      </c>
      <c r="W1462" s="213" t="s">
        <v>539</v>
      </c>
      <c r="X1462" s="213" t="s">
        <v>554</v>
      </c>
      <c r="Y1462" s="213" t="s">
        <v>540</v>
      </c>
      <c r="Z1462" s="212">
        <v>30540</v>
      </c>
      <c r="AA1462" s="212">
        <v>2934621</v>
      </c>
      <c r="AB1462" s="217">
        <v>1.531077</v>
      </c>
      <c r="AC1462" s="217">
        <v>2.464035</v>
      </c>
      <c r="AD1462" s="212">
        <f t="shared" si="22"/>
        <v>4493130.7168169999</v>
      </c>
    </row>
    <row r="1463" spans="2:30" x14ac:dyDescent="0.15">
      <c r="B1463" s="213">
        <v>17197002637</v>
      </c>
      <c r="C1463" s="213">
        <v>17999026478</v>
      </c>
      <c r="D1463" s="213">
        <v>17197001810</v>
      </c>
      <c r="E1463" s="213" t="s">
        <v>533</v>
      </c>
      <c r="F1463" s="213" t="s">
        <v>534</v>
      </c>
      <c r="G1463" s="213" t="s">
        <v>377</v>
      </c>
      <c r="H1463" s="213" t="s">
        <v>382</v>
      </c>
      <c r="I1463" s="213"/>
      <c r="J1463" s="213" t="s">
        <v>542</v>
      </c>
      <c r="K1463" s="213"/>
      <c r="L1463" s="213"/>
      <c r="M1463" s="213"/>
      <c r="N1463" s="213"/>
      <c r="O1463" s="213"/>
      <c r="P1463" s="213"/>
      <c r="Q1463" s="213"/>
      <c r="R1463" s="213"/>
      <c r="S1463" s="213" t="s">
        <v>606</v>
      </c>
      <c r="T1463" s="213"/>
      <c r="U1463" s="213" t="s">
        <v>538</v>
      </c>
      <c r="V1463" s="213">
        <v>1</v>
      </c>
      <c r="W1463" s="213" t="s">
        <v>545</v>
      </c>
      <c r="X1463" s="213" t="s">
        <v>549</v>
      </c>
      <c r="Y1463" s="213" t="s">
        <v>541</v>
      </c>
      <c r="Z1463" s="212">
        <v>0</v>
      </c>
      <c r="AA1463" s="212">
        <v>0</v>
      </c>
      <c r="AB1463" s="217">
        <v>1.058281</v>
      </c>
      <c r="AC1463" s="217">
        <v>1.7031419999999999</v>
      </c>
      <c r="AD1463" s="212">
        <f t="shared" si="22"/>
        <v>0</v>
      </c>
    </row>
    <row r="1464" spans="2:30" x14ac:dyDescent="0.15">
      <c r="B1464" s="213">
        <v>17197003006</v>
      </c>
      <c r="C1464" s="213">
        <v>17197001461</v>
      </c>
      <c r="D1464" s="213">
        <v>17197001462</v>
      </c>
      <c r="E1464" s="213" t="s">
        <v>533</v>
      </c>
      <c r="F1464" s="213" t="s">
        <v>534</v>
      </c>
      <c r="G1464" s="213" t="s">
        <v>377</v>
      </c>
      <c r="H1464" s="213" t="s">
        <v>535</v>
      </c>
      <c r="I1464" s="213"/>
      <c r="J1464" s="213" t="s">
        <v>382</v>
      </c>
      <c r="K1464" s="213" t="s">
        <v>536</v>
      </c>
      <c r="L1464" s="213"/>
      <c r="M1464" s="213"/>
      <c r="N1464" s="213"/>
      <c r="O1464" s="213"/>
      <c r="P1464" s="213"/>
      <c r="Q1464" s="213"/>
      <c r="R1464" s="213"/>
      <c r="S1464" s="213" t="s">
        <v>550</v>
      </c>
      <c r="T1464" s="213"/>
      <c r="U1464" s="213" t="s">
        <v>538</v>
      </c>
      <c r="V1464" s="213">
        <v>1</v>
      </c>
      <c r="W1464" s="213" t="s">
        <v>545</v>
      </c>
      <c r="X1464" s="213" t="s">
        <v>541</v>
      </c>
      <c r="Y1464" s="213" t="s">
        <v>540</v>
      </c>
      <c r="Z1464" s="212">
        <v>42172</v>
      </c>
      <c r="AA1464" s="212">
        <v>4204358</v>
      </c>
      <c r="AB1464" s="217">
        <v>0.105213</v>
      </c>
      <c r="AC1464" s="217">
        <v>0.169324</v>
      </c>
      <c r="AD1464" s="212">
        <f t="shared" si="22"/>
        <v>442353.11825400003</v>
      </c>
    </row>
    <row r="1465" spans="2:30" x14ac:dyDescent="0.15">
      <c r="B1465" s="213">
        <v>17197003103</v>
      </c>
      <c r="C1465" s="213">
        <v>17197001570</v>
      </c>
      <c r="D1465" s="213">
        <v>17197007441</v>
      </c>
      <c r="E1465" s="213" t="s">
        <v>533</v>
      </c>
      <c r="F1465" s="213" t="s">
        <v>534</v>
      </c>
      <c r="G1465" s="213" t="s">
        <v>377</v>
      </c>
      <c r="H1465" s="213" t="s">
        <v>535</v>
      </c>
      <c r="I1465" s="213"/>
      <c r="J1465" s="213" t="s">
        <v>382</v>
      </c>
      <c r="K1465" s="213" t="s">
        <v>536</v>
      </c>
      <c r="L1465" s="213"/>
      <c r="M1465" s="213"/>
      <c r="N1465" s="213"/>
      <c r="O1465" s="213"/>
      <c r="P1465" s="213"/>
      <c r="Q1465" s="213"/>
      <c r="R1465" s="213"/>
      <c r="S1465" s="213" t="s">
        <v>537</v>
      </c>
      <c r="T1465" s="213"/>
      <c r="U1465" s="213" t="s">
        <v>538</v>
      </c>
      <c r="V1465" s="213">
        <v>2</v>
      </c>
      <c r="W1465" s="213" t="s">
        <v>545</v>
      </c>
      <c r="X1465" s="213" t="s">
        <v>549</v>
      </c>
      <c r="Y1465" s="213" t="s">
        <v>540</v>
      </c>
      <c r="Z1465" s="212">
        <v>37528</v>
      </c>
      <c r="AA1465" s="212">
        <v>3746654</v>
      </c>
      <c r="AB1465" s="217">
        <v>3.2129470000000002</v>
      </c>
      <c r="AC1465" s="217">
        <v>5.1707470000000004</v>
      </c>
      <c r="AD1465" s="212">
        <f t="shared" si="22"/>
        <v>12037800.729338001</v>
      </c>
    </row>
    <row r="1466" spans="2:30" x14ac:dyDescent="0.15">
      <c r="B1466" s="213">
        <v>17197003104</v>
      </c>
      <c r="C1466" s="213">
        <v>17197001570</v>
      </c>
      <c r="D1466" s="213">
        <v>17197004794</v>
      </c>
      <c r="E1466" s="213" t="s">
        <v>533</v>
      </c>
      <c r="F1466" s="213" t="s">
        <v>534</v>
      </c>
      <c r="G1466" s="213" t="s">
        <v>377</v>
      </c>
      <c r="H1466" s="213" t="s">
        <v>535</v>
      </c>
      <c r="I1466" s="213"/>
      <c r="J1466" s="213" t="s">
        <v>382</v>
      </c>
      <c r="K1466" s="213" t="s">
        <v>536</v>
      </c>
      <c r="L1466" s="213"/>
      <c r="M1466" s="213"/>
      <c r="N1466" s="213"/>
      <c r="O1466" s="213"/>
      <c r="P1466" s="213"/>
      <c r="Q1466" s="213"/>
      <c r="R1466" s="213"/>
      <c r="S1466" s="213" t="s">
        <v>537</v>
      </c>
      <c r="T1466" s="213"/>
      <c r="U1466" s="213" t="s">
        <v>538</v>
      </c>
      <c r="V1466" s="213">
        <v>2</v>
      </c>
      <c r="W1466" s="213" t="s">
        <v>545</v>
      </c>
      <c r="X1466" s="213" t="s">
        <v>549</v>
      </c>
      <c r="Y1466" s="213" t="s">
        <v>540</v>
      </c>
      <c r="Z1466" s="212">
        <v>39128</v>
      </c>
      <c r="AA1466" s="212">
        <v>3874614</v>
      </c>
      <c r="AB1466" s="217">
        <v>3.1872060000000002</v>
      </c>
      <c r="AC1466" s="217">
        <v>5.129321</v>
      </c>
      <c r="AD1466" s="212">
        <f t="shared" si="22"/>
        <v>12349192.988484001</v>
      </c>
    </row>
    <row r="1467" spans="2:30" x14ac:dyDescent="0.15">
      <c r="B1467" s="213">
        <v>17197003230</v>
      </c>
      <c r="C1467" s="213">
        <v>17197001617</v>
      </c>
      <c r="D1467" s="213">
        <v>17197007386</v>
      </c>
      <c r="E1467" s="213" t="s">
        <v>533</v>
      </c>
      <c r="F1467" s="213" t="s">
        <v>534</v>
      </c>
      <c r="G1467" s="213" t="s">
        <v>377</v>
      </c>
      <c r="H1467" s="213" t="s">
        <v>535</v>
      </c>
      <c r="I1467" s="213"/>
      <c r="J1467" s="213" t="s">
        <v>542</v>
      </c>
      <c r="K1467" s="213" t="s">
        <v>543</v>
      </c>
      <c r="L1467" s="213" t="s">
        <v>382</v>
      </c>
      <c r="M1467" s="213"/>
      <c r="N1467" s="213"/>
      <c r="O1467" s="213"/>
      <c r="P1467" s="213"/>
      <c r="Q1467" s="213"/>
      <c r="R1467" s="213"/>
      <c r="S1467" s="213" t="s">
        <v>544</v>
      </c>
      <c r="T1467" s="213"/>
      <c r="U1467" s="213" t="s">
        <v>538</v>
      </c>
      <c r="V1467" s="213">
        <v>1</v>
      </c>
      <c r="W1467" s="213" t="s">
        <v>545</v>
      </c>
      <c r="X1467" s="213" t="s">
        <v>549</v>
      </c>
      <c r="Y1467" s="213" t="s">
        <v>546</v>
      </c>
      <c r="Z1467" s="212">
        <v>340397</v>
      </c>
      <c r="AA1467" s="212">
        <v>20018462</v>
      </c>
      <c r="AB1467" s="217">
        <v>0.81872699999999998</v>
      </c>
      <c r="AC1467" s="217">
        <v>1.3176159999999999</v>
      </c>
      <c r="AD1467" s="212">
        <f t="shared" si="22"/>
        <v>16389655.337873999</v>
      </c>
    </row>
    <row r="1468" spans="2:30" x14ac:dyDescent="0.15">
      <c r="B1468" s="213">
        <v>17197003231</v>
      </c>
      <c r="C1468" s="213">
        <v>17197001604</v>
      </c>
      <c r="D1468" s="213">
        <v>17999024399</v>
      </c>
      <c r="E1468" s="213" t="s">
        <v>533</v>
      </c>
      <c r="F1468" s="213" t="s">
        <v>534</v>
      </c>
      <c r="G1468" s="213" t="s">
        <v>377</v>
      </c>
      <c r="H1468" s="213" t="s">
        <v>535</v>
      </c>
      <c r="I1468" s="213"/>
      <c r="J1468" s="213" t="s">
        <v>542</v>
      </c>
      <c r="K1468" s="213" t="s">
        <v>543</v>
      </c>
      <c r="L1468" s="213" t="s">
        <v>382</v>
      </c>
      <c r="M1468" s="213"/>
      <c r="N1468" s="213"/>
      <c r="O1468" s="213"/>
      <c r="P1468" s="213"/>
      <c r="Q1468" s="213"/>
      <c r="R1468" s="213"/>
      <c r="S1468" s="213" t="s">
        <v>544</v>
      </c>
      <c r="T1468" s="213"/>
      <c r="U1468" s="213" t="s">
        <v>538</v>
      </c>
      <c r="V1468" s="213">
        <v>2</v>
      </c>
      <c r="W1468" s="213" t="s">
        <v>545</v>
      </c>
      <c r="X1468" s="213" t="s">
        <v>540</v>
      </c>
      <c r="Y1468" s="213" t="s">
        <v>546</v>
      </c>
      <c r="Z1468" s="212">
        <v>341037</v>
      </c>
      <c r="AA1468" s="212">
        <v>20076782</v>
      </c>
      <c r="AB1468" s="217">
        <v>0.788605</v>
      </c>
      <c r="AC1468" s="217">
        <v>1.269139</v>
      </c>
      <c r="AD1468" s="212">
        <f t="shared" si="22"/>
        <v>15832650.66911</v>
      </c>
    </row>
    <row r="1469" spans="2:30" x14ac:dyDescent="0.15">
      <c r="B1469" s="213">
        <v>17197003238</v>
      </c>
      <c r="C1469" s="213">
        <v>17197001670</v>
      </c>
      <c r="D1469" s="213">
        <v>17197004810</v>
      </c>
      <c r="E1469" s="213" t="s">
        <v>533</v>
      </c>
      <c r="F1469" s="213" t="s">
        <v>534</v>
      </c>
      <c r="G1469" s="213" t="s">
        <v>377</v>
      </c>
      <c r="H1469" s="213" t="s">
        <v>381</v>
      </c>
      <c r="I1469" s="213"/>
      <c r="J1469" s="213" t="s">
        <v>382</v>
      </c>
      <c r="K1469" s="213"/>
      <c r="L1469" s="213"/>
      <c r="M1469" s="213"/>
      <c r="N1469" s="213"/>
      <c r="O1469" s="213"/>
      <c r="P1469" s="213"/>
      <c r="Q1469" s="213"/>
      <c r="R1469" s="213"/>
      <c r="S1469" s="213" t="s">
        <v>647</v>
      </c>
      <c r="T1469" s="213"/>
      <c r="U1469" s="213" t="s">
        <v>538</v>
      </c>
      <c r="V1469" s="213">
        <v>1</v>
      </c>
      <c r="W1469" s="213" t="s">
        <v>582</v>
      </c>
      <c r="X1469" s="213" t="s">
        <v>549</v>
      </c>
      <c r="Y1469" s="213" t="s">
        <v>580</v>
      </c>
      <c r="Z1469" s="212">
        <v>2063059</v>
      </c>
      <c r="AA1469" s="212">
        <v>51935765</v>
      </c>
      <c r="AB1469" s="217">
        <v>1.7368859999999999</v>
      </c>
      <c r="AC1469" s="217">
        <v>2.7952530000000002</v>
      </c>
      <c r="AD1469" s="212">
        <f t="shared" si="22"/>
        <v>90206503.127789989</v>
      </c>
    </row>
    <row r="1470" spans="2:30" x14ac:dyDescent="0.15">
      <c r="B1470" s="213">
        <v>17197003487</v>
      </c>
      <c r="C1470" s="213">
        <v>17197001697</v>
      </c>
      <c r="D1470" s="213">
        <v>17197001640</v>
      </c>
      <c r="E1470" s="213" t="s">
        <v>533</v>
      </c>
      <c r="F1470" s="213" t="s">
        <v>534</v>
      </c>
      <c r="G1470" s="213" t="s">
        <v>377</v>
      </c>
      <c r="H1470" s="213" t="s">
        <v>382</v>
      </c>
      <c r="I1470" s="213"/>
      <c r="J1470" s="213" t="s">
        <v>542</v>
      </c>
      <c r="K1470" s="213"/>
      <c r="L1470" s="213"/>
      <c r="M1470" s="213"/>
      <c r="N1470" s="213"/>
      <c r="O1470" s="213"/>
      <c r="P1470" s="213"/>
      <c r="Q1470" s="213"/>
      <c r="R1470" s="213"/>
      <c r="S1470" s="213" t="s">
        <v>606</v>
      </c>
      <c r="T1470" s="213"/>
      <c r="U1470" s="213" t="s">
        <v>538</v>
      </c>
      <c r="V1470" s="213">
        <v>1</v>
      </c>
      <c r="W1470" s="213" t="s">
        <v>545</v>
      </c>
      <c r="X1470" s="213" t="s">
        <v>549</v>
      </c>
      <c r="Y1470" s="213" t="s">
        <v>541</v>
      </c>
      <c r="Z1470" s="212">
        <v>80</v>
      </c>
      <c r="AA1470" s="212">
        <v>7560</v>
      </c>
      <c r="AB1470" s="217">
        <v>3.0607920000000002</v>
      </c>
      <c r="AC1470" s="217">
        <v>4.925878</v>
      </c>
      <c r="AD1470" s="212">
        <f t="shared" si="22"/>
        <v>23139.587520000001</v>
      </c>
    </row>
    <row r="1471" spans="2:30" x14ac:dyDescent="0.15">
      <c r="B1471" s="213">
        <v>17197003874</v>
      </c>
      <c r="C1471" s="213">
        <v>17197004802</v>
      </c>
      <c r="D1471" s="213">
        <v>17999022465</v>
      </c>
      <c r="E1471" s="213" t="s">
        <v>533</v>
      </c>
      <c r="F1471" s="213" t="s">
        <v>534</v>
      </c>
      <c r="G1471" s="213" t="s">
        <v>377</v>
      </c>
      <c r="H1471" s="213" t="s">
        <v>535</v>
      </c>
      <c r="I1471" s="213"/>
      <c r="J1471" s="213" t="s">
        <v>542</v>
      </c>
      <c r="K1471" s="213" t="s">
        <v>572</v>
      </c>
      <c r="L1471" s="213" t="s">
        <v>547</v>
      </c>
      <c r="M1471" s="213" t="s">
        <v>382</v>
      </c>
      <c r="N1471" s="213"/>
      <c r="O1471" s="213"/>
      <c r="P1471" s="213"/>
      <c r="Q1471" s="213"/>
      <c r="R1471" s="213"/>
      <c r="S1471" s="213" t="s">
        <v>601</v>
      </c>
      <c r="T1471" s="213"/>
      <c r="U1471" s="213" t="s">
        <v>538</v>
      </c>
      <c r="V1471" s="213">
        <v>2</v>
      </c>
      <c r="W1471" s="213" t="s">
        <v>545</v>
      </c>
      <c r="X1471" s="213" t="s">
        <v>549</v>
      </c>
      <c r="Y1471" s="213" t="s">
        <v>540</v>
      </c>
      <c r="Z1471" s="212">
        <v>162841</v>
      </c>
      <c r="AA1471" s="212">
        <v>7322355</v>
      </c>
      <c r="AB1471" s="217">
        <v>0.459984</v>
      </c>
      <c r="AC1471" s="217">
        <v>0.74027399999999999</v>
      </c>
      <c r="AD1471" s="212">
        <f t="shared" si="22"/>
        <v>3368166.1423200001</v>
      </c>
    </row>
    <row r="1472" spans="2:30" x14ac:dyDescent="0.15">
      <c r="B1472" s="213">
        <v>17197004220</v>
      </c>
      <c r="C1472" s="213">
        <v>17197004810</v>
      </c>
      <c r="D1472" s="213">
        <v>17197001632</v>
      </c>
      <c r="E1472" s="213" t="s">
        <v>533</v>
      </c>
      <c r="F1472" s="213" t="s">
        <v>534</v>
      </c>
      <c r="G1472" s="213" t="s">
        <v>377</v>
      </c>
      <c r="H1472" s="213" t="s">
        <v>381</v>
      </c>
      <c r="I1472" s="213"/>
      <c r="J1472" s="213" t="s">
        <v>382</v>
      </c>
      <c r="K1472" s="213"/>
      <c r="L1472" s="213"/>
      <c r="M1472" s="213"/>
      <c r="N1472" s="213"/>
      <c r="O1472" s="213"/>
      <c r="P1472" s="213"/>
      <c r="Q1472" s="213"/>
      <c r="R1472" s="213"/>
      <c r="S1472" s="213" t="s">
        <v>647</v>
      </c>
      <c r="T1472" s="213"/>
      <c r="U1472" s="213" t="s">
        <v>538</v>
      </c>
      <c r="V1472" s="213">
        <v>1</v>
      </c>
      <c r="W1472" s="213" t="s">
        <v>582</v>
      </c>
      <c r="X1472" s="213" t="s">
        <v>549</v>
      </c>
      <c r="Y1472" s="213" t="s">
        <v>580</v>
      </c>
      <c r="Z1472" s="212">
        <v>2069430</v>
      </c>
      <c r="AA1472" s="212">
        <v>52566702</v>
      </c>
      <c r="AB1472" s="217">
        <v>1.113877</v>
      </c>
      <c r="AC1472" s="217">
        <v>1.7926139999999999</v>
      </c>
      <c r="AD1472" s="212">
        <f t="shared" si="22"/>
        <v>58552840.323654003</v>
      </c>
    </row>
    <row r="1473" spans="2:30" x14ac:dyDescent="0.15">
      <c r="B1473" s="213">
        <v>17197004231</v>
      </c>
      <c r="C1473" s="213">
        <v>17197001657</v>
      </c>
      <c r="D1473" s="213">
        <v>17197001633</v>
      </c>
      <c r="E1473" s="213" t="s">
        <v>533</v>
      </c>
      <c r="F1473" s="213" t="s">
        <v>534</v>
      </c>
      <c r="G1473" s="213" t="s">
        <v>377</v>
      </c>
      <c r="H1473" s="213" t="s">
        <v>381</v>
      </c>
      <c r="I1473" s="213"/>
      <c r="J1473" s="213" t="s">
        <v>382</v>
      </c>
      <c r="K1473" s="213"/>
      <c r="L1473" s="213"/>
      <c r="M1473" s="213"/>
      <c r="N1473" s="213"/>
      <c r="O1473" s="213"/>
      <c r="P1473" s="213"/>
      <c r="Q1473" s="213"/>
      <c r="R1473" s="213"/>
      <c r="S1473" s="213" t="s">
        <v>647</v>
      </c>
      <c r="T1473" s="213"/>
      <c r="U1473" s="213" t="s">
        <v>538</v>
      </c>
      <c r="V1473" s="213">
        <v>1</v>
      </c>
      <c r="W1473" s="213" t="s">
        <v>582</v>
      </c>
      <c r="X1473" s="213" t="s">
        <v>549</v>
      </c>
      <c r="Y1473" s="213" t="s">
        <v>580</v>
      </c>
      <c r="Z1473" s="212">
        <v>600</v>
      </c>
      <c r="AA1473" s="212">
        <v>48840</v>
      </c>
      <c r="AB1473" s="217">
        <v>1.4265760000000001</v>
      </c>
      <c r="AC1473" s="217">
        <v>2.2958569999999998</v>
      </c>
      <c r="AD1473" s="212">
        <f t="shared" si="22"/>
        <v>69673.971839999998</v>
      </c>
    </row>
    <row r="1474" spans="2:30" x14ac:dyDescent="0.15">
      <c r="B1474" s="213">
        <v>17197004232</v>
      </c>
      <c r="C1474" s="213">
        <v>17197001633</v>
      </c>
      <c r="D1474" s="213">
        <v>17197004811</v>
      </c>
      <c r="E1474" s="213" t="s">
        <v>533</v>
      </c>
      <c r="F1474" s="213" t="s">
        <v>534</v>
      </c>
      <c r="G1474" s="213" t="s">
        <v>377</v>
      </c>
      <c r="H1474" s="213" t="s">
        <v>381</v>
      </c>
      <c r="I1474" s="213"/>
      <c r="J1474" s="213" t="s">
        <v>382</v>
      </c>
      <c r="K1474" s="213"/>
      <c r="L1474" s="213"/>
      <c r="M1474" s="213"/>
      <c r="N1474" s="213"/>
      <c r="O1474" s="213"/>
      <c r="P1474" s="213"/>
      <c r="Q1474" s="213"/>
      <c r="R1474" s="213"/>
      <c r="S1474" s="213" t="s">
        <v>647</v>
      </c>
      <c r="T1474" s="213"/>
      <c r="U1474" s="213" t="s">
        <v>538</v>
      </c>
      <c r="V1474" s="213">
        <v>1</v>
      </c>
      <c r="W1474" s="213" t="s">
        <v>582</v>
      </c>
      <c r="X1474" s="213" t="s">
        <v>549</v>
      </c>
      <c r="Y1474" s="213" t="s">
        <v>580</v>
      </c>
      <c r="Z1474" s="212">
        <v>500</v>
      </c>
      <c r="AA1474" s="212">
        <v>40160</v>
      </c>
      <c r="AB1474" s="217">
        <v>0.240761</v>
      </c>
      <c r="AC1474" s="217">
        <v>0.38746799999999998</v>
      </c>
      <c r="AD1474" s="212">
        <f t="shared" si="22"/>
        <v>9668.9617600000001</v>
      </c>
    </row>
    <row r="1475" spans="2:30" x14ac:dyDescent="0.15">
      <c r="B1475" s="213">
        <v>17197004700</v>
      </c>
      <c r="C1475" s="213">
        <v>17197007161</v>
      </c>
      <c r="D1475" s="213">
        <v>17197007163</v>
      </c>
      <c r="E1475" s="213" t="s">
        <v>533</v>
      </c>
      <c r="F1475" s="213" t="s">
        <v>534</v>
      </c>
      <c r="G1475" s="213" t="s">
        <v>377</v>
      </c>
      <c r="H1475" s="213" t="s">
        <v>535</v>
      </c>
      <c r="I1475" s="213"/>
      <c r="J1475" s="213"/>
      <c r="K1475" s="213"/>
      <c r="L1475" s="213"/>
      <c r="M1475" s="213"/>
      <c r="N1475" s="213"/>
      <c r="O1475" s="213"/>
      <c r="P1475" s="213"/>
      <c r="Q1475" s="213"/>
      <c r="R1475" s="213"/>
      <c r="S1475" s="213" t="s">
        <v>681</v>
      </c>
      <c r="T1475" s="213"/>
      <c r="U1475" s="213" t="s">
        <v>559</v>
      </c>
      <c r="V1475" s="213">
        <v>1</v>
      </c>
      <c r="W1475" s="213" t="s">
        <v>560</v>
      </c>
      <c r="X1475" s="213" t="s">
        <v>541</v>
      </c>
      <c r="Y1475" s="213" t="s">
        <v>541</v>
      </c>
      <c r="Z1475" s="212">
        <v>50552</v>
      </c>
      <c r="AA1475" s="212">
        <v>6043850</v>
      </c>
      <c r="AB1475" s="217">
        <v>2.515199</v>
      </c>
      <c r="AC1475" s="217">
        <v>4.0478290000000001</v>
      </c>
      <c r="AD1475" s="212">
        <f t="shared" si="22"/>
        <v>15201485.47615</v>
      </c>
    </row>
    <row r="1476" spans="2:30" x14ac:dyDescent="0.15">
      <c r="B1476" s="213">
        <v>17197005161</v>
      </c>
      <c r="C1476" s="213">
        <v>17197001469</v>
      </c>
      <c r="D1476" s="213">
        <v>17197001471</v>
      </c>
      <c r="E1476" s="213" t="s">
        <v>533</v>
      </c>
      <c r="F1476" s="213" t="s">
        <v>534</v>
      </c>
      <c r="G1476" s="213" t="s">
        <v>377</v>
      </c>
      <c r="H1476" s="213" t="s">
        <v>535</v>
      </c>
      <c r="I1476" s="213"/>
      <c r="J1476" s="213"/>
      <c r="K1476" s="213"/>
      <c r="L1476" s="213"/>
      <c r="M1476" s="213"/>
      <c r="N1476" s="213"/>
      <c r="O1476" s="213"/>
      <c r="P1476" s="213"/>
      <c r="Q1476" s="213"/>
      <c r="R1476" s="213"/>
      <c r="S1476" s="213"/>
      <c r="T1476" s="213"/>
      <c r="U1476" s="213" t="s">
        <v>559</v>
      </c>
      <c r="V1476" s="213">
        <v>1</v>
      </c>
      <c r="W1476" s="213" t="s">
        <v>560</v>
      </c>
      <c r="X1476" s="213" t="s">
        <v>541</v>
      </c>
      <c r="Y1476" s="213" t="s">
        <v>541</v>
      </c>
      <c r="Z1476" s="212">
        <v>4844</v>
      </c>
      <c r="AA1476" s="212">
        <v>446984</v>
      </c>
      <c r="AB1476" s="217">
        <v>0.55895499999999998</v>
      </c>
      <c r="AC1476" s="217">
        <v>0.89955200000000002</v>
      </c>
      <c r="AD1476" s="212">
        <f t="shared" si="22"/>
        <v>249843.94172</v>
      </c>
    </row>
    <row r="1477" spans="2:30" x14ac:dyDescent="0.15">
      <c r="B1477" s="213">
        <v>17197005162</v>
      </c>
      <c r="C1477" s="213">
        <v>17197001468</v>
      </c>
      <c r="D1477" s="213">
        <v>17197001469</v>
      </c>
      <c r="E1477" s="213" t="s">
        <v>533</v>
      </c>
      <c r="F1477" s="213" t="s">
        <v>534</v>
      </c>
      <c r="G1477" s="213" t="s">
        <v>377</v>
      </c>
      <c r="H1477" s="213" t="s">
        <v>535</v>
      </c>
      <c r="I1477" s="213"/>
      <c r="J1477" s="213"/>
      <c r="K1477" s="213"/>
      <c r="L1477" s="213"/>
      <c r="M1477" s="213"/>
      <c r="N1477" s="213"/>
      <c r="O1477" s="213"/>
      <c r="P1477" s="213"/>
      <c r="Q1477" s="213"/>
      <c r="R1477" s="213"/>
      <c r="S1477" s="213"/>
      <c r="T1477" s="213"/>
      <c r="U1477" s="213" t="s">
        <v>559</v>
      </c>
      <c r="V1477" s="213">
        <v>1</v>
      </c>
      <c r="W1477" s="213" t="s">
        <v>560</v>
      </c>
      <c r="X1477" s="213" t="s">
        <v>541</v>
      </c>
      <c r="Y1477" s="213" t="s">
        <v>541</v>
      </c>
      <c r="Z1477" s="212">
        <v>3004</v>
      </c>
      <c r="AA1477" s="212">
        <v>285664</v>
      </c>
      <c r="AB1477" s="217">
        <v>0.17567099999999999</v>
      </c>
      <c r="AC1477" s="217">
        <v>0.28271600000000002</v>
      </c>
      <c r="AD1477" s="212">
        <f t="shared" si="22"/>
        <v>50182.880544</v>
      </c>
    </row>
    <row r="1478" spans="2:30" x14ac:dyDescent="0.15">
      <c r="B1478" s="213">
        <v>17197005382</v>
      </c>
      <c r="C1478" s="213">
        <v>17197004806</v>
      </c>
      <c r="D1478" s="213">
        <v>17197001463</v>
      </c>
      <c r="E1478" s="213" t="s">
        <v>533</v>
      </c>
      <c r="F1478" s="213" t="s">
        <v>534</v>
      </c>
      <c r="G1478" s="213" t="s">
        <v>377</v>
      </c>
      <c r="H1478" s="213" t="s">
        <v>381</v>
      </c>
      <c r="I1478" s="213"/>
      <c r="J1478" s="213"/>
      <c r="K1478" s="213"/>
      <c r="L1478" s="213"/>
      <c r="M1478" s="213"/>
      <c r="N1478" s="213"/>
      <c r="O1478" s="213"/>
      <c r="P1478" s="213"/>
      <c r="Q1478" s="213"/>
      <c r="R1478" s="213"/>
      <c r="S1478" s="213" t="s">
        <v>647</v>
      </c>
      <c r="T1478" s="213" t="s">
        <v>705</v>
      </c>
      <c r="U1478" s="213" t="s">
        <v>538</v>
      </c>
      <c r="V1478" s="213">
        <v>2</v>
      </c>
      <c r="W1478" s="213" t="s">
        <v>545</v>
      </c>
      <c r="X1478" s="213" t="s">
        <v>540</v>
      </c>
      <c r="Y1478" s="213" t="s">
        <v>580</v>
      </c>
      <c r="Z1478" s="212">
        <v>1669237</v>
      </c>
      <c r="AA1478" s="212">
        <v>43886595</v>
      </c>
      <c r="AB1478" s="217">
        <v>0.653582</v>
      </c>
      <c r="AC1478" s="217">
        <v>1.051841</v>
      </c>
      <c r="AD1478" s="212">
        <f t="shared" ref="AD1478:AD1541" si="23">AA1478*AB1478</f>
        <v>28683488.533289999</v>
      </c>
    </row>
    <row r="1479" spans="2:30" x14ac:dyDescent="0.15">
      <c r="B1479" s="213">
        <v>17197005462</v>
      </c>
      <c r="C1479" s="213">
        <v>17197004791</v>
      </c>
      <c r="D1479" s="213">
        <v>17197001480</v>
      </c>
      <c r="E1479" s="213" t="s">
        <v>533</v>
      </c>
      <c r="F1479" s="213" t="s">
        <v>534</v>
      </c>
      <c r="G1479" s="213" t="s">
        <v>377</v>
      </c>
      <c r="H1479" s="213" t="s">
        <v>547</v>
      </c>
      <c r="I1479" s="213"/>
      <c r="J1479" s="213" t="s">
        <v>551</v>
      </c>
      <c r="K1479" s="213" t="s">
        <v>615</v>
      </c>
      <c r="L1479" s="213"/>
      <c r="M1479" s="213"/>
      <c r="N1479" s="213"/>
      <c r="O1479" s="213"/>
      <c r="P1479" s="213"/>
      <c r="Q1479" s="213"/>
      <c r="R1479" s="213"/>
      <c r="S1479" s="213" t="s">
        <v>581</v>
      </c>
      <c r="T1479" s="213"/>
      <c r="U1479" s="213" t="s">
        <v>538</v>
      </c>
      <c r="V1479" s="213">
        <v>2</v>
      </c>
      <c r="W1479" s="213" t="s">
        <v>582</v>
      </c>
      <c r="X1479" s="213" t="s">
        <v>540</v>
      </c>
      <c r="Y1479" s="213" t="s">
        <v>540</v>
      </c>
      <c r="Z1479" s="212">
        <v>35460</v>
      </c>
      <c r="AA1479" s="212">
        <v>3412461</v>
      </c>
      <c r="AB1479" s="217">
        <v>4.3017240000000001</v>
      </c>
      <c r="AC1479" s="217">
        <v>6.922968</v>
      </c>
      <c r="AD1479" s="212">
        <f t="shared" si="23"/>
        <v>14679465.382764</v>
      </c>
    </row>
    <row r="1480" spans="2:30" x14ac:dyDescent="0.15">
      <c r="B1480" s="213">
        <v>17197005985</v>
      </c>
      <c r="C1480" s="213">
        <v>17197001487</v>
      </c>
      <c r="D1480" s="213">
        <v>17197001493</v>
      </c>
      <c r="E1480" s="213" t="s">
        <v>533</v>
      </c>
      <c r="F1480" s="213" t="s">
        <v>534</v>
      </c>
      <c r="G1480" s="213" t="s">
        <v>377</v>
      </c>
      <c r="H1480" s="213" t="s">
        <v>535</v>
      </c>
      <c r="I1480" s="213"/>
      <c r="J1480" s="213" t="s">
        <v>542</v>
      </c>
      <c r="K1480" s="213" t="s">
        <v>547</v>
      </c>
      <c r="L1480" s="213" t="s">
        <v>382</v>
      </c>
      <c r="M1480" s="213"/>
      <c r="N1480" s="213"/>
      <c r="O1480" s="213"/>
      <c r="P1480" s="213"/>
      <c r="Q1480" s="213"/>
      <c r="R1480" s="213"/>
      <c r="S1480" s="213" t="s">
        <v>601</v>
      </c>
      <c r="T1480" s="213"/>
      <c r="U1480" s="213" t="s">
        <v>538</v>
      </c>
      <c r="V1480" s="213">
        <v>2</v>
      </c>
      <c r="W1480" s="213" t="s">
        <v>539</v>
      </c>
      <c r="X1480" s="213" t="s">
        <v>554</v>
      </c>
      <c r="Y1480" s="213" t="s">
        <v>540</v>
      </c>
      <c r="Z1480" s="212">
        <v>114160</v>
      </c>
      <c r="AA1480" s="212">
        <v>1740120</v>
      </c>
      <c r="AB1480" s="217">
        <v>8.7849999999999998E-2</v>
      </c>
      <c r="AC1480" s="217">
        <v>0.14138100000000001</v>
      </c>
      <c r="AD1480" s="212">
        <f t="shared" si="23"/>
        <v>152869.54199999999</v>
      </c>
    </row>
    <row r="1481" spans="2:30" x14ac:dyDescent="0.15">
      <c r="B1481" s="213">
        <v>17197006061</v>
      </c>
      <c r="C1481" s="213">
        <v>17197001658</v>
      </c>
      <c r="D1481" s="213">
        <v>17197001657</v>
      </c>
      <c r="E1481" s="213" t="s">
        <v>533</v>
      </c>
      <c r="F1481" s="213" t="s">
        <v>534</v>
      </c>
      <c r="G1481" s="213" t="s">
        <v>377</v>
      </c>
      <c r="H1481" s="213" t="s">
        <v>381</v>
      </c>
      <c r="I1481" s="213"/>
      <c r="J1481" s="213" t="s">
        <v>382</v>
      </c>
      <c r="K1481" s="213"/>
      <c r="L1481" s="213"/>
      <c r="M1481" s="213"/>
      <c r="N1481" s="213"/>
      <c r="O1481" s="213"/>
      <c r="P1481" s="213"/>
      <c r="Q1481" s="213"/>
      <c r="R1481" s="213"/>
      <c r="S1481" s="213" t="s">
        <v>647</v>
      </c>
      <c r="T1481" s="213"/>
      <c r="U1481" s="213" t="s">
        <v>538</v>
      </c>
      <c r="V1481" s="213">
        <v>1</v>
      </c>
      <c r="W1481" s="213" t="s">
        <v>582</v>
      </c>
      <c r="X1481" s="213" t="s">
        <v>549</v>
      </c>
      <c r="Y1481" s="213" t="s">
        <v>580</v>
      </c>
      <c r="Z1481" s="212">
        <v>6971</v>
      </c>
      <c r="AA1481" s="212">
        <v>679777</v>
      </c>
      <c r="AB1481" s="217">
        <v>0.73939999999999995</v>
      </c>
      <c r="AC1481" s="217">
        <v>1.189951</v>
      </c>
      <c r="AD1481" s="212">
        <f t="shared" si="23"/>
        <v>502627.11379999999</v>
      </c>
    </row>
    <row r="1482" spans="2:30" x14ac:dyDescent="0.15">
      <c r="B1482" s="213">
        <v>17197006230</v>
      </c>
      <c r="C1482" s="213">
        <v>17197001222</v>
      </c>
      <c r="D1482" s="213">
        <v>17197007187</v>
      </c>
      <c r="E1482" s="213" t="s">
        <v>533</v>
      </c>
      <c r="F1482" s="213" t="s">
        <v>534</v>
      </c>
      <c r="G1482" s="213" t="s">
        <v>377</v>
      </c>
      <c r="H1482" s="213" t="s">
        <v>381</v>
      </c>
      <c r="I1482" s="213"/>
      <c r="J1482" s="213"/>
      <c r="K1482" s="213"/>
      <c r="L1482" s="213"/>
      <c r="M1482" s="213"/>
      <c r="N1482" s="213"/>
      <c r="O1482" s="213"/>
      <c r="P1482" s="213"/>
      <c r="Q1482" s="213"/>
      <c r="R1482" s="213"/>
      <c r="S1482" s="213"/>
      <c r="T1482" s="213"/>
      <c r="U1482" s="213" t="s">
        <v>559</v>
      </c>
      <c r="V1482" s="213">
        <v>1</v>
      </c>
      <c r="W1482" s="213" t="s">
        <v>560</v>
      </c>
      <c r="X1482" s="213" t="s">
        <v>541</v>
      </c>
      <c r="Y1482" s="213" t="s">
        <v>541</v>
      </c>
      <c r="Z1482" s="212">
        <v>0</v>
      </c>
      <c r="AA1482" s="212">
        <v>0</v>
      </c>
      <c r="AB1482" s="217">
        <v>1.4820500000000001</v>
      </c>
      <c r="AC1482" s="217">
        <v>2.3851330000000002</v>
      </c>
      <c r="AD1482" s="212">
        <f t="shared" si="23"/>
        <v>0</v>
      </c>
    </row>
    <row r="1483" spans="2:30" x14ac:dyDescent="0.15">
      <c r="B1483" s="213">
        <v>17197006279</v>
      </c>
      <c r="C1483" s="213">
        <v>17197001810</v>
      </c>
      <c r="D1483" s="213">
        <v>17197007191</v>
      </c>
      <c r="E1483" s="213" t="s">
        <v>533</v>
      </c>
      <c r="F1483" s="213" t="s">
        <v>534</v>
      </c>
      <c r="G1483" s="213" t="s">
        <v>377</v>
      </c>
      <c r="H1483" s="213" t="s">
        <v>687</v>
      </c>
      <c r="I1483" s="213"/>
      <c r="J1483" s="213" t="s">
        <v>382</v>
      </c>
      <c r="K1483" s="213"/>
      <c r="L1483" s="213"/>
      <c r="M1483" s="213"/>
      <c r="N1483" s="213"/>
      <c r="O1483" s="213"/>
      <c r="P1483" s="213"/>
      <c r="Q1483" s="213"/>
      <c r="R1483" s="213"/>
      <c r="S1483" s="213"/>
      <c r="T1483" s="213"/>
      <c r="U1483" s="213" t="s">
        <v>559</v>
      </c>
      <c r="V1483" s="213">
        <v>1</v>
      </c>
      <c r="W1483" s="213" t="s">
        <v>560</v>
      </c>
      <c r="X1483" s="213" t="s">
        <v>541</v>
      </c>
      <c r="Y1483" s="213" t="s">
        <v>541</v>
      </c>
      <c r="Z1483" s="212">
        <v>0</v>
      </c>
      <c r="AA1483" s="212">
        <v>0</v>
      </c>
      <c r="AB1483" s="217">
        <v>0.43812699999999999</v>
      </c>
      <c r="AC1483" s="217">
        <v>0.705098</v>
      </c>
      <c r="AD1483" s="212">
        <f t="shared" si="23"/>
        <v>0</v>
      </c>
    </row>
    <row r="1484" spans="2:30" x14ac:dyDescent="0.15">
      <c r="B1484" s="213">
        <v>17197006545</v>
      </c>
      <c r="C1484" s="213">
        <v>17197004799</v>
      </c>
      <c r="D1484" s="213">
        <v>17197004798</v>
      </c>
      <c r="E1484" s="213" t="s">
        <v>533</v>
      </c>
      <c r="F1484" s="213" t="s">
        <v>534</v>
      </c>
      <c r="G1484" s="213" t="s">
        <v>377</v>
      </c>
      <c r="H1484" s="213" t="s">
        <v>535</v>
      </c>
      <c r="I1484" s="213"/>
      <c r="J1484" s="213"/>
      <c r="K1484" s="213"/>
      <c r="L1484" s="213"/>
      <c r="M1484" s="213"/>
      <c r="N1484" s="213"/>
      <c r="O1484" s="213"/>
      <c r="P1484" s="213"/>
      <c r="Q1484" s="213"/>
      <c r="R1484" s="213"/>
      <c r="S1484" s="213" t="s">
        <v>681</v>
      </c>
      <c r="T1484" s="213"/>
      <c r="U1484" s="213" t="s">
        <v>559</v>
      </c>
      <c r="V1484" s="213">
        <v>1</v>
      </c>
      <c r="W1484" s="213" t="s">
        <v>560</v>
      </c>
      <c r="X1484" s="213" t="s">
        <v>541</v>
      </c>
      <c r="Y1484" s="213" t="s">
        <v>541</v>
      </c>
      <c r="Z1484" s="212">
        <v>0</v>
      </c>
      <c r="AA1484" s="212">
        <v>0</v>
      </c>
      <c r="AB1484" s="217">
        <v>0.28321800000000003</v>
      </c>
      <c r="AC1484" s="217">
        <v>0.45579599999999998</v>
      </c>
      <c r="AD1484" s="212">
        <f t="shared" si="23"/>
        <v>0</v>
      </c>
    </row>
    <row r="1485" spans="2:30" x14ac:dyDescent="0.15">
      <c r="B1485" s="213">
        <v>17197007026</v>
      </c>
      <c r="C1485" s="213">
        <v>17197004511</v>
      </c>
      <c r="D1485" s="213">
        <v>17197005582</v>
      </c>
      <c r="E1485" s="213" t="s">
        <v>533</v>
      </c>
      <c r="F1485" s="213" t="s">
        <v>534</v>
      </c>
      <c r="G1485" s="213" t="s">
        <v>377</v>
      </c>
      <c r="H1485" s="213" t="s">
        <v>381</v>
      </c>
      <c r="I1485" s="213"/>
      <c r="J1485" s="213" t="s">
        <v>382</v>
      </c>
      <c r="K1485" s="213"/>
      <c r="L1485" s="213"/>
      <c r="M1485" s="213"/>
      <c r="N1485" s="213"/>
      <c r="O1485" s="213"/>
      <c r="P1485" s="213"/>
      <c r="Q1485" s="213"/>
      <c r="R1485" s="213"/>
      <c r="S1485" s="213" t="s">
        <v>647</v>
      </c>
      <c r="T1485" s="213"/>
      <c r="U1485" s="213" t="s">
        <v>538</v>
      </c>
      <c r="V1485" s="213">
        <v>1</v>
      </c>
      <c r="W1485" s="213" t="s">
        <v>582</v>
      </c>
      <c r="X1485" s="213" t="s">
        <v>549</v>
      </c>
      <c r="Y1485" s="213" t="s">
        <v>580</v>
      </c>
      <c r="Z1485" s="212">
        <v>219540</v>
      </c>
      <c r="AA1485" s="212">
        <v>2954280</v>
      </c>
      <c r="AB1485" s="217">
        <v>0.74538400000000005</v>
      </c>
      <c r="AC1485" s="217">
        <v>1.1995819999999999</v>
      </c>
      <c r="AD1485" s="212">
        <f t="shared" si="23"/>
        <v>2202073.0435200003</v>
      </c>
    </row>
    <row r="1486" spans="2:30" x14ac:dyDescent="0.15">
      <c r="B1486" s="213">
        <v>17197007037</v>
      </c>
      <c r="C1486" s="213">
        <v>17197005590</v>
      </c>
      <c r="D1486" s="213">
        <v>17197005587</v>
      </c>
      <c r="E1486" s="213" t="s">
        <v>533</v>
      </c>
      <c r="F1486" s="213" t="s">
        <v>534</v>
      </c>
      <c r="G1486" s="213" t="s">
        <v>377</v>
      </c>
      <c r="H1486" s="213" t="s">
        <v>382</v>
      </c>
      <c r="I1486" s="213"/>
      <c r="J1486" s="213"/>
      <c r="K1486" s="213"/>
      <c r="L1486" s="213"/>
      <c r="M1486" s="213"/>
      <c r="N1486" s="213"/>
      <c r="O1486" s="213"/>
      <c r="P1486" s="213"/>
      <c r="Q1486" s="213"/>
      <c r="R1486" s="213"/>
      <c r="S1486" s="213" t="s">
        <v>592</v>
      </c>
      <c r="T1486" s="213" t="s">
        <v>593</v>
      </c>
      <c r="U1486" s="213" t="s">
        <v>559</v>
      </c>
      <c r="V1486" s="213">
        <v>1</v>
      </c>
      <c r="W1486" s="213" t="s">
        <v>539</v>
      </c>
      <c r="X1486" s="213" t="s">
        <v>541</v>
      </c>
      <c r="Y1486" s="213" t="s">
        <v>541</v>
      </c>
      <c r="Z1486" s="212">
        <v>0</v>
      </c>
      <c r="AA1486" s="212">
        <v>0</v>
      </c>
      <c r="AB1486" s="217">
        <v>0.118217</v>
      </c>
      <c r="AC1486" s="217">
        <v>0.190252</v>
      </c>
      <c r="AD1486" s="212">
        <f t="shared" si="23"/>
        <v>0</v>
      </c>
    </row>
    <row r="1487" spans="2:30" x14ac:dyDescent="0.15">
      <c r="B1487" s="213">
        <v>17197007045</v>
      </c>
      <c r="C1487" s="213">
        <v>17197005594</v>
      </c>
      <c r="D1487" s="213">
        <v>17197005595</v>
      </c>
      <c r="E1487" s="213" t="s">
        <v>533</v>
      </c>
      <c r="F1487" s="213" t="s">
        <v>534</v>
      </c>
      <c r="G1487" s="213" t="s">
        <v>377</v>
      </c>
      <c r="H1487" s="213" t="s">
        <v>382</v>
      </c>
      <c r="I1487" s="213"/>
      <c r="J1487" s="213"/>
      <c r="K1487" s="213"/>
      <c r="L1487" s="213"/>
      <c r="M1487" s="213"/>
      <c r="N1487" s="213"/>
      <c r="O1487" s="213"/>
      <c r="P1487" s="213"/>
      <c r="Q1487" s="213"/>
      <c r="R1487" s="213"/>
      <c r="S1487" s="213" t="s">
        <v>592</v>
      </c>
      <c r="T1487" s="213"/>
      <c r="U1487" s="213" t="s">
        <v>559</v>
      </c>
      <c r="V1487" s="213">
        <v>1</v>
      </c>
      <c r="W1487" s="213" t="s">
        <v>539</v>
      </c>
      <c r="X1487" s="213" t="s">
        <v>541</v>
      </c>
      <c r="Y1487" s="213" t="s">
        <v>541</v>
      </c>
      <c r="Z1487" s="212">
        <v>0</v>
      </c>
      <c r="AA1487" s="212">
        <v>0</v>
      </c>
      <c r="AB1487" s="217">
        <v>0.644841</v>
      </c>
      <c r="AC1487" s="217">
        <v>1.0377730000000001</v>
      </c>
      <c r="AD1487" s="212">
        <f t="shared" si="23"/>
        <v>0</v>
      </c>
    </row>
    <row r="1488" spans="2:30" x14ac:dyDescent="0.15">
      <c r="B1488" s="213">
        <v>17197007047</v>
      </c>
      <c r="C1488" s="213">
        <v>17197005595</v>
      </c>
      <c r="D1488" s="213">
        <v>17197005593</v>
      </c>
      <c r="E1488" s="213" t="s">
        <v>533</v>
      </c>
      <c r="F1488" s="213" t="s">
        <v>534</v>
      </c>
      <c r="G1488" s="213" t="s">
        <v>377</v>
      </c>
      <c r="H1488" s="213" t="s">
        <v>382</v>
      </c>
      <c r="I1488" s="213"/>
      <c r="J1488" s="213"/>
      <c r="K1488" s="213"/>
      <c r="L1488" s="213"/>
      <c r="M1488" s="213"/>
      <c r="N1488" s="213"/>
      <c r="O1488" s="213"/>
      <c r="P1488" s="213"/>
      <c r="Q1488" s="213"/>
      <c r="R1488" s="213"/>
      <c r="S1488" s="213" t="s">
        <v>592</v>
      </c>
      <c r="T1488" s="213"/>
      <c r="U1488" s="213" t="s">
        <v>559</v>
      </c>
      <c r="V1488" s="213">
        <v>1</v>
      </c>
      <c r="W1488" s="213" t="s">
        <v>539</v>
      </c>
      <c r="X1488" s="213" t="s">
        <v>541</v>
      </c>
      <c r="Y1488" s="213" t="s">
        <v>541</v>
      </c>
      <c r="Z1488" s="212">
        <v>0</v>
      </c>
      <c r="AA1488" s="212">
        <v>0</v>
      </c>
      <c r="AB1488" s="217">
        <v>0.30571500000000001</v>
      </c>
      <c r="AC1488" s="217">
        <v>0.49200100000000002</v>
      </c>
      <c r="AD1488" s="212">
        <f t="shared" si="23"/>
        <v>0</v>
      </c>
    </row>
    <row r="1489" spans="2:30" x14ac:dyDescent="0.15">
      <c r="B1489" s="213">
        <v>17197007049</v>
      </c>
      <c r="C1489" s="213">
        <v>17197005593</v>
      </c>
      <c r="D1489" s="213">
        <v>17197005596</v>
      </c>
      <c r="E1489" s="213" t="s">
        <v>533</v>
      </c>
      <c r="F1489" s="213" t="s">
        <v>534</v>
      </c>
      <c r="G1489" s="213" t="s">
        <v>377</v>
      </c>
      <c r="H1489" s="213" t="s">
        <v>382</v>
      </c>
      <c r="I1489" s="213"/>
      <c r="J1489" s="213"/>
      <c r="K1489" s="213"/>
      <c r="L1489" s="213"/>
      <c r="M1489" s="213"/>
      <c r="N1489" s="213"/>
      <c r="O1489" s="213"/>
      <c r="P1489" s="213"/>
      <c r="Q1489" s="213"/>
      <c r="R1489" s="213"/>
      <c r="S1489" s="213" t="s">
        <v>592</v>
      </c>
      <c r="T1489" s="213"/>
      <c r="U1489" s="213" t="s">
        <v>559</v>
      </c>
      <c r="V1489" s="213">
        <v>1</v>
      </c>
      <c r="W1489" s="213" t="s">
        <v>539</v>
      </c>
      <c r="X1489" s="213" t="s">
        <v>541</v>
      </c>
      <c r="Y1489" s="213" t="s">
        <v>541</v>
      </c>
      <c r="Z1489" s="212">
        <v>110720</v>
      </c>
      <c r="AA1489" s="212">
        <v>1427240</v>
      </c>
      <c r="AB1489" s="217">
        <v>0.182694</v>
      </c>
      <c r="AC1489" s="217">
        <v>0.294018</v>
      </c>
      <c r="AD1489" s="212">
        <f t="shared" si="23"/>
        <v>260748.18455999999</v>
      </c>
    </row>
    <row r="1490" spans="2:30" x14ac:dyDescent="0.15">
      <c r="B1490" s="213">
        <v>17197008221</v>
      </c>
      <c r="C1490" s="213">
        <v>17197006574</v>
      </c>
      <c r="D1490" s="213">
        <v>17197006581</v>
      </c>
      <c r="E1490" s="213" t="s">
        <v>533</v>
      </c>
      <c r="F1490" s="213" t="s">
        <v>534</v>
      </c>
      <c r="G1490" s="213" t="s">
        <v>377</v>
      </c>
      <c r="H1490" s="213" t="s">
        <v>381</v>
      </c>
      <c r="I1490" s="213"/>
      <c r="J1490" s="213" t="s">
        <v>382</v>
      </c>
      <c r="K1490" s="213"/>
      <c r="L1490" s="213"/>
      <c r="M1490" s="213"/>
      <c r="N1490" s="213"/>
      <c r="O1490" s="213"/>
      <c r="P1490" s="213"/>
      <c r="Q1490" s="213"/>
      <c r="R1490" s="213"/>
      <c r="S1490" s="213" t="s">
        <v>651</v>
      </c>
      <c r="T1490" s="213" t="s">
        <v>651</v>
      </c>
      <c r="U1490" s="213" t="s">
        <v>559</v>
      </c>
      <c r="V1490" s="213">
        <v>1</v>
      </c>
      <c r="W1490" s="213" t="s">
        <v>539</v>
      </c>
      <c r="X1490" s="213" t="s">
        <v>554</v>
      </c>
      <c r="Y1490" s="213" t="s">
        <v>540</v>
      </c>
      <c r="Z1490" s="212">
        <v>0</v>
      </c>
      <c r="AA1490" s="212">
        <v>0</v>
      </c>
      <c r="AB1490" s="217">
        <v>0.226136</v>
      </c>
      <c r="AC1490" s="217">
        <v>0.363931</v>
      </c>
      <c r="AD1490" s="212">
        <f t="shared" si="23"/>
        <v>0</v>
      </c>
    </row>
    <row r="1491" spans="2:30" x14ac:dyDescent="0.15">
      <c r="B1491" s="213">
        <v>17197008265</v>
      </c>
      <c r="C1491" s="213">
        <v>17197006615</v>
      </c>
      <c r="D1491" s="213">
        <v>17197001466</v>
      </c>
      <c r="E1491" s="213" t="s">
        <v>533</v>
      </c>
      <c r="F1491" s="213" t="s">
        <v>534</v>
      </c>
      <c r="G1491" s="213" t="s">
        <v>377</v>
      </c>
      <c r="H1491" s="213" t="s">
        <v>535</v>
      </c>
      <c r="I1491" s="213"/>
      <c r="J1491" s="213" t="s">
        <v>382</v>
      </c>
      <c r="K1491" s="213" t="s">
        <v>536</v>
      </c>
      <c r="L1491" s="213"/>
      <c r="M1491" s="213"/>
      <c r="N1491" s="213"/>
      <c r="O1491" s="213"/>
      <c r="P1491" s="213"/>
      <c r="Q1491" s="213"/>
      <c r="R1491" s="213"/>
      <c r="S1491" s="213" t="s">
        <v>537</v>
      </c>
      <c r="T1491" s="213" t="s">
        <v>596</v>
      </c>
      <c r="U1491" s="213" t="s">
        <v>538</v>
      </c>
      <c r="V1491" s="213">
        <v>2</v>
      </c>
      <c r="W1491" s="213" t="s">
        <v>539</v>
      </c>
      <c r="X1491" s="213" t="s">
        <v>541</v>
      </c>
      <c r="Y1491" s="213" t="s">
        <v>540</v>
      </c>
      <c r="Z1491" s="212">
        <v>39648</v>
      </c>
      <c r="AA1491" s="212">
        <v>3965814</v>
      </c>
      <c r="AB1491" s="217">
        <v>0.25714799999999999</v>
      </c>
      <c r="AC1491" s="217">
        <v>0.41384100000000001</v>
      </c>
      <c r="AD1491" s="212">
        <f t="shared" si="23"/>
        <v>1019801.1384719999</v>
      </c>
    </row>
    <row r="1492" spans="2:30" x14ac:dyDescent="0.15">
      <c r="B1492" s="213">
        <v>17197008957</v>
      </c>
      <c r="C1492" s="213">
        <v>17197007178</v>
      </c>
      <c r="D1492" s="213">
        <v>17197001465</v>
      </c>
      <c r="E1492" s="213" t="s">
        <v>533</v>
      </c>
      <c r="F1492" s="213" t="s">
        <v>534</v>
      </c>
      <c r="G1492" s="213" t="s">
        <v>377</v>
      </c>
      <c r="H1492" s="213" t="s">
        <v>535</v>
      </c>
      <c r="I1492" s="213"/>
      <c r="J1492" s="213" t="s">
        <v>542</v>
      </c>
      <c r="K1492" s="213" t="s">
        <v>572</v>
      </c>
      <c r="L1492" s="213" t="s">
        <v>547</v>
      </c>
      <c r="M1492" s="213" t="s">
        <v>382</v>
      </c>
      <c r="N1492" s="213"/>
      <c r="O1492" s="213"/>
      <c r="P1492" s="213"/>
      <c r="Q1492" s="213"/>
      <c r="R1492" s="213"/>
      <c r="S1492" s="213" t="s">
        <v>601</v>
      </c>
      <c r="T1492" s="213"/>
      <c r="U1492" s="213" t="s">
        <v>538</v>
      </c>
      <c r="V1492" s="213">
        <v>2</v>
      </c>
      <c r="W1492" s="213" t="s">
        <v>545</v>
      </c>
      <c r="X1492" s="213" t="s">
        <v>549</v>
      </c>
      <c r="Y1492" s="213" t="s">
        <v>540</v>
      </c>
      <c r="Z1492" s="212">
        <v>162841</v>
      </c>
      <c r="AA1492" s="212">
        <v>7322355</v>
      </c>
      <c r="AB1492" s="217">
        <v>0.168827</v>
      </c>
      <c r="AC1492" s="217">
        <v>0.2717</v>
      </c>
      <c r="AD1492" s="212">
        <f t="shared" si="23"/>
        <v>1236211.227585</v>
      </c>
    </row>
    <row r="1493" spans="2:30" x14ac:dyDescent="0.15">
      <c r="B1493" s="213">
        <v>17197008960</v>
      </c>
      <c r="C1493" s="213">
        <v>17197007179</v>
      </c>
      <c r="D1493" s="213">
        <v>17197007178</v>
      </c>
      <c r="E1493" s="213" t="s">
        <v>533</v>
      </c>
      <c r="F1493" s="213" t="s">
        <v>534</v>
      </c>
      <c r="G1493" s="213" t="s">
        <v>377</v>
      </c>
      <c r="H1493" s="213" t="s">
        <v>535</v>
      </c>
      <c r="I1493" s="213"/>
      <c r="J1493" s="213" t="s">
        <v>542</v>
      </c>
      <c r="K1493" s="213" t="s">
        <v>572</v>
      </c>
      <c r="L1493" s="213" t="s">
        <v>547</v>
      </c>
      <c r="M1493" s="213" t="s">
        <v>382</v>
      </c>
      <c r="N1493" s="213"/>
      <c r="O1493" s="213"/>
      <c r="P1493" s="213"/>
      <c r="Q1493" s="213"/>
      <c r="R1493" s="213"/>
      <c r="S1493" s="213" t="s">
        <v>601</v>
      </c>
      <c r="T1493" s="213"/>
      <c r="U1493" s="213" t="s">
        <v>538</v>
      </c>
      <c r="V1493" s="213">
        <v>2</v>
      </c>
      <c r="W1493" s="213" t="s">
        <v>545</v>
      </c>
      <c r="X1493" s="213" t="s">
        <v>549</v>
      </c>
      <c r="Y1493" s="213" t="s">
        <v>540</v>
      </c>
      <c r="Z1493" s="212">
        <v>162841</v>
      </c>
      <c r="AA1493" s="212">
        <v>7322355</v>
      </c>
      <c r="AB1493" s="217">
        <v>0.45243800000000001</v>
      </c>
      <c r="AC1493" s="217">
        <v>0.72813000000000005</v>
      </c>
      <c r="AD1493" s="212">
        <f t="shared" si="23"/>
        <v>3312911.6514900001</v>
      </c>
    </row>
    <row r="1494" spans="2:30" x14ac:dyDescent="0.15">
      <c r="B1494" s="213">
        <v>17197009014</v>
      </c>
      <c r="C1494" s="213">
        <v>17197007228</v>
      </c>
      <c r="D1494" s="213">
        <v>17197007226</v>
      </c>
      <c r="E1494" s="213" t="s">
        <v>533</v>
      </c>
      <c r="F1494" s="213" t="s">
        <v>534</v>
      </c>
      <c r="G1494" s="213" t="s">
        <v>377</v>
      </c>
      <c r="H1494" s="213" t="s">
        <v>381</v>
      </c>
      <c r="I1494" s="213"/>
      <c r="J1494" s="213"/>
      <c r="K1494" s="213"/>
      <c r="L1494" s="213"/>
      <c r="M1494" s="213"/>
      <c r="N1494" s="213"/>
      <c r="O1494" s="213"/>
      <c r="P1494" s="213"/>
      <c r="Q1494" s="213"/>
      <c r="R1494" s="213"/>
      <c r="S1494" s="213" t="s">
        <v>591</v>
      </c>
      <c r="T1494" s="213"/>
      <c r="U1494" s="213" t="s">
        <v>559</v>
      </c>
      <c r="V1494" s="213">
        <v>1</v>
      </c>
      <c r="W1494" s="213" t="s">
        <v>560</v>
      </c>
      <c r="X1494" s="213" t="s">
        <v>541</v>
      </c>
      <c r="Y1494" s="213" t="s">
        <v>541</v>
      </c>
      <c r="Z1494" s="212">
        <v>0</v>
      </c>
      <c r="AA1494" s="212">
        <v>0</v>
      </c>
      <c r="AB1494" s="217">
        <v>0.139595</v>
      </c>
      <c r="AC1494" s="217">
        <v>0.22465599999999999</v>
      </c>
      <c r="AD1494" s="212">
        <f t="shared" si="23"/>
        <v>0</v>
      </c>
    </row>
    <row r="1495" spans="2:30" x14ac:dyDescent="0.15">
      <c r="B1495" s="213">
        <v>17197009040</v>
      </c>
      <c r="C1495" s="213">
        <v>17197001632</v>
      </c>
      <c r="D1495" s="213">
        <v>17197007254</v>
      </c>
      <c r="E1495" s="213" t="s">
        <v>533</v>
      </c>
      <c r="F1495" s="213" t="s">
        <v>534</v>
      </c>
      <c r="G1495" s="213" t="s">
        <v>377</v>
      </c>
      <c r="H1495" s="213" t="s">
        <v>381</v>
      </c>
      <c r="I1495" s="213"/>
      <c r="J1495" s="213" t="s">
        <v>382</v>
      </c>
      <c r="K1495" s="213"/>
      <c r="L1495" s="213"/>
      <c r="M1495" s="213"/>
      <c r="N1495" s="213"/>
      <c r="O1495" s="213"/>
      <c r="P1495" s="213"/>
      <c r="Q1495" s="213"/>
      <c r="R1495" s="213"/>
      <c r="S1495" s="213" t="s">
        <v>647</v>
      </c>
      <c r="T1495" s="213"/>
      <c r="U1495" s="213" t="s">
        <v>538</v>
      </c>
      <c r="V1495" s="213">
        <v>1</v>
      </c>
      <c r="W1495" s="213" t="s">
        <v>545</v>
      </c>
      <c r="X1495" s="213" t="s">
        <v>549</v>
      </c>
      <c r="Y1495" s="213" t="s">
        <v>580</v>
      </c>
      <c r="Z1495" s="212">
        <v>1458390</v>
      </c>
      <c r="AA1495" s="212">
        <v>41728422</v>
      </c>
      <c r="AB1495" s="217">
        <v>0.64574900000000002</v>
      </c>
      <c r="AC1495" s="217">
        <v>1.039234</v>
      </c>
      <c r="AD1495" s="212">
        <f t="shared" si="23"/>
        <v>26946086.778078001</v>
      </c>
    </row>
    <row r="1496" spans="2:30" x14ac:dyDescent="0.15">
      <c r="B1496" s="213">
        <v>17197009262</v>
      </c>
      <c r="C1496" s="213">
        <v>17197001618</v>
      </c>
      <c r="D1496" s="213">
        <v>17197007389</v>
      </c>
      <c r="E1496" s="213" t="s">
        <v>533</v>
      </c>
      <c r="F1496" s="213" t="s">
        <v>534</v>
      </c>
      <c r="G1496" s="213" t="s">
        <v>377</v>
      </c>
      <c r="H1496" s="213" t="s">
        <v>535</v>
      </c>
      <c r="I1496" s="213"/>
      <c r="J1496" s="213" t="s">
        <v>382</v>
      </c>
      <c r="K1496" s="213"/>
      <c r="L1496" s="213"/>
      <c r="M1496" s="213"/>
      <c r="N1496" s="213"/>
      <c r="O1496" s="213"/>
      <c r="P1496" s="213"/>
      <c r="Q1496" s="213"/>
      <c r="R1496" s="213"/>
      <c r="S1496" s="213"/>
      <c r="T1496" s="213"/>
      <c r="U1496" s="213" t="s">
        <v>559</v>
      </c>
      <c r="V1496" s="213">
        <v>1</v>
      </c>
      <c r="W1496" s="213" t="s">
        <v>560</v>
      </c>
      <c r="X1496" s="213" t="s">
        <v>541</v>
      </c>
      <c r="Y1496" s="213" t="s">
        <v>541</v>
      </c>
      <c r="Z1496" s="212">
        <v>0</v>
      </c>
      <c r="AA1496" s="212">
        <v>0</v>
      </c>
      <c r="AB1496" s="217">
        <v>0.24926899999999999</v>
      </c>
      <c r="AC1496" s="217">
        <v>0.40116000000000002</v>
      </c>
      <c r="AD1496" s="212">
        <f t="shared" si="23"/>
        <v>0</v>
      </c>
    </row>
    <row r="1497" spans="2:30" x14ac:dyDescent="0.15">
      <c r="B1497" s="213">
        <v>17197009263</v>
      </c>
      <c r="C1497" s="213">
        <v>17197007389</v>
      </c>
      <c r="D1497" s="213">
        <v>17197007388</v>
      </c>
      <c r="E1497" s="213" t="s">
        <v>533</v>
      </c>
      <c r="F1497" s="213" t="s">
        <v>534</v>
      </c>
      <c r="G1497" s="213" t="s">
        <v>377</v>
      </c>
      <c r="H1497" s="213" t="s">
        <v>535</v>
      </c>
      <c r="I1497" s="213"/>
      <c r="J1497" s="213" t="s">
        <v>382</v>
      </c>
      <c r="K1497" s="213"/>
      <c r="L1497" s="213"/>
      <c r="M1497" s="213"/>
      <c r="N1497" s="213"/>
      <c r="O1497" s="213"/>
      <c r="P1497" s="213"/>
      <c r="Q1497" s="213"/>
      <c r="R1497" s="213"/>
      <c r="S1497" s="213"/>
      <c r="T1497" s="213"/>
      <c r="U1497" s="213" t="s">
        <v>559</v>
      </c>
      <c r="V1497" s="213">
        <v>1</v>
      </c>
      <c r="W1497" s="213" t="s">
        <v>560</v>
      </c>
      <c r="X1497" s="213" t="s">
        <v>541</v>
      </c>
      <c r="Y1497" s="213" t="s">
        <v>541</v>
      </c>
      <c r="Z1497" s="212">
        <v>0</v>
      </c>
      <c r="AA1497" s="212">
        <v>0</v>
      </c>
      <c r="AB1497" s="217">
        <v>1.6865999999999999E-2</v>
      </c>
      <c r="AC1497" s="217">
        <v>2.7143E-2</v>
      </c>
      <c r="AD1497" s="212">
        <f t="shared" si="23"/>
        <v>0</v>
      </c>
    </row>
    <row r="1498" spans="2:30" x14ac:dyDescent="0.15">
      <c r="B1498" s="213">
        <v>17197009265</v>
      </c>
      <c r="C1498" s="213">
        <v>17197001609</v>
      </c>
      <c r="D1498" s="213">
        <v>17197007391</v>
      </c>
      <c r="E1498" s="213" t="s">
        <v>533</v>
      </c>
      <c r="F1498" s="213" t="s">
        <v>534</v>
      </c>
      <c r="G1498" s="213" t="s">
        <v>377</v>
      </c>
      <c r="H1498" s="213" t="s">
        <v>535</v>
      </c>
      <c r="I1498" s="213"/>
      <c r="J1498" s="213" t="s">
        <v>382</v>
      </c>
      <c r="K1498" s="213"/>
      <c r="L1498" s="213"/>
      <c r="M1498" s="213"/>
      <c r="N1498" s="213"/>
      <c r="O1498" s="213"/>
      <c r="P1498" s="213"/>
      <c r="Q1498" s="213"/>
      <c r="R1498" s="213"/>
      <c r="S1498" s="213"/>
      <c r="T1498" s="213"/>
      <c r="U1498" s="213" t="s">
        <v>559</v>
      </c>
      <c r="V1498" s="213">
        <v>1</v>
      </c>
      <c r="W1498" s="213" t="s">
        <v>560</v>
      </c>
      <c r="X1498" s="213" t="s">
        <v>541</v>
      </c>
      <c r="Y1498" s="213" t="s">
        <v>541</v>
      </c>
      <c r="Z1498" s="212">
        <v>0</v>
      </c>
      <c r="AA1498" s="212">
        <v>0</v>
      </c>
      <c r="AB1498" s="217">
        <v>0.718669</v>
      </c>
      <c r="AC1498" s="217">
        <v>1.156587</v>
      </c>
      <c r="AD1498" s="212">
        <f t="shared" si="23"/>
        <v>0</v>
      </c>
    </row>
    <row r="1499" spans="2:30" x14ac:dyDescent="0.15">
      <c r="B1499" s="213">
        <v>17197009268</v>
      </c>
      <c r="C1499" s="213">
        <v>17197007394</v>
      </c>
      <c r="D1499" s="213">
        <v>17197004790</v>
      </c>
      <c r="E1499" s="213" t="s">
        <v>533</v>
      </c>
      <c r="F1499" s="213" t="s">
        <v>534</v>
      </c>
      <c r="G1499" s="213" t="s">
        <v>377</v>
      </c>
      <c r="H1499" s="213" t="s">
        <v>547</v>
      </c>
      <c r="I1499" s="213"/>
      <c r="J1499" s="213" t="s">
        <v>577</v>
      </c>
      <c r="K1499" s="213" t="s">
        <v>551</v>
      </c>
      <c r="L1499" s="213" t="s">
        <v>615</v>
      </c>
      <c r="M1499" s="213"/>
      <c r="N1499" s="213"/>
      <c r="O1499" s="213"/>
      <c r="P1499" s="213"/>
      <c r="Q1499" s="213"/>
      <c r="R1499" s="213"/>
      <c r="S1499" s="213" t="s">
        <v>581</v>
      </c>
      <c r="T1499" s="213"/>
      <c r="U1499" s="213" t="s">
        <v>538</v>
      </c>
      <c r="V1499" s="213">
        <v>2</v>
      </c>
      <c r="W1499" s="213" t="s">
        <v>582</v>
      </c>
      <c r="X1499" s="213" t="s">
        <v>540</v>
      </c>
      <c r="Y1499" s="213" t="s">
        <v>540</v>
      </c>
      <c r="Z1499" s="212">
        <v>34796</v>
      </c>
      <c r="AA1499" s="212">
        <v>3311897</v>
      </c>
      <c r="AB1499" s="217">
        <v>1.083048</v>
      </c>
      <c r="AC1499" s="217">
        <v>1.7430000000000001</v>
      </c>
      <c r="AD1499" s="212">
        <f t="shared" si="23"/>
        <v>3586943.4220560002</v>
      </c>
    </row>
    <row r="1500" spans="2:30" x14ac:dyDescent="0.15">
      <c r="B1500" s="213">
        <v>17197009272</v>
      </c>
      <c r="C1500" s="213">
        <v>17197001486</v>
      </c>
      <c r="D1500" s="213">
        <v>17197007398</v>
      </c>
      <c r="E1500" s="213" t="s">
        <v>533</v>
      </c>
      <c r="F1500" s="213" t="s">
        <v>534</v>
      </c>
      <c r="G1500" s="213" t="s">
        <v>377</v>
      </c>
      <c r="H1500" s="213" t="s">
        <v>547</v>
      </c>
      <c r="I1500" s="213"/>
      <c r="J1500" s="213" t="s">
        <v>551</v>
      </c>
      <c r="K1500" s="213" t="s">
        <v>615</v>
      </c>
      <c r="L1500" s="213" t="s">
        <v>535</v>
      </c>
      <c r="M1500" s="213"/>
      <c r="N1500" s="213"/>
      <c r="O1500" s="213"/>
      <c r="P1500" s="213"/>
      <c r="Q1500" s="213"/>
      <c r="R1500" s="213"/>
      <c r="S1500" s="213" t="s">
        <v>581</v>
      </c>
      <c r="T1500" s="213"/>
      <c r="U1500" s="213" t="s">
        <v>538</v>
      </c>
      <c r="V1500" s="213">
        <v>2</v>
      </c>
      <c r="W1500" s="213" t="s">
        <v>582</v>
      </c>
      <c r="X1500" s="213" t="s">
        <v>540</v>
      </c>
      <c r="Y1500" s="213" t="s">
        <v>540</v>
      </c>
      <c r="Z1500" s="212">
        <v>35140</v>
      </c>
      <c r="AA1500" s="212">
        <v>3383461</v>
      </c>
      <c r="AB1500" s="217">
        <v>4.9383000000000003E-2</v>
      </c>
      <c r="AC1500" s="217">
        <v>7.9475000000000004E-2</v>
      </c>
      <c r="AD1500" s="212">
        <f t="shared" si="23"/>
        <v>167085.45456300001</v>
      </c>
    </row>
    <row r="1501" spans="2:30" x14ac:dyDescent="0.15">
      <c r="B1501" s="213">
        <v>17197009275</v>
      </c>
      <c r="C1501" s="213">
        <v>17197007397</v>
      </c>
      <c r="D1501" s="213">
        <v>17197007399</v>
      </c>
      <c r="E1501" s="213" t="s">
        <v>533</v>
      </c>
      <c r="F1501" s="213" t="s">
        <v>534</v>
      </c>
      <c r="G1501" s="213" t="s">
        <v>377</v>
      </c>
      <c r="H1501" s="213" t="s">
        <v>547</v>
      </c>
      <c r="I1501" s="213"/>
      <c r="J1501" s="213" t="s">
        <v>551</v>
      </c>
      <c r="K1501" s="213" t="s">
        <v>615</v>
      </c>
      <c r="L1501" s="213" t="s">
        <v>535</v>
      </c>
      <c r="M1501" s="213"/>
      <c r="N1501" s="213"/>
      <c r="O1501" s="213"/>
      <c r="P1501" s="213"/>
      <c r="Q1501" s="213"/>
      <c r="R1501" s="213"/>
      <c r="S1501" s="213" t="s">
        <v>581</v>
      </c>
      <c r="T1501" s="213"/>
      <c r="U1501" s="213" t="s">
        <v>538</v>
      </c>
      <c r="V1501" s="213">
        <v>2</v>
      </c>
      <c r="W1501" s="213" t="s">
        <v>582</v>
      </c>
      <c r="X1501" s="213" t="s">
        <v>540</v>
      </c>
      <c r="Y1501" s="213" t="s">
        <v>540</v>
      </c>
      <c r="Z1501" s="212">
        <v>35140</v>
      </c>
      <c r="AA1501" s="212">
        <v>3383461</v>
      </c>
      <c r="AB1501" s="217">
        <v>0.194412</v>
      </c>
      <c r="AC1501" s="217">
        <v>0.31287599999999999</v>
      </c>
      <c r="AD1501" s="212">
        <f t="shared" si="23"/>
        <v>657785.41993199999</v>
      </c>
    </row>
    <row r="1502" spans="2:30" x14ac:dyDescent="0.15">
      <c r="B1502" s="213">
        <v>17197009284</v>
      </c>
      <c r="C1502" s="213">
        <v>17197007408</v>
      </c>
      <c r="D1502" s="213">
        <v>17197007406</v>
      </c>
      <c r="E1502" s="213" t="s">
        <v>533</v>
      </c>
      <c r="F1502" s="213" t="s">
        <v>534</v>
      </c>
      <c r="G1502" s="213" t="s">
        <v>377</v>
      </c>
      <c r="H1502" s="213" t="s">
        <v>551</v>
      </c>
      <c r="I1502" s="213"/>
      <c r="J1502" s="213" t="s">
        <v>535</v>
      </c>
      <c r="K1502" s="213"/>
      <c r="L1502" s="213"/>
      <c r="M1502" s="213"/>
      <c r="N1502" s="213"/>
      <c r="O1502" s="213"/>
      <c r="P1502" s="213"/>
      <c r="Q1502" s="213"/>
      <c r="R1502" s="213"/>
      <c r="S1502" s="213" t="s">
        <v>594</v>
      </c>
      <c r="T1502" s="213"/>
      <c r="U1502" s="213" t="s">
        <v>559</v>
      </c>
      <c r="V1502" s="213">
        <v>1</v>
      </c>
      <c r="W1502" s="213" t="s">
        <v>560</v>
      </c>
      <c r="X1502" s="213" t="s">
        <v>541</v>
      </c>
      <c r="Y1502" s="213" t="s">
        <v>541</v>
      </c>
      <c r="Z1502" s="212">
        <v>0</v>
      </c>
      <c r="AA1502" s="212">
        <v>0</v>
      </c>
      <c r="AB1502" s="217">
        <v>0.11058</v>
      </c>
      <c r="AC1502" s="217">
        <v>0.17796200000000001</v>
      </c>
      <c r="AD1502" s="212">
        <f t="shared" si="23"/>
        <v>0</v>
      </c>
    </row>
    <row r="1503" spans="2:30" x14ac:dyDescent="0.15">
      <c r="B1503" s="213">
        <v>17197009299</v>
      </c>
      <c r="C1503" s="213">
        <v>17197007421</v>
      </c>
      <c r="D1503" s="213">
        <v>17197007422</v>
      </c>
      <c r="E1503" s="213" t="s">
        <v>533</v>
      </c>
      <c r="F1503" s="213" t="s">
        <v>534</v>
      </c>
      <c r="G1503" s="213" t="s">
        <v>377</v>
      </c>
      <c r="H1503" s="213" t="s">
        <v>551</v>
      </c>
      <c r="I1503" s="213"/>
      <c r="J1503" s="213" t="s">
        <v>535</v>
      </c>
      <c r="K1503" s="213"/>
      <c r="L1503" s="213"/>
      <c r="M1503" s="213"/>
      <c r="N1503" s="213"/>
      <c r="O1503" s="213"/>
      <c r="P1503" s="213"/>
      <c r="Q1503" s="213"/>
      <c r="R1503" s="213"/>
      <c r="S1503" s="213" t="s">
        <v>594</v>
      </c>
      <c r="T1503" s="213"/>
      <c r="U1503" s="213" t="s">
        <v>559</v>
      </c>
      <c r="V1503" s="213">
        <v>1</v>
      </c>
      <c r="W1503" s="213" t="s">
        <v>560</v>
      </c>
      <c r="X1503" s="213" t="s">
        <v>541</v>
      </c>
      <c r="Y1503" s="213" t="s">
        <v>541</v>
      </c>
      <c r="Z1503" s="212">
        <v>0</v>
      </c>
      <c r="AA1503" s="212">
        <v>0</v>
      </c>
      <c r="AB1503" s="217">
        <v>0.46231899999999998</v>
      </c>
      <c r="AC1503" s="217">
        <v>0.744031</v>
      </c>
      <c r="AD1503" s="212">
        <f t="shared" si="23"/>
        <v>0</v>
      </c>
    </row>
    <row r="1504" spans="2:30" x14ac:dyDescent="0.15">
      <c r="B1504" s="213">
        <v>17197009309</v>
      </c>
      <c r="C1504" s="213">
        <v>17197007432</v>
      </c>
      <c r="D1504" s="213">
        <v>17197001603</v>
      </c>
      <c r="E1504" s="213" t="s">
        <v>533</v>
      </c>
      <c r="F1504" s="213" t="s">
        <v>534</v>
      </c>
      <c r="G1504" s="213" t="s">
        <v>377</v>
      </c>
      <c r="H1504" s="213" t="s">
        <v>551</v>
      </c>
      <c r="I1504" s="213"/>
      <c r="J1504" s="213" t="s">
        <v>535</v>
      </c>
      <c r="K1504" s="213"/>
      <c r="L1504" s="213"/>
      <c r="M1504" s="213"/>
      <c r="N1504" s="213"/>
      <c r="O1504" s="213"/>
      <c r="P1504" s="213"/>
      <c r="Q1504" s="213"/>
      <c r="R1504" s="213"/>
      <c r="S1504" s="213" t="s">
        <v>594</v>
      </c>
      <c r="T1504" s="213"/>
      <c r="U1504" s="213" t="s">
        <v>559</v>
      </c>
      <c r="V1504" s="213">
        <v>1</v>
      </c>
      <c r="W1504" s="213" t="s">
        <v>560</v>
      </c>
      <c r="X1504" s="213" t="s">
        <v>541</v>
      </c>
      <c r="Y1504" s="213" t="s">
        <v>541</v>
      </c>
      <c r="Z1504" s="212">
        <v>0</v>
      </c>
      <c r="AA1504" s="212">
        <v>0</v>
      </c>
      <c r="AB1504" s="217">
        <v>0.30752400000000002</v>
      </c>
      <c r="AC1504" s="217">
        <v>0.49491200000000002</v>
      </c>
      <c r="AD1504" s="212">
        <f t="shared" si="23"/>
        <v>0</v>
      </c>
    </row>
    <row r="1505" spans="2:30" x14ac:dyDescent="0.15">
      <c r="B1505" s="213">
        <v>17197009323</v>
      </c>
      <c r="C1505" s="213">
        <v>17197007445</v>
      </c>
      <c r="D1505" s="213">
        <v>17197001292</v>
      </c>
      <c r="E1505" s="213" t="s">
        <v>533</v>
      </c>
      <c r="F1505" s="213" t="s">
        <v>534</v>
      </c>
      <c r="G1505" s="213" t="s">
        <v>377</v>
      </c>
      <c r="H1505" s="213" t="s">
        <v>535</v>
      </c>
      <c r="I1505" s="213"/>
      <c r="J1505" s="213" t="s">
        <v>382</v>
      </c>
      <c r="K1505" s="213" t="s">
        <v>536</v>
      </c>
      <c r="L1505" s="213"/>
      <c r="M1505" s="213"/>
      <c r="N1505" s="213"/>
      <c r="O1505" s="213"/>
      <c r="P1505" s="213"/>
      <c r="Q1505" s="213"/>
      <c r="R1505" s="213"/>
      <c r="S1505" s="213" t="s">
        <v>550</v>
      </c>
      <c r="T1505" s="213"/>
      <c r="U1505" s="213" t="s">
        <v>538</v>
      </c>
      <c r="V1505" s="213">
        <v>1</v>
      </c>
      <c r="W1505" s="213" t="s">
        <v>545</v>
      </c>
      <c r="X1505" s="213" t="s">
        <v>549</v>
      </c>
      <c r="Y1505" s="213" t="s">
        <v>540</v>
      </c>
      <c r="Z1505" s="212">
        <v>80988</v>
      </c>
      <c r="AA1505" s="212">
        <v>9181980</v>
      </c>
      <c r="AB1505" s="217">
        <v>0.39119300000000001</v>
      </c>
      <c r="AC1505" s="217">
        <v>0.62956500000000004</v>
      </c>
      <c r="AD1505" s="212">
        <f t="shared" si="23"/>
        <v>3591926.3021400003</v>
      </c>
    </row>
    <row r="1506" spans="2:30" x14ac:dyDescent="0.15">
      <c r="B1506" s="213">
        <v>17031001121</v>
      </c>
      <c r="C1506" s="213">
        <v>17031001279</v>
      </c>
      <c r="D1506" s="213">
        <v>17031001289</v>
      </c>
      <c r="E1506" s="213" t="s">
        <v>533</v>
      </c>
      <c r="F1506" s="213" t="s">
        <v>534</v>
      </c>
      <c r="G1506" s="213" t="s">
        <v>365</v>
      </c>
      <c r="H1506" s="213" t="s">
        <v>627</v>
      </c>
      <c r="I1506" s="213"/>
      <c r="J1506" s="213" t="s">
        <v>572</v>
      </c>
      <c r="K1506" s="213"/>
      <c r="L1506" s="213"/>
      <c r="M1506" s="213"/>
      <c r="N1506" s="213"/>
      <c r="O1506" s="213"/>
      <c r="P1506" s="213"/>
      <c r="Q1506" s="213"/>
      <c r="R1506" s="213"/>
      <c r="S1506" s="213"/>
      <c r="T1506" s="213"/>
      <c r="U1506" s="213" t="s">
        <v>538</v>
      </c>
      <c r="V1506" s="213">
        <v>2</v>
      </c>
      <c r="W1506" s="213" t="s">
        <v>545</v>
      </c>
      <c r="X1506" s="213" t="s">
        <v>540</v>
      </c>
      <c r="Y1506" s="213" t="s">
        <v>541</v>
      </c>
      <c r="Z1506" s="212">
        <v>17180</v>
      </c>
      <c r="AA1506" s="212">
        <v>1789206</v>
      </c>
      <c r="AB1506" s="217">
        <v>2.4963410000000001</v>
      </c>
      <c r="AC1506" s="217">
        <v>4.0174799999999999</v>
      </c>
      <c r="AD1506" s="212">
        <f t="shared" si="23"/>
        <v>4466468.2952460004</v>
      </c>
    </row>
    <row r="1507" spans="2:30" x14ac:dyDescent="0.15">
      <c r="B1507" s="213">
        <v>17031001946</v>
      </c>
      <c r="C1507" s="213">
        <v>17031000916</v>
      </c>
      <c r="D1507" s="213">
        <v>17031000910</v>
      </c>
      <c r="E1507" s="213" t="s">
        <v>533</v>
      </c>
      <c r="F1507" s="213" t="s">
        <v>534</v>
      </c>
      <c r="G1507" s="213" t="s">
        <v>365</v>
      </c>
      <c r="H1507" s="213" t="s">
        <v>535</v>
      </c>
      <c r="I1507" s="213"/>
      <c r="J1507" s="213" t="s">
        <v>542</v>
      </c>
      <c r="K1507" s="213" t="s">
        <v>572</v>
      </c>
      <c r="L1507" s="213" t="s">
        <v>547</v>
      </c>
      <c r="M1507" s="213" t="s">
        <v>382</v>
      </c>
      <c r="N1507" s="213"/>
      <c r="O1507" s="213"/>
      <c r="P1507" s="213"/>
      <c r="Q1507" s="213"/>
      <c r="R1507" s="213"/>
      <c r="S1507" s="213" t="s">
        <v>601</v>
      </c>
      <c r="T1507" s="213"/>
      <c r="U1507" s="213" t="s">
        <v>538</v>
      </c>
      <c r="V1507" s="213">
        <v>2</v>
      </c>
      <c r="W1507" s="213" t="s">
        <v>545</v>
      </c>
      <c r="X1507" s="213" t="s">
        <v>540</v>
      </c>
      <c r="Y1507" s="213" t="s">
        <v>540</v>
      </c>
      <c r="Z1507" s="212">
        <v>152728</v>
      </c>
      <c r="AA1507" s="212">
        <v>6385320</v>
      </c>
      <c r="AB1507" s="217">
        <v>0.21934899999999999</v>
      </c>
      <c r="AC1507" s="217">
        <v>0.35300799999999999</v>
      </c>
      <c r="AD1507" s="212">
        <f t="shared" si="23"/>
        <v>1400613.5566799999</v>
      </c>
    </row>
    <row r="1508" spans="2:30" x14ac:dyDescent="0.15">
      <c r="B1508" s="213">
        <v>17031001957</v>
      </c>
      <c r="C1508" s="213">
        <v>17031004668</v>
      </c>
      <c r="D1508" s="213">
        <v>17031007703</v>
      </c>
      <c r="E1508" s="213" t="s">
        <v>533</v>
      </c>
      <c r="F1508" s="213" t="s">
        <v>534</v>
      </c>
      <c r="G1508" s="213" t="s">
        <v>365</v>
      </c>
      <c r="H1508" s="213" t="s">
        <v>535</v>
      </c>
      <c r="I1508" s="213"/>
      <c r="J1508" s="213" t="s">
        <v>542</v>
      </c>
      <c r="K1508" s="213" t="s">
        <v>572</v>
      </c>
      <c r="L1508" s="213" t="s">
        <v>547</v>
      </c>
      <c r="M1508" s="213" t="s">
        <v>382</v>
      </c>
      <c r="N1508" s="213"/>
      <c r="O1508" s="213"/>
      <c r="P1508" s="213"/>
      <c r="Q1508" s="213"/>
      <c r="R1508" s="213"/>
      <c r="S1508" s="213" t="s">
        <v>601</v>
      </c>
      <c r="T1508" s="213"/>
      <c r="U1508" s="213" t="s">
        <v>538</v>
      </c>
      <c r="V1508" s="213">
        <v>2</v>
      </c>
      <c r="W1508" s="213" t="s">
        <v>545</v>
      </c>
      <c r="X1508" s="213" t="s">
        <v>549</v>
      </c>
      <c r="Y1508" s="213" t="s">
        <v>540</v>
      </c>
      <c r="Z1508" s="212">
        <v>168065</v>
      </c>
      <c r="AA1508" s="212">
        <v>7807855</v>
      </c>
      <c r="AB1508" s="217">
        <v>2.8520780000000001</v>
      </c>
      <c r="AC1508" s="217">
        <v>4.5899830000000001</v>
      </c>
      <c r="AD1508" s="212">
        <f t="shared" si="23"/>
        <v>22268611.472690001</v>
      </c>
    </row>
    <row r="1509" spans="2:30" x14ac:dyDescent="0.15">
      <c r="B1509" s="213">
        <v>17031001959</v>
      </c>
      <c r="C1509" s="213">
        <v>17031001238</v>
      </c>
      <c r="D1509" s="213">
        <v>17031004725</v>
      </c>
      <c r="E1509" s="213" t="s">
        <v>533</v>
      </c>
      <c r="F1509" s="213" t="s">
        <v>534</v>
      </c>
      <c r="G1509" s="213" t="s">
        <v>365</v>
      </c>
      <c r="H1509" s="213" t="s">
        <v>547</v>
      </c>
      <c r="I1509" s="213"/>
      <c r="J1509" s="213"/>
      <c r="K1509" s="213"/>
      <c r="L1509" s="213"/>
      <c r="M1509" s="213"/>
      <c r="N1509" s="213"/>
      <c r="O1509" s="213"/>
      <c r="P1509" s="213"/>
      <c r="Q1509" s="213"/>
      <c r="R1509" s="213"/>
      <c r="S1509" s="213"/>
      <c r="T1509" s="213"/>
      <c r="U1509" s="213" t="s">
        <v>538</v>
      </c>
      <c r="V1509" s="213">
        <v>1</v>
      </c>
      <c r="W1509" s="213" t="s">
        <v>582</v>
      </c>
      <c r="X1509" s="213" t="s">
        <v>541</v>
      </c>
      <c r="Y1509" s="213" t="s">
        <v>541</v>
      </c>
      <c r="Z1509" s="212">
        <v>0</v>
      </c>
      <c r="AA1509" s="212">
        <v>0</v>
      </c>
      <c r="AB1509" s="217">
        <v>0.55371899999999996</v>
      </c>
      <c r="AC1509" s="217">
        <v>0.89112599999999997</v>
      </c>
      <c r="AD1509" s="212">
        <f t="shared" si="23"/>
        <v>0</v>
      </c>
    </row>
    <row r="1510" spans="2:30" x14ac:dyDescent="0.15">
      <c r="B1510" s="213">
        <v>17031001963</v>
      </c>
      <c r="C1510" s="213">
        <v>17031004713</v>
      </c>
      <c r="D1510" s="213">
        <v>17031001459</v>
      </c>
      <c r="E1510" s="213" t="s">
        <v>533</v>
      </c>
      <c r="F1510" s="213" t="s">
        <v>534</v>
      </c>
      <c r="G1510" s="213" t="s">
        <v>365</v>
      </c>
      <c r="H1510" s="213" t="s">
        <v>551</v>
      </c>
      <c r="I1510" s="213"/>
      <c r="J1510" s="213"/>
      <c r="K1510" s="213"/>
      <c r="L1510" s="213"/>
      <c r="M1510" s="213"/>
      <c r="N1510" s="213"/>
      <c r="O1510" s="213"/>
      <c r="P1510" s="213"/>
      <c r="Q1510" s="213"/>
      <c r="R1510" s="213"/>
      <c r="S1510" s="213" t="s">
        <v>628</v>
      </c>
      <c r="T1510" s="213"/>
      <c r="U1510" s="213" t="s">
        <v>538</v>
      </c>
      <c r="V1510" s="213">
        <v>1</v>
      </c>
      <c r="W1510" s="213" t="s">
        <v>560</v>
      </c>
      <c r="X1510" s="213" t="s">
        <v>541</v>
      </c>
      <c r="Y1510" s="213" t="s">
        <v>541</v>
      </c>
      <c r="Z1510" s="212">
        <v>0</v>
      </c>
      <c r="AA1510" s="212">
        <v>0</v>
      </c>
      <c r="AB1510" s="217">
        <v>0.54272299999999996</v>
      </c>
      <c r="AC1510" s="217">
        <v>0.87343000000000004</v>
      </c>
      <c r="AD1510" s="212">
        <f t="shared" si="23"/>
        <v>0</v>
      </c>
    </row>
    <row r="1511" spans="2:30" x14ac:dyDescent="0.15">
      <c r="B1511" s="213">
        <v>17031002097</v>
      </c>
      <c r="C1511" s="213">
        <v>17031004644</v>
      </c>
      <c r="D1511" s="213">
        <v>17031000500</v>
      </c>
      <c r="E1511" s="213" t="s">
        <v>533</v>
      </c>
      <c r="F1511" s="213" t="s">
        <v>534</v>
      </c>
      <c r="G1511" s="213" t="s">
        <v>365</v>
      </c>
      <c r="H1511" s="213" t="s">
        <v>557</v>
      </c>
      <c r="I1511" s="213"/>
      <c r="J1511" s="213" t="s">
        <v>535</v>
      </c>
      <c r="K1511" s="213" t="s">
        <v>552</v>
      </c>
      <c r="L1511" s="213" t="s">
        <v>543</v>
      </c>
      <c r="M1511" s="213" t="s">
        <v>382</v>
      </c>
      <c r="N1511" s="213"/>
      <c r="O1511" s="213"/>
      <c r="P1511" s="213"/>
      <c r="Q1511" s="213"/>
      <c r="R1511" s="213"/>
      <c r="S1511" s="213" t="s">
        <v>570</v>
      </c>
      <c r="T1511" s="213"/>
      <c r="U1511" s="213" t="s">
        <v>538</v>
      </c>
      <c r="V1511" s="213">
        <v>2</v>
      </c>
      <c r="W1511" s="213" t="s">
        <v>545</v>
      </c>
      <c r="X1511" s="213" t="s">
        <v>554</v>
      </c>
      <c r="Y1511" s="213" t="s">
        <v>546</v>
      </c>
      <c r="Z1511" s="212">
        <v>550913</v>
      </c>
      <c r="AA1511" s="212">
        <v>35918062</v>
      </c>
      <c r="AB1511" s="217">
        <v>0.41100500000000001</v>
      </c>
      <c r="AC1511" s="217">
        <v>0.66144999999999998</v>
      </c>
      <c r="AD1511" s="212">
        <f t="shared" si="23"/>
        <v>14762503.072310001</v>
      </c>
    </row>
    <row r="1512" spans="2:30" x14ac:dyDescent="0.15">
      <c r="B1512" s="213">
        <v>17031002170</v>
      </c>
      <c r="C1512" s="213">
        <v>17031001356</v>
      </c>
      <c r="D1512" s="213">
        <v>17031001355</v>
      </c>
      <c r="E1512" s="213" t="s">
        <v>533</v>
      </c>
      <c r="F1512" s="213" t="s">
        <v>534</v>
      </c>
      <c r="G1512" s="213" t="s">
        <v>365</v>
      </c>
      <c r="H1512" s="213" t="s">
        <v>557</v>
      </c>
      <c r="I1512" s="213"/>
      <c r="J1512" s="213" t="s">
        <v>381</v>
      </c>
      <c r="K1512" s="213" t="s">
        <v>535</v>
      </c>
      <c r="L1512" s="213" t="s">
        <v>552</v>
      </c>
      <c r="M1512" s="213" t="s">
        <v>551</v>
      </c>
      <c r="N1512" s="213" t="s">
        <v>615</v>
      </c>
      <c r="O1512" s="213" t="s">
        <v>543</v>
      </c>
      <c r="P1512" s="213" t="s">
        <v>382</v>
      </c>
      <c r="Q1512" s="213" t="s">
        <v>569</v>
      </c>
      <c r="R1512" s="213"/>
      <c r="S1512" s="213" t="s">
        <v>570</v>
      </c>
      <c r="T1512" s="213" t="s">
        <v>600</v>
      </c>
      <c r="U1512" s="213" t="s">
        <v>538</v>
      </c>
      <c r="V1512" s="213">
        <v>2</v>
      </c>
      <c r="W1512" s="213" t="s">
        <v>545</v>
      </c>
      <c r="X1512" s="213" t="s">
        <v>554</v>
      </c>
      <c r="Y1512" s="213" t="s">
        <v>546</v>
      </c>
      <c r="Z1512" s="212">
        <v>399829</v>
      </c>
      <c r="AA1512" s="212">
        <v>28328153</v>
      </c>
      <c r="AB1512" s="217">
        <v>1.096975</v>
      </c>
      <c r="AC1512" s="217">
        <v>1.765414</v>
      </c>
      <c r="AD1512" s="212">
        <f t="shared" si="23"/>
        <v>31075275.637175001</v>
      </c>
    </row>
    <row r="1513" spans="2:30" x14ac:dyDescent="0.15">
      <c r="B1513" s="213">
        <v>17031002177</v>
      </c>
      <c r="C1513" s="213">
        <v>17031001375</v>
      </c>
      <c r="D1513" s="213">
        <v>17031001368</v>
      </c>
      <c r="E1513" s="213" t="s">
        <v>533</v>
      </c>
      <c r="F1513" s="213" t="s">
        <v>534</v>
      </c>
      <c r="G1513" s="213" t="s">
        <v>365</v>
      </c>
      <c r="H1513" s="213" t="s">
        <v>557</v>
      </c>
      <c r="I1513" s="213"/>
      <c r="J1513" s="213" t="s">
        <v>381</v>
      </c>
      <c r="K1513" s="213" t="s">
        <v>535</v>
      </c>
      <c r="L1513" s="213" t="s">
        <v>552</v>
      </c>
      <c r="M1513" s="213" t="s">
        <v>551</v>
      </c>
      <c r="N1513" s="213" t="s">
        <v>615</v>
      </c>
      <c r="O1513" s="213" t="s">
        <v>543</v>
      </c>
      <c r="P1513" s="213" t="s">
        <v>382</v>
      </c>
      <c r="Q1513" s="213"/>
      <c r="R1513" s="213"/>
      <c r="S1513" s="213" t="s">
        <v>570</v>
      </c>
      <c r="T1513" s="213"/>
      <c r="U1513" s="213" t="s">
        <v>538</v>
      </c>
      <c r="V1513" s="213">
        <v>2</v>
      </c>
      <c r="W1513" s="213" t="s">
        <v>545</v>
      </c>
      <c r="X1513" s="213" t="s">
        <v>554</v>
      </c>
      <c r="Y1513" s="213" t="s">
        <v>546</v>
      </c>
      <c r="Z1513" s="212">
        <v>403649</v>
      </c>
      <c r="AA1513" s="212">
        <v>28690689</v>
      </c>
      <c r="AB1513" s="217">
        <v>0.16749</v>
      </c>
      <c r="AC1513" s="217">
        <v>0.26955000000000001</v>
      </c>
      <c r="AD1513" s="212">
        <f t="shared" si="23"/>
        <v>4805403.5006100005</v>
      </c>
    </row>
    <row r="1514" spans="2:30" x14ac:dyDescent="0.15">
      <c r="B1514" s="213">
        <v>17031002179</v>
      </c>
      <c r="C1514" s="213">
        <v>17031004750</v>
      </c>
      <c r="D1514" s="213">
        <v>17031004747</v>
      </c>
      <c r="E1514" s="213" t="s">
        <v>533</v>
      </c>
      <c r="F1514" s="213" t="s">
        <v>534</v>
      </c>
      <c r="G1514" s="213" t="s">
        <v>365</v>
      </c>
      <c r="H1514" s="213" t="s">
        <v>557</v>
      </c>
      <c r="I1514" s="213"/>
      <c r="J1514" s="213" t="s">
        <v>552</v>
      </c>
      <c r="K1514" s="213"/>
      <c r="L1514" s="213"/>
      <c r="M1514" s="213"/>
      <c r="N1514" s="213"/>
      <c r="O1514" s="213"/>
      <c r="P1514" s="213"/>
      <c r="Q1514" s="213"/>
      <c r="R1514" s="213"/>
      <c r="S1514" s="213" t="s">
        <v>634</v>
      </c>
      <c r="T1514" s="213"/>
      <c r="U1514" s="213" t="s">
        <v>559</v>
      </c>
      <c r="V1514" s="213">
        <v>1</v>
      </c>
      <c r="W1514" s="213" t="s">
        <v>560</v>
      </c>
      <c r="X1514" s="213" t="s">
        <v>541</v>
      </c>
      <c r="Y1514" s="213" t="s">
        <v>541</v>
      </c>
      <c r="Z1514" s="212">
        <v>120</v>
      </c>
      <c r="AA1514" s="212">
        <v>10120</v>
      </c>
      <c r="AB1514" s="217">
        <v>0.30687599999999998</v>
      </c>
      <c r="AC1514" s="217">
        <v>0.49386999999999998</v>
      </c>
      <c r="AD1514" s="212">
        <f t="shared" si="23"/>
        <v>3105.5851199999997</v>
      </c>
    </row>
    <row r="1515" spans="2:30" x14ac:dyDescent="0.15">
      <c r="B1515" s="213">
        <v>17031002184</v>
      </c>
      <c r="C1515" s="213">
        <v>17031004605</v>
      </c>
      <c r="D1515" s="213">
        <v>17031000301</v>
      </c>
      <c r="E1515" s="213" t="s">
        <v>533</v>
      </c>
      <c r="F1515" s="213" t="s">
        <v>534</v>
      </c>
      <c r="G1515" s="213" t="s">
        <v>365</v>
      </c>
      <c r="H1515" s="213" t="s">
        <v>382</v>
      </c>
      <c r="I1515" s="213"/>
      <c r="J1515" s="213" t="s">
        <v>547</v>
      </c>
      <c r="K1515" s="213"/>
      <c r="L1515" s="213"/>
      <c r="M1515" s="213"/>
      <c r="N1515" s="213"/>
      <c r="O1515" s="213"/>
      <c r="P1515" s="213"/>
      <c r="Q1515" s="213"/>
      <c r="R1515" s="213"/>
      <c r="S1515" s="213" t="s">
        <v>608</v>
      </c>
      <c r="T1515" s="213"/>
      <c r="U1515" s="213" t="s">
        <v>538</v>
      </c>
      <c r="V1515" s="213">
        <v>3</v>
      </c>
      <c r="W1515" s="213" t="s">
        <v>566</v>
      </c>
      <c r="X1515" s="213" t="s">
        <v>549</v>
      </c>
      <c r="Y1515" s="213" t="s">
        <v>554</v>
      </c>
      <c r="Z1515" s="212">
        <v>0</v>
      </c>
      <c r="AA1515" s="212">
        <v>0</v>
      </c>
      <c r="AB1515" s="217">
        <v>1.941549</v>
      </c>
      <c r="AC1515" s="217">
        <v>3.1246260000000001</v>
      </c>
      <c r="AD1515" s="212">
        <f t="shared" si="23"/>
        <v>0</v>
      </c>
    </row>
    <row r="1516" spans="2:30" x14ac:dyDescent="0.15">
      <c r="B1516" s="213">
        <v>17031002187</v>
      </c>
      <c r="C1516" s="213">
        <v>17031000747</v>
      </c>
      <c r="D1516" s="213">
        <v>17031000739</v>
      </c>
      <c r="E1516" s="213" t="s">
        <v>533</v>
      </c>
      <c r="F1516" s="213" t="s">
        <v>534</v>
      </c>
      <c r="G1516" s="213" t="s">
        <v>365</v>
      </c>
      <c r="H1516" s="213" t="s">
        <v>535</v>
      </c>
      <c r="I1516" s="213"/>
      <c r="J1516" s="213"/>
      <c r="K1516" s="213"/>
      <c r="L1516" s="213"/>
      <c r="M1516" s="213"/>
      <c r="N1516" s="213"/>
      <c r="O1516" s="213"/>
      <c r="P1516" s="213"/>
      <c r="Q1516" s="213"/>
      <c r="R1516" s="213"/>
      <c r="S1516" s="213" t="s">
        <v>624</v>
      </c>
      <c r="T1516" s="213"/>
      <c r="U1516" s="213" t="s">
        <v>538</v>
      </c>
      <c r="V1516" s="213">
        <v>2</v>
      </c>
      <c r="W1516" s="213" t="s">
        <v>582</v>
      </c>
      <c r="X1516" s="213" t="s">
        <v>554</v>
      </c>
      <c r="Y1516" s="213" t="s">
        <v>554</v>
      </c>
      <c r="Z1516" s="212">
        <v>0</v>
      </c>
      <c r="AA1516" s="212">
        <v>0</v>
      </c>
      <c r="AB1516" s="217">
        <v>1.540519</v>
      </c>
      <c r="AC1516" s="217">
        <v>2.479231</v>
      </c>
      <c r="AD1516" s="212">
        <f t="shared" si="23"/>
        <v>0</v>
      </c>
    </row>
    <row r="1517" spans="2:30" x14ac:dyDescent="0.15">
      <c r="B1517" s="213">
        <v>17031002192</v>
      </c>
      <c r="C1517" s="213">
        <v>17031000654</v>
      </c>
      <c r="D1517" s="213">
        <v>17031000655</v>
      </c>
      <c r="E1517" s="213" t="s">
        <v>533</v>
      </c>
      <c r="F1517" s="213" t="s">
        <v>534</v>
      </c>
      <c r="G1517" s="213" t="s">
        <v>365</v>
      </c>
      <c r="H1517" s="213" t="s">
        <v>382</v>
      </c>
      <c r="I1517" s="213"/>
      <c r="J1517" s="213" t="s">
        <v>572</v>
      </c>
      <c r="K1517" s="213"/>
      <c r="L1517" s="213"/>
      <c r="M1517" s="213"/>
      <c r="N1517" s="213"/>
      <c r="O1517" s="213"/>
      <c r="P1517" s="213"/>
      <c r="Q1517" s="213"/>
      <c r="R1517" s="213"/>
      <c r="S1517" s="213" t="s">
        <v>609</v>
      </c>
      <c r="T1517" s="213" t="s">
        <v>695</v>
      </c>
      <c r="U1517" s="213" t="s">
        <v>538</v>
      </c>
      <c r="V1517" s="213">
        <v>1</v>
      </c>
      <c r="W1517" s="213" t="s">
        <v>560</v>
      </c>
      <c r="X1517" s="213" t="s">
        <v>541</v>
      </c>
      <c r="Y1517" s="213" t="s">
        <v>540</v>
      </c>
      <c r="Z1517" s="212">
        <v>606706</v>
      </c>
      <c r="AA1517" s="212">
        <v>23117499</v>
      </c>
      <c r="AB1517" s="217">
        <v>0.142322</v>
      </c>
      <c r="AC1517" s="217">
        <v>0.229045</v>
      </c>
      <c r="AD1517" s="212">
        <f t="shared" si="23"/>
        <v>3290128.6926780003</v>
      </c>
    </row>
    <row r="1518" spans="2:30" x14ac:dyDescent="0.15">
      <c r="B1518" s="213">
        <v>17031002217</v>
      </c>
      <c r="C1518" s="213">
        <v>17031004606</v>
      </c>
      <c r="D1518" s="213">
        <v>17031004605</v>
      </c>
      <c r="E1518" s="213" t="s">
        <v>533</v>
      </c>
      <c r="F1518" s="213" t="s">
        <v>534</v>
      </c>
      <c r="G1518" s="213" t="s">
        <v>365</v>
      </c>
      <c r="H1518" s="213" t="s">
        <v>382</v>
      </c>
      <c r="I1518" s="213"/>
      <c r="J1518" s="213" t="s">
        <v>547</v>
      </c>
      <c r="K1518" s="213"/>
      <c r="L1518" s="213"/>
      <c r="M1518" s="213"/>
      <c r="N1518" s="213"/>
      <c r="O1518" s="213"/>
      <c r="P1518" s="213"/>
      <c r="Q1518" s="213"/>
      <c r="R1518" s="213"/>
      <c r="S1518" s="213" t="s">
        <v>608</v>
      </c>
      <c r="T1518" s="213"/>
      <c r="U1518" s="213" t="s">
        <v>538</v>
      </c>
      <c r="V1518" s="213">
        <v>3</v>
      </c>
      <c r="W1518" s="213" t="s">
        <v>566</v>
      </c>
      <c r="X1518" s="213" t="s">
        <v>549</v>
      </c>
      <c r="Y1518" s="213" t="s">
        <v>554</v>
      </c>
      <c r="Z1518" s="212">
        <v>0</v>
      </c>
      <c r="AA1518" s="212">
        <v>0</v>
      </c>
      <c r="AB1518" s="217">
        <v>1.586957</v>
      </c>
      <c r="AC1518" s="217">
        <v>2.5539649999999998</v>
      </c>
      <c r="AD1518" s="212">
        <f t="shared" si="23"/>
        <v>0</v>
      </c>
    </row>
    <row r="1519" spans="2:30" x14ac:dyDescent="0.15">
      <c r="B1519" s="213">
        <v>17031002221</v>
      </c>
      <c r="C1519" s="213">
        <v>17031004580</v>
      </c>
      <c r="D1519" s="213">
        <v>17031004579</v>
      </c>
      <c r="E1519" s="213" t="s">
        <v>533</v>
      </c>
      <c r="F1519" s="213" t="s">
        <v>534</v>
      </c>
      <c r="G1519" s="213" t="s">
        <v>365</v>
      </c>
      <c r="H1519" s="213" t="s">
        <v>382</v>
      </c>
      <c r="I1519" s="213"/>
      <c r="J1519" s="213" t="s">
        <v>547</v>
      </c>
      <c r="K1519" s="213"/>
      <c r="L1519" s="213"/>
      <c r="M1519" s="213"/>
      <c r="N1519" s="213"/>
      <c r="O1519" s="213"/>
      <c r="P1519" s="213"/>
      <c r="Q1519" s="213"/>
      <c r="R1519" s="213"/>
      <c r="S1519" s="213" t="s">
        <v>565</v>
      </c>
      <c r="T1519" s="213"/>
      <c r="U1519" s="213" t="s">
        <v>538</v>
      </c>
      <c r="V1519" s="213">
        <v>2</v>
      </c>
      <c r="W1519" s="213" t="s">
        <v>566</v>
      </c>
      <c r="X1519" s="213" t="s">
        <v>541</v>
      </c>
      <c r="Y1519" s="213" t="s">
        <v>541</v>
      </c>
      <c r="Z1519" s="212">
        <v>0</v>
      </c>
      <c r="AA1519" s="212">
        <v>0</v>
      </c>
      <c r="AB1519" s="217">
        <v>1.0932040000000001</v>
      </c>
      <c r="AC1519" s="217">
        <v>1.7593449999999999</v>
      </c>
      <c r="AD1519" s="212">
        <f t="shared" si="23"/>
        <v>0</v>
      </c>
    </row>
    <row r="1520" spans="2:30" x14ac:dyDescent="0.15">
      <c r="B1520" s="213">
        <v>17031002236</v>
      </c>
      <c r="C1520" s="213">
        <v>17031000434</v>
      </c>
      <c r="D1520" s="213">
        <v>17031000426</v>
      </c>
      <c r="E1520" s="213" t="s">
        <v>533</v>
      </c>
      <c r="F1520" s="213" t="s">
        <v>534</v>
      </c>
      <c r="G1520" s="213" t="s">
        <v>365</v>
      </c>
      <c r="H1520" s="213" t="s">
        <v>552</v>
      </c>
      <c r="I1520" s="213"/>
      <c r="J1520" s="213" t="s">
        <v>551</v>
      </c>
      <c r="K1520" s="213" t="s">
        <v>547</v>
      </c>
      <c r="L1520" s="213" t="s">
        <v>382</v>
      </c>
      <c r="M1520" s="213" t="s">
        <v>563</v>
      </c>
      <c r="N1520" s="213"/>
      <c r="O1520" s="213"/>
      <c r="P1520" s="213"/>
      <c r="Q1520" s="213"/>
      <c r="R1520" s="213"/>
      <c r="S1520" s="213" t="s">
        <v>589</v>
      </c>
      <c r="T1520" s="213"/>
      <c r="U1520" s="213" t="s">
        <v>538</v>
      </c>
      <c r="V1520" s="213">
        <v>2</v>
      </c>
      <c r="W1520" s="213" t="s">
        <v>545</v>
      </c>
      <c r="X1520" s="213" t="s">
        <v>549</v>
      </c>
      <c r="Y1520" s="213" t="s">
        <v>549</v>
      </c>
      <c r="Z1520" s="212">
        <v>410401</v>
      </c>
      <c r="AA1520" s="212">
        <v>30887671</v>
      </c>
      <c r="AB1520" s="217">
        <v>0.916381</v>
      </c>
      <c r="AC1520" s="217">
        <v>1.4747760000000001</v>
      </c>
      <c r="AD1520" s="212">
        <f t="shared" si="23"/>
        <v>28304874.838651001</v>
      </c>
    </row>
    <row r="1521" spans="2:30" x14ac:dyDescent="0.15">
      <c r="B1521" s="213">
        <v>17031002338</v>
      </c>
      <c r="C1521" s="213">
        <v>17031001296</v>
      </c>
      <c r="D1521" s="213">
        <v>17031001294</v>
      </c>
      <c r="E1521" s="213" t="s">
        <v>533</v>
      </c>
      <c r="F1521" s="213" t="s">
        <v>534</v>
      </c>
      <c r="G1521" s="213" t="s">
        <v>365</v>
      </c>
      <c r="H1521" s="213" t="s">
        <v>557</v>
      </c>
      <c r="I1521" s="213"/>
      <c r="J1521" s="213" t="s">
        <v>535</v>
      </c>
      <c r="K1521" s="213" t="s">
        <v>552</v>
      </c>
      <c r="L1521" s="213" t="s">
        <v>551</v>
      </c>
      <c r="M1521" s="213" t="s">
        <v>615</v>
      </c>
      <c r="N1521" s="213" t="s">
        <v>543</v>
      </c>
      <c r="O1521" s="213" t="s">
        <v>382</v>
      </c>
      <c r="P1521" s="213"/>
      <c r="Q1521" s="213"/>
      <c r="R1521" s="213"/>
      <c r="S1521" s="213"/>
      <c r="T1521" s="213"/>
      <c r="U1521" s="213" t="s">
        <v>538</v>
      </c>
      <c r="V1521" s="213">
        <v>1</v>
      </c>
      <c r="W1521" s="213" t="s">
        <v>545</v>
      </c>
      <c r="X1521" s="213" t="s">
        <v>540</v>
      </c>
      <c r="Y1521" s="213" t="s">
        <v>549</v>
      </c>
      <c r="Z1521" s="212">
        <v>387888</v>
      </c>
      <c r="AA1521" s="212">
        <v>19791397</v>
      </c>
      <c r="AB1521" s="217">
        <v>0.24670800000000001</v>
      </c>
      <c r="AC1521" s="217">
        <v>0.39704</v>
      </c>
      <c r="AD1521" s="212">
        <f t="shared" si="23"/>
        <v>4882695.9710760005</v>
      </c>
    </row>
    <row r="1522" spans="2:30" x14ac:dyDescent="0.15">
      <c r="B1522" s="213">
        <v>17031002357</v>
      </c>
      <c r="C1522" s="213">
        <v>17031001364</v>
      </c>
      <c r="D1522" s="213">
        <v>17031001362</v>
      </c>
      <c r="E1522" s="213" t="s">
        <v>533</v>
      </c>
      <c r="F1522" s="213" t="s">
        <v>534</v>
      </c>
      <c r="G1522" s="213" t="s">
        <v>365</v>
      </c>
      <c r="H1522" s="213" t="s">
        <v>557</v>
      </c>
      <c r="I1522" s="213"/>
      <c r="J1522" s="213" t="s">
        <v>569</v>
      </c>
      <c r="K1522" s="213" t="s">
        <v>535</v>
      </c>
      <c r="L1522" s="213" t="s">
        <v>551</v>
      </c>
      <c r="M1522" s="213" t="s">
        <v>543</v>
      </c>
      <c r="N1522" s="213" t="s">
        <v>382</v>
      </c>
      <c r="O1522" s="213" t="s">
        <v>552</v>
      </c>
      <c r="P1522" s="213" t="s">
        <v>555</v>
      </c>
      <c r="Q1522" s="213"/>
      <c r="R1522" s="213"/>
      <c r="S1522" s="213" t="s">
        <v>570</v>
      </c>
      <c r="T1522" s="213"/>
      <c r="U1522" s="213" t="s">
        <v>538</v>
      </c>
      <c r="V1522" s="213">
        <v>2</v>
      </c>
      <c r="W1522" s="213" t="s">
        <v>545</v>
      </c>
      <c r="X1522" s="213" t="s">
        <v>554</v>
      </c>
      <c r="Y1522" s="213" t="s">
        <v>546</v>
      </c>
      <c r="Z1522" s="212">
        <v>227495</v>
      </c>
      <c r="AA1522" s="212">
        <v>15580211</v>
      </c>
      <c r="AB1522" s="217">
        <v>0.104766</v>
      </c>
      <c r="AC1522" s="217">
        <v>0.168605</v>
      </c>
      <c r="AD1522" s="212">
        <f t="shared" si="23"/>
        <v>1632276.3856259999</v>
      </c>
    </row>
    <row r="1523" spans="2:30" x14ac:dyDescent="0.15">
      <c r="B1523" s="213">
        <v>17031002358</v>
      </c>
      <c r="C1523" s="213">
        <v>17031000583</v>
      </c>
      <c r="D1523" s="213">
        <v>17031000561</v>
      </c>
      <c r="E1523" s="213" t="s">
        <v>533</v>
      </c>
      <c r="F1523" s="213" t="s">
        <v>534</v>
      </c>
      <c r="G1523" s="213" t="s">
        <v>365</v>
      </c>
      <c r="H1523" s="213" t="s">
        <v>382</v>
      </c>
      <c r="I1523" s="213"/>
      <c r="J1523" s="213" t="s">
        <v>547</v>
      </c>
      <c r="K1523" s="213"/>
      <c r="L1523" s="213"/>
      <c r="M1523" s="213"/>
      <c r="N1523" s="213"/>
      <c r="O1523" s="213"/>
      <c r="P1523" s="213"/>
      <c r="Q1523" s="213"/>
      <c r="R1523" s="213"/>
      <c r="S1523" s="213" t="s">
        <v>583</v>
      </c>
      <c r="T1523" s="213"/>
      <c r="U1523" s="213" t="s">
        <v>538</v>
      </c>
      <c r="V1523" s="213">
        <v>4</v>
      </c>
      <c r="W1523" s="213" t="s">
        <v>545</v>
      </c>
      <c r="X1523" s="213" t="s">
        <v>541</v>
      </c>
      <c r="Y1523" s="213" t="s">
        <v>541</v>
      </c>
      <c r="Z1523" s="212">
        <v>0</v>
      </c>
      <c r="AA1523" s="212">
        <v>0</v>
      </c>
      <c r="AB1523" s="217">
        <v>0.21868599999999999</v>
      </c>
      <c r="AC1523" s="217">
        <v>0.351941</v>
      </c>
      <c r="AD1523" s="212">
        <f t="shared" si="23"/>
        <v>0</v>
      </c>
    </row>
    <row r="1524" spans="2:30" x14ac:dyDescent="0.15">
      <c r="B1524" s="213">
        <v>17031002364</v>
      </c>
      <c r="C1524" s="213">
        <v>17031001446</v>
      </c>
      <c r="D1524" s="213">
        <v>17031001434</v>
      </c>
      <c r="E1524" s="213" t="s">
        <v>533</v>
      </c>
      <c r="F1524" s="213" t="s">
        <v>534</v>
      </c>
      <c r="G1524" s="213" t="s">
        <v>365</v>
      </c>
      <c r="H1524" s="213" t="s">
        <v>535</v>
      </c>
      <c r="I1524" s="213"/>
      <c r="J1524" s="213" t="s">
        <v>542</v>
      </c>
      <c r="K1524" s="213" t="s">
        <v>543</v>
      </c>
      <c r="L1524" s="213" t="s">
        <v>382</v>
      </c>
      <c r="M1524" s="213"/>
      <c r="N1524" s="213"/>
      <c r="O1524" s="213"/>
      <c r="P1524" s="213"/>
      <c r="Q1524" s="213"/>
      <c r="R1524" s="213"/>
      <c r="S1524" s="213" t="s">
        <v>544</v>
      </c>
      <c r="T1524" s="213" t="s">
        <v>621</v>
      </c>
      <c r="U1524" s="213" t="s">
        <v>538</v>
      </c>
      <c r="V1524" s="213">
        <v>2</v>
      </c>
      <c r="W1524" s="213" t="s">
        <v>545</v>
      </c>
      <c r="X1524" s="213" t="s">
        <v>549</v>
      </c>
      <c r="Y1524" s="213" t="s">
        <v>546</v>
      </c>
      <c r="Z1524" s="212">
        <v>345125</v>
      </c>
      <c r="AA1524" s="212">
        <v>20730576</v>
      </c>
      <c r="AB1524" s="217">
        <v>1.3117179999999999</v>
      </c>
      <c r="AC1524" s="217">
        <v>2.1110099999999998</v>
      </c>
      <c r="AD1524" s="212">
        <f t="shared" si="23"/>
        <v>27192669.689567998</v>
      </c>
    </row>
    <row r="1525" spans="2:30" x14ac:dyDescent="0.15">
      <c r="B1525" s="213">
        <v>17031002369</v>
      </c>
      <c r="C1525" s="213">
        <v>17031001578</v>
      </c>
      <c r="D1525" s="213">
        <v>17031001587</v>
      </c>
      <c r="E1525" s="213" t="s">
        <v>533</v>
      </c>
      <c r="F1525" s="213" t="s">
        <v>534</v>
      </c>
      <c r="G1525" s="213" t="s">
        <v>365</v>
      </c>
      <c r="H1525" s="213" t="s">
        <v>382</v>
      </c>
      <c r="I1525" s="213"/>
      <c r="J1525" s="213" t="s">
        <v>551</v>
      </c>
      <c r="K1525" s="213" t="s">
        <v>555</v>
      </c>
      <c r="L1525" s="213"/>
      <c r="M1525" s="213"/>
      <c r="N1525" s="213"/>
      <c r="O1525" s="213"/>
      <c r="P1525" s="213"/>
      <c r="Q1525" s="213"/>
      <c r="R1525" s="213"/>
      <c r="S1525" s="213" t="s">
        <v>556</v>
      </c>
      <c r="T1525" s="213"/>
      <c r="U1525" s="213" t="s">
        <v>538</v>
      </c>
      <c r="V1525" s="213">
        <v>2</v>
      </c>
      <c r="W1525" s="213" t="s">
        <v>545</v>
      </c>
      <c r="X1525" s="213" t="s">
        <v>540</v>
      </c>
      <c r="Y1525" s="213" t="s">
        <v>580</v>
      </c>
      <c r="Z1525" s="212">
        <v>687866</v>
      </c>
      <c r="AA1525" s="212">
        <v>29191196</v>
      </c>
      <c r="AB1525" s="217">
        <v>0.11637599999999999</v>
      </c>
      <c r="AC1525" s="217">
        <v>0.18729000000000001</v>
      </c>
      <c r="AD1525" s="212">
        <f t="shared" si="23"/>
        <v>3397154.6256959997</v>
      </c>
    </row>
    <row r="1526" spans="2:30" x14ac:dyDescent="0.15">
      <c r="B1526" s="213">
        <v>17031002391</v>
      </c>
      <c r="C1526" s="213">
        <v>17031000562</v>
      </c>
      <c r="D1526" s="213">
        <v>17031000559</v>
      </c>
      <c r="E1526" s="213" t="s">
        <v>533</v>
      </c>
      <c r="F1526" s="213" t="s">
        <v>534</v>
      </c>
      <c r="G1526" s="213" t="s">
        <v>365</v>
      </c>
      <c r="H1526" s="213" t="s">
        <v>552</v>
      </c>
      <c r="I1526" s="213"/>
      <c r="J1526" s="213" t="s">
        <v>542</v>
      </c>
      <c r="K1526" s="213" t="s">
        <v>547</v>
      </c>
      <c r="L1526" s="213"/>
      <c r="M1526" s="213"/>
      <c r="N1526" s="213"/>
      <c r="O1526" s="213"/>
      <c r="P1526" s="213"/>
      <c r="Q1526" s="213"/>
      <c r="R1526" s="213"/>
      <c r="S1526" s="213" t="s">
        <v>564</v>
      </c>
      <c r="T1526" s="213"/>
      <c r="U1526" s="213" t="s">
        <v>538</v>
      </c>
      <c r="V1526" s="213">
        <v>3</v>
      </c>
      <c r="W1526" s="213" t="s">
        <v>545</v>
      </c>
      <c r="X1526" s="213" t="s">
        <v>540</v>
      </c>
      <c r="Y1526" s="213" t="s">
        <v>541</v>
      </c>
      <c r="Z1526" s="212">
        <v>31044</v>
      </c>
      <c r="AA1526" s="212">
        <v>1434376</v>
      </c>
      <c r="AB1526" s="217">
        <v>0.13687199999999999</v>
      </c>
      <c r="AC1526" s="217">
        <v>0.220275</v>
      </c>
      <c r="AD1526" s="212">
        <f t="shared" si="23"/>
        <v>196325.911872</v>
      </c>
    </row>
    <row r="1527" spans="2:30" x14ac:dyDescent="0.15">
      <c r="B1527" s="213">
        <v>17031002421</v>
      </c>
      <c r="C1527" s="213">
        <v>17031000475</v>
      </c>
      <c r="D1527" s="213">
        <v>17031004639</v>
      </c>
      <c r="E1527" s="213" t="s">
        <v>533</v>
      </c>
      <c r="F1527" s="213" t="s">
        <v>534</v>
      </c>
      <c r="G1527" s="213" t="s">
        <v>365</v>
      </c>
      <c r="H1527" s="213" t="s">
        <v>552</v>
      </c>
      <c r="I1527" s="213"/>
      <c r="J1527" s="213" t="s">
        <v>551</v>
      </c>
      <c r="K1527" s="213" t="s">
        <v>547</v>
      </c>
      <c r="L1527" s="213" t="s">
        <v>382</v>
      </c>
      <c r="M1527" s="213" t="s">
        <v>563</v>
      </c>
      <c r="N1527" s="213"/>
      <c r="O1527" s="213"/>
      <c r="P1527" s="213"/>
      <c r="Q1527" s="213"/>
      <c r="R1527" s="213"/>
      <c r="S1527" s="213" t="s">
        <v>589</v>
      </c>
      <c r="T1527" s="213"/>
      <c r="U1527" s="213" t="s">
        <v>538</v>
      </c>
      <c r="V1527" s="213">
        <v>3</v>
      </c>
      <c r="W1527" s="213" t="s">
        <v>545</v>
      </c>
      <c r="X1527" s="213" t="s">
        <v>549</v>
      </c>
      <c r="Y1527" s="213" t="s">
        <v>549</v>
      </c>
      <c r="Z1527" s="212">
        <v>320753</v>
      </c>
      <c r="AA1527" s="212">
        <v>20266582</v>
      </c>
      <c r="AB1527" s="217">
        <v>0.30520999999999998</v>
      </c>
      <c r="AC1527" s="217">
        <v>0.49118899999999999</v>
      </c>
      <c r="AD1527" s="212">
        <f t="shared" si="23"/>
        <v>6185563.4922199994</v>
      </c>
    </row>
    <row r="1528" spans="2:30" x14ac:dyDescent="0.15">
      <c r="B1528" s="213">
        <v>17031002423</v>
      </c>
      <c r="C1528" s="213">
        <v>17031001295</v>
      </c>
      <c r="D1528" s="213">
        <v>17031001208</v>
      </c>
      <c r="E1528" s="213" t="s">
        <v>533</v>
      </c>
      <c r="F1528" s="213" t="s">
        <v>534</v>
      </c>
      <c r="G1528" s="213" t="s">
        <v>365</v>
      </c>
      <c r="H1528" s="213" t="s">
        <v>535</v>
      </c>
      <c r="I1528" s="213"/>
      <c r="J1528" s="213" t="s">
        <v>542</v>
      </c>
      <c r="K1528" s="213" t="s">
        <v>543</v>
      </c>
      <c r="L1528" s="213"/>
      <c r="M1528" s="213"/>
      <c r="N1528" s="213"/>
      <c r="O1528" s="213"/>
      <c r="P1528" s="213"/>
      <c r="Q1528" s="213"/>
      <c r="R1528" s="213"/>
      <c r="S1528" s="213" t="s">
        <v>544</v>
      </c>
      <c r="T1528" s="213"/>
      <c r="U1528" s="213" t="s">
        <v>538</v>
      </c>
      <c r="V1528" s="213">
        <v>2</v>
      </c>
      <c r="W1528" s="213" t="s">
        <v>545</v>
      </c>
      <c r="X1528" s="213" t="s">
        <v>549</v>
      </c>
      <c r="Y1528" s="213" t="s">
        <v>546</v>
      </c>
      <c r="Z1528" s="212">
        <v>45644</v>
      </c>
      <c r="AA1528" s="212">
        <v>3239933</v>
      </c>
      <c r="AB1528" s="217">
        <v>1.83351</v>
      </c>
      <c r="AC1528" s="217">
        <v>2.9507539999999999</v>
      </c>
      <c r="AD1528" s="212">
        <f t="shared" si="23"/>
        <v>5940449.5548299998</v>
      </c>
    </row>
    <row r="1529" spans="2:30" x14ac:dyDescent="0.15">
      <c r="B1529" s="213">
        <v>17031002599</v>
      </c>
      <c r="C1529" s="213">
        <v>17031004695</v>
      </c>
      <c r="D1529" s="213">
        <v>17031004696</v>
      </c>
      <c r="E1529" s="213" t="s">
        <v>533</v>
      </c>
      <c r="F1529" s="213" t="s">
        <v>534</v>
      </c>
      <c r="G1529" s="213" t="s">
        <v>365</v>
      </c>
      <c r="H1529" s="213" t="s">
        <v>547</v>
      </c>
      <c r="I1529" s="213"/>
      <c r="J1529" s="213" t="s">
        <v>577</v>
      </c>
      <c r="K1529" s="213" t="s">
        <v>551</v>
      </c>
      <c r="L1529" s="213" t="s">
        <v>615</v>
      </c>
      <c r="M1529" s="213"/>
      <c r="N1529" s="213"/>
      <c r="O1529" s="213"/>
      <c r="P1529" s="213"/>
      <c r="Q1529" s="213"/>
      <c r="R1529" s="213"/>
      <c r="S1529" s="213" t="s">
        <v>581</v>
      </c>
      <c r="T1529" s="213"/>
      <c r="U1529" s="213" t="s">
        <v>538</v>
      </c>
      <c r="V1529" s="213">
        <v>2</v>
      </c>
      <c r="W1529" s="213" t="s">
        <v>582</v>
      </c>
      <c r="X1529" s="213" t="s">
        <v>540</v>
      </c>
      <c r="Y1529" s="213" t="s">
        <v>540</v>
      </c>
      <c r="Z1529" s="212">
        <v>34796</v>
      </c>
      <c r="AA1529" s="212">
        <v>3311897</v>
      </c>
      <c r="AB1529" s="217">
        <v>1.0622579999999999</v>
      </c>
      <c r="AC1529" s="217">
        <v>1.709541</v>
      </c>
      <c r="AD1529" s="212">
        <f t="shared" si="23"/>
        <v>3518089.0834259996</v>
      </c>
    </row>
    <row r="1530" spans="2:30" x14ac:dyDescent="0.15">
      <c r="B1530" s="213">
        <v>17031002613</v>
      </c>
      <c r="C1530" s="213">
        <v>17031001153</v>
      </c>
      <c r="D1530" s="213">
        <v>17031004689</v>
      </c>
      <c r="E1530" s="213" t="s">
        <v>533</v>
      </c>
      <c r="F1530" s="213" t="s">
        <v>534</v>
      </c>
      <c r="G1530" s="213" t="s">
        <v>365</v>
      </c>
      <c r="H1530" s="213" t="s">
        <v>547</v>
      </c>
      <c r="I1530" s="213"/>
      <c r="J1530" s="213" t="s">
        <v>543</v>
      </c>
      <c r="K1530" s="213"/>
      <c r="L1530" s="213"/>
      <c r="M1530" s="213"/>
      <c r="N1530" s="213"/>
      <c r="O1530" s="213"/>
      <c r="P1530" s="213"/>
      <c r="Q1530" s="213"/>
      <c r="R1530" s="213"/>
      <c r="S1530" s="213" t="s">
        <v>602</v>
      </c>
      <c r="T1530" s="213"/>
      <c r="U1530" s="213" t="s">
        <v>538</v>
      </c>
      <c r="V1530" s="213">
        <v>2</v>
      </c>
      <c r="W1530" s="213" t="s">
        <v>582</v>
      </c>
      <c r="X1530" s="213" t="s">
        <v>540</v>
      </c>
      <c r="Y1530" s="213" t="s">
        <v>541</v>
      </c>
      <c r="Z1530" s="212">
        <v>0</v>
      </c>
      <c r="AA1530" s="212">
        <v>0</v>
      </c>
      <c r="AB1530" s="217">
        <v>1.6759269999999999</v>
      </c>
      <c r="AC1530" s="217">
        <v>2.6971479999999999</v>
      </c>
      <c r="AD1530" s="212">
        <f t="shared" si="23"/>
        <v>0</v>
      </c>
    </row>
    <row r="1531" spans="2:30" x14ac:dyDescent="0.15">
      <c r="B1531" s="213">
        <v>17031002696</v>
      </c>
      <c r="C1531" s="213">
        <v>17031001329</v>
      </c>
      <c r="D1531" s="213">
        <v>17031001340</v>
      </c>
      <c r="E1531" s="213" t="s">
        <v>533</v>
      </c>
      <c r="F1531" s="213" t="s">
        <v>534</v>
      </c>
      <c r="G1531" s="213" t="s">
        <v>365</v>
      </c>
      <c r="H1531" s="213" t="s">
        <v>551</v>
      </c>
      <c r="I1531" s="213"/>
      <c r="J1531" s="213" t="s">
        <v>381</v>
      </c>
      <c r="K1531" s="213" t="s">
        <v>535</v>
      </c>
      <c r="L1531" s="213" t="s">
        <v>552</v>
      </c>
      <c r="M1531" s="213"/>
      <c r="N1531" s="213"/>
      <c r="O1531" s="213"/>
      <c r="P1531" s="213"/>
      <c r="Q1531" s="213"/>
      <c r="R1531" s="213"/>
      <c r="S1531" s="213" t="s">
        <v>628</v>
      </c>
      <c r="T1531" s="213"/>
      <c r="U1531" s="213" t="s">
        <v>538</v>
      </c>
      <c r="V1531" s="213">
        <v>1</v>
      </c>
      <c r="W1531" s="213" t="s">
        <v>545</v>
      </c>
      <c r="X1531" s="213" t="s">
        <v>541</v>
      </c>
      <c r="Y1531" s="213" t="s">
        <v>541</v>
      </c>
      <c r="Z1531" s="212">
        <v>620</v>
      </c>
      <c r="AA1531" s="212">
        <v>54720</v>
      </c>
      <c r="AB1531" s="217">
        <v>0.21310299999999999</v>
      </c>
      <c r="AC1531" s="217">
        <v>0.34295599999999998</v>
      </c>
      <c r="AD1531" s="212">
        <f t="shared" si="23"/>
        <v>11660.996159999999</v>
      </c>
    </row>
    <row r="1532" spans="2:30" x14ac:dyDescent="0.15">
      <c r="B1532" s="213">
        <v>17031002777</v>
      </c>
      <c r="C1532" s="213">
        <v>17031001096</v>
      </c>
      <c r="D1532" s="213">
        <v>17031001101</v>
      </c>
      <c r="E1532" s="213" t="s">
        <v>533</v>
      </c>
      <c r="F1532" s="213" t="s">
        <v>534</v>
      </c>
      <c r="G1532" s="213" t="s">
        <v>365</v>
      </c>
      <c r="H1532" s="213" t="s">
        <v>571</v>
      </c>
      <c r="I1532" s="213"/>
      <c r="J1532" s="213" t="s">
        <v>552</v>
      </c>
      <c r="K1532" s="213" t="s">
        <v>543</v>
      </c>
      <c r="L1532" s="213"/>
      <c r="M1532" s="213"/>
      <c r="N1532" s="213"/>
      <c r="O1532" s="213"/>
      <c r="P1532" s="213"/>
      <c r="Q1532" s="213"/>
      <c r="R1532" s="213"/>
      <c r="S1532" s="213" t="s">
        <v>573</v>
      </c>
      <c r="T1532" s="213"/>
      <c r="U1532" s="213" t="s">
        <v>538</v>
      </c>
      <c r="V1532" s="213">
        <v>1</v>
      </c>
      <c r="W1532" s="213" t="s">
        <v>545</v>
      </c>
      <c r="X1532" s="213" t="s">
        <v>554</v>
      </c>
      <c r="Y1532" s="213" t="s">
        <v>580</v>
      </c>
      <c r="Z1532" s="212">
        <v>220910</v>
      </c>
      <c r="AA1532" s="212">
        <v>7538764</v>
      </c>
      <c r="AB1532" s="217">
        <v>0.131054</v>
      </c>
      <c r="AC1532" s="217">
        <v>0.21091199999999999</v>
      </c>
      <c r="AD1532" s="212">
        <f t="shared" si="23"/>
        <v>987985.177256</v>
      </c>
    </row>
    <row r="1533" spans="2:30" x14ac:dyDescent="0.15">
      <c r="B1533" s="213">
        <v>17031002903</v>
      </c>
      <c r="C1533" s="213">
        <v>17031001107</v>
      </c>
      <c r="D1533" s="213">
        <v>17031001105</v>
      </c>
      <c r="E1533" s="213" t="s">
        <v>533</v>
      </c>
      <c r="F1533" s="213" t="s">
        <v>534</v>
      </c>
      <c r="G1533" s="213" t="s">
        <v>365</v>
      </c>
      <c r="H1533" s="213" t="s">
        <v>577</v>
      </c>
      <c r="I1533" s="213"/>
      <c r="J1533" s="213"/>
      <c r="K1533" s="213"/>
      <c r="L1533" s="213"/>
      <c r="M1533" s="213"/>
      <c r="N1533" s="213"/>
      <c r="O1533" s="213"/>
      <c r="P1533" s="213"/>
      <c r="Q1533" s="213"/>
      <c r="R1533" s="213"/>
      <c r="S1533" s="213"/>
      <c r="T1533" s="213"/>
      <c r="U1533" s="213" t="s">
        <v>538</v>
      </c>
      <c r="V1533" s="213">
        <v>1</v>
      </c>
      <c r="W1533" s="213" t="s">
        <v>560</v>
      </c>
      <c r="X1533" s="213" t="s">
        <v>541</v>
      </c>
      <c r="Y1533" s="213" t="s">
        <v>541</v>
      </c>
      <c r="Z1533" s="212">
        <v>0</v>
      </c>
      <c r="AA1533" s="212">
        <v>0</v>
      </c>
      <c r="AB1533" s="217">
        <v>4.4794E-2</v>
      </c>
      <c r="AC1533" s="217">
        <v>7.2087999999999999E-2</v>
      </c>
      <c r="AD1533" s="212">
        <f t="shared" si="23"/>
        <v>0</v>
      </c>
    </row>
    <row r="1534" spans="2:30" x14ac:dyDescent="0.15">
      <c r="B1534" s="213">
        <v>17031002996</v>
      </c>
      <c r="C1534" s="213">
        <v>17031007756</v>
      </c>
      <c r="D1534" s="213">
        <v>17031000259</v>
      </c>
      <c r="E1534" s="213" t="s">
        <v>533</v>
      </c>
      <c r="F1534" s="213" t="s">
        <v>534</v>
      </c>
      <c r="G1534" s="213" t="s">
        <v>365</v>
      </c>
      <c r="H1534" s="213" t="s">
        <v>552</v>
      </c>
      <c r="I1534" s="213"/>
      <c r="J1534" s="213" t="s">
        <v>382</v>
      </c>
      <c r="K1534" s="213"/>
      <c r="L1534" s="213"/>
      <c r="M1534" s="213"/>
      <c r="N1534" s="213"/>
      <c r="O1534" s="213"/>
      <c r="P1534" s="213"/>
      <c r="Q1534" s="213"/>
      <c r="R1534" s="213"/>
      <c r="S1534" s="213" t="s">
        <v>564</v>
      </c>
      <c r="T1534" s="213"/>
      <c r="U1534" s="213" t="s">
        <v>538</v>
      </c>
      <c r="V1534" s="213">
        <v>2</v>
      </c>
      <c r="W1534" s="213" t="s">
        <v>545</v>
      </c>
      <c r="X1534" s="213" t="s">
        <v>554</v>
      </c>
      <c r="Y1534" s="213" t="s">
        <v>549</v>
      </c>
      <c r="Z1534" s="212">
        <v>422989</v>
      </c>
      <c r="AA1534" s="212">
        <v>26239030</v>
      </c>
      <c r="AB1534" s="217">
        <v>0.69904299999999997</v>
      </c>
      <c r="AC1534" s="217">
        <v>1.125003</v>
      </c>
      <c r="AD1534" s="212">
        <f t="shared" si="23"/>
        <v>18342210.248289999</v>
      </c>
    </row>
    <row r="1535" spans="2:30" x14ac:dyDescent="0.15">
      <c r="B1535" s="213">
        <v>17031002997</v>
      </c>
      <c r="C1535" s="213">
        <v>17031000426</v>
      </c>
      <c r="D1535" s="213">
        <v>17031000417</v>
      </c>
      <c r="E1535" s="213" t="s">
        <v>533</v>
      </c>
      <c r="F1535" s="213" t="s">
        <v>534</v>
      </c>
      <c r="G1535" s="213" t="s">
        <v>365</v>
      </c>
      <c r="H1535" s="213" t="s">
        <v>552</v>
      </c>
      <c r="I1535" s="213"/>
      <c r="J1535" s="213" t="s">
        <v>551</v>
      </c>
      <c r="K1535" s="213" t="s">
        <v>547</v>
      </c>
      <c r="L1535" s="213" t="s">
        <v>382</v>
      </c>
      <c r="M1535" s="213" t="s">
        <v>563</v>
      </c>
      <c r="N1535" s="213"/>
      <c r="O1535" s="213"/>
      <c r="P1535" s="213"/>
      <c r="Q1535" s="213"/>
      <c r="R1535" s="213"/>
      <c r="S1535" s="213" t="s">
        <v>589</v>
      </c>
      <c r="T1535" s="213" t="s">
        <v>632</v>
      </c>
      <c r="U1535" s="213" t="s">
        <v>538</v>
      </c>
      <c r="V1535" s="213">
        <v>2</v>
      </c>
      <c r="W1535" s="213" t="s">
        <v>545</v>
      </c>
      <c r="X1535" s="213" t="s">
        <v>540</v>
      </c>
      <c r="Y1535" s="213" t="s">
        <v>549</v>
      </c>
      <c r="Z1535" s="212">
        <v>410401</v>
      </c>
      <c r="AA1535" s="212">
        <v>30887671</v>
      </c>
      <c r="AB1535" s="217">
        <v>0.21757799999999999</v>
      </c>
      <c r="AC1535" s="217">
        <v>0.35015800000000002</v>
      </c>
      <c r="AD1535" s="212">
        <f t="shared" si="23"/>
        <v>6720477.680838</v>
      </c>
    </row>
    <row r="1536" spans="2:30" x14ac:dyDescent="0.15">
      <c r="B1536" s="213">
        <v>17031003015</v>
      </c>
      <c r="C1536" s="213">
        <v>17031000972</v>
      </c>
      <c r="D1536" s="213">
        <v>17031000953</v>
      </c>
      <c r="E1536" s="213" t="s">
        <v>533</v>
      </c>
      <c r="F1536" s="213" t="s">
        <v>534</v>
      </c>
      <c r="G1536" s="213" t="s">
        <v>365</v>
      </c>
      <c r="H1536" s="213" t="s">
        <v>571</v>
      </c>
      <c r="I1536" s="213"/>
      <c r="J1536" s="213" t="s">
        <v>381</v>
      </c>
      <c r="K1536" s="213" t="s">
        <v>535</v>
      </c>
      <c r="L1536" s="213" t="s">
        <v>552</v>
      </c>
      <c r="M1536" s="213" t="s">
        <v>551</v>
      </c>
      <c r="N1536" s="213" t="s">
        <v>382</v>
      </c>
      <c r="O1536" s="213" t="s">
        <v>563</v>
      </c>
      <c r="P1536" s="213" t="s">
        <v>543</v>
      </c>
      <c r="Q1536" s="213"/>
      <c r="R1536" s="213"/>
      <c r="S1536" s="213" t="s">
        <v>622</v>
      </c>
      <c r="T1536" s="213"/>
      <c r="U1536" s="213" t="s">
        <v>538</v>
      </c>
      <c r="V1536" s="213">
        <v>1</v>
      </c>
      <c r="W1536" s="213" t="s">
        <v>545</v>
      </c>
      <c r="X1536" s="213" t="s">
        <v>541</v>
      </c>
      <c r="Y1536" s="213" t="s">
        <v>554</v>
      </c>
      <c r="Z1536" s="212">
        <v>8800</v>
      </c>
      <c r="AA1536" s="212">
        <v>698012</v>
      </c>
      <c r="AB1536" s="217">
        <v>0.29472700000000002</v>
      </c>
      <c r="AC1536" s="217">
        <v>0.47431800000000002</v>
      </c>
      <c r="AD1536" s="212">
        <f t="shared" si="23"/>
        <v>205722.982724</v>
      </c>
    </row>
    <row r="1537" spans="2:30" x14ac:dyDescent="0.15">
      <c r="B1537" s="213">
        <v>17031003088</v>
      </c>
      <c r="C1537" s="213">
        <v>17031000852</v>
      </c>
      <c r="D1537" s="213">
        <v>17031000848</v>
      </c>
      <c r="E1537" s="213" t="s">
        <v>533</v>
      </c>
      <c r="F1537" s="213" t="s">
        <v>534</v>
      </c>
      <c r="G1537" s="213" t="s">
        <v>365</v>
      </c>
      <c r="H1537" s="213" t="s">
        <v>535</v>
      </c>
      <c r="I1537" s="213"/>
      <c r="J1537" s="213" t="s">
        <v>543</v>
      </c>
      <c r="K1537" s="213"/>
      <c r="L1537" s="213"/>
      <c r="M1537" s="213"/>
      <c r="N1537" s="213"/>
      <c r="O1537" s="213"/>
      <c r="P1537" s="213"/>
      <c r="Q1537" s="213"/>
      <c r="R1537" s="213"/>
      <c r="S1537" s="213" t="s">
        <v>553</v>
      </c>
      <c r="T1537" s="213" t="s">
        <v>553</v>
      </c>
      <c r="U1537" s="213" t="s">
        <v>538</v>
      </c>
      <c r="V1537" s="213">
        <v>1</v>
      </c>
      <c r="W1537" s="213" t="s">
        <v>539</v>
      </c>
      <c r="X1537" s="213" t="s">
        <v>554</v>
      </c>
      <c r="Y1537" s="213" t="s">
        <v>541</v>
      </c>
      <c r="Z1537" s="212">
        <v>67764</v>
      </c>
      <c r="AA1537" s="212">
        <v>3962380</v>
      </c>
      <c r="AB1537" s="217">
        <v>0.27474700000000002</v>
      </c>
      <c r="AC1537" s="217">
        <v>0.44216299999999997</v>
      </c>
      <c r="AD1537" s="212">
        <f t="shared" si="23"/>
        <v>1088652.01786</v>
      </c>
    </row>
    <row r="1538" spans="2:30" x14ac:dyDescent="0.15">
      <c r="B1538" s="213">
        <v>17031003109</v>
      </c>
      <c r="C1538" s="213">
        <v>17031000830</v>
      </c>
      <c r="D1538" s="213">
        <v>17031000818</v>
      </c>
      <c r="E1538" s="213" t="s">
        <v>533</v>
      </c>
      <c r="F1538" s="213" t="s">
        <v>534</v>
      </c>
      <c r="G1538" s="213" t="s">
        <v>365</v>
      </c>
      <c r="H1538" s="213" t="s">
        <v>535</v>
      </c>
      <c r="I1538" s="213"/>
      <c r="J1538" s="213" t="s">
        <v>543</v>
      </c>
      <c r="K1538" s="213"/>
      <c r="L1538" s="213"/>
      <c r="M1538" s="213"/>
      <c r="N1538" s="213"/>
      <c r="O1538" s="213"/>
      <c r="P1538" s="213"/>
      <c r="Q1538" s="213"/>
      <c r="R1538" s="213"/>
      <c r="S1538" s="213" t="s">
        <v>553</v>
      </c>
      <c r="T1538" s="213" t="s">
        <v>696</v>
      </c>
      <c r="U1538" s="213" t="s">
        <v>538</v>
      </c>
      <c r="V1538" s="213">
        <v>1</v>
      </c>
      <c r="W1538" s="213" t="s">
        <v>539</v>
      </c>
      <c r="X1538" s="213" t="s">
        <v>554</v>
      </c>
      <c r="Y1538" s="213" t="s">
        <v>541</v>
      </c>
      <c r="Z1538" s="212">
        <v>67764</v>
      </c>
      <c r="AA1538" s="212">
        <v>3962380</v>
      </c>
      <c r="AB1538" s="217">
        <v>0.47084100000000001</v>
      </c>
      <c r="AC1538" s="217">
        <v>0.75774600000000003</v>
      </c>
      <c r="AD1538" s="212">
        <f t="shared" si="23"/>
        <v>1865650.9615800001</v>
      </c>
    </row>
    <row r="1539" spans="2:30" x14ac:dyDescent="0.15">
      <c r="B1539" s="213">
        <v>17031003119</v>
      </c>
      <c r="C1539" s="213">
        <v>17031001131</v>
      </c>
      <c r="D1539" s="213">
        <v>17031001124</v>
      </c>
      <c r="E1539" s="213" t="s">
        <v>533</v>
      </c>
      <c r="F1539" s="213" t="s">
        <v>534</v>
      </c>
      <c r="G1539" s="213" t="s">
        <v>365</v>
      </c>
      <c r="H1539" s="213" t="s">
        <v>661</v>
      </c>
      <c r="I1539" s="213"/>
      <c r="J1539" s="213"/>
      <c r="K1539" s="213"/>
      <c r="L1539" s="213"/>
      <c r="M1539" s="213"/>
      <c r="N1539" s="213"/>
      <c r="O1539" s="213"/>
      <c r="P1539" s="213"/>
      <c r="Q1539" s="213"/>
      <c r="R1539" s="213"/>
      <c r="S1539" s="213"/>
      <c r="T1539" s="213"/>
      <c r="U1539" s="213" t="s">
        <v>538</v>
      </c>
      <c r="V1539" s="213">
        <v>1</v>
      </c>
      <c r="W1539" s="213" t="s">
        <v>560</v>
      </c>
      <c r="X1539" s="213" t="s">
        <v>541</v>
      </c>
      <c r="Y1539" s="213" t="s">
        <v>541</v>
      </c>
      <c r="Z1539" s="212">
        <v>0</v>
      </c>
      <c r="AA1539" s="212">
        <v>0</v>
      </c>
      <c r="AB1539" s="217">
        <v>0.50889200000000001</v>
      </c>
      <c r="AC1539" s="217">
        <v>0.81898400000000005</v>
      </c>
      <c r="AD1539" s="212">
        <f t="shared" si="23"/>
        <v>0</v>
      </c>
    </row>
    <row r="1540" spans="2:30" x14ac:dyDescent="0.15">
      <c r="B1540" s="213">
        <v>17031003232</v>
      </c>
      <c r="C1540" s="213">
        <v>17031001589</v>
      </c>
      <c r="D1540" s="213">
        <v>17031001558</v>
      </c>
      <c r="E1540" s="213" t="s">
        <v>533</v>
      </c>
      <c r="F1540" s="213" t="s">
        <v>534</v>
      </c>
      <c r="G1540" s="213" t="s">
        <v>365</v>
      </c>
      <c r="H1540" s="213" t="s">
        <v>535</v>
      </c>
      <c r="I1540" s="213"/>
      <c r="J1540" s="213" t="s">
        <v>542</v>
      </c>
      <c r="K1540" s="213" t="s">
        <v>543</v>
      </c>
      <c r="L1540" s="213" t="s">
        <v>382</v>
      </c>
      <c r="M1540" s="213"/>
      <c r="N1540" s="213"/>
      <c r="O1540" s="213"/>
      <c r="P1540" s="213"/>
      <c r="Q1540" s="213"/>
      <c r="R1540" s="213"/>
      <c r="S1540" s="213" t="s">
        <v>544</v>
      </c>
      <c r="T1540" s="213"/>
      <c r="U1540" s="213" t="s">
        <v>538</v>
      </c>
      <c r="V1540" s="213">
        <v>2</v>
      </c>
      <c r="W1540" s="213" t="s">
        <v>545</v>
      </c>
      <c r="X1540" s="213" t="s">
        <v>540</v>
      </c>
      <c r="Y1540" s="213" t="s">
        <v>546</v>
      </c>
      <c r="Z1540" s="212">
        <v>321091</v>
      </c>
      <c r="AA1540" s="212">
        <v>18240148</v>
      </c>
      <c r="AB1540" s="217">
        <v>0.93279500000000004</v>
      </c>
      <c r="AC1540" s="217">
        <v>1.5011909999999999</v>
      </c>
      <c r="AD1540" s="212">
        <f t="shared" si="23"/>
        <v>17014318.853660002</v>
      </c>
    </row>
    <row r="1541" spans="2:30" x14ac:dyDescent="0.15">
      <c r="B1541" s="213">
        <v>17031003242</v>
      </c>
      <c r="C1541" s="213">
        <v>17031004686</v>
      </c>
      <c r="D1541" s="213">
        <v>17031004687</v>
      </c>
      <c r="E1541" s="213" t="s">
        <v>533</v>
      </c>
      <c r="F1541" s="213" t="s">
        <v>534</v>
      </c>
      <c r="G1541" s="213" t="s">
        <v>365</v>
      </c>
      <c r="H1541" s="213" t="s">
        <v>547</v>
      </c>
      <c r="I1541" s="213"/>
      <c r="J1541" s="213" t="s">
        <v>543</v>
      </c>
      <c r="K1541" s="213"/>
      <c r="L1541" s="213"/>
      <c r="M1541" s="213"/>
      <c r="N1541" s="213"/>
      <c r="O1541" s="213"/>
      <c r="P1541" s="213"/>
      <c r="Q1541" s="213"/>
      <c r="R1541" s="213"/>
      <c r="S1541" s="213" t="s">
        <v>602</v>
      </c>
      <c r="T1541" s="213"/>
      <c r="U1541" s="213" t="s">
        <v>538</v>
      </c>
      <c r="V1541" s="213">
        <v>2</v>
      </c>
      <c r="W1541" s="213" t="s">
        <v>582</v>
      </c>
      <c r="X1541" s="213" t="s">
        <v>540</v>
      </c>
      <c r="Y1541" s="213" t="s">
        <v>541</v>
      </c>
      <c r="Z1541" s="212">
        <v>520</v>
      </c>
      <c r="AA1541" s="212">
        <v>37800</v>
      </c>
      <c r="AB1541" s="217">
        <v>0.87663199999999997</v>
      </c>
      <c r="AC1541" s="217">
        <v>1.4108050000000001</v>
      </c>
      <c r="AD1541" s="212">
        <f t="shared" si="23"/>
        <v>33136.689599999998</v>
      </c>
    </row>
    <row r="1542" spans="2:30" x14ac:dyDescent="0.15">
      <c r="B1542" s="213">
        <v>17031003258</v>
      </c>
      <c r="C1542" s="213">
        <v>17031000964</v>
      </c>
      <c r="D1542" s="213">
        <v>17031000908</v>
      </c>
      <c r="E1542" s="213" t="s">
        <v>533</v>
      </c>
      <c r="F1542" s="213" t="s">
        <v>534</v>
      </c>
      <c r="G1542" s="213" t="s">
        <v>365</v>
      </c>
      <c r="H1542" s="213" t="s">
        <v>571</v>
      </c>
      <c r="I1542" s="213"/>
      <c r="J1542" s="213" t="s">
        <v>381</v>
      </c>
      <c r="K1542" s="213" t="s">
        <v>535</v>
      </c>
      <c r="L1542" s="213" t="s">
        <v>552</v>
      </c>
      <c r="M1542" s="213" t="s">
        <v>551</v>
      </c>
      <c r="N1542" s="213" t="s">
        <v>382</v>
      </c>
      <c r="O1542" s="213" t="s">
        <v>563</v>
      </c>
      <c r="P1542" s="213"/>
      <c r="Q1542" s="213"/>
      <c r="R1542" s="213"/>
      <c r="S1542" s="213" t="s">
        <v>655</v>
      </c>
      <c r="T1542" s="213"/>
      <c r="U1542" s="213" t="s">
        <v>538</v>
      </c>
      <c r="V1542" s="213">
        <v>2</v>
      </c>
      <c r="W1542" s="213" t="s">
        <v>545</v>
      </c>
      <c r="X1542" s="213" t="s">
        <v>554</v>
      </c>
      <c r="Y1542" s="213" t="s">
        <v>546</v>
      </c>
      <c r="Z1542" s="212">
        <v>232320</v>
      </c>
      <c r="AA1542" s="212">
        <v>15578987</v>
      </c>
      <c r="AB1542" s="217">
        <v>1.5724260000000001</v>
      </c>
      <c r="AC1542" s="217">
        <v>2.5305789999999999</v>
      </c>
      <c r="AD1542" s="212">
        <f t="shared" ref="AD1542:AD1605" si="24">AA1542*AB1542</f>
        <v>24496804.212462001</v>
      </c>
    </row>
    <row r="1543" spans="2:30" x14ac:dyDescent="0.15">
      <c r="B1543" s="213">
        <v>17031003263</v>
      </c>
      <c r="C1543" s="213">
        <v>17031000775</v>
      </c>
      <c r="D1543" s="213">
        <v>17031000729</v>
      </c>
      <c r="E1543" s="213" t="s">
        <v>533</v>
      </c>
      <c r="F1543" s="213" t="s">
        <v>534</v>
      </c>
      <c r="G1543" s="213" t="s">
        <v>365</v>
      </c>
      <c r="H1543" s="213" t="s">
        <v>535</v>
      </c>
      <c r="I1543" s="213"/>
      <c r="J1543" s="213" t="s">
        <v>542</v>
      </c>
      <c r="K1543" s="213" t="s">
        <v>572</v>
      </c>
      <c r="L1543" s="213" t="s">
        <v>547</v>
      </c>
      <c r="M1543" s="213" t="s">
        <v>382</v>
      </c>
      <c r="N1543" s="213"/>
      <c r="O1543" s="213"/>
      <c r="P1543" s="213"/>
      <c r="Q1543" s="213"/>
      <c r="R1543" s="213"/>
      <c r="S1543" s="213" t="s">
        <v>601</v>
      </c>
      <c r="T1543" s="213"/>
      <c r="U1543" s="213" t="s">
        <v>538</v>
      </c>
      <c r="V1543" s="213">
        <v>2</v>
      </c>
      <c r="W1543" s="213" t="s">
        <v>545</v>
      </c>
      <c r="X1543" s="213" t="s">
        <v>540</v>
      </c>
      <c r="Y1543" s="213" t="s">
        <v>540</v>
      </c>
      <c r="Z1543" s="212">
        <v>75496</v>
      </c>
      <c r="AA1543" s="212">
        <v>2801600</v>
      </c>
      <c r="AB1543" s="217">
        <v>1.5072080000000001</v>
      </c>
      <c r="AC1543" s="217">
        <v>2.425621</v>
      </c>
      <c r="AD1543" s="212">
        <f t="shared" si="24"/>
        <v>4222593.9328000005</v>
      </c>
    </row>
    <row r="1544" spans="2:30" x14ac:dyDescent="0.15">
      <c r="B1544" s="213">
        <v>17031003281</v>
      </c>
      <c r="C1544" s="213">
        <v>17031000298</v>
      </c>
      <c r="D1544" s="213">
        <v>17031004603</v>
      </c>
      <c r="E1544" s="213" t="s">
        <v>533</v>
      </c>
      <c r="F1544" s="213" t="s">
        <v>534</v>
      </c>
      <c r="G1544" s="213" t="s">
        <v>365</v>
      </c>
      <c r="H1544" s="213" t="s">
        <v>382</v>
      </c>
      <c r="I1544" s="213"/>
      <c r="J1544" s="213" t="s">
        <v>535</v>
      </c>
      <c r="K1544" s="213" t="s">
        <v>547</v>
      </c>
      <c r="L1544" s="213"/>
      <c r="M1544" s="213"/>
      <c r="N1544" s="213"/>
      <c r="O1544" s="213"/>
      <c r="P1544" s="213"/>
      <c r="Q1544" s="213"/>
      <c r="R1544" s="213"/>
      <c r="S1544" s="213" t="s">
        <v>608</v>
      </c>
      <c r="T1544" s="213"/>
      <c r="U1544" s="213" t="s">
        <v>538</v>
      </c>
      <c r="V1544" s="213">
        <v>3</v>
      </c>
      <c r="W1544" s="213" t="s">
        <v>566</v>
      </c>
      <c r="X1544" s="213" t="s">
        <v>549</v>
      </c>
      <c r="Y1544" s="213" t="s">
        <v>554</v>
      </c>
      <c r="Z1544" s="212">
        <v>80</v>
      </c>
      <c r="AA1544" s="212">
        <v>6400</v>
      </c>
      <c r="AB1544" s="217">
        <v>0.67344999999999999</v>
      </c>
      <c r="AC1544" s="217">
        <v>1.0838159999999999</v>
      </c>
      <c r="AD1544" s="212">
        <f t="shared" si="24"/>
        <v>4310.08</v>
      </c>
    </row>
    <row r="1545" spans="2:30" x14ac:dyDescent="0.15">
      <c r="B1545" s="213">
        <v>17031003285</v>
      </c>
      <c r="C1545" s="213">
        <v>17031004641</v>
      </c>
      <c r="D1545" s="213">
        <v>17031000479</v>
      </c>
      <c r="E1545" s="213" t="s">
        <v>533</v>
      </c>
      <c r="F1545" s="213" t="s">
        <v>534</v>
      </c>
      <c r="G1545" s="213" t="s">
        <v>365</v>
      </c>
      <c r="H1545" s="213" t="s">
        <v>552</v>
      </c>
      <c r="I1545" s="213"/>
      <c r="J1545" s="213" t="s">
        <v>551</v>
      </c>
      <c r="K1545" s="213" t="s">
        <v>547</v>
      </c>
      <c r="L1545" s="213" t="s">
        <v>382</v>
      </c>
      <c r="M1545" s="213" t="s">
        <v>563</v>
      </c>
      <c r="N1545" s="213"/>
      <c r="O1545" s="213"/>
      <c r="P1545" s="213"/>
      <c r="Q1545" s="213"/>
      <c r="R1545" s="213"/>
      <c r="S1545" s="213" t="s">
        <v>589</v>
      </c>
      <c r="T1545" s="213" t="s">
        <v>691</v>
      </c>
      <c r="U1545" s="213" t="s">
        <v>538</v>
      </c>
      <c r="V1545" s="213">
        <v>3</v>
      </c>
      <c r="W1545" s="213" t="s">
        <v>545</v>
      </c>
      <c r="X1545" s="213" t="s">
        <v>549</v>
      </c>
      <c r="Y1545" s="213" t="s">
        <v>549</v>
      </c>
      <c r="Z1545" s="212">
        <v>321019</v>
      </c>
      <c r="AA1545" s="212">
        <v>20272568</v>
      </c>
      <c r="AB1545" s="217">
        <v>0.68124700000000005</v>
      </c>
      <c r="AC1545" s="217">
        <v>1.096363</v>
      </c>
      <c r="AD1545" s="212">
        <f t="shared" si="24"/>
        <v>13810626.132296002</v>
      </c>
    </row>
    <row r="1546" spans="2:30" x14ac:dyDescent="0.15">
      <c r="B1546" s="213">
        <v>17031003288</v>
      </c>
      <c r="C1546" s="213">
        <v>17031000574</v>
      </c>
      <c r="D1546" s="213">
        <v>17031004622</v>
      </c>
      <c r="E1546" s="213" t="s">
        <v>533</v>
      </c>
      <c r="F1546" s="213" t="s">
        <v>534</v>
      </c>
      <c r="G1546" s="213" t="s">
        <v>365</v>
      </c>
      <c r="H1546" s="213" t="s">
        <v>552</v>
      </c>
      <c r="I1546" s="213"/>
      <c r="J1546" s="213" t="s">
        <v>542</v>
      </c>
      <c r="K1546" s="213" t="s">
        <v>547</v>
      </c>
      <c r="L1546" s="213"/>
      <c r="M1546" s="213"/>
      <c r="N1546" s="213"/>
      <c r="O1546" s="213"/>
      <c r="P1546" s="213"/>
      <c r="Q1546" s="213"/>
      <c r="R1546" s="213"/>
      <c r="S1546" s="213" t="s">
        <v>564</v>
      </c>
      <c r="T1546" s="213"/>
      <c r="U1546" s="213" t="s">
        <v>538</v>
      </c>
      <c r="V1546" s="213">
        <v>3</v>
      </c>
      <c r="W1546" s="213" t="s">
        <v>545</v>
      </c>
      <c r="X1546" s="213" t="s">
        <v>541</v>
      </c>
      <c r="Y1546" s="213" t="s">
        <v>541</v>
      </c>
      <c r="Z1546" s="212">
        <v>31044</v>
      </c>
      <c r="AA1546" s="212">
        <v>1434376</v>
      </c>
      <c r="AB1546" s="217">
        <v>0.75495299999999999</v>
      </c>
      <c r="AC1546" s="217">
        <v>1.2149810000000001</v>
      </c>
      <c r="AD1546" s="212">
        <f t="shared" si="24"/>
        <v>1082886.4643280001</v>
      </c>
    </row>
    <row r="1547" spans="2:30" x14ac:dyDescent="0.15">
      <c r="B1547" s="213">
        <v>17031003299</v>
      </c>
      <c r="C1547" s="213">
        <v>17031004671</v>
      </c>
      <c r="D1547" s="213">
        <v>17031004672</v>
      </c>
      <c r="E1547" s="213" t="s">
        <v>533</v>
      </c>
      <c r="F1547" s="213" t="s">
        <v>534</v>
      </c>
      <c r="G1547" s="213" t="s">
        <v>365</v>
      </c>
      <c r="H1547" s="213" t="s">
        <v>551</v>
      </c>
      <c r="I1547" s="213"/>
      <c r="J1547" s="213" t="s">
        <v>535</v>
      </c>
      <c r="K1547" s="213"/>
      <c r="L1547" s="213"/>
      <c r="M1547" s="213"/>
      <c r="N1547" s="213"/>
      <c r="O1547" s="213"/>
      <c r="P1547" s="213"/>
      <c r="Q1547" s="213"/>
      <c r="R1547" s="213"/>
      <c r="S1547" s="213" t="s">
        <v>667</v>
      </c>
      <c r="T1547" s="213"/>
      <c r="U1547" s="213" t="s">
        <v>538</v>
      </c>
      <c r="V1547" s="213">
        <v>2</v>
      </c>
      <c r="W1547" s="213" t="s">
        <v>582</v>
      </c>
      <c r="X1547" s="213" t="s">
        <v>541</v>
      </c>
      <c r="Y1547" s="213" t="s">
        <v>541</v>
      </c>
      <c r="Z1547" s="212">
        <v>0</v>
      </c>
      <c r="AA1547" s="212">
        <v>0</v>
      </c>
      <c r="AB1547" s="217">
        <v>1.0304660000000001</v>
      </c>
      <c r="AC1547" s="217">
        <v>1.6583779999999999</v>
      </c>
      <c r="AD1547" s="212">
        <f t="shared" si="24"/>
        <v>0</v>
      </c>
    </row>
    <row r="1548" spans="2:30" x14ac:dyDescent="0.15">
      <c r="B1548" s="213">
        <v>17031003331</v>
      </c>
      <c r="C1548" s="213">
        <v>17031004669</v>
      </c>
      <c r="D1548" s="213">
        <v>17031000824</v>
      </c>
      <c r="E1548" s="213" t="s">
        <v>533</v>
      </c>
      <c r="F1548" s="213" t="s">
        <v>534</v>
      </c>
      <c r="G1548" s="213" t="s">
        <v>365</v>
      </c>
      <c r="H1548" s="213" t="s">
        <v>535</v>
      </c>
      <c r="I1548" s="213"/>
      <c r="J1548" s="213" t="s">
        <v>542</v>
      </c>
      <c r="K1548" s="213" t="s">
        <v>572</v>
      </c>
      <c r="L1548" s="213" t="s">
        <v>547</v>
      </c>
      <c r="M1548" s="213" t="s">
        <v>382</v>
      </c>
      <c r="N1548" s="213" t="s">
        <v>552</v>
      </c>
      <c r="O1548" s="213" t="s">
        <v>381</v>
      </c>
      <c r="P1548" s="213"/>
      <c r="Q1548" s="213"/>
      <c r="R1548" s="213"/>
      <c r="S1548" s="213" t="s">
        <v>601</v>
      </c>
      <c r="T1548" s="213" t="s">
        <v>692</v>
      </c>
      <c r="U1548" s="213" t="s">
        <v>538</v>
      </c>
      <c r="V1548" s="213">
        <v>2</v>
      </c>
      <c r="W1548" s="213" t="s">
        <v>545</v>
      </c>
      <c r="X1548" s="213" t="s">
        <v>549</v>
      </c>
      <c r="Y1548" s="213" t="s">
        <v>540</v>
      </c>
      <c r="Z1548" s="212">
        <v>2536</v>
      </c>
      <c r="AA1548" s="212">
        <v>238564</v>
      </c>
      <c r="AB1548" s="217">
        <v>0.44090000000000001</v>
      </c>
      <c r="AC1548" s="217">
        <v>0.709561</v>
      </c>
      <c r="AD1548" s="212">
        <f t="shared" si="24"/>
        <v>105182.8676</v>
      </c>
    </row>
    <row r="1549" spans="2:30" x14ac:dyDescent="0.15">
      <c r="B1549" s="213">
        <v>17031003489</v>
      </c>
      <c r="C1549" s="213">
        <v>17031001042</v>
      </c>
      <c r="D1549" s="213">
        <v>17031007733</v>
      </c>
      <c r="E1549" s="213" t="s">
        <v>533</v>
      </c>
      <c r="F1549" s="213" t="s">
        <v>534</v>
      </c>
      <c r="G1549" s="213" t="s">
        <v>365</v>
      </c>
      <c r="H1549" s="213" t="s">
        <v>381</v>
      </c>
      <c r="I1549" s="213"/>
      <c r="J1549" s="213" t="s">
        <v>551</v>
      </c>
      <c r="K1549" s="213" t="s">
        <v>543</v>
      </c>
      <c r="L1549" s="213" t="s">
        <v>382</v>
      </c>
      <c r="M1549" s="213"/>
      <c r="N1549" s="213"/>
      <c r="O1549" s="213"/>
      <c r="P1549" s="213"/>
      <c r="Q1549" s="213"/>
      <c r="R1549" s="213"/>
      <c r="S1549" s="213" t="s">
        <v>647</v>
      </c>
      <c r="T1549" s="213"/>
      <c r="U1549" s="213" t="s">
        <v>538</v>
      </c>
      <c r="V1549" s="213">
        <v>2</v>
      </c>
      <c r="W1549" s="213" t="s">
        <v>545</v>
      </c>
      <c r="X1549" s="213" t="s">
        <v>549</v>
      </c>
      <c r="Y1549" s="213" t="s">
        <v>580</v>
      </c>
      <c r="Z1549" s="212">
        <v>1558633</v>
      </c>
      <c r="AA1549" s="212">
        <v>41812567</v>
      </c>
      <c r="AB1549" s="217">
        <v>0.89963599999999999</v>
      </c>
      <c r="AC1549" s="217">
        <v>1.447827</v>
      </c>
      <c r="AD1549" s="212">
        <f t="shared" si="24"/>
        <v>37616090.525611997</v>
      </c>
    </row>
    <row r="1550" spans="2:30" x14ac:dyDescent="0.15">
      <c r="B1550" s="213">
        <v>17031003503</v>
      </c>
      <c r="C1550" s="213">
        <v>17031000485</v>
      </c>
      <c r="D1550" s="213">
        <v>17031000459</v>
      </c>
      <c r="E1550" s="213" t="s">
        <v>533</v>
      </c>
      <c r="F1550" s="213" t="s">
        <v>534</v>
      </c>
      <c r="G1550" s="213" t="s">
        <v>365</v>
      </c>
      <c r="H1550" s="213" t="s">
        <v>552</v>
      </c>
      <c r="I1550" s="213"/>
      <c r="J1550" s="213" t="s">
        <v>542</v>
      </c>
      <c r="K1550" s="213" t="s">
        <v>547</v>
      </c>
      <c r="L1550" s="213" t="s">
        <v>563</v>
      </c>
      <c r="M1550" s="213"/>
      <c r="N1550" s="213"/>
      <c r="O1550" s="213"/>
      <c r="P1550" s="213"/>
      <c r="Q1550" s="213"/>
      <c r="R1550" s="213"/>
      <c r="S1550" s="213" t="s">
        <v>564</v>
      </c>
      <c r="T1550" s="213"/>
      <c r="U1550" s="213" t="s">
        <v>538</v>
      </c>
      <c r="V1550" s="213">
        <v>2</v>
      </c>
      <c r="W1550" s="213" t="s">
        <v>545</v>
      </c>
      <c r="X1550" s="213" t="s">
        <v>549</v>
      </c>
      <c r="Y1550" s="213" t="s">
        <v>541</v>
      </c>
      <c r="Z1550" s="212">
        <v>21788</v>
      </c>
      <c r="AA1550" s="212">
        <v>1948660</v>
      </c>
      <c r="AB1550" s="217">
        <v>0.75945399999999996</v>
      </c>
      <c r="AC1550" s="217">
        <v>1.2222249999999999</v>
      </c>
      <c r="AD1550" s="212">
        <f t="shared" si="24"/>
        <v>1479917.63164</v>
      </c>
    </row>
    <row r="1551" spans="2:30" x14ac:dyDescent="0.15">
      <c r="B1551" s="213">
        <v>17031003534</v>
      </c>
      <c r="C1551" s="213">
        <v>17031000661</v>
      </c>
      <c r="D1551" s="213">
        <v>17031000653</v>
      </c>
      <c r="E1551" s="213" t="s">
        <v>533</v>
      </c>
      <c r="F1551" s="213" t="s">
        <v>534</v>
      </c>
      <c r="G1551" s="213" t="s">
        <v>365</v>
      </c>
      <c r="H1551" s="213" t="s">
        <v>535</v>
      </c>
      <c r="I1551" s="213"/>
      <c r="J1551" s="213" t="s">
        <v>542</v>
      </c>
      <c r="K1551" s="213" t="s">
        <v>572</v>
      </c>
      <c r="L1551" s="213"/>
      <c r="M1551" s="213"/>
      <c r="N1551" s="213"/>
      <c r="O1551" s="213"/>
      <c r="P1551" s="213"/>
      <c r="Q1551" s="213"/>
      <c r="R1551" s="213"/>
      <c r="S1551" s="213"/>
      <c r="T1551" s="213"/>
      <c r="U1551" s="213" t="s">
        <v>538</v>
      </c>
      <c r="V1551" s="213">
        <v>2</v>
      </c>
      <c r="W1551" s="213" t="s">
        <v>539</v>
      </c>
      <c r="X1551" s="213" t="s">
        <v>541</v>
      </c>
      <c r="Y1551" s="213" t="s">
        <v>554</v>
      </c>
      <c r="Z1551" s="212">
        <v>13042</v>
      </c>
      <c r="AA1551" s="212">
        <v>1378180</v>
      </c>
      <c r="AB1551" s="217">
        <v>0.13933599999999999</v>
      </c>
      <c r="AC1551" s="217">
        <v>0.22423999999999999</v>
      </c>
      <c r="AD1551" s="212">
        <f t="shared" si="24"/>
        <v>192030.08847999998</v>
      </c>
    </row>
    <row r="1552" spans="2:30" x14ac:dyDescent="0.15">
      <c r="B1552" s="213">
        <v>17031003599</v>
      </c>
      <c r="C1552" s="213">
        <v>17031000957</v>
      </c>
      <c r="D1552" s="213">
        <v>17031000956</v>
      </c>
      <c r="E1552" s="213" t="s">
        <v>533</v>
      </c>
      <c r="F1552" s="213" t="s">
        <v>534</v>
      </c>
      <c r="G1552" s="213" t="s">
        <v>365</v>
      </c>
      <c r="H1552" s="213" t="s">
        <v>571</v>
      </c>
      <c r="I1552" s="213"/>
      <c r="J1552" s="213" t="s">
        <v>381</v>
      </c>
      <c r="K1552" s="213" t="s">
        <v>535</v>
      </c>
      <c r="L1552" s="213" t="s">
        <v>552</v>
      </c>
      <c r="M1552" s="213" t="s">
        <v>572</v>
      </c>
      <c r="N1552" s="213" t="s">
        <v>551</v>
      </c>
      <c r="O1552" s="213" t="s">
        <v>555</v>
      </c>
      <c r="P1552" s="213" t="s">
        <v>543</v>
      </c>
      <c r="Q1552" s="213" t="s">
        <v>382</v>
      </c>
      <c r="R1552" s="213" t="s">
        <v>563</v>
      </c>
      <c r="S1552" s="213" t="s">
        <v>605</v>
      </c>
      <c r="T1552" s="213" t="s">
        <v>574</v>
      </c>
      <c r="U1552" s="213" t="s">
        <v>538</v>
      </c>
      <c r="V1552" s="213">
        <v>2</v>
      </c>
      <c r="W1552" s="213" t="s">
        <v>545</v>
      </c>
      <c r="X1552" s="213" t="s">
        <v>554</v>
      </c>
      <c r="Y1552" s="213" t="s">
        <v>575</v>
      </c>
      <c r="Z1552" s="212">
        <v>268203</v>
      </c>
      <c r="AA1552" s="212">
        <v>14969329</v>
      </c>
      <c r="AB1552" s="217">
        <v>0.184585</v>
      </c>
      <c r="AC1552" s="217">
        <v>0.29706199999999999</v>
      </c>
      <c r="AD1552" s="212">
        <f t="shared" si="24"/>
        <v>2763113.5934649999</v>
      </c>
    </row>
    <row r="1553" spans="2:30" x14ac:dyDescent="0.15">
      <c r="B1553" s="213">
        <v>17031003609</v>
      </c>
      <c r="C1553" s="213">
        <v>17031000851</v>
      </c>
      <c r="D1553" s="213">
        <v>17031000840</v>
      </c>
      <c r="E1553" s="213" t="s">
        <v>533</v>
      </c>
      <c r="F1553" s="213" t="s">
        <v>534</v>
      </c>
      <c r="G1553" s="213" t="s">
        <v>365</v>
      </c>
      <c r="H1553" s="213" t="s">
        <v>571</v>
      </c>
      <c r="I1553" s="213"/>
      <c r="J1553" s="213" t="s">
        <v>381</v>
      </c>
      <c r="K1553" s="213" t="s">
        <v>382</v>
      </c>
      <c r="L1553" s="213"/>
      <c r="M1553" s="213"/>
      <c r="N1553" s="213"/>
      <c r="O1553" s="213"/>
      <c r="P1553" s="213"/>
      <c r="Q1553" s="213"/>
      <c r="R1553" s="213"/>
      <c r="S1553" s="213" t="s">
        <v>654</v>
      </c>
      <c r="T1553" s="213"/>
      <c r="U1553" s="213" t="s">
        <v>559</v>
      </c>
      <c r="V1553" s="213">
        <v>1</v>
      </c>
      <c r="W1553" s="213" t="s">
        <v>560</v>
      </c>
      <c r="X1553" s="213" t="s">
        <v>541</v>
      </c>
      <c r="Y1553" s="213" t="s">
        <v>541</v>
      </c>
      <c r="Z1553" s="212">
        <v>0</v>
      </c>
      <c r="AA1553" s="212">
        <v>0</v>
      </c>
      <c r="AB1553" s="217">
        <v>0.21345700000000001</v>
      </c>
      <c r="AC1553" s="217">
        <v>0.343526</v>
      </c>
      <c r="AD1553" s="212">
        <f t="shared" si="24"/>
        <v>0</v>
      </c>
    </row>
    <row r="1554" spans="2:30" x14ac:dyDescent="0.15">
      <c r="B1554" s="213">
        <v>17031003624</v>
      </c>
      <c r="C1554" s="213">
        <v>17031000897</v>
      </c>
      <c r="D1554" s="213">
        <v>17031000893</v>
      </c>
      <c r="E1554" s="213" t="s">
        <v>533</v>
      </c>
      <c r="F1554" s="213" t="s">
        <v>534</v>
      </c>
      <c r="G1554" s="213" t="s">
        <v>365</v>
      </c>
      <c r="H1554" s="213" t="s">
        <v>551</v>
      </c>
      <c r="I1554" s="213"/>
      <c r="J1554" s="213" t="s">
        <v>381</v>
      </c>
      <c r="K1554" s="213" t="s">
        <v>535</v>
      </c>
      <c r="L1554" s="213" t="s">
        <v>552</v>
      </c>
      <c r="M1554" s="213" t="s">
        <v>382</v>
      </c>
      <c r="N1554" s="213"/>
      <c r="O1554" s="213"/>
      <c r="P1554" s="213"/>
      <c r="Q1554" s="213"/>
      <c r="R1554" s="213"/>
      <c r="S1554" s="213" t="s">
        <v>600</v>
      </c>
      <c r="T1554" s="213" t="s">
        <v>633</v>
      </c>
      <c r="U1554" s="213" t="s">
        <v>538</v>
      </c>
      <c r="V1554" s="213">
        <v>3</v>
      </c>
      <c r="W1554" s="213" t="s">
        <v>582</v>
      </c>
      <c r="X1554" s="213" t="s">
        <v>540</v>
      </c>
      <c r="Y1554" s="213" t="s">
        <v>549</v>
      </c>
      <c r="Z1554" s="212">
        <v>174623</v>
      </c>
      <c r="AA1554" s="212">
        <v>7596917</v>
      </c>
      <c r="AB1554" s="217">
        <v>0.48685699999999998</v>
      </c>
      <c r="AC1554" s="217">
        <v>0.78352299999999997</v>
      </c>
      <c r="AD1554" s="212">
        <f t="shared" si="24"/>
        <v>3698612.2198689999</v>
      </c>
    </row>
    <row r="1555" spans="2:30" x14ac:dyDescent="0.15">
      <c r="B1555" s="213">
        <v>17031003655</v>
      </c>
      <c r="C1555" s="213">
        <v>17031001048</v>
      </c>
      <c r="D1555" s="213">
        <v>17031001335</v>
      </c>
      <c r="E1555" s="213" t="s">
        <v>533</v>
      </c>
      <c r="F1555" s="213" t="s">
        <v>534</v>
      </c>
      <c r="G1555" s="213" t="s">
        <v>365</v>
      </c>
      <c r="H1555" s="213" t="s">
        <v>382</v>
      </c>
      <c r="I1555" s="213"/>
      <c r="J1555" s="213" t="s">
        <v>542</v>
      </c>
      <c r="K1555" s="213" t="s">
        <v>555</v>
      </c>
      <c r="L1555" s="213"/>
      <c r="M1555" s="213"/>
      <c r="N1555" s="213"/>
      <c r="O1555" s="213"/>
      <c r="P1555" s="213"/>
      <c r="Q1555" s="213"/>
      <c r="R1555" s="213"/>
      <c r="S1555" s="213" t="s">
        <v>556</v>
      </c>
      <c r="T1555" s="213"/>
      <c r="U1555" s="213" t="s">
        <v>538</v>
      </c>
      <c r="V1555" s="213">
        <v>2</v>
      </c>
      <c r="W1555" s="213" t="s">
        <v>545</v>
      </c>
      <c r="X1555" s="213" t="s">
        <v>540</v>
      </c>
      <c r="Y1555" s="213" t="s">
        <v>540</v>
      </c>
      <c r="Z1555" s="212">
        <v>52449</v>
      </c>
      <c r="AA1555" s="212">
        <v>2652870</v>
      </c>
      <c r="AB1555" s="217">
        <v>7.5133840000000003</v>
      </c>
      <c r="AC1555" s="217">
        <v>12.091642999999999</v>
      </c>
      <c r="AD1555" s="212">
        <f t="shared" si="24"/>
        <v>19932031.012080003</v>
      </c>
    </row>
    <row r="1556" spans="2:30" x14ac:dyDescent="0.15">
      <c r="B1556" s="213">
        <v>17031003822</v>
      </c>
      <c r="C1556" s="213">
        <v>17031000777</v>
      </c>
      <c r="D1556" s="213">
        <v>17031000776</v>
      </c>
      <c r="E1556" s="213" t="s">
        <v>533</v>
      </c>
      <c r="F1556" s="213" t="s">
        <v>534</v>
      </c>
      <c r="G1556" s="213" t="s">
        <v>365</v>
      </c>
      <c r="H1556" s="213" t="s">
        <v>535</v>
      </c>
      <c r="I1556" s="213"/>
      <c r="J1556" s="213" t="s">
        <v>542</v>
      </c>
      <c r="K1556" s="213" t="s">
        <v>572</v>
      </c>
      <c r="L1556" s="213" t="s">
        <v>547</v>
      </c>
      <c r="M1556" s="213" t="s">
        <v>382</v>
      </c>
      <c r="N1556" s="213"/>
      <c r="O1556" s="213"/>
      <c r="P1556" s="213"/>
      <c r="Q1556" s="213"/>
      <c r="R1556" s="213"/>
      <c r="S1556" s="213" t="s">
        <v>601</v>
      </c>
      <c r="T1556" s="213"/>
      <c r="U1556" s="213" t="s">
        <v>538</v>
      </c>
      <c r="V1556" s="213">
        <v>2</v>
      </c>
      <c r="W1556" s="213" t="s">
        <v>545</v>
      </c>
      <c r="X1556" s="213" t="s">
        <v>549</v>
      </c>
      <c r="Y1556" s="213" t="s">
        <v>540</v>
      </c>
      <c r="Z1556" s="212">
        <v>75496</v>
      </c>
      <c r="AA1556" s="212">
        <v>2801600</v>
      </c>
      <c r="AB1556" s="217">
        <v>6.5660999999999997E-2</v>
      </c>
      <c r="AC1556" s="217">
        <v>0.105671</v>
      </c>
      <c r="AD1556" s="212">
        <f t="shared" si="24"/>
        <v>183955.85759999999</v>
      </c>
    </row>
    <row r="1557" spans="2:30" x14ac:dyDescent="0.15">
      <c r="B1557" s="213">
        <v>17031003838</v>
      </c>
      <c r="C1557" s="213">
        <v>17031000409</v>
      </c>
      <c r="D1557" s="213">
        <v>17031004620</v>
      </c>
      <c r="E1557" s="213" t="s">
        <v>533</v>
      </c>
      <c r="F1557" s="213" t="s">
        <v>534</v>
      </c>
      <c r="G1557" s="213" t="s">
        <v>365</v>
      </c>
      <c r="H1557" s="213" t="s">
        <v>552</v>
      </c>
      <c r="I1557" s="213"/>
      <c r="J1557" s="213" t="s">
        <v>542</v>
      </c>
      <c r="K1557" s="213" t="s">
        <v>547</v>
      </c>
      <c r="L1557" s="213" t="s">
        <v>563</v>
      </c>
      <c r="M1557" s="213"/>
      <c r="N1557" s="213"/>
      <c r="O1557" s="213"/>
      <c r="P1557" s="213"/>
      <c r="Q1557" s="213"/>
      <c r="R1557" s="213"/>
      <c r="S1557" s="213" t="s">
        <v>564</v>
      </c>
      <c r="T1557" s="213"/>
      <c r="U1557" s="213" t="s">
        <v>538</v>
      </c>
      <c r="V1557" s="213">
        <v>2</v>
      </c>
      <c r="W1557" s="213" t="s">
        <v>545</v>
      </c>
      <c r="X1557" s="213" t="s">
        <v>549</v>
      </c>
      <c r="Y1557" s="213" t="s">
        <v>541</v>
      </c>
      <c r="Z1557" s="212">
        <v>21788</v>
      </c>
      <c r="AA1557" s="212">
        <v>1948660</v>
      </c>
      <c r="AB1557" s="217">
        <v>0.861124</v>
      </c>
      <c r="AC1557" s="217">
        <v>1.3858470000000001</v>
      </c>
      <c r="AD1557" s="212">
        <f t="shared" si="24"/>
        <v>1678037.89384</v>
      </c>
    </row>
    <row r="1558" spans="2:30" x14ac:dyDescent="0.15">
      <c r="B1558" s="213">
        <v>17031003840</v>
      </c>
      <c r="C1558" s="213">
        <v>17031000779</v>
      </c>
      <c r="D1558" s="213">
        <v>17031000773</v>
      </c>
      <c r="E1558" s="213" t="s">
        <v>533</v>
      </c>
      <c r="F1558" s="213" t="s">
        <v>534</v>
      </c>
      <c r="G1558" s="213" t="s">
        <v>365</v>
      </c>
      <c r="H1558" s="213" t="s">
        <v>381</v>
      </c>
      <c r="I1558" s="213"/>
      <c r="J1558" s="213"/>
      <c r="K1558" s="213"/>
      <c r="L1558" s="213"/>
      <c r="M1558" s="213"/>
      <c r="N1558" s="213"/>
      <c r="O1558" s="213"/>
      <c r="P1558" s="213"/>
      <c r="Q1558" s="213"/>
      <c r="R1558" s="213"/>
      <c r="S1558" s="213" t="s">
        <v>647</v>
      </c>
      <c r="T1558" s="213"/>
      <c r="U1558" s="213" t="s">
        <v>538</v>
      </c>
      <c r="V1558" s="213">
        <v>2</v>
      </c>
      <c r="W1558" s="213" t="s">
        <v>545</v>
      </c>
      <c r="X1558" s="213" t="s">
        <v>541</v>
      </c>
      <c r="Y1558" s="213" t="s">
        <v>541</v>
      </c>
      <c r="Z1558" s="212">
        <v>0</v>
      </c>
      <c r="AA1558" s="212">
        <v>0</v>
      </c>
      <c r="AB1558" s="217">
        <v>0.154164</v>
      </c>
      <c r="AC1558" s="217">
        <v>0.24810399999999999</v>
      </c>
      <c r="AD1558" s="212">
        <f t="shared" si="24"/>
        <v>0</v>
      </c>
    </row>
    <row r="1559" spans="2:30" x14ac:dyDescent="0.15">
      <c r="B1559" s="213">
        <v>17031003858</v>
      </c>
      <c r="C1559" s="213">
        <v>17031001191</v>
      </c>
      <c r="D1559" s="213">
        <v>17031001196</v>
      </c>
      <c r="E1559" s="213" t="s">
        <v>533</v>
      </c>
      <c r="F1559" s="213" t="s">
        <v>534</v>
      </c>
      <c r="G1559" s="213" t="s">
        <v>365</v>
      </c>
      <c r="H1559" s="213" t="s">
        <v>577</v>
      </c>
      <c r="I1559" s="213"/>
      <c r="J1559" s="213"/>
      <c r="K1559" s="213"/>
      <c r="L1559" s="213"/>
      <c r="M1559" s="213"/>
      <c r="N1559" s="213"/>
      <c r="O1559" s="213"/>
      <c r="P1559" s="213"/>
      <c r="Q1559" s="213"/>
      <c r="R1559" s="213"/>
      <c r="S1559" s="213"/>
      <c r="T1559" s="213"/>
      <c r="U1559" s="213" t="s">
        <v>538</v>
      </c>
      <c r="V1559" s="213">
        <v>1</v>
      </c>
      <c r="W1559" s="213" t="s">
        <v>560</v>
      </c>
      <c r="X1559" s="213" t="s">
        <v>541</v>
      </c>
      <c r="Y1559" s="213" t="s">
        <v>541</v>
      </c>
      <c r="Z1559" s="212">
        <v>0</v>
      </c>
      <c r="AA1559" s="212">
        <v>0</v>
      </c>
      <c r="AB1559" s="217">
        <v>7.7882000000000007E-2</v>
      </c>
      <c r="AC1559" s="217">
        <v>0.12534000000000001</v>
      </c>
      <c r="AD1559" s="212">
        <f t="shared" si="24"/>
        <v>0</v>
      </c>
    </row>
    <row r="1560" spans="2:30" x14ac:dyDescent="0.15">
      <c r="B1560" s="213">
        <v>17031003894</v>
      </c>
      <c r="C1560" s="213">
        <v>17031000490</v>
      </c>
      <c r="D1560" s="213">
        <v>17031008300</v>
      </c>
      <c r="E1560" s="213" t="s">
        <v>533</v>
      </c>
      <c r="F1560" s="213" t="s">
        <v>534</v>
      </c>
      <c r="G1560" s="213" t="s">
        <v>365</v>
      </c>
      <c r="H1560" s="213" t="s">
        <v>382</v>
      </c>
      <c r="I1560" s="213"/>
      <c r="J1560" s="213"/>
      <c r="K1560" s="213"/>
      <c r="L1560" s="213"/>
      <c r="M1560" s="213"/>
      <c r="N1560" s="213"/>
      <c r="O1560" s="213"/>
      <c r="P1560" s="213"/>
      <c r="Q1560" s="213"/>
      <c r="R1560" s="213"/>
      <c r="S1560" s="213" t="s">
        <v>586</v>
      </c>
      <c r="T1560" s="213" t="s">
        <v>689</v>
      </c>
      <c r="U1560" s="213" t="s">
        <v>538</v>
      </c>
      <c r="V1560" s="213">
        <v>2</v>
      </c>
      <c r="W1560" s="213" t="s">
        <v>582</v>
      </c>
      <c r="X1560" s="213" t="s">
        <v>554</v>
      </c>
      <c r="Y1560" s="213" t="s">
        <v>549</v>
      </c>
      <c r="Z1560" s="212">
        <v>86234</v>
      </c>
      <c r="AA1560" s="212">
        <v>9510170</v>
      </c>
      <c r="AB1560" s="217">
        <v>1.11283</v>
      </c>
      <c r="AC1560" s="217">
        <v>1.7909310000000001</v>
      </c>
      <c r="AD1560" s="212">
        <f t="shared" si="24"/>
        <v>10583202.4811</v>
      </c>
    </row>
    <row r="1561" spans="2:30" x14ac:dyDescent="0.15">
      <c r="B1561" s="213">
        <v>17031003931</v>
      </c>
      <c r="C1561" s="213">
        <v>17031001098</v>
      </c>
      <c r="D1561" s="213">
        <v>17031001106</v>
      </c>
      <c r="E1561" s="213" t="s">
        <v>533</v>
      </c>
      <c r="F1561" s="213" t="s">
        <v>534</v>
      </c>
      <c r="G1561" s="213" t="s">
        <v>365</v>
      </c>
      <c r="H1561" s="213" t="s">
        <v>543</v>
      </c>
      <c r="I1561" s="213"/>
      <c r="J1561" s="213" t="s">
        <v>577</v>
      </c>
      <c r="K1561" s="213"/>
      <c r="L1561" s="213"/>
      <c r="M1561" s="213"/>
      <c r="N1561" s="213"/>
      <c r="O1561" s="213"/>
      <c r="P1561" s="213"/>
      <c r="Q1561" s="213"/>
      <c r="R1561" s="213"/>
      <c r="S1561" s="213" t="s">
        <v>604</v>
      </c>
      <c r="T1561" s="213"/>
      <c r="U1561" s="213" t="s">
        <v>538</v>
      </c>
      <c r="V1561" s="213">
        <v>1</v>
      </c>
      <c r="W1561" s="213" t="s">
        <v>545</v>
      </c>
      <c r="X1561" s="213" t="s">
        <v>554</v>
      </c>
      <c r="Y1561" s="213" t="s">
        <v>546</v>
      </c>
      <c r="Z1561" s="212">
        <v>4872</v>
      </c>
      <c r="AA1561" s="212">
        <v>434024</v>
      </c>
      <c r="AB1561" s="217">
        <v>6.7876000000000006E-2</v>
      </c>
      <c r="AC1561" s="217">
        <v>0.109237</v>
      </c>
      <c r="AD1561" s="212">
        <f t="shared" si="24"/>
        <v>29459.813024000003</v>
      </c>
    </row>
    <row r="1562" spans="2:30" x14ac:dyDescent="0.15">
      <c r="B1562" s="213">
        <v>17031003938</v>
      </c>
      <c r="C1562" s="213">
        <v>17031000783</v>
      </c>
      <c r="D1562" s="213">
        <v>17031000780</v>
      </c>
      <c r="E1562" s="213" t="s">
        <v>533</v>
      </c>
      <c r="F1562" s="213" t="s">
        <v>534</v>
      </c>
      <c r="G1562" s="213" t="s">
        <v>365</v>
      </c>
      <c r="H1562" s="213" t="s">
        <v>535</v>
      </c>
      <c r="I1562" s="213"/>
      <c r="J1562" s="213" t="s">
        <v>382</v>
      </c>
      <c r="K1562" s="213"/>
      <c r="L1562" s="213"/>
      <c r="M1562" s="213"/>
      <c r="N1562" s="213"/>
      <c r="O1562" s="213"/>
      <c r="P1562" s="213"/>
      <c r="Q1562" s="213"/>
      <c r="R1562" s="213"/>
      <c r="S1562" s="213"/>
      <c r="T1562" s="213"/>
      <c r="U1562" s="213" t="s">
        <v>538</v>
      </c>
      <c r="V1562" s="213">
        <v>1</v>
      </c>
      <c r="W1562" s="213" t="s">
        <v>560</v>
      </c>
      <c r="X1562" s="213" t="s">
        <v>541</v>
      </c>
      <c r="Y1562" s="213" t="s">
        <v>541</v>
      </c>
      <c r="Z1562" s="212">
        <v>292884</v>
      </c>
      <c r="AA1562" s="212">
        <v>16895447</v>
      </c>
      <c r="AB1562" s="217">
        <v>0.17064499999999999</v>
      </c>
      <c r="AC1562" s="217">
        <v>0.27462799999999998</v>
      </c>
      <c r="AD1562" s="212">
        <f t="shared" si="24"/>
        <v>2883123.5533149997</v>
      </c>
    </row>
    <row r="1563" spans="2:30" x14ac:dyDescent="0.15">
      <c r="B1563" s="213">
        <v>17031003980</v>
      </c>
      <c r="C1563" s="213">
        <v>17031000685</v>
      </c>
      <c r="D1563" s="213">
        <v>17031000679</v>
      </c>
      <c r="E1563" s="213" t="s">
        <v>533</v>
      </c>
      <c r="F1563" s="213" t="s">
        <v>534</v>
      </c>
      <c r="G1563" s="213" t="s">
        <v>365</v>
      </c>
      <c r="H1563" s="213" t="s">
        <v>543</v>
      </c>
      <c r="I1563" s="213"/>
      <c r="J1563" s="213" t="s">
        <v>542</v>
      </c>
      <c r="K1563" s="213" t="s">
        <v>547</v>
      </c>
      <c r="L1563" s="213" t="s">
        <v>382</v>
      </c>
      <c r="M1563" s="213"/>
      <c r="N1563" s="213"/>
      <c r="O1563" s="213"/>
      <c r="P1563" s="213"/>
      <c r="Q1563" s="213"/>
      <c r="R1563" s="213"/>
      <c r="S1563" s="213" t="s">
        <v>630</v>
      </c>
      <c r="T1563" s="213"/>
      <c r="U1563" s="213" t="s">
        <v>538</v>
      </c>
      <c r="V1563" s="213">
        <v>2</v>
      </c>
      <c r="W1563" s="213" t="s">
        <v>545</v>
      </c>
      <c r="X1563" s="213" t="s">
        <v>541</v>
      </c>
      <c r="Y1563" s="213" t="s">
        <v>540</v>
      </c>
      <c r="Z1563" s="212">
        <v>216776</v>
      </c>
      <c r="AA1563" s="212">
        <v>12327019</v>
      </c>
      <c r="AB1563" s="217">
        <v>0.151418</v>
      </c>
      <c r="AC1563" s="217">
        <v>0.24368400000000001</v>
      </c>
      <c r="AD1563" s="212">
        <f t="shared" si="24"/>
        <v>1866532.5629419999</v>
      </c>
    </row>
    <row r="1564" spans="2:30" x14ac:dyDescent="0.15">
      <c r="B1564" s="213">
        <v>17031004011</v>
      </c>
      <c r="C1564" s="213">
        <v>17031000582</v>
      </c>
      <c r="D1564" s="213">
        <v>17031000566</v>
      </c>
      <c r="E1564" s="213" t="s">
        <v>533</v>
      </c>
      <c r="F1564" s="213" t="s">
        <v>534</v>
      </c>
      <c r="G1564" s="213" t="s">
        <v>365</v>
      </c>
      <c r="H1564" s="213" t="s">
        <v>382</v>
      </c>
      <c r="I1564" s="213"/>
      <c r="J1564" s="213" t="s">
        <v>572</v>
      </c>
      <c r="K1564" s="213" t="s">
        <v>543</v>
      </c>
      <c r="L1564" s="213"/>
      <c r="M1564" s="213"/>
      <c r="N1564" s="213"/>
      <c r="O1564" s="213"/>
      <c r="P1564" s="213"/>
      <c r="Q1564" s="213"/>
      <c r="R1564" s="213"/>
      <c r="S1564" s="213" t="s">
        <v>609</v>
      </c>
      <c r="T1564" s="213"/>
      <c r="U1564" s="213" t="s">
        <v>538</v>
      </c>
      <c r="V1564" s="213">
        <v>1</v>
      </c>
      <c r="W1564" s="213" t="s">
        <v>539</v>
      </c>
      <c r="X1564" s="213" t="s">
        <v>554</v>
      </c>
      <c r="Y1564" s="213" t="s">
        <v>541</v>
      </c>
      <c r="Z1564" s="212">
        <v>0</v>
      </c>
      <c r="AA1564" s="212">
        <v>0</v>
      </c>
      <c r="AB1564" s="217">
        <v>0.35082099999999999</v>
      </c>
      <c r="AC1564" s="217">
        <v>0.56459300000000001</v>
      </c>
      <c r="AD1564" s="212">
        <f t="shared" si="24"/>
        <v>0</v>
      </c>
    </row>
    <row r="1565" spans="2:30" x14ac:dyDescent="0.15">
      <c r="B1565" s="213">
        <v>17031004015</v>
      </c>
      <c r="C1565" s="213">
        <v>17031000637</v>
      </c>
      <c r="D1565" s="213">
        <v>17031000683</v>
      </c>
      <c r="E1565" s="213" t="s">
        <v>533</v>
      </c>
      <c r="F1565" s="213" t="s">
        <v>534</v>
      </c>
      <c r="G1565" s="213" t="s">
        <v>365</v>
      </c>
      <c r="H1565" s="213" t="s">
        <v>644</v>
      </c>
      <c r="I1565" s="213"/>
      <c r="J1565" s="213"/>
      <c r="K1565" s="213"/>
      <c r="L1565" s="213"/>
      <c r="M1565" s="213"/>
      <c r="N1565" s="213"/>
      <c r="O1565" s="213"/>
      <c r="P1565" s="213"/>
      <c r="Q1565" s="213"/>
      <c r="R1565" s="213"/>
      <c r="S1565" s="213"/>
      <c r="T1565" s="213"/>
      <c r="U1565" s="213" t="s">
        <v>559</v>
      </c>
      <c r="V1565" s="213">
        <v>1</v>
      </c>
      <c r="W1565" s="213" t="s">
        <v>560</v>
      </c>
      <c r="X1565" s="213" t="s">
        <v>541</v>
      </c>
      <c r="Y1565" s="213" t="s">
        <v>541</v>
      </c>
      <c r="Z1565" s="212">
        <v>0</v>
      </c>
      <c r="AA1565" s="212">
        <v>0</v>
      </c>
      <c r="AB1565" s="217">
        <v>0.54106299999999996</v>
      </c>
      <c r="AC1565" s="217">
        <v>0.87075899999999995</v>
      </c>
      <c r="AD1565" s="212">
        <f t="shared" si="24"/>
        <v>0</v>
      </c>
    </row>
    <row r="1566" spans="2:30" x14ac:dyDescent="0.15">
      <c r="B1566" s="213">
        <v>17031004025</v>
      </c>
      <c r="C1566" s="213">
        <v>17031001421</v>
      </c>
      <c r="D1566" s="213">
        <v>17031004508</v>
      </c>
      <c r="E1566" s="213" t="s">
        <v>533</v>
      </c>
      <c r="F1566" s="213" t="s">
        <v>534</v>
      </c>
      <c r="G1566" s="213" t="s">
        <v>365</v>
      </c>
      <c r="H1566" s="213" t="s">
        <v>535</v>
      </c>
      <c r="I1566" s="213"/>
      <c r="J1566" s="213" t="s">
        <v>542</v>
      </c>
      <c r="K1566" s="213" t="s">
        <v>543</v>
      </c>
      <c r="L1566" s="213" t="s">
        <v>382</v>
      </c>
      <c r="M1566" s="213" t="s">
        <v>552</v>
      </c>
      <c r="N1566" s="213"/>
      <c r="O1566" s="213"/>
      <c r="P1566" s="213"/>
      <c r="Q1566" s="213"/>
      <c r="R1566" s="213"/>
      <c r="S1566" s="213" t="s">
        <v>544</v>
      </c>
      <c r="T1566" s="213"/>
      <c r="U1566" s="213" t="s">
        <v>538</v>
      </c>
      <c r="V1566" s="213">
        <v>2</v>
      </c>
      <c r="W1566" s="213" t="s">
        <v>545</v>
      </c>
      <c r="X1566" s="213" t="s">
        <v>549</v>
      </c>
      <c r="Y1566" s="213" t="s">
        <v>546</v>
      </c>
      <c r="Z1566" s="212">
        <v>447457</v>
      </c>
      <c r="AA1566" s="212">
        <v>22562296</v>
      </c>
      <c r="AB1566" s="217">
        <v>0.207679</v>
      </c>
      <c r="AC1566" s="217">
        <v>0.33422800000000003</v>
      </c>
      <c r="AD1566" s="212">
        <f t="shared" si="24"/>
        <v>4685715.0709840003</v>
      </c>
    </row>
    <row r="1567" spans="2:30" x14ac:dyDescent="0.15">
      <c r="B1567" s="213">
        <v>17031004027</v>
      </c>
      <c r="C1567" s="213">
        <v>17031000450</v>
      </c>
      <c r="D1567" s="213">
        <v>17031000471</v>
      </c>
      <c r="E1567" s="213" t="s">
        <v>533</v>
      </c>
      <c r="F1567" s="213" t="s">
        <v>534</v>
      </c>
      <c r="G1567" s="213" t="s">
        <v>365</v>
      </c>
      <c r="H1567" s="213" t="s">
        <v>590</v>
      </c>
      <c r="I1567" s="213"/>
      <c r="J1567" s="213"/>
      <c r="K1567" s="213"/>
      <c r="L1567" s="213"/>
      <c r="M1567" s="213"/>
      <c r="N1567" s="213"/>
      <c r="O1567" s="213"/>
      <c r="P1567" s="213"/>
      <c r="Q1567" s="213"/>
      <c r="R1567" s="213"/>
      <c r="S1567" s="213"/>
      <c r="T1567" s="213"/>
      <c r="U1567" s="213" t="s">
        <v>559</v>
      </c>
      <c r="V1567" s="213">
        <v>1</v>
      </c>
      <c r="W1567" s="213" t="s">
        <v>560</v>
      </c>
      <c r="X1567" s="213" t="s">
        <v>541</v>
      </c>
      <c r="Y1567" s="213" t="s">
        <v>541</v>
      </c>
      <c r="Z1567" s="212">
        <v>0</v>
      </c>
      <c r="AA1567" s="212">
        <v>0</v>
      </c>
      <c r="AB1567" s="217">
        <v>1.001339</v>
      </c>
      <c r="AC1567" s="217">
        <v>1.611502</v>
      </c>
      <c r="AD1567" s="212">
        <f t="shared" si="24"/>
        <v>0</v>
      </c>
    </row>
    <row r="1568" spans="2:30" x14ac:dyDescent="0.15">
      <c r="B1568" s="213">
        <v>17031004044</v>
      </c>
      <c r="C1568" s="213">
        <v>17031000453</v>
      </c>
      <c r="D1568" s="213">
        <v>17031000415</v>
      </c>
      <c r="E1568" s="213" t="s">
        <v>533</v>
      </c>
      <c r="F1568" s="213" t="s">
        <v>534</v>
      </c>
      <c r="G1568" s="213" t="s">
        <v>365</v>
      </c>
      <c r="H1568" s="213" t="s">
        <v>382</v>
      </c>
      <c r="I1568" s="213"/>
      <c r="J1568" s="213" t="s">
        <v>547</v>
      </c>
      <c r="K1568" s="213"/>
      <c r="L1568" s="213"/>
      <c r="M1568" s="213"/>
      <c r="N1568" s="213"/>
      <c r="O1568" s="213"/>
      <c r="P1568" s="213"/>
      <c r="Q1568" s="213"/>
      <c r="R1568" s="213"/>
      <c r="S1568" s="213" t="s">
        <v>608</v>
      </c>
      <c r="T1568" s="213"/>
      <c r="U1568" s="213" t="s">
        <v>538</v>
      </c>
      <c r="V1568" s="213">
        <v>3</v>
      </c>
      <c r="W1568" s="213" t="s">
        <v>566</v>
      </c>
      <c r="X1568" s="213" t="s">
        <v>540</v>
      </c>
      <c r="Y1568" s="213" t="s">
        <v>541</v>
      </c>
      <c r="Z1568" s="212">
        <v>0</v>
      </c>
      <c r="AA1568" s="212">
        <v>0</v>
      </c>
      <c r="AB1568" s="217">
        <v>1.8023469999999999</v>
      </c>
      <c r="AC1568" s="217">
        <v>2.9006020000000001</v>
      </c>
      <c r="AD1568" s="212">
        <f t="shared" si="24"/>
        <v>0</v>
      </c>
    </row>
    <row r="1569" spans="2:30" x14ac:dyDescent="0.15">
      <c r="B1569" s="213">
        <v>17031004127</v>
      </c>
      <c r="C1569" s="213">
        <v>17031000718</v>
      </c>
      <c r="D1569" s="213">
        <v>17031000712</v>
      </c>
      <c r="E1569" s="213" t="s">
        <v>533</v>
      </c>
      <c r="F1569" s="213" t="s">
        <v>534</v>
      </c>
      <c r="G1569" s="213" t="s">
        <v>365</v>
      </c>
      <c r="H1569" s="213" t="s">
        <v>381</v>
      </c>
      <c r="I1569" s="213"/>
      <c r="J1569" s="213"/>
      <c r="K1569" s="213"/>
      <c r="L1569" s="213"/>
      <c r="M1569" s="213"/>
      <c r="N1569" s="213"/>
      <c r="O1569" s="213"/>
      <c r="P1569" s="213"/>
      <c r="Q1569" s="213"/>
      <c r="R1569" s="213"/>
      <c r="S1569" s="213"/>
      <c r="T1569" s="213"/>
      <c r="U1569" s="213" t="s">
        <v>559</v>
      </c>
      <c r="V1569" s="213">
        <v>1</v>
      </c>
      <c r="W1569" s="213" t="s">
        <v>560</v>
      </c>
      <c r="X1569" s="213" t="s">
        <v>541</v>
      </c>
      <c r="Y1569" s="213" t="s">
        <v>541</v>
      </c>
      <c r="Z1569" s="212">
        <v>0</v>
      </c>
      <c r="AA1569" s="212">
        <v>0</v>
      </c>
      <c r="AB1569" s="217">
        <v>1.089594</v>
      </c>
      <c r="AC1569" s="217">
        <v>1.753536</v>
      </c>
      <c r="AD1569" s="212">
        <f t="shared" si="24"/>
        <v>0</v>
      </c>
    </row>
    <row r="1570" spans="2:30" x14ac:dyDescent="0.15">
      <c r="B1570" s="213">
        <v>17031004184</v>
      </c>
      <c r="C1570" s="213">
        <v>17031000691</v>
      </c>
      <c r="D1570" s="213">
        <v>17031000684</v>
      </c>
      <c r="E1570" s="213" t="s">
        <v>533</v>
      </c>
      <c r="F1570" s="213" t="s">
        <v>534</v>
      </c>
      <c r="G1570" s="213" t="s">
        <v>365</v>
      </c>
      <c r="H1570" s="213" t="s">
        <v>381</v>
      </c>
      <c r="I1570" s="213"/>
      <c r="J1570" s="213" t="s">
        <v>542</v>
      </c>
      <c r="K1570" s="213" t="s">
        <v>572</v>
      </c>
      <c r="L1570" s="213" t="s">
        <v>547</v>
      </c>
      <c r="M1570" s="213" t="s">
        <v>382</v>
      </c>
      <c r="N1570" s="213" t="s">
        <v>551</v>
      </c>
      <c r="O1570" s="213"/>
      <c r="P1570" s="213"/>
      <c r="Q1570" s="213"/>
      <c r="R1570" s="213"/>
      <c r="S1570" s="213" t="s">
        <v>579</v>
      </c>
      <c r="T1570" s="213"/>
      <c r="U1570" s="213" t="s">
        <v>538</v>
      </c>
      <c r="V1570" s="213">
        <v>4</v>
      </c>
      <c r="W1570" s="213" t="s">
        <v>545</v>
      </c>
      <c r="X1570" s="213" t="s">
        <v>540</v>
      </c>
      <c r="Y1570" s="213" t="s">
        <v>549</v>
      </c>
      <c r="Z1570" s="212">
        <v>120432</v>
      </c>
      <c r="AA1570" s="212">
        <v>8777707</v>
      </c>
      <c r="AB1570" s="217">
        <v>0.295792</v>
      </c>
      <c r="AC1570" s="217">
        <v>0.47603200000000001</v>
      </c>
      <c r="AD1570" s="212">
        <f t="shared" si="24"/>
        <v>2596375.5089440001</v>
      </c>
    </row>
    <row r="1571" spans="2:30" x14ac:dyDescent="0.15">
      <c r="B1571" s="213">
        <v>17031004236</v>
      </c>
      <c r="C1571" s="213">
        <v>17031001575</v>
      </c>
      <c r="D1571" s="213">
        <v>17031006632</v>
      </c>
      <c r="E1571" s="213" t="s">
        <v>533</v>
      </c>
      <c r="F1571" s="213" t="s">
        <v>534</v>
      </c>
      <c r="G1571" s="213" t="s">
        <v>365</v>
      </c>
      <c r="H1571" s="213" t="s">
        <v>382</v>
      </c>
      <c r="I1571" s="213"/>
      <c r="J1571" s="213"/>
      <c r="K1571" s="213"/>
      <c r="L1571" s="213"/>
      <c r="M1571" s="213"/>
      <c r="N1571" s="213"/>
      <c r="O1571" s="213"/>
      <c r="P1571" s="213"/>
      <c r="Q1571" s="213"/>
      <c r="R1571" s="213"/>
      <c r="S1571" s="213" t="s">
        <v>576</v>
      </c>
      <c r="T1571" s="213" t="s">
        <v>599</v>
      </c>
      <c r="U1571" s="213" t="s">
        <v>559</v>
      </c>
      <c r="V1571" s="213">
        <v>1</v>
      </c>
      <c r="W1571" s="213" t="s">
        <v>560</v>
      </c>
      <c r="X1571" s="213" t="s">
        <v>541</v>
      </c>
      <c r="Y1571" s="213" t="s">
        <v>541</v>
      </c>
      <c r="Z1571" s="212">
        <v>0</v>
      </c>
      <c r="AA1571" s="212">
        <v>0</v>
      </c>
      <c r="AB1571" s="217">
        <v>5.6807000000000003E-2</v>
      </c>
      <c r="AC1571" s="217">
        <v>9.1422000000000003E-2</v>
      </c>
      <c r="AD1571" s="212">
        <f t="shared" si="24"/>
        <v>0</v>
      </c>
    </row>
    <row r="1572" spans="2:30" x14ac:dyDescent="0.15">
      <c r="B1572" s="213">
        <v>17031004242</v>
      </c>
      <c r="C1572" s="213">
        <v>17031007665</v>
      </c>
      <c r="D1572" s="213">
        <v>17031001442</v>
      </c>
      <c r="E1572" s="213" t="s">
        <v>533</v>
      </c>
      <c r="F1572" s="213" t="s">
        <v>534</v>
      </c>
      <c r="G1572" s="213" t="s">
        <v>365</v>
      </c>
      <c r="H1572" s="213" t="s">
        <v>547</v>
      </c>
      <c r="I1572" s="213"/>
      <c r="J1572" s="213" t="s">
        <v>543</v>
      </c>
      <c r="K1572" s="213"/>
      <c r="L1572" s="213"/>
      <c r="M1572" s="213"/>
      <c r="N1572" s="213"/>
      <c r="O1572" s="213"/>
      <c r="P1572" s="213"/>
      <c r="Q1572" s="213"/>
      <c r="R1572" s="213"/>
      <c r="S1572" s="213" t="s">
        <v>602</v>
      </c>
      <c r="T1572" s="213"/>
      <c r="U1572" s="213" t="s">
        <v>538</v>
      </c>
      <c r="V1572" s="213">
        <v>1</v>
      </c>
      <c r="W1572" s="213" t="s">
        <v>582</v>
      </c>
      <c r="X1572" s="213" t="s">
        <v>540</v>
      </c>
      <c r="Y1572" s="213" t="s">
        <v>541</v>
      </c>
      <c r="Z1572" s="212">
        <v>520</v>
      </c>
      <c r="AA1572" s="212">
        <v>37800</v>
      </c>
      <c r="AB1572" s="217">
        <v>0.394453</v>
      </c>
      <c r="AC1572" s="217">
        <v>0.63481100000000001</v>
      </c>
      <c r="AD1572" s="212">
        <f t="shared" si="24"/>
        <v>14910.323399999999</v>
      </c>
    </row>
    <row r="1573" spans="2:30" x14ac:dyDescent="0.15">
      <c r="B1573" s="213">
        <v>17031004250</v>
      </c>
      <c r="C1573" s="213">
        <v>17031001562</v>
      </c>
      <c r="D1573" s="213">
        <v>17031007616</v>
      </c>
      <c r="E1573" s="213" t="s">
        <v>533</v>
      </c>
      <c r="F1573" s="213" t="s">
        <v>534</v>
      </c>
      <c r="G1573" s="213" t="s">
        <v>365</v>
      </c>
      <c r="H1573" s="213" t="s">
        <v>382</v>
      </c>
      <c r="I1573" s="213"/>
      <c r="J1573" s="213"/>
      <c r="K1573" s="213"/>
      <c r="L1573" s="213"/>
      <c r="M1573" s="213"/>
      <c r="N1573" s="213"/>
      <c r="O1573" s="213"/>
      <c r="P1573" s="213"/>
      <c r="Q1573" s="213"/>
      <c r="R1573" s="213"/>
      <c r="S1573" s="213" t="s">
        <v>576</v>
      </c>
      <c r="T1573" s="213"/>
      <c r="U1573" s="213" t="s">
        <v>559</v>
      </c>
      <c r="V1573" s="213">
        <v>1</v>
      </c>
      <c r="W1573" s="213" t="s">
        <v>560</v>
      </c>
      <c r="X1573" s="213" t="s">
        <v>541</v>
      </c>
      <c r="Y1573" s="213" t="s">
        <v>541</v>
      </c>
      <c r="Z1573" s="212">
        <v>0</v>
      </c>
      <c r="AA1573" s="212">
        <v>0</v>
      </c>
      <c r="AB1573" s="217">
        <v>0.376357</v>
      </c>
      <c r="AC1573" s="217">
        <v>0.60568900000000003</v>
      </c>
      <c r="AD1573" s="212">
        <f t="shared" si="24"/>
        <v>0</v>
      </c>
    </row>
    <row r="1574" spans="2:30" x14ac:dyDescent="0.15">
      <c r="B1574" s="213">
        <v>17031004272</v>
      </c>
      <c r="C1574" s="213">
        <v>17031000898</v>
      </c>
      <c r="D1574" s="213">
        <v>17031001006</v>
      </c>
      <c r="E1574" s="213" t="s">
        <v>533</v>
      </c>
      <c r="F1574" s="213" t="s">
        <v>534</v>
      </c>
      <c r="G1574" s="213" t="s">
        <v>365</v>
      </c>
      <c r="H1574" s="213" t="s">
        <v>547</v>
      </c>
      <c r="I1574" s="213"/>
      <c r="J1574" s="213" t="s">
        <v>542</v>
      </c>
      <c r="K1574" s="213" t="s">
        <v>543</v>
      </c>
      <c r="L1574" s="213" t="s">
        <v>382</v>
      </c>
      <c r="M1574" s="213"/>
      <c r="N1574" s="213"/>
      <c r="O1574" s="213"/>
      <c r="P1574" s="213"/>
      <c r="Q1574" s="213"/>
      <c r="R1574" s="213"/>
      <c r="S1574" s="213" t="s">
        <v>602</v>
      </c>
      <c r="T1574" s="213"/>
      <c r="U1574" s="213" t="s">
        <v>538</v>
      </c>
      <c r="V1574" s="213">
        <v>2</v>
      </c>
      <c r="W1574" s="213" t="s">
        <v>545</v>
      </c>
      <c r="X1574" s="213" t="s">
        <v>540</v>
      </c>
      <c r="Y1574" s="213" t="s">
        <v>540</v>
      </c>
      <c r="Z1574" s="212">
        <v>186774</v>
      </c>
      <c r="AA1574" s="212">
        <v>8926948</v>
      </c>
      <c r="AB1574" s="217">
        <v>1.664512</v>
      </c>
      <c r="AC1574" s="217">
        <v>2.6787770000000002</v>
      </c>
      <c r="AD1574" s="212">
        <f t="shared" si="24"/>
        <v>14859012.069375999</v>
      </c>
    </row>
    <row r="1575" spans="2:30" x14ac:dyDescent="0.15">
      <c r="B1575" s="213">
        <v>17031004274</v>
      </c>
      <c r="C1575" s="213">
        <v>17031000816</v>
      </c>
      <c r="D1575" s="213">
        <v>17031000804</v>
      </c>
      <c r="E1575" s="213" t="s">
        <v>533</v>
      </c>
      <c r="F1575" s="213" t="s">
        <v>534</v>
      </c>
      <c r="G1575" s="213" t="s">
        <v>365</v>
      </c>
      <c r="H1575" s="213" t="s">
        <v>543</v>
      </c>
      <c r="I1575" s="213"/>
      <c r="J1575" s="213" t="s">
        <v>542</v>
      </c>
      <c r="K1575" s="213" t="s">
        <v>547</v>
      </c>
      <c r="L1575" s="213" t="s">
        <v>382</v>
      </c>
      <c r="M1575" s="213"/>
      <c r="N1575" s="213"/>
      <c r="O1575" s="213"/>
      <c r="P1575" s="213"/>
      <c r="Q1575" s="213"/>
      <c r="R1575" s="213"/>
      <c r="S1575" s="213" t="s">
        <v>630</v>
      </c>
      <c r="T1575" s="213"/>
      <c r="U1575" s="213" t="s">
        <v>538</v>
      </c>
      <c r="V1575" s="213">
        <v>2</v>
      </c>
      <c r="W1575" s="213" t="s">
        <v>545</v>
      </c>
      <c r="X1575" s="213" t="s">
        <v>540</v>
      </c>
      <c r="Y1575" s="213" t="s">
        <v>549</v>
      </c>
      <c r="Z1575" s="212">
        <v>2141356</v>
      </c>
      <c r="AA1575" s="212">
        <v>65496801</v>
      </c>
      <c r="AB1575" s="217">
        <v>3.9274000000000003E-2</v>
      </c>
      <c r="AC1575" s="217">
        <v>6.3204999999999997E-2</v>
      </c>
      <c r="AD1575" s="212">
        <f t="shared" si="24"/>
        <v>2572321.3624740001</v>
      </c>
    </row>
    <row r="1576" spans="2:30" x14ac:dyDescent="0.15">
      <c r="B1576" s="213">
        <v>17031004275</v>
      </c>
      <c r="C1576" s="213">
        <v>17031000804</v>
      </c>
      <c r="D1576" s="213">
        <v>17031000810</v>
      </c>
      <c r="E1576" s="213" t="s">
        <v>533</v>
      </c>
      <c r="F1576" s="213" t="s">
        <v>534</v>
      </c>
      <c r="G1576" s="213" t="s">
        <v>365</v>
      </c>
      <c r="H1576" s="213" t="s">
        <v>547</v>
      </c>
      <c r="I1576" s="213"/>
      <c r="J1576" s="213" t="s">
        <v>543</v>
      </c>
      <c r="K1576" s="213" t="s">
        <v>382</v>
      </c>
      <c r="L1576" s="213"/>
      <c r="M1576" s="213"/>
      <c r="N1576" s="213"/>
      <c r="O1576" s="213"/>
      <c r="P1576" s="213"/>
      <c r="Q1576" s="213"/>
      <c r="R1576" s="213"/>
      <c r="S1576" s="213" t="s">
        <v>602</v>
      </c>
      <c r="T1576" s="213"/>
      <c r="U1576" s="213" t="s">
        <v>538</v>
      </c>
      <c r="V1576" s="213">
        <v>2</v>
      </c>
      <c r="W1576" s="213" t="s">
        <v>545</v>
      </c>
      <c r="X1576" s="213" t="s">
        <v>541</v>
      </c>
      <c r="Y1576" s="213" t="s">
        <v>549</v>
      </c>
      <c r="Z1576" s="212">
        <v>2035388</v>
      </c>
      <c r="AA1576" s="212">
        <v>59274326</v>
      </c>
      <c r="AB1576" s="217">
        <v>5.6675000000000003E-2</v>
      </c>
      <c r="AC1576" s="217">
        <v>9.1208999999999998E-2</v>
      </c>
      <c r="AD1576" s="212">
        <f t="shared" si="24"/>
        <v>3359372.4260500004</v>
      </c>
    </row>
    <row r="1577" spans="2:30" x14ac:dyDescent="0.15">
      <c r="B1577" s="213">
        <v>17031004281</v>
      </c>
      <c r="C1577" s="213">
        <v>17031000517</v>
      </c>
      <c r="D1577" s="213">
        <v>17031000636</v>
      </c>
      <c r="E1577" s="213" t="s">
        <v>533</v>
      </c>
      <c r="F1577" s="213" t="s">
        <v>534</v>
      </c>
      <c r="G1577" s="213" t="s">
        <v>365</v>
      </c>
      <c r="H1577" s="213" t="s">
        <v>571</v>
      </c>
      <c r="I1577" s="213"/>
      <c r="J1577" s="213" t="s">
        <v>552</v>
      </c>
      <c r="K1577" s="213" t="s">
        <v>551</v>
      </c>
      <c r="L1577" s="213" t="s">
        <v>563</v>
      </c>
      <c r="M1577" s="213"/>
      <c r="N1577" s="213"/>
      <c r="O1577" s="213"/>
      <c r="P1577" s="213"/>
      <c r="Q1577" s="213"/>
      <c r="R1577" s="213"/>
      <c r="S1577" s="213" t="s">
        <v>573</v>
      </c>
      <c r="T1577" s="213"/>
      <c r="U1577" s="213" t="s">
        <v>538</v>
      </c>
      <c r="V1577" s="213">
        <v>2</v>
      </c>
      <c r="W1577" s="213" t="s">
        <v>545</v>
      </c>
      <c r="X1577" s="213" t="s">
        <v>554</v>
      </c>
      <c r="Y1577" s="213" t="s">
        <v>546</v>
      </c>
      <c r="Z1577" s="212">
        <v>135172</v>
      </c>
      <c r="AA1577" s="212">
        <v>4660280</v>
      </c>
      <c r="AB1577" s="217">
        <v>2.215856</v>
      </c>
      <c r="AC1577" s="217">
        <v>3.5660820000000002</v>
      </c>
      <c r="AD1577" s="212">
        <f t="shared" si="24"/>
        <v>10326509.39968</v>
      </c>
    </row>
    <row r="1578" spans="2:30" x14ac:dyDescent="0.15">
      <c r="B1578" s="213">
        <v>17031004284</v>
      </c>
      <c r="C1578" s="213">
        <v>17031006638</v>
      </c>
      <c r="D1578" s="213">
        <v>17031000699</v>
      </c>
      <c r="E1578" s="213" t="s">
        <v>533</v>
      </c>
      <c r="F1578" s="213" t="s">
        <v>534</v>
      </c>
      <c r="G1578" s="213" t="s">
        <v>365</v>
      </c>
      <c r="H1578" s="213" t="s">
        <v>571</v>
      </c>
      <c r="I1578" s="213"/>
      <c r="J1578" s="213" t="s">
        <v>535</v>
      </c>
      <c r="K1578" s="213" t="s">
        <v>552</v>
      </c>
      <c r="L1578" s="213" t="s">
        <v>551</v>
      </c>
      <c r="M1578" s="213" t="s">
        <v>563</v>
      </c>
      <c r="N1578" s="213"/>
      <c r="O1578" s="213"/>
      <c r="P1578" s="213"/>
      <c r="Q1578" s="213"/>
      <c r="R1578" s="213"/>
      <c r="S1578" s="213" t="s">
        <v>573</v>
      </c>
      <c r="T1578" s="213" t="s">
        <v>612</v>
      </c>
      <c r="U1578" s="213" t="s">
        <v>538</v>
      </c>
      <c r="V1578" s="213">
        <v>2</v>
      </c>
      <c r="W1578" s="213" t="s">
        <v>545</v>
      </c>
      <c r="X1578" s="213" t="s">
        <v>554</v>
      </c>
      <c r="Y1578" s="213" t="s">
        <v>580</v>
      </c>
      <c r="Z1578" s="212">
        <v>136012</v>
      </c>
      <c r="AA1578" s="212">
        <v>4733400</v>
      </c>
      <c r="AB1578" s="217">
        <v>0.55068499999999998</v>
      </c>
      <c r="AC1578" s="217">
        <v>0.88624400000000003</v>
      </c>
      <c r="AD1578" s="212">
        <f t="shared" si="24"/>
        <v>2606612.3789999997</v>
      </c>
    </row>
    <row r="1579" spans="2:30" x14ac:dyDescent="0.15">
      <c r="B1579" s="213">
        <v>17031004544</v>
      </c>
      <c r="C1579" s="213">
        <v>17031001518</v>
      </c>
      <c r="D1579" s="213">
        <v>17031001519</v>
      </c>
      <c r="E1579" s="213" t="s">
        <v>533</v>
      </c>
      <c r="F1579" s="213" t="s">
        <v>534</v>
      </c>
      <c r="G1579" s="213" t="s">
        <v>365</v>
      </c>
      <c r="H1579" s="213" t="s">
        <v>382</v>
      </c>
      <c r="I1579" s="213"/>
      <c r="J1579" s="213"/>
      <c r="K1579" s="213"/>
      <c r="L1579" s="213"/>
      <c r="M1579" s="213"/>
      <c r="N1579" s="213"/>
      <c r="O1579" s="213"/>
      <c r="P1579" s="213"/>
      <c r="Q1579" s="213"/>
      <c r="R1579" s="213"/>
      <c r="S1579" s="213" t="s">
        <v>576</v>
      </c>
      <c r="T1579" s="213"/>
      <c r="U1579" s="213" t="s">
        <v>559</v>
      </c>
      <c r="V1579" s="213">
        <v>1</v>
      </c>
      <c r="W1579" s="213" t="s">
        <v>560</v>
      </c>
      <c r="X1579" s="213" t="s">
        <v>541</v>
      </c>
      <c r="Y1579" s="213" t="s">
        <v>541</v>
      </c>
      <c r="Z1579" s="212">
        <v>0</v>
      </c>
      <c r="AA1579" s="212">
        <v>0</v>
      </c>
      <c r="AB1579" s="217">
        <v>5.2263999999999998E-2</v>
      </c>
      <c r="AC1579" s="217">
        <v>8.4111000000000005E-2</v>
      </c>
      <c r="AD1579" s="212">
        <f t="shared" si="24"/>
        <v>0</v>
      </c>
    </row>
    <row r="1580" spans="2:30" x14ac:dyDescent="0.15">
      <c r="B1580" s="213">
        <v>17031004838</v>
      </c>
      <c r="C1580" s="213">
        <v>17031006725</v>
      </c>
      <c r="D1580" s="213">
        <v>17031006727</v>
      </c>
      <c r="E1580" s="213" t="s">
        <v>533</v>
      </c>
      <c r="F1580" s="213" t="s">
        <v>534</v>
      </c>
      <c r="G1580" s="213" t="s">
        <v>365</v>
      </c>
      <c r="H1580" s="213" t="s">
        <v>577</v>
      </c>
      <c r="I1580" s="213"/>
      <c r="J1580" s="213"/>
      <c r="K1580" s="213"/>
      <c r="L1580" s="213"/>
      <c r="M1580" s="213"/>
      <c r="N1580" s="213"/>
      <c r="O1580" s="213"/>
      <c r="P1580" s="213"/>
      <c r="Q1580" s="213"/>
      <c r="R1580" s="213"/>
      <c r="S1580" s="213"/>
      <c r="T1580" s="213"/>
      <c r="U1580" s="213" t="s">
        <v>559</v>
      </c>
      <c r="V1580" s="213">
        <v>1</v>
      </c>
      <c r="W1580" s="213" t="s">
        <v>560</v>
      </c>
      <c r="X1580" s="213" t="s">
        <v>541</v>
      </c>
      <c r="Y1580" s="213" t="s">
        <v>541</v>
      </c>
      <c r="Z1580" s="212">
        <v>0</v>
      </c>
      <c r="AA1580" s="212">
        <v>0</v>
      </c>
      <c r="AB1580" s="217">
        <v>0.108917</v>
      </c>
      <c r="AC1580" s="217">
        <v>0.175285</v>
      </c>
      <c r="AD1580" s="212">
        <f t="shared" si="24"/>
        <v>0</v>
      </c>
    </row>
    <row r="1581" spans="2:30" x14ac:dyDescent="0.15">
      <c r="B1581" s="213">
        <v>17031005304</v>
      </c>
      <c r="C1581" s="213">
        <v>17031000701</v>
      </c>
      <c r="D1581" s="213">
        <v>17031000702</v>
      </c>
      <c r="E1581" s="213" t="s">
        <v>533</v>
      </c>
      <c r="F1581" s="213" t="s">
        <v>534</v>
      </c>
      <c r="G1581" s="213" t="s">
        <v>365</v>
      </c>
      <c r="H1581" s="213" t="s">
        <v>381</v>
      </c>
      <c r="I1581" s="213"/>
      <c r="J1581" s="213"/>
      <c r="K1581" s="213"/>
      <c r="L1581" s="213"/>
      <c r="M1581" s="213"/>
      <c r="N1581" s="213"/>
      <c r="O1581" s="213"/>
      <c r="P1581" s="213"/>
      <c r="Q1581" s="213"/>
      <c r="R1581" s="213"/>
      <c r="S1581" s="213"/>
      <c r="T1581" s="213"/>
      <c r="U1581" s="213" t="s">
        <v>559</v>
      </c>
      <c r="V1581" s="213">
        <v>1</v>
      </c>
      <c r="W1581" s="213" t="s">
        <v>560</v>
      </c>
      <c r="X1581" s="213" t="s">
        <v>541</v>
      </c>
      <c r="Y1581" s="213" t="s">
        <v>541</v>
      </c>
      <c r="Z1581" s="212">
        <v>0</v>
      </c>
      <c r="AA1581" s="212">
        <v>0</v>
      </c>
      <c r="AB1581" s="217">
        <v>0.25811499999999998</v>
      </c>
      <c r="AC1581" s="217">
        <v>0.41539599999999999</v>
      </c>
      <c r="AD1581" s="212">
        <f t="shared" si="24"/>
        <v>0</v>
      </c>
    </row>
    <row r="1582" spans="2:30" x14ac:dyDescent="0.15">
      <c r="B1582" s="213">
        <v>17031005344</v>
      </c>
      <c r="C1582" s="213">
        <v>17031000298</v>
      </c>
      <c r="D1582" s="213">
        <v>17031000299</v>
      </c>
      <c r="E1582" s="213" t="s">
        <v>533</v>
      </c>
      <c r="F1582" s="213" t="s">
        <v>534</v>
      </c>
      <c r="G1582" s="213" t="s">
        <v>365</v>
      </c>
      <c r="H1582" s="213" t="s">
        <v>382</v>
      </c>
      <c r="I1582" s="213"/>
      <c r="J1582" s="213" t="s">
        <v>535</v>
      </c>
      <c r="K1582" s="213" t="s">
        <v>547</v>
      </c>
      <c r="L1582" s="213"/>
      <c r="M1582" s="213"/>
      <c r="N1582" s="213"/>
      <c r="O1582" s="213"/>
      <c r="P1582" s="213"/>
      <c r="Q1582" s="213"/>
      <c r="R1582" s="213"/>
      <c r="S1582" s="213" t="s">
        <v>608</v>
      </c>
      <c r="T1582" s="213"/>
      <c r="U1582" s="213" t="s">
        <v>538</v>
      </c>
      <c r="V1582" s="213">
        <v>1</v>
      </c>
      <c r="W1582" s="213" t="s">
        <v>560</v>
      </c>
      <c r="X1582" s="213" t="s">
        <v>541</v>
      </c>
      <c r="Y1582" s="213" t="s">
        <v>541</v>
      </c>
      <c r="Z1582" s="212">
        <v>1440</v>
      </c>
      <c r="AA1582" s="212">
        <v>131520</v>
      </c>
      <c r="AB1582" s="217">
        <v>0.14291200000000001</v>
      </c>
      <c r="AC1582" s="217">
        <v>0.22999600000000001</v>
      </c>
      <c r="AD1582" s="212">
        <f t="shared" si="24"/>
        <v>18795.786240000001</v>
      </c>
    </row>
    <row r="1583" spans="2:30" x14ac:dyDescent="0.15">
      <c r="B1583" s="213">
        <v>17031005459</v>
      </c>
      <c r="C1583" s="213">
        <v>17031001293</v>
      </c>
      <c r="D1583" s="213">
        <v>17031004697</v>
      </c>
      <c r="E1583" s="213" t="s">
        <v>533</v>
      </c>
      <c r="F1583" s="213" t="s">
        <v>534</v>
      </c>
      <c r="G1583" s="213" t="s">
        <v>365</v>
      </c>
      <c r="H1583" s="213" t="s">
        <v>547</v>
      </c>
      <c r="I1583" s="213"/>
      <c r="J1583" s="213" t="s">
        <v>577</v>
      </c>
      <c r="K1583" s="213" t="s">
        <v>615</v>
      </c>
      <c r="L1583" s="213"/>
      <c r="M1583" s="213"/>
      <c r="N1583" s="213"/>
      <c r="O1583" s="213"/>
      <c r="P1583" s="213"/>
      <c r="Q1583" s="213"/>
      <c r="R1583" s="213"/>
      <c r="S1583" s="213" t="s">
        <v>581</v>
      </c>
      <c r="T1583" s="213"/>
      <c r="U1583" s="213" t="s">
        <v>538</v>
      </c>
      <c r="V1583" s="213">
        <v>2</v>
      </c>
      <c r="W1583" s="213" t="s">
        <v>582</v>
      </c>
      <c r="X1583" s="213" t="s">
        <v>540</v>
      </c>
      <c r="Y1583" s="213" t="s">
        <v>541</v>
      </c>
      <c r="Z1583" s="212">
        <v>0</v>
      </c>
      <c r="AA1583" s="212">
        <v>0</v>
      </c>
      <c r="AB1583" s="217">
        <v>0.56481800000000004</v>
      </c>
      <c r="AC1583" s="217">
        <v>0.90898900000000005</v>
      </c>
      <c r="AD1583" s="212">
        <f t="shared" si="24"/>
        <v>0</v>
      </c>
    </row>
    <row r="1584" spans="2:30" x14ac:dyDescent="0.15">
      <c r="B1584" s="213">
        <v>17031005466</v>
      </c>
      <c r="C1584" s="213">
        <v>17031000937</v>
      </c>
      <c r="D1584" s="213">
        <v>17031000959</v>
      </c>
      <c r="E1584" s="213" t="s">
        <v>533</v>
      </c>
      <c r="F1584" s="213" t="s">
        <v>534</v>
      </c>
      <c r="G1584" s="213" t="s">
        <v>365</v>
      </c>
      <c r="H1584" s="213" t="s">
        <v>571</v>
      </c>
      <c r="I1584" s="213"/>
      <c r="J1584" s="213"/>
      <c r="K1584" s="213"/>
      <c r="L1584" s="213"/>
      <c r="M1584" s="213"/>
      <c r="N1584" s="213"/>
      <c r="O1584" s="213"/>
      <c r="P1584" s="213"/>
      <c r="Q1584" s="213"/>
      <c r="R1584" s="213"/>
      <c r="S1584" s="213" t="s">
        <v>693</v>
      </c>
      <c r="T1584" s="213"/>
      <c r="U1584" s="213" t="s">
        <v>559</v>
      </c>
      <c r="V1584" s="213">
        <v>1</v>
      </c>
      <c r="W1584" s="213" t="s">
        <v>560</v>
      </c>
      <c r="X1584" s="213" t="s">
        <v>541</v>
      </c>
      <c r="Y1584" s="213" t="s">
        <v>541</v>
      </c>
      <c r="Z1584" s="212">
        <v>0</v>
      </c>
      <c r="AA1584" s="212">
        <v>0</v>
      </c>
      <c r="AB1584" s="217">
        <v>0.80945299999999998</v>
      </c>
      <c r="AC1584" s="217">
        <v>1.302691</v>
      </c>
      <c r="AD1584" s="212">
        <f t="shared" si="24"/>
        <v>0</v>
      </c>
    </row>
    <row r="1585" spans="2:30" x14ac:dyDescent="0.15">
      <c r="B1585" s="213">
        <v>17031005505</v>
      </c>
      <c r="C1585" s="213">
        <v>17031000721</v>
      </c>
      <c r="D1585" s="213">
        <v>17031000716</v>
      </c>
      <c r="E1585" s="213" t="s">
        <v>533</v>
      </c>
      <c r="F1585" s="213" t="s">
        <v>534</v>
      </c>
      <c r="G1585" s="213" t="s">
        <v>365</v>
      </c>
      <c r="H1585" s="213" t="s">
        <v>571</v>
      </c>
      <c r="I1585" s="213"/>
      <c r="J1585" s="213" t="s">
        <v>381</v>
      </c>
      <c r="K1585" s="213"/>
      <c r="L1585" s="213"/>
      <c r="M1585" s="213"/>
      <c r="N1585" s="213"/>
      <c r="O1585" s="213"/>
      <c r="P1585" s="213"/>
      <c r="Q1585" s="213"/>
      <c r="R1585" s="213"/>
      <c r="S1585" s="213"/>
      <c r="T1585" s="213"/>
      <c r="U1585" s="213" t="s">
        <v>538</v>
      </c>
      <c r="V1585" s="213">
        <v>1</v>
      </c>
      <c r="W1585" s="213" t="s">
        <v>560</v>
      </c>
      <c r="X1585" s="213" t="s">
        <v>541</v>
      </c>
      <c r="Y1585" s="213" t="s">
        <v>541</v>
      </c>
      <c r="Z1585" s="212">
        <v>0</v>
      </c>
      <c r="AA1585" s="212">
        <v>0</v>
      </c>
      <c r="AB1585" s="217">
        <v>0.78609399999999996</v>
      </c>
      <c r="AC1585" s="217">
        <v>1.2650980000000001</v>
      </c>
      <c r="AD1585" s="212">
        <f t="shared" si="24"/>
        <v>0</v>
      </c>
    </row>
    <row r="1586" spans="2:30" x14ac:dyDescent="0.15">
      <c r="B1586" s="213">
        <v>17031005604</v>
      </c>
      <c r="C1586" s="213">
        <v>17031000545</v>
      </c>
      <c r="D1586" s="213">
        <v>17031000543</v>
      </c>
      <c r="E1586" s="213" t="s">
        <v>533</v>
      </c>
      <c r="F1586" s="213" t="s">
        <v>534</v>
      </c>
      <c r="G1586" s="213" t="s">
        <v>365</v>
      </c>
      <c r="H1586" s="213" t="s">
        <v>382</v>
      </c>
      <c r="I1586" s="213"/>
      <c r="J1586" s="213"/>
      <c r="K1586" s="213"/>
      <c r="L1586" s="213"/>
      <c r="M1586" s="213"/>
      <c r="N1586" s="213"/>
      <c r="O1586" s="213"/>
      <c r="P1586" s="213"/>
      <c r="Q1586" s="213"/>
      <c r="R1586" s="213"/>
      <c r="S1586" s="213"/>
      <c r="T1586" s="213" t="s">
        <v>626</v>
      </c>
      <c r="U1586" s="213" t="s">
        <v>559</v>
      </c>
      <c r="V1586" s="213">
        <v>1</v>
      </c>
      <c r="W1586" s="213" t="s">
        <v>539</v>
      </c>
      <c r="X1586" s="213" t="s">
        <v>541</v>
      </c>
      <c r="Y1586" s="213" t="s">
        <v>541</v>
      </c>
      <c r="Z1586" s="212">
        <v>0</v>
      </c>
      <c r="AA1586" s="212">
        <v>0</v>
      </c>
      <c r="AB1586" s="217">
        <v>0.21937699999999999</v>
      </c>
      <c r="AC1586" s="217">
        <v>0.35305399999999998</v>
      </c>
      <c r="AD1586" s="212">
        <f t="shared" si="24"/>
        <v>0</v>
      </c>
    </row>
    <row r="1587" spans="2:30" x14ac:dyDescent="0.15">
      <c r="B1587" s="213">
        <v>17031005731</v>
      </c>
      <c r="C1587" s="213">
        <v>17031000823</v>
      </c>
      <c r="D1587" s="213">
        <v>17031000875</v>
      </c>
      <c r="E1587" s="213" t="s">
        <v>533</v>
      </c>
      <c r="F1587" s="213" t="s">
        <v>534</v>
      </c>
      <c r="G1587" s="213" t="s">
        <v>365</v>
      </c>
      <c r="H1587" s="213" t="s">
        <v>543</v>
      </c>
      <c r="I1587" s="213"/>
      <c r="J1587" s="213" t="s">
        <v>542</v>
      </c>
      <c r="K1587" s="213"/>
      <c r="L1587" s="213"/>
      <c r="M1587" s="213"/>
      <c r="N1587" s="213"/>
      <c r="O1587" s="213"/>
      <c r="P1587" s="213"/>
      <c r="Q1587" s="213"/>
      <c r="R1587" s="213"/>
      <c r="S1587" s="213" t="s">
        <v>630</v>
      </c>
      <c r="T1587" s="213" t="s">
        <v>659</v>
      </c>
      <c r="U1587" s="213" t="s">
        <v>538</v>
      </c>
      <c r="V1587" s="213">
        <v>2</v>
      </c>
      <c r="W1587" s="213" t="s">
        <v>545</v>
      </c>
      <c r="X1587" s="213" t="s">
        <v>540</v>
      </c>
      <c r="Y1587" s="213" t="s">
        <v>546</v>
      </c>
      <c r="Z1587" s="212">
        <v>1962622</v>
      </c>
      <c r="AA1587" s="212">
        <v>56698813</v>
      </c>
      <c r="AB1587" s="217">
        <v>1.0068330000000001</v>
      </c>
      <c r="AC1587" s="217">
        <v>1.620344</v>
      </c>
      <c r="AD1587" s="212">
        <f t="shared" si="24"/>
        <v>57086235.989229009</v>
      </c>
    </row>
    <row r="1588" spans="2:30" x14ac:dyDescent="0.15">
      <c r="B1588" s="213">
        <v>17031005841</v>
      </c>
      <c r="C1588" s="213">
        <v>17031000700</v>
      </c>
      <c r="D1588" s="213">
        <v>17031000696</v>
      </c>
      <c r="E1588" s="213" t="s">
        <v>533</v>
      </c>
      <c r="F1588" s="213" t="s">
        <v>534</v>
      </c>
      <c r="G1588" s="213" t="s">
        <v>365</v>
      </c>
      <c r="H1588" s="213" t="s">
        <v>381</v>
      </c>
      <c r="I1588" s="213"/>
      <c r="J1588" s="213"/>
      <c r="K1588" s="213"/>
      <c r="L1588" s="213"/>
      <c r="M1588" s="213"/>
      <c r="N1588" s="213"/>
      <c r="O1588" s="213"/>
      <c r="P1588" s="213"/>
      <c r="Q1588" s="213"/>
      <c r="R1588" s="213"/>
      <c r="S1588" s="213"/>
      <c r="T1588" s="213"/>
      <c r="U1588" s="213" t="s">
        <v>559</v>
      </c>
      <c r="V1588" s="213">
        <v>1</v>
      </c>
      <c r="W1588" s="213" t="s">
        <v>560</v>
      </c>
      <c r="X1588" s="213" t="s">
        <v>541</v>
      </c>
      <c r="Y1588" s="213" t="s">
        <v>541</v>
      </c>
      <c r="Z1588" s="212">
        <v>0</v>
      </c>
      <c r="AA1588" s="212">
        <v>0</v>
      </c>
      <c r="AB1588" s="217">
        <v>5.5292000000000001E-2</v>
      </c>
      <c r="AC1588" s="217">
        <v>8.8983999999999994E-2</v>
      </c>
      <c r="AD1588" s="212">
        <f t="shared" si="24"/>
        <v>0</v>
      </c>
    </row>
    <row r="1589" spans="2:30" x14ac:dyDescent="0.15">
      <c r="B1589" s="213">
        <v>17031006093</v>
      </c>
      <c r="C1589" s="213">
        <v>17031000669</v>
      </c>
      <c r="D1589" s="213">
        <v>17031000708</v>
      </c>
      <c r="E1589" s="213" t="s">
        <v>533</v>
      </c>
      <c r="F1589" s="213" t="s">
        <v>534</v>
      </c>
      <c r="G1589" s="213" t="s">
        <v>365</v>
      </c>
      <c r="H1589" s="213" t="s">
        <v>644</v>
      </c>
      <c r="I1589" s="213"/>
      <c r="J1589" s="213"/>
      <c r="K1589" s="213"/>
      <c r="L1589" s="213"/>
      <c r="M1589" s="213"/>
      <c r="N1589" s="213"/>
      <c r="O1589" s="213"/>
      <c r="P1589" s="213"/>
      <c r="Q1589" s="213"/>
      <c r="R1589" s="213"/>
      <c r="S1589" s="213"/>
      <c r="T1589" s="213"/>
      <c r="U1589" s="213" t="s">
        <v>559</v>
      </c>
      <c r="V1589" s="213">
        <v>1</v>
      </c>
      <c r="W1589" s="213" t="s">
        <v>560</v>
      </c>
      <c r="X1589" s="213" t="s">
        <v>541</v>
      </c>
      <c r="Y1589" s="213" t="s">
        <v>541</v>
      </c>
      <c r="Z1589" s="212">
        <v>0</v>
      </c>
      <c r="AA1589" s="212">
        <v>0</v>
      </c>
      <c r="AB1589" s="217">
        <v>0.65022199999999997</v>
      </c>
      <c r="AC1589" s="217">
        <v>1.0464329999999999</v>
      </c>
      <c r="AD1589" s="212">
        <f t="shared" si="24"/>
        <v>0</v>
      </c>
    </row>
    <row r="1590" spans="2:30" x14ac:dyDescent="0.15">
      <c r="B1590" s="213">
        <v>17031006134</v>
      </c>
      <c r="C1590" s="213">
        <v>17031000656</v>
      </c>
      <c r="D1590" s="213">
        <v>17031000657</v>
      </c>
      <c r="E1590" s="213" t="s">
        <v>533</v>
      </c>
      <c r="F1590" s="213" t="s">
        <v>534</v>
      </c>
      <c r="G1590" s="213" t="s">
        <v>365</v>
      </c>
      <c r="H1590" s="213" t="s">
        <v>382</v>
      </c>
      <c r="I1590" s="213"/>
      <c r="J1590" s="213" t="s">
        <v>572</v>
      </c>
      <c r="K1590" s="213"/>
      <c r="L1590" s="213"/>
      <c r="M1590" s="213"/>
      <c r="N1590" s="213"/>
      <c r="O1590" s="213"/>
      <c r="P1590" s="213"/>
      <c r="Q1590" s="213"/>
      <c r="R1590" s="213"/>
      <c r="S1590" s="213" t="s">
        <v>609</v>
      </c>
      <c r="T1590" s="213"/>
      <c r="U1590" s="213" t="s">
        <v>538</v>
      </c>
      <c r="V1590" s="213">
        <v>1</v>
      </c>
      <c r="W1590" s="213" t="s">
        <v>539</v>
      </c>
      <c r="X1590" s="213" t="s">
        <v>541</v>
      </c>
      <c r="Y1590" s="213" t="s">
        <v>540</v>
      </c>
      <c r="Z1590" s="212">
        <v>606706</v>
      </c>
      <c r="AA1590" s="212">
        <v>23117499</v>
      </c>
      <c r="AB1590" s="217">
        <v>0.183695</v>
      </c>
      <c r="AC1590" s="217">
        <v>0.29562899999999998</v>
      </c>
      <c r="AD1590" s="212">
        <f t="shared" si="24"/>
        <v>4246568.978805</v>
      </c>
    </row>
    <row r="1591" spans="2:30" x14ac:dyDescent="0.15">
      <c r="B1591" s="213">
        <v>17031006145</v>
      </c>
      <c r="C1591" s="213">
        <v>17031000746</v>
      </c>
      <c r="D1591" s="213">
        <v>17031000772</v>
      </c>
      <c r="E1591" s="213" t="s">
        <v>533</v>
      </c>
      <c r="F1591" s="213" t="s">
        <v>534</v>
      </c>
      <c r="G1591" s="213" t="s">
        <v>365</v>
      </c>
      <c r="H1591" s="213" t="s">
        <v>551</v>
      </c>
      <c r="I1591" s="213"/>
      <c r="J1591" s="213"/>
      <c r="K1591" s="213"/>
      <c r="L1591" s="213"/>
      <c r="M1591" s="213"/>
      <c r="N1591" s="213"/>
      <c r="O1591" s="213"/>
      <c r="P1591" s="213"/>
      <c r="Q1591" s="213"/>
      <c r="R1591" s="213"/>
      <c r="S1591" s="213" t="s">
        <v>600</v>
      </c>
      <c r="T1591" s="213"/>
      <c r="U1591" s="213" t="s">
        <v>538</v>
      </c>
      <c r="V1591" s="213">
        <v>2</v>
      </c>
      <c r="W1591" s="213" t="s">
        <v>582</v>
      </c>
      <c r="X1591" s="213" t="s">
        <v>554</v>
      </c>
      <c r="Y1591" s="213" t="s">
        <v>549</v>
      </c>
      <c r="Z1591" s="212">
        <v>174623</v>
      </c>
      <c r="AA1591" s="212">
        <v>7596917</v>
      </c>
      <c r="AB1591" s="217">
        <v>0.32191500000000001</v>
      </c>
      <c r="AC1591" s="217">
        <v>0.51807300000000001</v>
      </c>
      <c r="AD1591" s="212">
        <f t="shared" si="24"/>
        <v>2445561.536055</v>
      </c>
    </row>
    <row r="1592" spans="2:30" x14ac:dyDescent="0.15">
      <c r="B1592" s="213">
        <v>17031006160</v>
      </c>
      <c r="C1592" s="213">
        <v>17031001498</v>
      </c>
      <c r="D1592" s="213">
        <v>17031001516</v>
      </c>
      <c r="E1592" s="213" t="s">
        <v>533</v>
      </c>
      <c r="F1592" s="213" t="s">
        <v>534</v>
      </c>
      <c r="G1592" s="213" t="s">
        <v>365</v>
      </c>
      <c r="H1592" s="213" t="s">
        <v>382</v>
      </c>
      <c r="I1592" s="213"/>
      <c r="J1592" s="213"/>
      <c r="K1592" s="213"/>
      <c r="L1592" s="213"/>
      <c r="M1592" s="213"/>
      <c r="N1592" s="213"/>
      <c r="O1592" s="213"/>
      <c r="P1592" s="213"/>
      <c r="Q1592" s="213"/>
      <c r="R1592" s="213"/>
      <c r="S1592" s="213" t="s">
        <v>576</v>
      </c>
      <c r="T1592" s="213"/>
      <c r="U1592" s="213" t="s">
        <v>559</v>
      </c>
      <c r="V1592" s="213">
        <v>1</v>
      </c>
      <c r="W1592" s="213" t="s">
        <v>560</v>
      </c>
      <c r="X1592" s="213" t="s">
        <v>541</v>
      </c>
      <c r="Y1592" s="213" t="s">
        <v>541</v>
      </c>
      <c r="Z1592" s="212">
        <v>0</v>
      </c>
      <c r="AA1592" s="212">
        <v>0</v>
      </c>
      <c r="AB1592" s="217">
        <v>0.31131799999999998</v>
      </c>
      <c r="AC1592" s="217">
        <v>0.50101899999999999</v>
      </c>
      <c r="AD1592" s="212">
        <f t="shared" si="24"/>
        <v>0</v>
      </c>
    </row>
    <row r="1593" spans="2:30" x14ac:dyDescent="0.15">
      <c r="B1593" s="213">
        <v>17031006174</v>
      </c>
      <c r="C1593" s="213">
        <v>17031000680</v>
      </c>
      <c r="D1593" s="213">
        <v>17031000677</v>
      </c>
      <c r="E1593" s="213" t="s">
        <v>533</v>
      </c>
      <c r="F1593" s="213" t="s">
        <v>534</v>
      </c>
      <c r="G1593" s="213" t="s">
        <v>365</v>
      </c>
      <c r="H1593" s="213" t="s">
        <v>551</v>
      </c>
      <c r="I1593" s="213"/>
      <c r="J1593" s="213"/>
      <c r="K1593" s="213"/>
      <c r="L1593" s="213"/>
      <c r="M1593" s="213"/>
      <c r="N1593" s="213"/>
      <c r="O1593" s="213"/>
      <c r="P1593" s="213"/>
      <c r="Q1593" s="213"/>
      <c r="R1593" s="213"/>
      <c r="S1593" s="213"/>
      <c r="T1593" s="213"/>
      <c r="U1593" s="213" t="s">
        <v>538</v>
      </c>
      <c r="V1593" s="213">
        <v>1</v>
      </c>
      <c r="W1593" s="213" t="s">
        <v>560</v>
      </c>
      <c r="X1593" s="213" t="s">
        <v>541</v>
      </c>
      <c r="Y1593" s="213" t="s">
        <v>541</v>
      </c>
      <c r="Z1593" s="212">
        <v>0</v>
      </c>
      <c r="AA1593" s="212">
        <v>0</v>
      </c>
      <c r="AB1593" s="217">
        <v>4.2894000000000002E-2</v>
      </c>
      <c r="AC1593" s="217">
        <v>6.9030999999999995E-2</v>
      </c>
      <c r="AD1593" s="212">
        <f t="shared" si="24"/>
        <v>0</v>
      </c>
    </row>
    <row r="1594" spans="2:30" x14ac:dyDescent="0.15">
      <c r="B1594" s="213">
        <v>17031006187</v>
      </c>
      <c r="C1594" s="213">
        <v>17031001097</v>
      </c>
      <c r="D1594" s="213">
        <v>17031001113</v>
      </c>
      <c r="E1594" s="213" t="s">
        <v>533</v>
      </c>
      <c r="F1594" s="213" t="s">
        <v>534</v>
      </c>
      <c r="G1594" s="213" t="s">
        <v>365</v>
      </c>
      <c r="H1594" s="213" t="s">
        <v>571</v>
      </c>
      <c r="I1594" s="213"/>
      <c r="J1594" s="213" t="s">
        <v>572</v>
      </c>
      <c r="K1594" s="213" t="s">
        <v>543</v>
      </c>
      <c r="L1594" s="213"/>
      <c r="M1594" s="213"/>
      <c r="N1594" s="213"/>
      <c r="O1594" s="213"/>
      <c r="P1594" s="213"/>
      <c r="Q1594" s="213"/>
      <c r="R1594" s="213"/>
      <c r="S1594" s="213" t="s">
        <v>573</v>
      </c>
      <c r="T1594" s="213"/>
      <c r="U1594" s="213" t="s">
        <v>538</v>
      </c>
      <c r="V1594" s="213">
        <v>1</v>
      </c>
      <c r="W1594" s="213" t="s">
        <v>545</v>
      </c>
      <c r="X1594" s="213" t="s">
        <v>554</v>
      </c>
      <c r="Y1594" s="213" t="s">
        <v>554</v>
      </c>
      <c r="Z1594" s="212">
        <v>9140</v>
      </c>
      <c r="AA1594" s="212">
        <v>946068</v>
      </c>
      <c r="AB1594" s="217">
        <v>8.7989999999999999E-2</v>
      </c>
      <c r="AC1594" s="217">
        <v>0.14160700000000001</v>
      </c>
      <c r="AD1594" s="212">
        <f t="shared" si="24"/>
        <v>83244.523319999993</v>
      </c>
    </row>
    <row r="1595" spans="2:30" x14ac:dyDescent="0.15">
      <c r="B1595" s="213">
        <v>17031006191</v>
      </c>
      <c r="C1595" s="213">
        <v>17031001113</v>
      </c>
      <c r="D1595" s="213">
        <v>17031001098</v>
      </c>
      <c r="E1595" s="213" t="s">
        <v>533</v>
      </c>
      <c r="F1595" s="213" t="s">
        <v>534</v>
      </c>
      <c r="G1595" s="213" t="s">
        <v>365</v>
      </c>
      <c r="H1595" s="213" t="s">
        <v>543</v>
      </c>
      <c r="I1595" s="213"/>
      <c r="J1595" s="213" t="s">
        <v>577</v>
      </c>
      <c r="K1595" s="213"/>
      <c r="L1595" s="213"/>
      <c r="M1595" s="213"/>
      <c r="N1595" s="213"/>
      <c r="O1595" s="213"/>
      <c r="P1595" s="213"/>
      <c r="Q1595" s="213"/>
      <c r="R1595" s="213"/>
      <c r="S1595" s="213" t="s">
        <v>604</v>
      </c>
      <c r="T1595" s="213"/>
      <c r="U1595" s="213" t="s">
        <v>538</v>
      </c>
      <c r="V1595" s="213">
        <v>1</v>
      </c>
      <c r="W1595" s="213" t="s">
        <v>545</v>
      </c>
      <c r="X1595" s="213" t="s">
        <v>554</v>
      </c>
      <c r="Y1595" s="213" t="s">
        <v>546</v>
      </c>
      <c r="Z1595" s="212">
        <v>4872</v>
      </c>
      <c r="AA1595" s="212">
        <v>434024</v>
      </c>
      <c r="AB1595" s="217">
        <v>7.7578999999999995E-2</v>
      </c>
      <c r="AC1595" s="217">
        <v>0.124852</v>
      </c>
      <c r="AD1595" s="212">
        <f t="shared" si="24"/>
        <v>33671.147895999995</v>
      </c>
    </row>
    <row r="1596" spans="2:30" x14ac:dyDescent="0.15">
      <c r="B1596" s="213">
        <v>17031006238</v>
      </c>
      <c r="C1596" s="213">
        <v>17031000568</v>
      </c>
      <c r="D1596" s="213">
        <v>17031000575</v>
      </c>
      <c r="E1596" s="213" t="s">
        <v>533</v>
      </c>
      <c r="F1596" s="213" t="s">
        <v>534</v>
      </c>
      <c r="G1596" s="213" t="s">
        <v>365</v>
      </c>
      <c r="H1596" s="213" t="s">
        <v>382</v>
      </c>
      <c r="I1596" s="213"/>
      <c r="J1596" s="213"/>
      <c r="K1596" s="213"/>
      <c r="L1596" s="213"/>
      <c r="M1596" s="213"/>
      <c r="N1596" s="213"/>
      <c r="O1596" s="213"/>
      <c r="P1596" s="213"/>
      <c r="Q1596" s="213"/>
      <c r="R1596" s="213"/>
      <c r="S1596" s="213" t="s">
        <v>646</v>
      </c>
      <c r="T1596" s="213"/>
      <c r="U1596" s="213" t="s">
        <v>559</v>
      </c>
      <c r="V1596" s="213">
        <v>1</v>
      </c>
      <c r="W1596" s="213" t="s">
        <v>560</v>
      </c>
      <c r="X1596" s="213" t="s">
        <v>541</v>
      </c>
      <c r="Y1596" s="213" t="s">
        <v>541</v>
      </c>
      <c r="Z1596" s="212">
        <v>0</v>
      </c>
      <c r="AA1596" s="212">
        <v>0</v>
      </c>
      <c r="AB1596" s="217">
        <v>0.40781200000000001</v>
      </c>
      <c r="AC1596" s="217">
        <v>0.65631200000000001</v>
      </c>
      <c r="AD1596" s="212">
        <f t="shared" si="24"/>
        <v>0</v>
      </c>
    </row>
    <row r="1597" spans="2:30" x14ac:dyDescent="0.15">
      <c r="B1597" s="213">
        <v>17031006310</v>
      </c>
      <c r="C1597" s="213">
        <v>17031000958</v>
      </c>
      <c r="D1597" s="213">
        <v>17031000874</v>
      </c>
      <c r="E1597" s="213" t="s">
        <v>533</v>
      </c>
      <c r="F1597" s="213" t="s">
        <v>534</v>
      </c>
      <c r="G1597" s="213" t="s">
        <v>365</v>
      </c>
      <c r="H1597" s="213" t="s">
        <v>547</v>
      </c>
      <c r="I1597" s="213"/>
      <c r="J1597" s="213" t="s">
        <v>627</v>
      </c>
      <c r="K1597" s="213"/>
      <c r="L1597" s="213"/>
      <c r="M1597" s="213"/>
      <c r="N1597" s="213"/>
      <c r="O1597" s="213"/>
      <c r="P1597" s="213"/>
      <c r="Q1597" s="213"/>
      <c r="R1597" s="213"/>
      <c r="S1597" s="213"/>
      <c r="T1597" s="213"/>
      <c r="U1597" s="213" t="s">
        <v>538</v>
      </c>
      <c r="V1597" s="213">
        <v>4</v>
      </c>
      <c r="W1597" s="213" t="s">
        <v>545</v>
      </c>
      <c r="X1597" s="213" t="s">
        <v>540</v>
      </c>
      <c r="Y1597" s="213" t="s">
        <v>541</v>
      </c>
      <c r="Z1597" s="212">
        <v>0</v>
      </c>
      <c r="AA1597" s="212">
        <v>0</v>
      </c>
      <c r="AB1597" s="217">
        <v>2.0032640000000002</v>
      </c>
      <c r="AC1597" s="217">
        <v>3.2239469999999999</v>
      </c>
      <c r="AD1597" s="212">
        <f t="shared" si="24"/>
        <v>0</v>
      </c>
    </row>
    <row r="1598" spans="2:30" x14ac:dyDescent="0.15">
      <c r="B1598" s="213">
        <v>17031006316</v>
      </c>
      <c r="C1598" s="213">
        <v>17031004621</v>
      </c>
      <c r="D1598" s="213">
        <v>17031000496</v>
      </c>
      <c r="E1598" s="213" t="s">
        <v>533</v>
      </c>
      <c r="F1598" s="213" t="s">
        <v>534</v>
      </c>
      <c r="G1598" s="213" t="s">
        <v>365</v>
      </c>
      <c r="H1598" s="213" t="s">
        <v>552</v>
      </c>
      <c r="I1598" s="213"/>
      <c r="J1598" s="213" t="s">
        <v>542</v>
      </c>
      <c r="K1598" s="213" t="s">
        <v>547</v>
      </c>
      <c r="L1598" s="213"/>
      <c r="M1598" s="213"/>
      <c r="N1598" s="213"/>
      <c r="O1598" s="213"/>
      <c r="P1598" s="213"/>
      <c r="Q1598" s="213"/>
      <c r="R1598" s="213"/>
      <c r="S1598" s="213" t="s">
        <v>564</v>
      </c>
      <c r="T1598" s="213"/>
      <c r="U1598" s="213" t="s">
        <v>538</v>
      </c>
      <c r="V1598" s="213">
        <v>3</v>
      </c>
      <c r="W1598" s="213" t="s">
        <v>545</v>
      </c>
      <c r="X1598" s="213" t="s">
        <v>540</v>
      </c>
      <c r="Y1598" s="213" t="s">
        <v>541</v>
      </c>
      <c r="Z1598" s="212">
        <v>31044</v>
      </c>
      <c r="AA1598" s="212">
        <v>1434376</v>
      </c>
      <c r="AB1598" s="217">
        <v>3.3359E-2</v>
      </c>
      <c r="AC1598" s="217">
        <v>5.3684999999999997E-2</v>
      </c>
      <c r="AD1598" s="212">
        <f t="shared" si="24"/>
        <v>47849.348983999997</v>
      </c>
    </row>
    <row r="1599" spans="2:30" x14ac:dyDescent="0.15">
      <c r="B1599" s="213">
        <v>17031006332</v>
      </c>
      <c r="C1599" s="213">
        <v>17031004576</v>
      </c>
      <c r="D1599" s="213">
        <v>17031000258</v>
      </c>
      <c r="E1599" s="213" t="s">
        <v>533</v>
      </c>
      <c r="F1599" s="213" t="s">
        <v>534</v>
      </c>
      <c r="G1599" s="213" t="s">
        <v>365</v>
      </c>
      <c r="H1599" s="213" t="s">
        <v>382</v>
      </c>
      <c r="I1599" s="213"/>
      <c r="J1599" s="213" t="s">
        <v>547</v>
      </c>
      <c r="K1599" s="213"/>
      <c r="L1599" s="213"/>
      <c r="M1599" s="213"/>
      <c r="N1599" s="213"/>
      <c r="O1599" s="213"/>
      <c r="P1599" s="213"/>
      <c r="Q1599" s="213"/>
      <c r="R1599" s="213"/>
      <c r="S1599" s="213" t="s">
        <v>565</v>
      </c>
      <c r="T1599" s="213"/>
      <c r="U1599" s="213" t="s">
        <v>538</v>
      </c>
      <c r="V1599" s="213">
        <v>2</v>
      </c>
      <c r="W1599" s="213" t="s">
        <v>566</v>
      </c>
      <c r="X1599" s="213" t="s">
        <v>549</v>
      </c>
      <c r="Y1599" s="213" t="s">
        <v>541</v>
      </c>
      <c r="Z1599" s="212">
        <v>0</v>
      </c>
      <c r="AA1599" s="212">
        <v>0</v>
      </c>
      <c r="AB1599" s="217">
        <v>0.426591</v>
      </c>
      <c r="AC1599" s="217">
        <v>0.68653299999999995</v>
      </c>
      <c r="AD1599" s="212">
        <f t="shared" si="24"/>
        <v>0</v>
      </c>
    </row>
    <row r="1600" spans="2:30" x14ac:dyDescent="0.15">
      <c r="B1600" s="213">
        <v>17031006374</v>
      </c>
      <c r="C1600" s="213">
        <v>17031004665</v>
      </c>
      <c r="D1600" s="213">
        <v>17031000663</v>
      </c>
      <c r="E1600" s="213" t="s">
        <v>533</v>
      </c>
      <c r="F1600" s="213" t="s">
        <v>534</v>
      </c>
      <c r="G1600" s="213" t="s">
        <v>365</v>
      </c>
      <c r="H1600" s="213" t="s">
        <v>381</v>
      </c>
      <c r="I1600" s="213"/>
      <c r="J1600" s="213" t="s">
        <v>542</v>
      </c>
      <c r="K1600" s="213" t="s">
        <v>577</v>
      </c>
      <c r="L1600" s="213" t="s">
        <v>572</v>
      </c>
      <c r="M1600" s="213" t="s">
        <v>547</v>
      </c>
      <c r="N1600" s="213" t="s">
        <v>382</v>
      </c>
      <c r="O1600" s="213"/>
      <c r="P1600" s="213"/>
      <c r="Q1600" s="213"/>
      <c r="R1600" s="213"/>
      <c r="S1600" s="213" t="s">
        <v>579</v>
      </c>
      <c r="T1600" s="213"/>
      <c r="U1600" s="213" t="s">
        <v>538</v>
      </c>
      <c r="V1600" s="213">
        <v>4</v>
      </c>
      <c r="W1600" s="213" t="s">
        <v>545</v>
      </c>
      <c r="X1600" s="213" t="s">
        <v>540</v>
      </c>
      <c r="Y1600" s="213" t="s">
        <v>549</v>
      </c>
      <c r="Z1600" s="212">
        <v>120272</v>
      </c>
      <c r="AA1600" s="212">
        <v>8757787</v>
      </c>
      <c r="AB1600" s="217">
        <v>2.1704000000000001E-2</v>
      </c>
      <c r="AC1600" s="217">
        <v>3.4929000000000002E-2</v>
      </c>
      <c r="AD1600" s="212">
        <f t="shared" si="24"/>
        <v>190079.00904800001</v>
      </c>
    </row>
    <row r="1601" spans="2:30" x14ac:dyDescent="0.15">
      <c r="B1601" s="213">
        <v>17031006376</v>
      </c>
      <c r="C1601" s="213">
        <v>17031000885</v>
      </c>
      <c r="D1601" s="213">
        <v>17031000901</v>
      </c>
      <c r="E1601" s="213" t="s">
        <v>533</v>
      </c>
      <c r="F1601" s="213" t="s">
        <v>534</v>
      </c>
      <c r="G1601" s="213" t="s">
        <v>365</v>
      </c>
      <c r="H1601" s="213" t="s">
        <v>557</v>
      </c>
      <c r="I1601" s="213"/>
      <c r="J1601" s="213" t="s">
        <v>381</v>
      </c>
      <c r="K1601" s="213" t="s">
        <v>382</v>
      </c>
      <c r="L1601" s="213"/>
      <c r="M1601" s="213"/>
      <c r="N1601" s="213"/>
      <c r="O1601" s="213"/>
      <c r="P1601" s="213"/>
      <c r="Q1601" s="213"/>
      <c r="R1601" s="213"/>
      <c r="S1601" s="213"/>
      <c r="T1601" s="213"/>
      <c r="U1601" s="213" t="s">
        <v>538</v>
      </c>
      <c r="V1601" s="213">
        <v>1</v>
      </c>
      <c r="W1601" s="213" t="s">
        <v>560</v>
      </c>
      <c r="X1601" s="213" t="s">
        <v>541</v>
      </c>
      <c r="Y1601" s="213" t="s">
        <v>541</v>
      </c>
      <c r="Z1601" s="212">
        <v>0</v>
      </c>
      <c r="AA1601" s="212">
        <v>0</v>
      </c>
      <c r="AB1601" s="217">
        <v>3.0856000000000001E-2</v>
      </c>
      <c r="AC1601" s="217">
        <v>4.9658000000000001E-2</v>
      </c>
      <c r="AD1601" s="212">
        <f t="shared" si="24"/>
        <v>0</v>
      </c>
    </row>
    <row r="1602" spans="2:30" x14ac:dyDescent="0.15">
      <c r="B1602" s="213">
        <v>17031006440</v>
      </c>
      <c r="C1602" s="213">
        <v>17031004738</v>
      </c>
      <c r="D1602" s="213">
        <v>17031001276</v>
      </c>
      <c r="E1602" s="213" t="s">
        <v>533</v>
      </c>
      <c r="F1602" s="213" t="s">
        <v>534</v>
      </c>
      <c r="G1602" s="213" t="s">
        <v>365</v>
      </c>
      <c r="H1602" s="213" t="s">
        <v>543</v>
      </c>
      <c r="I1602" s="213"/>
      <c r="J1602" s="213"/>
      <c r="K1602" s="213"/>
      <c r="L1602" s="213"/>
      <c r="M1602" s="213"/>
      <c r="N1602" s="213"/>
      <c r="O1602" s="213"/>
      <c r="P1602" s="213"/>
      <c r="Q1602" s="213"/>
      <c r="R1602" s="213"/>
      <c r="S1602" s="213" t="s">
        <v>604</v>
      </c>
      <c r="T1602" s="213"/>
      <c r="U1602" s="213" t="s">
        <v>538</v>
      </c>
      <c r="V1602" s="213">
        <v>2</v>
      </c>
      <c r="W1602" s="213" t="s">
        <v>545</v>
      </c>
      <c r="X1602" s="213" t="s">
        <v>554</v>
      </c>
      <c r="Y1602" s="213" t="s">
        <v>546</v>
      </c>
      <c r="Z1602" s="212">
        <v>4872</v>
      </c>
      <c r="AA1602" s="212">
        <v>434024</v>
      </c>
      <c r="AB1602" s="217">
        <v>0.37386000000000003</v>
      </c>
      <c r="AC1602" s="217">
        <v>0.60167099999999996</v>
      </c>
      <c r="AD1602" s="212">
        <f t="shared" si="24"/>
        <v>162264.21264000001</v>
      </c>
    </row>
    <row r="1603" spans="2:30" x14ac:dyDescent="0.15">
      <c r="B1603" s="213">
        <v>17031006484</v>
      </c>
      <c r="C1603" s="213">
        <v>17031001361</v>
      </c>
      <c r="D1603" s="213">
        <v>17031004746</v>
      </c>
      <c r="E1603" s="213" t="s">
        <v>533</v>
      </c>
      <c r="F1603" s="213" t="s">
        <v>534</v>
      </c>
      <c r="G1603" s="213" t="s">
        <v>365</v>
      </c>
      <c r="H1603" s="213" t="s">
        <v>551</v>
      </c>
      <c r="I1603" s="213"/>
      <c r="J1603" s="213"/>
      <c r="K1603" s="213"/>
      <c r="L1603" s="213"/>
      <c r="M1603" s="213"/>
      <c r="N1603" s="213"/>
      <c r="O1603" s="213"/>
      <c r="P1603" s="213"/>
      <c r="Q1603" s="213"/>
      <c r="R1603" s="213"/>
      <c r="S1603" s="213" t="s">
        <v>603</v>
      </c>
      <c r="T1603" s="213"/>
      <c r="U1603" s="213" t="s">
        <v>538</v>
      </c>
      <c r="V1603" s="213">
        <v>2</v>
      </c>
      <c r="W1603" s="213" t="s">
        <v>545</v>
      </c>
      <c r="X1603" s="213" t="s">
        <v>540</v>
      </c>
      <c r="Y1603" s="213" t="s">
        <v>575</v>
      </c>
      <c r="Z1603" s="212">
        <v>1433453</v>
      </c>
      <c r="AA1603" s="212">
        <v>55038236</v>
      </c>
      <c r="AB1603" s="217">
        <v>9.7070000000000004E-2</v>
      </c>
      <c r="AC1603" s="217">
        <v>0.15622</v>
      </c>
      <c r="AD1603" s="212">
        <f t="shared" si="24"/>
        <v>5342561.5685200002</v>
      </c>
    </row>
    <row r="1604" spans="2:30" x14ac:dyDescent="0.15">
      <c r="B1604" s="213">
        <v>17031006520</v>
      </c>
      <c r="C1604" s="213">
        <v>17031001101</v>
      </c>
      <c r="D1604" s="213">
        <v>17031001115</v>
      </c>
      <c r="E1604" s="213" t="s">
        <v>533</v>
      </c>
      <c r="F1604" s="213" t="s">
        <v>534</v>
      </c>
      <c r="G1604" s="213" t="s">
        <v>365</v>
      </c>
      <c r="H1604" s="213" t="s">
        <v>571</v>
      </c>
      <c r="I1604" s="213"/>
      <c r="J1604" s="213"/>
      <c r="K1604" s="213"/>
      <c r="L1604" s="213"/>
      <c r="M1604" s="213"/>
      <c r="N1604" s="213"/>
      <c r="O1604" s="213"/>
      <c r="P1604" s="213"/>
      <c r="Q1604" s="213"/>
      <c r="R1604" s="213"/>
      <c r="S1604" s="213" t="s">
        <v>573</v>
      </c>
      <c r="T1604" s="213"/>
      <c r="U1604" s="213" t="s">
        <v>538</v>
      </c>
      <c r="V1604" s="213">
        <v>1</v>
      </c>
      <c r="W1604" s="213" t="s">
        <v>545</v>
      </c>
      <c r="X1604" s="213" t="s">
        <v>541</v>
      </c>
      <c r="Y1604" s="213" t="s">
        <v>546</v>
      </c>
      <c r="Z1604" s="212">
        <v>0</v>
      </c>
      <c r="AA1604" s="212">
        <v>0</v>
      </c>
      <c r="AB1604" s="217">
        <v>0.18854499999999999</v>
      </c>
      <c r="AC1604" s="217">
        <v>0.30343399999999998</v>
      </c>
      <c r="AD1604" s="212">
        <f t="shared" si="24"/>
        <v>0</v>
      </c>
    </row>
    <row r="1605" spans="2:30" x14ac:dyDescent="0.15">
      <c r="B1605" s="213">
        <v>17031006521</v>
      </c>
      <c r="C1605" s="213">
        <v>17031001120</v>
      </c>
      <c r="D1605" s="213">
        <v>17031001133</v>
      </c>
      <c r="E1605" s="213" t="s">
        <v>533</v>
      </c>
      <c r="F1605" s="213" t="s">
        <v>534</v>
      </c>
      <c r="G1605" s="213" t="s">
        <v>365</v>
      </c>
      <c r="H1605" s="213" t="s">
        <v>577</v>
      </c>
      <c r="I1605" s="213"/>
      <c r="J1605" s="213"/>
      <c r="K1605" s="213"/>
      <c r="L1605" s="213"/>
      <c r="M1605" s="213"/>
      <c r="N1605" s="213"/>
      <c r="O1605" s="213"/>
      <c r="P1605" s="213"/>
      <c r="Q1605" s="213"/>
      <c r="R1605" s="213"/>
      <c r="S1605" s="213"/>
      <c r="T1605" s="213"/>
      <c r="U1605" s="213" t="s">
        <v>538</v>
      </c>
      <c r="V1605" s="213">
        <v>1</v>
      </c>
      <c r="W1605" s="213" t="s">
        <v>560</v>
      </c>
      <c r="X1605" s="213" t="s">
        <v>541</v>
      </c>
      <c r="Y1605" s="213" t="s">
        <v>541</v>
      </c>
      <c r="Z1605" s="212">
        <v>40</v>
      </c>
      <c r="AA1605" s="212">
        <v>3440</v>
      </c>
      <c r="AB1605" s="217">
        <v>0.38375100000000001</v>
      </c>
      <c r="AC1605" s="217">
        <v>0.61758800000000003</v>
      </c>
      <c r="AD1605" s="212">
        <f t="shared" si="24"/>
        <v>1320.1034400000001</v>
      </c>
    </row>
    <row r="1606" spans="2:30" x14ac:dyDescent="0.15">
      <c r="B1606" s="213">
        <v>17031008547</v>
      </c>
      <c r="C1606" s="213">
        <v>17031007032</v>
      </c>
      <c r="D1606" s="213">
        <v>17031001380</v>
      </c>
      <c r="E1606" s="213" t="s">
        <v>533</v>
      </c>
      <c r="F1606" s="213" t="s">
        <v>534</v>
      </c>
      <c r="G1606" s="213" t="s">
        <v>365</v>
      </c>
      <c r="H1606" s="213" t="s">
        <v>557</v>
      </c>
      <c r="I1606" s="213"/>
      <c r="J1606" s="213"/>
      <c r="K1606" s="213"/>
      <c r="L1606" s="213"/>
      <c r="M1606" s="213"/>
      <c r="N1606" s="213"/>
      <c r="O1606" s="213"/>
      <c r="P1606" s="213"/>
      <c r="Q1606" s="213"/>
      <c r="R1606" s="213"/>
      <c r="S1606" s="213" t="s">
        <v>567</v>
      </c>
      <c r="T1606" s="213" t="s">
        <v>568</v>
      </c>
      <c r="U1606" s="213" t="s">
        <v>559</v>
      </c>
      <c r="V1606" s="213">
        <v>1</v>
      </c>
      <c r="W1606" s="213" t="s">
        <v>560</v>
      </c>
      <c r="X1606" s="213" t="s">
        <v>541</v>
      </c>
      <c r="Y1606" s="213" t="s">
        <v>541</v>
      </c>
      <c r="Z1606" s="212">
        <v>40</v>
      </c>
      <c r="AA1606" s="212">
        <v>3520</v>
      </c>
      <c r="AB1606" s="217">
        <v>3.2052999999999998E-2</v>
      </c>
      <c r="AC1606" s="217">
        <v>5.1584999999999999E-2</v>
      </c>
      <c r="AD1606" s="212">
        <f t="shared" ref="AD1606:AD1670" si="25">AA1606*AB1606</f>
        <v>112.82656</v>
      </c>
    </row>
    <row r="1607" spans="2:30" x14ac:dyDescent="0.15">
      <c r="B1607" s="213">
        <v>17031008721</v>
      </c>
      <c r="C1607" s="213">
        <v>17031006778</v>
      </c>
      <c r="D1607" s="213">
        <v>17031001024</v>
      </c>
      <c r="E1607" s="213" t="s">
        <v>533</v>
      </c>
      <c r="F1607" s="213" t="s">
        <v>534</v>
      </c>
      <c r="G1607" s="213" t="s">
        <v>365</v>
      </c>
      <c r="H1607" s="213" t="s">
        <v>571</v>
      </c>
      <c r="I1607" s="213"/>
      <c r="J1607" s="213" t="s">
        <v>552</v>
      </c>
      <c r="K1607" s="213" t="s">
        <v>572</v>
      </c>
      <c r="L1607" s="213" t="s">
        <v>551</v>
      </c>
      <c r="M1607" s="213" t="s">
        <v>555</v>
      </c>
      <c r="N1607" s="213" t="s">
        <v>543</v>
      </c>
      <c r="O1607" s="213" t="s">
        <v>382</v>
      </c>
      <c r="P1607" s="213" t="s">
        <v>535</v>
      </c>
      <c r="Q1607" s="213" t="s">
        <v>381</v>
      </c>
      <c r="R1607" s="213"/>
      <c r="S1607" s="213" t="s">
        <v>573</v>
      </c>
      <c r="T1607" s="213" t="s">
        <v>677</v>
      </c>
      <c r="U1607" s="213" t="s">
        <v>538</v>
      </c>
      <c r="V1607" s="213">
        <v>2</v>
      </c>
      <c r="W1607" s="213" t="s">
        <v>545</v>
      </c>
      <c r="X1607" s="213" t="s">
        <v>554</v>
      </c>
      <c r="Y1607" s="213" t="s">
        <v>580</v>
      </c>
      <c r="Z1607" s="212">
        <v>368851</v>
      </c>
      <c r="AA1607" s="212">
        <v>16478945</v>
      </c>
      <c r="AB1607" s="217">
        <v>2.3147999999999998E-2</v>
      </c>
      <c r="AC1607" s="217">
        <v>3.7253000000000001E-2</v>
      </c>
      <c r="AD1607" s="212">
        <f t="shared" si="25"/>
        <v>381454.61885999999</v>
      </c>
    </row>
    <row r="1608" spans="2:30" x14ac:dyDescent="0.15">
      <c r="B1608" s="213">
        <v>17031009671</v>
      </c>
      <c r="C1608" s="213">
        <v>17031007754</v>
      </c>
      <c r="D1608" s="213">
        <v>17031004601</v>
      </c>
      <c r="E1608" s="213" t="s">
        <v>533</v>
      </c>
      <c r="F1608" s="213" t="s">
        <v>534</v>
      </c>
      <c r="G1608" s="213" t="s">
        <v>365</v>
      </c>
      <c r="H1608" s="213" t="s">
        <v>382</v>
      </c>
      <c r="I1608" s="213"/>
      <c r="J1608" s="213" t="s">
        <v>535</v>
      </c>
      <c r="K1608" s="213" t="s">
        <v>547</v>
      </c>
      <c r="L1608" s="213"/>
      <c r="M1608" s="213"/>
      <c r="N1608" s="213"/>
      <c r="O1608" s="213"/>
      <c r="P1608" s="213"/>
      <c r="Q1608" s="213"/>
      <c r="R1608" s="213"/>
      <c r="S1608" s="213" t="s">
        <v>608</v>
      </c>
      <c r="T1608" s="213"/>
      <c r="U1608" s="213" t="s">
        <v>538</v>
      </c>
      <c r="V1608" s="213">
        <v>3</v>
      </c>
      <c r="W1608" s="213" t="s">
        <v>566</v>
      </c>
      <c r="X1608" s="213" t="s">
        <v>549</v>
      </c>
      <c r="Y1608" s="213" t="s">
        <v>549</v>
      </c>
      <c r="Z1608" s="212">
        <v>10871</v>
      </c>
      <c r="AA1608" s="212">
        <v>957328</v>
      </c>
      <c r="AB1608" s="217">
        <v>0.58747400000000005</v>
      </c>
      <c r="AC1608" s="217">
        <v>0.94544899999999998</v>
      </c>
      <c r="AD1608" s="212">
        <f t="shared" si="25"/>
        <v>562405.30947199999</v>
      </c>
    </row>
    <row r="1609" spans="2:30" x14ac:dyDescent="0.15">
      <c r="B1609" s="213">
        <v>17043002228</v>
      </c>
      <c r="C1609" s="213">
        <v>17043004769</v>
      </c>
      <c r="D1609" s="213">
        <v>17043004768</v>
      </c>
      <c r="E1609" s="213" t="s">
        <v>533</v>
      </c>
      <c r="F1609" s="213" t="s">
        <v>534</v>
      </c>
      <c r="G1609" s="213" t="s">
        <v>367</v>
      </c>
      <c r="H1609" s="213" t="s">
        <v>552</v>
      </c>
      <c r="I1609" s="213"/>
      <c r="J1609" s="213" t="s">
        <v>547</v>
      </c>
      <c r="K1609" s="213"/>
      <c r="L1609" s="213"/>
      <c r="M1609" s="213"/>
      <c r="N1609" s="213"/>
      <c r="O1609" s="213"/>
      <c r="P1609" s="213"/>
      <c r="Q1609" s="213"/>
      <c r="R1609" s="213"/>
      <c r="S1609" s="213" t="s">
        <v>589</v>
      </c>
      <c r="T1609" s="213"/>
      <c r="U1609" s="213" t="s">
        <v>538</v>
      </c>
      <c r="V1609" s="213">
        <v>2</v>
      </c>
      <c r="W1609" s="213" t="s">
        <v>545</v>
      </c>
      <c r="X1609" s="213" t="s">
        <v>549</v>
      </c>
      <c r="Y1609" s="213" t="s">
        <v>540</v>
      </c>
      <c r="Z1609" s="212">
        <v>38298</v>
      </c>
      <c r="AA1609" s="212">
        <v>3612264</v>
      </c>
      <c r="AB1609" s="217">
        <v>0.80951700000000004</v>
      </c>
      <c r="AC1609" s="217">
        <v>1.3027930000000001</v>
      </c>
      <c r="AD1609" s="212">
        <f t="shared" si="25"/>
        <v>2924189.1164880004</v>
      </c>
    </row>
    <row r="1610" spans="2:30" x14ac:dyDescent="0.15">
      <c r="B1610" s="213">
        <v>17043002381</v>
      </c>
      <c r="C1610" s="213">
        <v>17043004886</v>
      </c>
      <c r="D1610" s="213">
        <v>17043000870</v>
      </c>
      <c r="E1610" s="213" t="s">
        <v>533</v>
      </c>
      <c r="F1610" s="213" t="s">
        <v>534</v>
      </c>
      <c r="G1610" s="213" t="s">
        <v>367</v>
      </c>
      <c r="H1610" s="213" t="s">
        <v>381</v>
      </c>
      <c r="I1610" s="213"/>
      <c r="J1610" s="213" t="s">
        <v>542</v>
      </c>
      <c r="K1610" s="213" t="s">
        <v>547</v>
      </c>
      <c r="L1610" s="213" t="s">
        <v>382</v>
      </c>
      <c r="M1610" s="213"/>
      <c r="N1610" s="213"/>
      <c r="O1610" s="213"/>
      <c r="P1610" s="213"/>
      <c r="Q1610" s="213"/>
      <c r="R1610" s="213"/>
      <c r="S1610" s="213" t="s">
        <v>579</v>
      </c>
      <c r="T1610" s="213"/>
      <c r="U1610" s="213" t="s">
        <v>538</v>
      </c>
      <c r="V1610" s="213">
        <v>3</v>
      </c>
      <c r="W1610" s="213" t="s">
        <v>545</v>
      </c>
      <c r="X1610" s="213" t="s">
        <v>549</v>
      </c>
      <c r="Y1610" s="213" t="s">
        <v>580</v>
      </c>
      <c r="Z1610" s="212">
        <v>1206807</v>
      </c>
      <c r="AA1610" s="212">
        <v>52650967</v>
      </c>
      <c r="AB1610" s="217">
        <v>0.89617999999999998</v>
      </c>
      <c r="AC1610" s="217">
        <v>1.442264</v>
      </c>
      <c r="AD1610" s="212">
        <f t="shared" si="25"/>
        <v>47184743.606059998</v>
      </c>
    </row>
    <row r="1611" spans="2:30" x14ac:dyDescent="0.15">
      <c r="B1611" s="213">
        <v>17043002387</v>
      </c>
      <c r="C1611" s="213">
        <v>17043000366</v>
      </c>
      <c r="D1611" s="213">
        <v>17043007335</v>
      </c>
      <c r="E1611" s="213" t="s">
        <v>533</v>
      </c>
      <c r="F1611" s="213" t="s">
        <v>534</v>
      </c>
      <c r="G1611" s="213" t="s">
        <v>367</v>
      </c>
      <c r="H1611" s="213" t="s">
        <v>552</v>
      </c>
      <c r="I1611" s="213"/>
      <c r="J1611" s="213" t="s">
        <v>547</v>
      </c>
      <c r="K1611" s="213"/>
      <c r="L1611" s="213"/>
      <c r="M1611" s="213"/>
      <c r="N1611" s="213"/>
      <c r="O1611" s="213"/>
      <c r="P1611" s="213"/>
      <c r="Q1611" s="213"/>
      <c r="R1611" s="213"/>
      <c r="S1611" s="213" t="s">
        <v>589</v>
      </c>
      <c r="T1611" s="213"/>
      <c r="U1611" s="213" t="s">
        <v>538</v>
      </c>
      <c r="V1611" s="213">
        <v>2</v>
      </c>
      <c r="W1611" s="213" t="s">
        <v>545</v>
      </c>
      <c r="X1611" s="213" t="s">
        <v>549</v>
      </c>
      <c r="Y1611" s="213" t="s">
        <v>540</v>
      </c>
      <c r="Z1611" s="212">
        <v>38098</v>
      </c>
      <c r="AA1611" s="212">
        <v>3594464</v>
      </c>
      <c r="AB1611" s="217">
        <v>0.488153</v>
      </c>
      <c r="AC1611" s="217">
        <v>0.78560799999999997</v>
      </c>
      <c r="AD1611" s="212">
        <f t="shared" si="25"/>
        <v>1754648.3849919999</v>
      </c>
    </row>
    <row r="1612" spans="2:30" x14ac:dyDescent="0.15">
      <c r="B1612" s="213">
        <v>17043002392</v>
      </c>
      <c r="C1612" s="213">
        <v>17043004765</v>
      </c>
      <c r="D1612" s="213">
        <v>17043007366</v>
      </c>
      <c r="E1612" s="213" t="s">
        <v>533</v>
      </c>
      <c r="F1612" s="213" t="s">
        <v>534</v>
      </c>
      <c r="G1612" s="213" t="s">
        <v>367</v>
      </c>
      <c r="H1612" s="213" t="s">
        <v>382</v>
      </c>
      <c r="I1612" s="213"/>
      <c r="J1612" s="213"/>
      <c r="K1612" s="213"/>
      <c r="L1612" s="213"/>
      <c r="M1612" s="213"/>
      <c r="N1612" s="213"/>
      <c r="O1612" s="213"/>
      <c r="P1612" s="213"/>
      <c r="Q1612" s="213"/>
      <c r="R1612" s="213"/>
      <c r="S1612" s="213" t="s">
        <v>561</v>
      </c>
      <c r="T1612" s="213"/>
      <c r="U1612" s="213" t="s">
        <v>538</v>
      </c>
      <c r="V1612" s="213">
        <v>1</v>
      </c>
      <c r="W1612" s="213" t="s">
        <v>562</v>
      </c>
      <c r="X1612" s="213" t="s">
        <v>540</v>
      </c>
      <c r="Y1612" s="213" t="s">
        <v>541</v>
      </c>
      <c r="Z1612" s="212">
        <v>12200</v>
      </c>
      <c r="AA1612" s="212">
        <v>287800</v>
      </c>
      <c r="AB1612" s="217">
        <v>0.398169</v>
      </c>
      <c r="AC1612" s="217">
        <v>0.64079299999999995</v>
      </c>
      <c r="AD1612" s="212">
        <f t="shared" si="25"/>
        <v>114593.0382</v>
      </c>
    </row>
    <row r="1613" spans="2:30" x14ac:dyDescent="0.15">
      <c r="B1613" s="213">
        <v>17043002393</v>
      </c>
      <c r="C1613" s="213">
        <v>17043000541</v>
      </c>
      <c r="D1613" s="213">
        <v>17043004764</v>
      </c>
      <c r="E1613" s="213" t="s">
        <v>533</v>
      </c>
      <c r="F1613" s="213" t="s">
        <v>534</v>
      </c>
      <c r="G1613" s="213" t="s">
        <v>367</v>
      </c>
      <c r="H1613" s="213" t="s">
        <v>382</v>
      </c>
      <c r="I1613" s="213"/>
      <c r="J1613" s="213"/>
      <c r="K1613" s="213"/>
      <c r="L1613" s="213"/>
      <c r="M1613" s="213"/>
      <c r="N1613" s="213"/>
      <c r="O1613" s="213"/>
      <c r="P1613" s="213"/>
      <c r="Q1613" s="213"/>
      <c r="R1613" s="213"/>
      <c r="S1613" s="213" t="s">
        <v>653</v>
      </c>
      <c r="T1613" s="213"/>
      <c r="U1613" s="213" t="s">
        <v>559</v>
      </c>
      <c r="V1613" s="213">
        <v>1</v>
      </c>
      <c r="W1613" s="213" t="s">
        <v>560</v>
      </c>
      <c r="X1613" s="213" t="s">
        <v>541</v>
      </c>
      <c r="Y1613" s="213" t="s">
        <v>541</v>
      </c>
      <c r="Z1613" s="212">
        <v>0</v>
      </c>
      <c r="AA1613" s="212">
        <v>0</v>
      </c>
      <c r="AB1613" s="217">
        <v>0.14943500000000001</v>
      </c>
      <c r="AC1613" s="217">
        <v>0.24049400000000001</v>
      </c>
      <c r="AD1613" s="212">
        <f t="shared" si="25"/>
        <v>0</v>
      </c>
    </row>
    <row r="1614" spans="2:30" x14ac:dyDescent="0.15">
      <c r="B1614" s="213">
        <v>17043002404</v>
      </c>
      <c r="C1614" s="213">
        <v>17999020915</v>
      </c>
      <c r="D1614" s="213">
        <v>17043007303</v>
      </c>
      <c r="E1614" s="213" t="s">
        <v>533</v>
      </c>
      <c r="F1614" s="213" t="s">
        <v>534</v>
      </c>
      <c r="G1614" s="213" t="s">
        <v>367</v>
      </c>
      <c r="H1614" s="213" t="s">
        <v>381</v>
      </c>
      <c r="I1614" s="213"/>
      <c r="J1614" s="213"/>
      <c r="K1614" s="213"/>
      <c r="L1614" s="213"/>
      <c r="M1614" s="213"/>
      <c r="N1614" s="213"/>
      <c r="O1614" s="213"/>
      <c r="P1614" s="213"/>
      <c r="Q1614" s="213"/>
      <c r="R1614" s="213"/>
      <c r="S1614" s="213" t="s">
        <v>585</v>
      </c>
      <c r="T1614" s="213"/>
      <c r="U1614" s="213" t="s">
        <v>559</v>
      </c>
      <c r="V1614" s="213">
        <v>1</v>
      </c>
      <c r="W1614" s="213" t="s">
        <v>560</v>
      </c>
      <c r="X1614" s="213" t="s">
        <v>541</v>
      </c>
      <c r="Y1614" s="213" t="s">
        <v>541</v>
      </c>
      <c r="Z1614" s="212">
        <v>160</v>
      </c>
      <c r="AA1614" s="212">
        <v>16120</v>
      </c>
      <c r="AB1614" s="217">
        <v>2.3105579999999999</v>
      </c>
      <c r="AC1614" s="217">
        <v>3.7184910000000002</v>
      </c>
      <c r="AD1614" s="212">
        <f t="shared" si="25"/>
        <v>37246.194960000001</v>
      </c>
    </row>
    <row r="1615" spans="2:30" x14ac:dyDescent="0.15">
      <c r="B1615" s="213">
        <v>17043002420</v>
      </c>
      <c r="C1615" s="213">
        <v>17043000380</v>
      </c>
      <c r="D1615" s="213">
        <v>17043000387</v>
      </c>
      <c r="E1615" s="213" t="s">
        <v>533</v>
      </c>
      <c r="F1615" s="213" t="s">
        <v>534</v>
      </c>
      <c r="G1615" s="213" t="s">
        <v>367</v>
      </c>
      <c r="H1615" s="213" t="s">
        <v>638</v>
      </c>
      <c r="I1615" s="213"/>
      <c r="J1615" s="213"/>
      <c r="K1615" s="213"/>
      <c r="L1615" s="213"/>
      <c r="M1615" s="213"/>
      <c r="N1615" s="213"/>
      <c r="O1615" s="213"/>
      <c r="P1615" s="213"/>
      <c r="Q1615" s="213"/>
      <c r="R1615" s="213"/>
      <c r="S1615" s="213"/>
      <c r="T1615" s="213"/>
      <c r="U1615" s="213" t="s">
        <v>559</v>
      </c>
      <c r="V1615" s="213">
        <v>1</v>
      </c>
      <c r="W1615" s="213" t="s">
        <v>560</v>
      </c>
      <c r="X1615" s="213" t="s">
        <v>541</v>
      </c>
      <c r="Y1615" s="213" t="s">
        <v>541</v>
      </c>
      <c r="Z1615" s="212">
        <v>0</v>
      </c>
      <c r="AA1615" s="212">
        <v>0</v>
      </c>
      <c r="AB1615" s="217">
        <v>0.194323</v>
      </c>
      <c r="AC1615" s="217">
        <v>0.31273299999999998</v>
      </c>
      <c r="AD1615" s="212">
        <f t="shared" si="25"/>
        <v>0</v>
      </c>
    </row>
    <row r="1616" spans="2:30" x14ac:dyDescent="0.15">
      <c r="B1616" s="213">
        <v>17043002990</v>
      </c>
      <c r="C1616" s="213">
        <v>17043004778</v>
      </c>
      <c r="D1616" s="213">
        <v>17043004779</v>
      </c>
      <c r="E1616" s="213" t="s">
        <v>533</v>
      </c>
      <c r="F1616" s="213" t="s">
        <v>534</v>
      </c>
      <c r="G1616" s="213" t="s">
        <v>367</v>
      </c>
      <c r="H1616" s="213" t="s">
        <v>382</v>
      </c>
      <c r="I1616" s="213"/>
      <c r="J1616" s="213" t="s">
        <v>547</v>
      </c>
      <c r="K1616" s="213"/>
      <c r="L1616" s="213"/>
      <c r="M1616" s="213"/>
      <c r="N1616" s="213"/>
      <c r="O1616" s="213"/>
      <c r="P1616" s="213"/>
      <c r="Q1616" s="213"/>
      <c r="R1616" s="213"/>
      <c r="S1616" s="213" t="s">
        <v>583</v>
      </c>
      <c r="T1616" s="213"/>
      <c r="U1616" s="213" t="s">
        <v>538</v>
      </c>
      <c r="V1616" s="213">
        <v>3</v>
      </c>
      <c r="W1616" s="213" t="s">
        <v>588</v>
      </c>
      <c r="X1616" s="213" t="s">
        <v>549</v>
      </c>
      <c r="Y1616" s="213" t="s">
        <v>575</v>
      </c>
      <c r="Z1616" s="212">
        <v>1774964</v>
      </c>
      <c r="AA1616" s="212">
        <v>63888874</v>
      </c>
      <c r="AB1616" s="217">
        <v>0.351493</v>
      </c>
      <c r="AC1616" s="217">
        <v>0.56567400000000001</v>
      </c>
      <c r="AD1616" s="212">
        <f t="shared" si="25"/>
        <v>22456491.988882001</v>
      </c>
    </row>
    <row r="1617" spans="2:30" x14ac:dyDescent="0.15">
      <c r="B1617" s="213">
        <v>17043003101</v>
      </c>
      <c r="C1617" s="213">
        <v>17043004779</v>
      </c>
      <c r="D1617" s="213">
        <v>17043000594</v>
      </c>
      <c r="E1617" s="213" t="s">
        <v>533</v>
      </c>
      <c r="F1617" s="213" t="s">
        <v>534</v>
      </c>
      <c r="G1617" s="213" t="s">
        <v>367</v>
      </c>
      <c r="H1617" s="213" t="s">
        <v>382</v>
      </c>
      <c r="I1617" s="213"/>
      <c r="J1617" s="213" t="s">
        <v>547</v>
      </c>
      <c r="K1617" s="213"/>
      <c r="L1617" s="213"/>
      <c r="M1617" s="213"/>
      <c r="N1617" s="213"/>
      <c r="O1617" s="213"/>
      <c r="P1617" s="213"/>
      <c r="Q1617" s="213"/>
      <c r="R1617" s="213"/>
      <c r="S1617" s="213" t="s">
        <v>583</v>
      </c>
      <c r="T1617" s="213"/>
      <c r="U1617" s="213" t="s">
        <v>538</v>
      </c>
      <c r="V1617" s="213">
        <v>3</v>
      </c>
      <c r="W1617" s="213" t="s">
        <v>588</v>
      </c>
      <c r="X1617" s="213" t="s">
        <v>540</v>
      </c>
      <c r="Y1617" s="213" t="s">
        <v>575</v>
      </c>
      <c r="Z1617" s="212">
        <v>1774964</v>
      </c>
      <c r="AA1617" s="212">
        <v>63888874</v>
      </c>
      <c r="AB1617" s="217">
        <v>0.288049</v>
      </c>
      <c r="AC1617" s="217">
        <v>0.46357199999999998</v>
      </c>
      <c r="AD1617" s="212">
        <f t="shared" si="25"/>
        <v>18403126.266826</v>
      </c>
    </row>
    <row r="1618" spans="2:30" x14ac:dyDescent="0.15">
      <c r="B1618" s="213">
        <v>17043003526</v>
      </c>
      <c r="C1618" s="213">
        <v>17043000367</v>
      </c>
      <c r="D1618" s="213">
        <v>17043000364</v>
      </c>
      <c r="E1618" s="213" t="s">
        <v>533</v>
      </c>
      <c r="F1618" s="213" t="s">
        <v>534</v>
      </c>
      <c r="G1618" s="213" t="s">
        <v>367</v>
      </c>
      <c r="H1618" s="213" t="s">
        <v>552</v>
      </c>
      <c r="I1618" s="213"/>
      <c r="J1618" s="213"/>
      <c r="K1618" s="213"/>
      <c r="L1618" s="213"/>
      <c r="M1618" s="213"/>
      <c r="N1618" s="213"/>
      <c r="O1618" s="213"/>
      <c r="P1618" s="213"/>
      <c r="Q1618" s="213"/>
      <c r="R1618" s="213"/>
      <c r="S1618" s="213"/>
      <c r="T1618" s="213"/>
      <c r="U1618" s="213" t="s">
        <v>559</v>
      </c>
      <c r="V1618" s="213">
        <v>1</v>
      </c>
      <c r="W1618" s="213" t="s">
        <v>560</v>
      </c>
      <c r="X1618" s="213" t="s">
        <v>541</v>
      </c>
      <c r="Y1618" s="213" t="s">
        <v>541</v>
      </c>
      <c r="Z1618" s="212">
        <v>0</v>
      </c>
      <c r="AA1618" s="212">
        <v>0</v>
      </c>
      <c r="AB1618" s="217">
        <v>0.218747</v>
      </c>
      <c r="AC1618" s="217">
        <v>0.35204000000000002</v>
      </c>
      <c r="AD1618" s="212">
        <f t="shared" si="25"/>
        <v>0</v>
      </c>
    </row>
    <row r="1619" spans="2:30" x14ac:dyDescent="0.15">
      <c r="B1619" s="213">
        <v>17043003527</v>
      </c>
      <c r="C1619" s="213">
        <v>17043007337</v>
      </c>
      <c r="D1619" s="213">
        <v>17043007341</v>
      </c>
      <c r="E1619" s="213" t="s">
        <v>533</v>
      </c>
      <c r="F1619" s="213" t="s">
        <v>534</v>
      </c>
      <c r="G1619" s="213" t="s">
        <v>367</v>
      </c>
      <c r="H1619" s="213" t="s">
        <v>552</v>
      </c>
      <c r="I1619" s="213"/>
      <c r="J1619" s="213"/>
      <c r="K1619" s="213"/>
      <c r="L1619" s="213"/>
      <c r="M1619" s="213"/>
      <c r="N1619" s="213"/>
      <c r="O1619" s="213"/>
      <c r="P1619" s="213"/>
      <c r="Q1619" s="213"/>
      <c r="R1619" s="213"/>
      <c r="S1619" s="213"/>
      <c r="T1619" s="213"/>
      <c r="U1619" s="213" t="s">
        <v>559</v>
      </c>
      <c r="V1619" s="213">
        <v>1</v>
      </c>
      <c r="W1619" s="213" t="s">
        <v>560</v>
      </c>
      <c r="X1619" s="213" t="s">
        <v>541</v>
      </c>
      <c r="Y1619" s="213" t="s">
        <v>541</v>
      </c>
      <c r="Z1619" s="212">
        <v>0</v>
      </c>
      <c r="AA1619" s="212">
        <v>0</v>
      </c>
      <c r="AB1619" s="217">
        <v>0.61138899999999996</v>
      </c>
      <c r="AC1619" s="217">
        <v>0.98393699999999995</v>
      </c>
      <c r="AD1619" s="212">
        <f t="shared" si="25"/>
        <v>0</v>
      </c>
    </row>
    <row r="1620" spans="2:30" x14ac:dyDescent="0.15">
      <c r="B1620" s="213">
        <v>17043005911</v>
      </c>
      <c r="C1620" s="213">
        <v>17043008299</v>
      </c>
      <c r="D1620" s="213">
        <v>17043000390</v>
      </c>
      <c r="E1620" s="213" t="s">
        <v>533</v>
      </c>
      <c r="F1620" s="213" t="s">
        <v>534</v>
      </c>
      <c r="G1620" s="213" t="s">
        <v>367</v>
      </c>
      <c r="H1620" s="213" t="s">
        <v>638</v>
      </c>
      <c r="I1620" s="213"/>
      <c r="J1620" s="213"/>
      <c r="K1620" s="213"/>
      <c r="L1620" s="213"/>
      <c r="M1620" s="213"/>
      <c r="N1620" s="213"/>
      <c r="O1620" s="213"/>
      <c r="P1620" s="213"/>
      <c r="Q1620" s="213"/>
      <c r="R1620" s="213"/>
      <c r="S1620" s="213"/>
      <c r="T1620" s="213"/>
      <c r="U1620" s="213" t="s">
        <v>559</v>
      </c>
      <c r="V1620" s="213">
        <v>1</v>
      </c>
      <c r="W1620" s="213" t="s">
        <v>560</v>
      </c>
      <c r="X1620" s="213" t="s">
        <v>541</v>
      </c>
      <c r="Y1620" s="213" t="s">
        <v>541</v>
      </c>
      <c r="Z1620" s="212">
        <v>0</v>
      </c>
      <c r="AA1620" s="212">
        <v>0</v>
      </c>
      <c r="AB1620" s="217">
        <v>0.100592</v>
      </c>
      <c r="AC1620" s="217">
        <v>0.161888</v>
      </c>
      <c r="AD1620" s="212">
        <f t="shared" si="25"/>
        <v>0</v>
      </c>
    </row>
    <row r="1621" spans="2:30" x14ac:dyDescent="0.15">
      <c r="B1621" s="213">
        <v>17043005912</v>
      </c>
      <c r="C1621" s="213">
        <v>17043000392</v>
      </c>
      <c r="D1621" s="213">
        <v>17043000390</v>
      </c>
      <c r="E1621" s="213" t="s">
        <v>533</v>
      </c>
      <c r="F1621" s="213" t="s">
        <v>534</v>
      </c>
      <c r="G1621" s="213" t="s">
        <v>367</v>
      </c>
      <c r="H1621" s="213" t="s">
        <v>638</v>
      </c>
      <c r="I1621" s="213"/>
      <c r="J1621" s="213"/>
      <c r="K1621" s="213"/>
      <c r="L1621" s="213"/>
      <c r="M1621" s="213"/>
      <c r="N1621" s="213"/>
      <c r="O1621" s="213"/>
      <c r="P1621" s="213"/>
      <c r="Q1621" s="213"/>
      <c r="R1621" s="213"/>
      <c r="S1621" s="213"/>
      <c r="T1621" s="213"/>
      <c r="U1621" s="213" t="s">
        <v>559</v>
      </c>
      <c r="V1621" s="213">
        <v>1</v>
      </c>
      <c r="W1621" s="213" t="s">
        <v>560</v>
      </c>
      <c r="X1621" s="213" t="s">
        <v>541</v>
      </c>
      <c r="Y1621" s="213" t="s">
        <v>541</v>
      </c>
      <c r="Z1621" s="212">
        <v>0</v>
      </c>
      <c r="AA1621" s="212">
        <v>0</v>
      </c>
      <c r="AB1621" s="217">
        <v>0.175593</v>
      </c>
      <c r="AC1621" s="217">
        <v>0.28259000000000001</v>
      </c>
      <c r="AD1621" s="212">
        <f t="shared" si="25"/>
        <v>0</v>
      </c>
    </row>
    <row r="1622" spans="2:30" x14ac:dyDescent="0.15">
      <c r="B1622" s="213">
        <v>17043006527</v>
      </c>
      <c r="C1622" s="213">
        <v>17043004765</v>
      </c>
      <c r="D1622" s="213">
        <v>17043000541</v>
      </c>
      <c r="E1622" s="213" t="s">
        <v>533</v>
      </c>
      <c r="F1622" s="213" t="s">
        <v>534</v>
      </c>
      <c r="G1622" s="213" t="s">
        <v>367</v>
      </c>
      <c r="H1622" s="213" t="s">
        <v>382</v>
      </c>
      <c r="I1622" s="213"/>
      <c r="J1622" s="213"/>
      <c r="K1622" s="213"/>
      <c r="L1622" s="213"/>
      <c r="M1622" s="213"/>
      <c r="N1622" s="213"/>
      <c r="O1622" s="213"/>
      <c r="P1622" s="213"/>
      <c r="Q1622" s="213"/>
      <c r="R1622" s="213"/>
      <c r="S1622" s="213"/>
      <c r="T1622" s="213"/>
      <c r="U1622" s="213" t="s">
        <v>559</v>
      </c>
      <c r="V1622" s="213">
        <v>1</v>
      </c>
      <c r="W1622" s="213" t="s">
        <v>560</v>
      </c>
      <c r="X1622" s="213" t="s">
        <v>541</v>
      </c>
      <c r="Y1622" s="213" t="s">
        <v>541</v>
      </c>
      <c r="Z1622" s="212">
        <v>0</v>
      </c>
      <c r="AA1622" s="212">
        <v>0</v>
      </c>
      <c r="AB1622" s="217">
        <v>3.6759E-2</v>
      </c>
      <c r="AC1622" s="217">
        <v>5.9158000000000002E-2</v>
      </c>
      <c r="AD1622" s="212">
        <f t="shared" si="25"/>
        <v>0</v>
      </c>
    </row>
    <row r="1623" spans="2:30" x14ac:dyDescent="0.15">
      <c r="B1623" s="213">
        <v>17043006530</v>
      </c>
      <c r="C1623" s="213">
        <v>17043000364</v>
      </c>
      <c r="D1623" s="213">
        <v>17043007345</v>
      </c>
      <c r="E1623" s="213" t="s">
        <v>533</v>
      </c>
      <c r="F1623" s="213" t="s">
        <v>534</v>
      </c>
      <c r="G1623" s="213" t="s">
        <v>367</v>
      </c>
      <c r="H1623" s="213" t="s">
        <v>552</v>
      </c>
      <c r="I1623" s="213"/>
      <c r="J1623" s="213"/>
      <c r="K1623" s="213"/>
      <c r="L1623" s="213"/>
      <c r="M1623" s="213"/>
      <c r="N1623" s="213"/>
      <c r="O1623" s="213"/>
      <c r="P1623" s="213"/>
      <c r="Q1623" s="213"/>
      <c r="R1623" s="213"/>
      <c r="S1623" s="213"/>
      <c r="T1623" s="213"/>
      <c r="U1623" s="213" t="s">
        <v>559</v>
      </c>
      <c r="V1623" s="213">
        <v>1</v>
      </c>
      <c r="W1623" s="213" t="s">
        <v>560</v>
      </c>
      <c r="X1623" s="213" t="s">
        <v>541</v>
      </c>
      <c r="Y1623" s="213" t="s">
        <v>541</v>
      </c>
      <c r="Z1623" s="212">
        <v>0</v>
      </c>
      <c r="AA1623" s="212">
        <v>0</v>
      </c>
      <c r="AB1623" s="217">
        <v>0.202038</v>
      </c>
      <c r="AC1623" s="217">
        <v>0.32514999999999999</v>
      </c>
      <c r="AD1623" s="212">
        <f t="shared" si="25"/>
        <v>0</v>
      </c>
    </row>
    <row r="1624" spans="2:30" x14ac:dyDescent="0.15">
      <c r="B1624" s="213">
        <v>17043006534</v>
      </c>
      <c r="C1624" s="213">
        <v>17043000592</v>
      </c>
      <c r="D1624" s="213">
        <v>17043006564</v>
      </c>
      <c r="E1624" s="213" t="s">
        <v>533</v>
      </c>
      <c r="F1624" s="213" t="s">
        <v>534</v>
      </c>
      <c r="G1624" s="213" t="s">
        <v>367</v>
      </c>
      <c r="H1624" s="213" t="s">
        <v>382</v>
      </c>
      <c r="I1624" s="213"/>
      <c r="J1624" s="213"/>
      <c r="K1624" s="213"/>
      <c r="L1624" s="213"/>
      <c r="M1624" s="213"/>
      <c r="N1624" s="213"/>
      <c r="O1624" s="213"/>
      <c r="P1624" s="213"/>
      <c r="Q1624" s="213"/>
      <c r="R1624" s="213"/>
      <c r="S1624" s="213" t="s">
        <v>653</v>
      </c>
      <c r="T1624" s="213"/>
      <c r="U1624" s="213" t="s">
        <v>559</v>
      </c>
      <c r="V1624" s="213">
        <v>1</v>
      </c>
      <c r="W1624" s="213" t="s">
        <v>560</v>
      </c>
      <c r="X1624" s="213" t="s">
        <v>541</v>
      </c>
      <c r="Y1624" s="213" t="s">
        <v>541</v>
      </c>
      <c r="Z1624" s="212">
        <v>50872</v>
      </c>
      <c r="AA1624" s="212">
        <v>6068794</v>
      </c>
      <c r="AB1624" s="217">
        <v>5.2051E-2</v>
      </c>
      <c r="AC1624" s="217">
        <v>8.3768999999999996E-2</v>
      </c>
      <c r="AD1624" s="212">
        <f t="shared" si="25"/>
        <v>315886.79649400001</v>
      </c>
    </row>
    <row r="1625" spans="2:30" x14ac:dyDescent="0.15">
      <c r="B1625" s="213">
        <v>17043009141</v>
      </c>
      <c r="C1625" s="213">
        <v>17043007347</v>
      </c>
      <c r="D1625" s="213">
        <v>17043000378</v>
      </c>
      <c r="E1625" s="213" t="s">
        <v>533</v>
      </c>
      <c r="F1625" s="213" t="s">
        <v>534</v>
      </c>
      <c r="G1625" s="213" t="s">
        <v>367</v>
      </c>
      <c r="H1625" s="213" t="s">
        <v>552</v>
      </c>
      <c r="I1625" s="213"/>
      <c r="J1625" s="213"/>
      <c r="K1625" s="213"/>
      <c r="L1625" s="213"/>
      <c r="M1625" s="213"/>
      <c r="N1625" s="213"/>
      <c r="O1625" s="213"/>
      <c r="P1625" s="213"/>
      <c r="Q1625" s="213"/>
      <c r="R1625" s="213"/>
      <c r="S1625" s="213"/>
      <c r="T1625" s="213"/>
      <c r="U1625" s="213" t="s">
        <v>559</v>
      </c>
      <c r="V1625" s="213">
        <v>1</v>
      </c>
      <c r="W1625" s="213" t="s">
        <v>560</v>
      </c>
      <c r="X1625" s="213" t="s">
        <v>541</v>
      </c>
      <c r="Y1625" s="213" t="s">
        <v>541</v>
      </c>
      <c r="Z1625" s="212">
        <v>0</v>
      </c>
      <c r="AA1625" s="212">
        <v>0</v>
      </c>
      <c r="AB1625" s="217">
        <v>0.139764</v>
      </c>
      <c r="AC1625" s="217">
        <v>0.22492899999999999</v>
      </c>
      <c r="AD1625" s="212">
        <f t="shared" si="25"/>
        <v>0</v>
      </c>
    </row>
    <row r="1626" spans="2:30" x14ac:dyDescent="0.15">
      <c r="B1626" s="213">
        <v>17043009154</v>
      </c>
      <c r="C1626" s="213">
        <v>17043007360</v>
      </c>
      <c r="D1626" s="213">
        <v>17043000499</v>
      </c>
      <c r="E1626" s="213" t="s">
        <v>533</v>
      </c>
      <c r="F1626" s="213" t="s">
        <v>534</v>
      </c>
      <c r="G1626" s="213" t="s">
        <v>367</v>
      </c>
      <c r="H1626" s="213" t="s">
        <v>382</v>
      </c>
      <c r="I1626" s="213"/>
      <c r="J1626" s="213"/>
      <c r="K1626" s="213"/>
      <c r="L1626" s="213"/>
      <c r="M1626" s="213"/>
      <c r="N1626" s="213"/>
      <c r="O1626" s="213"/>
      <c r="P1626" s="213"/>
      <c r="Q1626" s="213"/>
      <c r="R1626" s="213"/>
      <c r="S1626" s="213" t="s">
        <v>561</v>
      </c>
      <c r="T1626" s="213"/>
      <c r="U1626" s="213" t="s">
        <v>538</v>
      </c>
      <c r="V1626" s="213">
        <v>1</v>
      </c>
      <c r="W1626" s="213" t="s">
        <v>562</v>
      </c>
      <c r="X1626" s="213" t="s">
        <v>540</v>
      </c>
      <c r="Y1626" s="213" t="s">
        <v>541</v>
      </c>
      <c r="Z1626" s="212">
        <v>12200</v>
      </c>
      <c r="AA1626" s="212">
        <v>287800</v>
      </c>
      <c r="AB1626" s="217">
        <v>0.417713</v>
      </c>
      <c r="AC1626" s="217">
        <v>0.67224600000000001</v>
      </c>
      <c r="AD1626" s="212">
        <f t="shared" si="25"/>
        <v>120217.8014</v>
      </c>
    </row>
    <row r="1627" spans="2:30" x14ac:dyDescent="0.15">
      <c r="B1627" s="213">
        <v>17043009162</v>
      </c>
      <c r="C1627" s="213">
        <v>17043007366</v>
      </c>
      <c r="D1627" s="213">
        <v>17043007368</v>
      </c>
      <c r="E1627" s="213" t="s">
        <v>533</v>
      </c>
      <c r="F1627" s="213" t="s">
        <v>534</v>
      </c>
      <c r="G1627" s="213" t="s">
        <v>367</v>
      </c>
      <c r="H1627" s="213" t="s">
        <v>382</v>
      </c>
      <c r="I1627" s="213"/>
      <c r="J1627" s="213"/>
      <c r="K1627" s="213"/>
      <c r="L1627" s="213"/>
      <c r="M1627" s="213"/>
      <c r="N1627" s="213"/>
      <c r="O1627" s="213"/>
      <c r="P1627" s="213"/>
      <c r="Q1627" s="213"/>
      <c r="R1627" s="213"/>
      <c r="S1627" s="213" t="s">
        <v>561</v>
      </c>
      <c r="T1627" s="213"/>
      <c r="U1627" s="213" t="s">
        <v>538</v>
      </c>
      <c r="V1627" s="213">
        <v>1</v>
      </c>
      <c r="W1627" s="213" t="s">
        <v>562</v>
      </c>
      <c r="X1627" s="213" t="s">
        <v>540</v>
      </c>
      <c r="Y1627" s="213" t="s">
        <v>541</v>
      </c>
      <c r="Z1627" s="212">
        <v>12200</v>
      </c>
      <c r="AA1627" s="212">
        <v>287800</v>
      </c>
      <c r="AB1627" s="217">
        <v>8.2573999999999995E-2</v>
      </c>
      <c r="AC1627" s="217">
        <v>0.13289000000000001</v>
      </c>
      <c r="AD1627" s="212">
        <f t="shared" si="25"/>
        <v>23764.797199999997</v>
      </c>
    </row>
    <row r="1628" spans="2:30" x14ac:dyDescent="0.15">
      <c r="B1628" s="213">
        <v>17089001834</v>
      </c>
      <c r="C1628" s="213">
        <v>17089000989</v>
      </c>
      <c r="D1628" s="213">
        <v>17999021616</v>
      </c>
      <c r="E1628" s="213" t="s">
        <v>533</v>
      </c>
      <c r="F1628" s="213" t="s">
        <v>534</v>
      </c>
      <c r="G1628" s="213" t="s">
        <v>369</v>
      </c>
      <c r="H1628" s="213" t="s">
        <v>381</v>
      </c>
      <c r="I1628" s="213"/>
      <c r="J1628" s="213"/>
      <c r="K1628" s="213"/>
      <c r="L1628" s="213"/>
      <c r="M1628" s="213"/>
      <c r="N1628" s="213"/>
      <c r="O1628" s="213"/>
      <c r="P1628" s="213"/>
      <c r="Q1628" s="213"/>
      <c r="R1628" s="213"/>
      <c r="S1628" s="213" t="s">
        <v>595</v>
      </c>
      <c r="T1628" s="213"/>
      <c r="U1628" s="213" t="s">
        <v>538</v>
      </c>
      <c r="V1628" s="213">
        <v>1</v>
      </c>
      <c r="W1628" s="213" t="s">
        <v>545</v>
      </c>
      <c r="X1628" s="213" t="s">
        <v>549</v>
      </c>
      <c r="Y1628" s="213" t="s">
        <v>546</v>
      </c>
      <c r="Z1628" s="212">
        <v>890011</v>
      </c>
      <c r="AA1628" s="212">
        <v>24228461</v>
      </c>
      <c r="AB1628" s="217">
        <v>2.0536650000000001</v>
      </c>
      <c r="AC1628" s="217">
        <v>3.3050600000000001</v>
      </c>
      <c r="AD1628" s="212">
        <f t="shared" si="25"/>
        <v>49757142.359565005</v>
      </c>
    </row>
    <row r="1629" spans="2:30" x14ac:dyDescent="0.15">
      <c r="B1629" s="213">
        <v>17089001836</v>
      </c>
      <c r="C1629" s="213">
        <v>17089000839</v>
      </c>
      <c r="D1629" s="213">
        <v>17089000709</v>
      </c>
      <c r="E1629" s="213" t="s">
        <v>533</v>
      </c>
      <c r="F1629" s="213" t="s">
        <v>534</v>
      </c>
      <c r="G1629" s="213" t="s">
        <v>369</v>
      </c>
      <c r="H1629" s="213" t="s">
        <v>381</v>
      </c>
      <c r="I1629" s="213"/>
      <c r="J1629" s="213"/>
      <c r="K1629" s="213"/>
      <c r="L1629" s="213"/>
      <c r="M1629" s="213"/>
      <c r="N1629" s="213"/>
      <c r="O1629" s="213"/>
      <c r="P1629" s="213"/>
      <c r="Q1629" s="213"/>
      <c r="R1629" s="213"/>
      <c r="S1629" s="213" t="s">
        <v>585</v>
      </c>
      <c r="T1629" s="213"/>
      <c r="U1629" s="213" t="s">
        <v>559</v>
      </c>
      <c r="V1629" s="213">
        <v>1</v>
      </c>
      <c r="W1629" s="213" t="s">
        <v>560</v>
      </c>
      <c r="X1629" s="213" t="s">
        <v>541</v>
      </c>
      <c r="Y1629" s="213" t="s">
        <v>541</v>
      </c>
      <c r="Z1629" s="212">
        <v>1240</v>
      </c>
      <c r="AA1629" s="212">
        <v>115920</v>
      </c>
      <c r="AB1629" s="217">
        <v>4.4170509999999998</v>
      </c>
      <c r="AC1629" s="217">
        <v>7.1085690000000001</v>
      </c>
      <c r="AD1629" s="212">
        <f t="shared" si="25"/>
        <v>512024.55192</v>
      </c>
    </row>
    <row r="1630" spans="2:30" x14ac:dyDescent="0.15">
      <c r="B1630" s="213">
        <v>17089002006</v>
      </c>
      <c r="C1630" s="213">
        <v>17089001038</v>
      </c>
      <c r="D1630" s="213">
        <v>17089000982</v>
      </c>
      <c r="E1630" s="213" t="s">
        <v>533</v>
      </c>
      <c r="F1630" s="213" t="s">
        <v>534</v>
      </c>
      <c r="G1630" s="213" t="s">
        <v>369</v>
      </c>
      <c r="H1630" s="213" t="s">
        <v>381</v>
      </c>
      <c r="I1630" s="213"/>
      <c r="J1630" s="213" t="s">
        <v>542</v>
      </c>
      <c r="K1630" s="213" t="s">
        <v>578</v>
      </c>
      <c r="L1630" s="213" t="s">
        <v>382</v>
      </c>
      <c r="M1630" s="213"/>
      <c r="N1630" s="213"/>
      <c r="O1630" s="213"/>
      <c r="P1630" s="213"/>
      <c r="Q1630" s="213"/>
      <c r="R1630" s="213"/>
      <c r="S1630" s="213" t="s">
        <v>579</v>
      </c>
      <c r="T1630" s="213"/>
      <c r="U1630" s="213" t="s">
        <v>538</v>
      </c>
      <c r="V1630" s="213">
        <v>2</v>
      </c>
      <c r="W1630" s="213" t="s">
        <v>545</v>
      </c>
      <c r="X1630" s="213" t="s">
        <v>549</v>
      </c>
      <c r="Y1630" s="213" t="s">
        <v>575</v>
      </c>
      <c r="Z1630" s="212">
        <v>1290866</v>
      </c>
      <c r="AA1630" s="212">
        <v>62266466</v>
      </c>
      <c r="AB1630" s="217">
        <v>2.1868910000000001</v>
      </c>
      <c r="AC1630" s="217">
        <v>3.5194679999999998</v>
      </c>
      <c r="AD1630" s="212">
        <f t="shared" si="25"/>
        <v>136169974.097206</v>
      </c>
    </row>
    <row r="1631" spans="2:30" x14ac:dyDescent="0.15">
      <c r="B1631" s="213">
        <v>17089002007</v>
      </c>
      <c r="C1631" s="213">
        <v>17089000990</v>
      </c>
      <c r="D1631" s="213">
        <v>17089000971</v>
      </c>
      <c r="E1631" s="213" t="s">
        <v>533</v>
      </c>
      <c r="F1631" s="213" t="s">
        <v>534</v>
      </c>
      <c r="G1631" s="213" t="s">
        <v>369</v>
      </c>
      <c r="H1631" s="213" t="s">
        <v>381</v>
      </c>
      <c r="I1631" s="213"/>
      <c r="J1631" s="213" t="s">
        <v>547</v>
      </c>
      <c r="K1631" s="213"/>
      <c r="L1631" s="213"/>
      <c r="M1631" s="213"/>
      <c r="N1631" s="213"/>
      <c r="O1631" s="213"/>
      <c r="P1631" s="213"/>
      <c r="Q1631" s="213"/>
      <c r="R1631" s="213"/>
      <c r="S1631" s="213" t="s">
        <v>585</v>
      </c>
      <c r="T1631" s="213"/>
      <c r="U1631" s="213" t="s">
        <v>559</v>
      </c>
      <c r="V1631" s="213">
        <v>1</v>
      </c>
      <c r="W1631" s="213" t="s">
        <v>560</v>
      </c>
      <c r="X1631" s="213" t="s">
        <v>541</v>
      </c>
      <c r="Y1631" s="213" t="s">
        <v>541</v>
      </c>
      <c r="Z1631" s="212">
        <v>1240</v>
      </c>
      <c r="AA1631" s="212">
        <v>115920</v>
      </c>
      <c r="AB1631" s="217">
        <v>0.19717599999999999</v>
      </c>
      <c r="AC1631" s="217">
        <v>0.31732500000000002</v>
      </c>
      <c r="AD1631" s="212">
        <f t="shared" si="25"/>
        <v>22856.641919999998</v>
      </c>
    </row>
    <row r="1632" spans="2:30" x14ac:dyDescent="0.15">
      <c r="B1632" s="213">
        <v>17089002013</v>
      </c>
      <c r="C1632" s="213">
        <v>17089001052</v>
      </c>
      <c r="D1632" s="213">
        <v>17089001055</v>
      </c>
      <c r="E1632" s="213" t="s">
        <v>533</v>
      </c>
      <c r="F1632" s="213" t="s">
        <v>534</v>
      </c>
      <c r="G1632" s="213" t="s">
        <v>369</v>
      </c>
      <c r="H1632" s="213" t="s">
        <v>381</v>
      </c>
      <c r="I1632" s="213"/>
      <c r="J1632" s="213"/>
      <c r="K1632" s="213"/>
      <c r="L1632" s="213"/>
      <c r="M1632" s="213"/>
      <c r="N1632" s="213"/>
      <c r="O1632" s="213"/>
      <c r="P1632" s="213"/>
      <c r="Q1632" s="213"/>
      <c r="R1632" s="213"/>
      <c r="S1632" s="213"/>
      <c r="T1632" s="213"/>
      <c r="U1632" s="213" t="s">
        <v>559</v>
      </c>
      <c r="V1632" s="213">
        <v>1</v>
      </c>
      <c r="W1632" s="213" t="s">
        <v>560</v>
      </c>
      <c r="X1632" s="213" t="s">
        <v>541</v>
      </c>
      <c r="Y1632" s="213" t="s">
        <v>541</v>
      </c>
      <c r="Z1632" s="212">
        <v>0</v>
      </c>
      <c r="AA1632" s="212">
        <v>0</v>
      </c>
      <c r="AB1632" s="217">
        <v>1.468324</v>
      </c>
      <c r="AC1632" s="217">
        <v>2.3630429999999998</v>
      </c>
      <c r="AD1632" s="212">
        <f t="shared" si="25"/>
        <v>0</v>
      </c>
    </row>
    <row r="1633" spans="2:30" x14ac:dyDescent="0.15">
      <c r="B1633" s="213">
        <v>17089002038</v>
      </c>
      <c r="C1633" s="213">
        <v>17999020068</v>
      </c>
      <c r="D1633" s="213">
        <v>17089004843</v>
      </c>
      <c r="E1633" s="213" t="s">
        <v>533</v>
      </c>
      <c r="F1633" s="213" t="s">
        <v>534</v>
      </c>
      <c r="G1633" s="213" t="s">
        <v>369</v>
      </c>
      <c r="H1633" s="213" t="s">
        <v>382</v>
      </c>
      <c r="I1633" s="213"/>
      <c r="J1633" s="213"/>
      <c r="K1633" s="213"/>
      <c r="L1633" s="213"/>
      <c r="M1633" s="213"/>
      <c r="N1633" s="213"/>
      <c r="O1633" s="213"/>
      <c r="P1633" s="213"/>
      <c r="Q1633" s="213"/>
      <c r="R1633" s="213"/>
      <c r="S1633" s="213" t="s">
        <v>561</v>
      </c>
      <c r="T1633" s="213"/>
      <c r="U1633" s="213" t="s">
        <v>538</v>
      </c>
      <c r="V1633" s="213">
        <v>1</v>
      </c>
      <c r="W1633" s="213" t="s">
        <v>562</v>
      </c>
      <c r="X1633" s="213" t="s">
        <v>540</v>
      </c>
      <c r="Y1633" s="213" t="s">
        <v>541</v>
      </c>
      <c r="Z1633" s="212">
        <v>12200</v>
      </c>
      <c r="AA1633" s="212">
        <v>287800</v>
      </c>
      <c r="AB1633" s="217">
        <v>2.4580769999999998</v>
      </c>
      <c r="AC1633" s="217">
        <v>3.9558990000000001</v>
      </c>
      <c r="AD1633" s="212">
        <f t="shared" si="25"/>
        <v>707434.56059999997</v>
      </c>
    </row>
    <row r="1634" spans="2:30" x14ac:dyDescent="0.15">
      <c r="B1634" s="213">
        <v>17089002043</v>
      </c>
      <c r="C1634" s="213">
        <v>17089000544</v>
      </c>
      <c r="D1634" s="213">
        <v>17089004872</v>
      </c>
      <c r="E1634" s="213" t="s">
        <v>533</v>
      </c>
      <c r="F1634" s="213" t="s">
        <v>534</v>
      </c>
      <c r="G1634" s="213" t="s">
        <v>369</v>
      </c>
      <c r="H1634" s="213" t="s">
        <v>382</v>
      </c>
      <c r="I1634" s="213"/>
      <c r="J1634" s="213"/>
      <c r="K1634" s="213"/>
      <c r="L1634" s="213"/>
      <c r="M1634" s="213"/>
      <c r="N1634" s="213"/>
      <c r="O1634" s="213"/>
      <c r="P1634" s="213"/>
      <c r="Q1634" s="213"/>
      <c r="R1634" s="213"/>
      <c r="S1634" s="213" t="s">
        <v>583</v>
      </c>
      <c r="T1634" s="213"/>
      <c r="U1634" s="213" t="s">
        <v>538</v>
      </c>
      <c r="V1634" s="213">
        <v>2</v>
      </c>
      <c r="W1634" s="213" t="s">
        <v>588</v>
      </c>
      <c r="X1634" s="213" t="s">
        <v>549</v>
      </c>
      <c r="Y1634" s="213" t="s">
        <v>575</v>
      </c>
      <c r="Z1634" s="212">
        <v>1875948</v>
      </c>
      <c r="AA1634" s="212">
        <v>76055962</v>
      </c>
      <c r="AB1634" s="217">
        <v>4.9247769999999997</v>
      </c>
      <c r="AC1634" s="217">
        <v>7.9256760000000002</v>
      </c>
      <c r="AD1634" s="212">
        <f t="shared" si="25"/>
        <v>374558652.37047398</v>
      </c>
    </row>
    <row r="1635" spans="2:30" x14ac:dyDescent="0.15">
      <c r="B1635" s="213">
        <v>17089002045</v>
      </c>
      <c r="C1635" s="213">
        <v>17089004847</v>
      </c>
      <c r="D1635" s="213">
        <v>17089004848</v>
      </c>
      <c r="E1635" s="213" t="s">
        <v>533</v>
      </c>
      <c r="F1635" s="213" t="s">
        <v>534</v>
      </c>
      <c r="G1635" s="213" t="s">
        <v>369</v>
      </c>
      <c r="H1635" s="213" t="s">
        <v>382</v>
      </c>
      <c r="I1635" s="213"/>
      <c r="J1635" s="213" t="s">
        <v>547</v>
      </c>
      <c r="K1635" s="213"/>
      <c r="L1635" s="213"/>
      <c r="M1635" s="213"/>
      <c r="N1635" s="213"/>
      <c r="O1635" s="213"/>
      <c r="P1635" s="213"/>
      <c r="Q1635" s="213"/>
      <c r="R1635" s="213"/>
      <c r="S1635" s="213" t="s">
        <v>583</v>
      </c>
      <c r="T1635" s="213"/>
      <c r="U1635" s="213" t="s">
        <v>538</v>
      </c>
      <c r="V1635" s="213">
        <v>3</v>
      </c>
      <c r="W1635" s="213" t="s">
        <v>588</v>
      </c>
      <c r="X1635" s="213" t="s">
        <v>549</v>
      </c>
      <c r="Y1635" s="213" t="s">
        <v>575</v>
      </c>
      <c r="Z1635" s="212">
        <v>1875948</v>
      </c>
      <c r="AA1635" s="212">
        <v>76055962</v>
      </c>
      <c r="AB1635" s="217">
        <v>2.4800740000000001</v>
      </c>
      <c r="AC1635" s="217">
        <v>3.9912999999999998</v>
      </c>
      <c r="AD1635" s="212">
        <f t="shared" si="25"/>
        <v>188624413.90118802</v>
      </c>
    </row>
    <row r="1636" spans="2:30" x14ac:dyDescent="0.15">
      <c r="B1636" s="213">
        <v>17089003971</v>
      </c>
      <c r="C1636" s="213">
        <v>17089000965</v>
      </c>
      <c r="D1636" s="213">
        <v>17089000960</v>
      </c>
      <c r="E1636" s="213" t="s">
        <v>533</v>
      </c>
      <c r="F1636" s="213" t="s">
        <v>534</v>
      </c>
      <c r="G1636" s="213" t="s">
        <v>369</v>
      </c>
      <c r="H1636" s="213" t="s">
        <v>381</v>
      </c>
      <c r="I1636" s="213"/>
      <c r="J1636" s="213" t="s">
        <v>542</v>
      </c>
      <c r="K1636" s="213" t="s">
        <v>578</v>
      </c>
      <c r="L1636" s="213" t="s">
        <v>547</v>
      </c>
      <c r="M1636" s="213" t="s">
        <v>382</v>
      </c>
      <c r="N1636" s="213"/>
      <c r="O1636" s="213"/>
      <c r="P1636" s="213"/>
      <c r="Q1636" s="213"/>
      <c r="R1636" s="213"/>
      <c r="S1636" s="213" t="s">
        <v>579</v>
      </c>
      <c r="T1636" s="213" t="s">
        <v>694</v>
      </c>
      <c r="U1636" s="213" t="s">
        <v>538</v>
      </c>
      <c r="V1636" s="213">
        <v>3</v>
      </c>
      <c r="W1636" s="213" t="s">
        <v>545</v>
      </c>
      <c r="X1636" s="213" t="s">
        <v>540</v>
      </c>
      <c r="Y1636" s="213" t="s">
        <v>575</v>
      </c>
      <c r="Z1636" s="212">
        <v>1289946</v>
      </c>
      <c r="AA1636" s="212">
        <v>62180706</v>
      </c>
      <c r="AB1636" s="217">
        <v>6.0865000000000002E-2</v>
      </c>
      <c r="AC1636" s="217">
        <v>9.7952999999999998E-2</v>
      </c>
      <c r="AD1636" s="212">
        <f t="shared" si="25"/>
        <v>3784628.6706900001</v>
      </c>
    </row>
    <row r="1637" spans="2:30" x14ac:dyDescent="0.15">
      <c r="B1637" s="213">
        <v>17097001933</v>
      </c>
      <c r="C1637" s="213">
        <v>17097007522</v>
      </c>
      <c r="D1637" s="213">
        <v>17097004541</v>
      </c>
      <c r="E1637" s="213" t="s">
        <v>533</v>
      </c>
      <c r="F1637" s="213" t="s">
        <v>534</v>
      </c>
      <c r="G1637" s="213" t="s">
        <v>373</v>
      </c>
      <c r="H1637" s="213" t="s">
        <v>552</v>
      </c>
      <c r="I1637" s="213"/>
      <c r="J1637" s="213" t="s">
        <v>542</v>
      </c>
      <c r="K1637" s="213"/>
      <c r="L1637" s="213"/>
      <c r="M1637" s="213"/>
      <c r="N1637" s="213"/>
      <c r="O1637" s="213"/>
      <c r="P1637" s="213"/>
      <c r="Q1637" s="213"/>
      <c r="R1637" s="213"/>
      <c r="S1637" s="213" t="s">
        <v>564</v>
      </c>
      <c r="T1637" s="213"/>
      <c r="U1637" s="213" t="s">
        <v>538</v>
      </c>
      <c r="V1637" s="213">
        <v>2</v>
      </c>
      <c r="W1637" s="213" t="s">
        <v>545</v>
      </c>
      <c r="X1637" s="213" t="s">
        <v>549</v>
      </c>
      <c r="Y1637" s="213" t="s">
        <v>549</v>
      </c>
      <c r="Z1637" s="212">
        <v>423217</v>
      </c>
      <c r="AA1637" s="212">
        <v>26259270</v>
      </c>
      <c r="AB1637" s="217">
        <v>2.6924459999999999</v>
      </c>
      <c r="AC1637" s="217">
        <v>4.3330799999999998</v>
      </c>
      <c r="AD1637" s="212">
        <f t="shared" si="25"/>
        <v>70701666.474419996</v>
      </c>
    </row>
    <row r="1638" spans="2:30" x14ac:dyDescent="0.15">
      <c r="B1638" s="213">
        <v>17097001936</v>
      </c>
      <c r="C1638" s="213">
        <v>17097007502</v>
      </c>
      <c r="D1638" s="213">
        <v>17097000022</v>
      </c>
      <c r="E1638" s="213" t="s">
        <v>533</v>
      </c>
      <c r="F1638" s="213" t="s">
        <v>534</v>
      </c>
      <c r="G1638" s="213" t="s">
        <v>373</v>
      </c>
      <c r="H1638" s="213" t="s">
        <v>535</v>
      </c>
      <c r="I1638" s="213"/>
      <c r="J1638" s="213" t="s">
        <v>547</v>
      </c>
      <c r="K1638" s="213"/>
      <c r="L1638" s="213"/>
      <c r="M1638" s="213"/>
      <c r="N1638" s="213"/>
      <c r="O1638" s="213"/>
      <c r="P1638" s="213"/>
      <c r="Q1638" s="213"/>
      <c r="R1638" s="213"/>
      <c r="S1638" s="213" t="s">
        <v>548</v>
      </c>
      <c r="T1638" s="213"/>
      <c r="U1638" s="213" t="s">
        <v>538</v>
      </c>
      <c r="V1638" s="213">
        <v>2</v>
      </c>
      <c r="W1638" s="213" t="s">
        <v>545</v>
      </c>
      <c r="X1638" s="213" t="s">
        <v>549</v>
      </c>
      <c r="Y1638" s="213" t="s">
        <v>546</v>
      </c>
      <c r="Z1638" s="212">
        <v>374620</v>
      </c>
      <c r="AA1638" s="212">
        <v>23516813</v>
      </c>
      <c r="AB1638" s="217">
        <v>2.9007740000000002</v>
      </c>
      <c r="AC1638" s="217">
        <v>4.6683519999999996</v>
      </c>
      <c r="AD1638" s="212">
        <f t="shared" si="25"/>
        <v>68216959.713262007</v>
      </c>
    </row>
    <row r="1639" spans="2:30" x14ac:dyDescent="0.15">
      <c r="B1639" s="213">
        <v>17097002115</v>
      </c>
      <c r="C1639" s="213">
        <v>17097000056</v>
      </c>
      <c r="D1639" s="213">
        <v>17097004531</v>
      </c>
      <c r="E1639" s="213" t="s">
        <v>533</v>
      </c>
      <c r="F1639" s="213" t="s">
        <v>534</v>
      </c>
      <c r="G1639" s="213" t="s">
        <v>373</v>
      </c>
      <c r="H1639" s="213" t="s">
        <v>552</v>
      </c>
      <c r="I1639" s="213"/>
      <c r="J1639" s="213" t="s">
        <v>547</v>
      </c>
      <c r="K1639" s="213" t="s">
        <v>563</v>
      </c>
      <c r="L1639" s="213"/>
      <c r="M1639" s="213"/>
      <c r="N1639" s="213"/>
      <c r="O1639" s="213"/>
      <c r="P1639" s="213"/>
      <c r="Q1639" s="213"/>
      <c r="R1639" s="213"/>
      <c r="S1639" s="213" t="s">
        <v>629</v>
      </c>
      <c r="T1639" s="213"/>
      <c r="U1639" s="213" t="s">
        <v>538</v>
      </c>
      <c r="V1639" s="213">
        <v>1</v>
      </c>
      <c r="W1639" s="213" t="s">
        <v>582</v>
      </c>
      <c r="X1639" s="213" t="s">
        <v>540</v>
      </c>
      <c r="Y1639" s="213" t="s">
        <v>554</v>
      </c>
      <c r="Z1639" s="212">
        <v>21588</v>
      </c>
      <c r="AA1639" s="212">
        <v>1927380</v>
      </c>
      <c r="AB1639" s="217">
        <v>0.75714700000000001</v>
      </c>
      <c r="AC1639" s="217">
        <v>1.218513</v>
      </c>
      <c r="AD1639" s="212">
        <f t="shared" si="25"/>
        <v>1459309.98486</v>
      </c>
    </row>
    <row r="1640" spans="2:30" x14ac:dyDescent="0.15">
      <c r="B1640" s="213">
        <v>17097002118</v>
      </c>
      <c r="C1640" s="213">
        <v>17097004555</v>
      </c>
      <c r="D1640" s="213">
        <v>17097000047</v>
      </c>
      <c r="E1640" s="213" t="s">
        <v>533</v>
      </c>
      <c r="F1640" s="213" t="s">
        <v>534</v>
      </c>
      <c r="G1640" s="213" t="s">
        <v>373</v>
      </c>
      <c r="H1640" s="213" t="s">
        <v>535</v>
      </c>
      <c r="I1640" s="213"/>
      <c r="J1640" s="213" t="s">
        <v>547</v>
      </c>
      <c r="K1640" s="213"/>
      <c r="L1640" s="213"/>
      <c r="M1640" s="213"/>
      <c r="N1640" s="213"/>
      <c r="O1640" s="213"/>
      <c r="P1640" s="213"/>
      <c r="Q1640" s="213"/>
      <c r="R1640" s="213"/>
      <c r="S1640" s="213" t="s">
        <v>548</v>
      </c>
      <c r="T1640" s="213"/>
      <c r="U1640" s="213" t="s">
        <v>538</v>
      </c>
      <c r="V1640" s="213">
        <v>2</v>
      </c>
      <c r="W1640" s="213" t="s">
        <v>545</v>
      </c>
      <c r="X1640" s="213" t="s">
        <v>549</v>
      </c>
      <c r="Y1640" s="213" t="s">
        <v>546</v>
      </c>
      <c r="Z1640" s="212">
        <v>374620</v>
      </c>
      <c r="AA1640" s="212">
        <v>23516813</v>
      </c>
      <c r="AB1640" s="217">
        <v>2.2824689999999999</v>
      </c>
      <c r="AC1640" s="217">
        <v>3.6732849999999999</v>
      </c>
      <c r="AD1640" s="212">
        <f t="shared" si="25"/>
        <v>53676396.651296996</v>
      </c>
    </row>
    <row r="1641" spans="2:30" x14ac:dyDescent="0.15">
      <c r="B1641" s="213">
        <v>17097002119</v>
      </c>
      <c r="C1641" s="213">
        <v>17097004556</v>
      </c>
      <c r="D1641" s="213">
        <v>17097004555</v>
      </c>
      <c r="E1641" s="213" t="s">
        <v>533</v>
      </c>
      <c r="F1641" s="213" t="s">
        <v>534</v>
      </c>
      <c r="G1641" s="213" t="s">
        <v>373</v>
      </c>
      <c r="H1641" s="213" t="s">
        <v>535</v>
      </c>
      <c r="I1641" s="213"/>
      <c r="J1641" s="213" t="s">
        <v>547</v>
      </c>
      <c r="K1641" s="213"/>
      <c r="L1641" s="213"/>
      <c r="M1641" s="213"/>
      <c r="N1641" s="213"/>
      <c r="O1641" s="213"/>
      <c r="P1641" s="213"/>
      <c r="Q1641" s="213"/>
      <c r="R1641" s="213"/>
      <c r="S1641" s="213" t="s">
        <v>548</v>
      </c>
      <c r="T1641" s="213"/>
      <c r="U1641" s="213" t="s">
        <v>538</v>
      </c>
      <c r="V1641" s="213">
        <v>1</v>
      </c>
      <c r="W1641" s="213" t="s">
        <v>545</v>
      </c>
      <c r="X1641" s="213" t="s">
        <v>549</v>
      </c>
      <c r="Y1641" s="213" t="s">
        <v>546</v>
      </c>
      <c r="Z1641" s="212">
        <v>374620</v>
      </c>
      <c r="AA1641" s="212">
        <v>23516813</v>
      </c>
      <c r="AB1641" s="217">
        <v>2.3902570000000001</v>
      </c>
      <c r="AC1641" s="217">
        <v>3.8467530000000001</v>
      </c>
      <c r="AD1641" s="212">
        <f t="shared" si="25"/>
        <v>56211226.890941001</v>
      </c>
    </row>
    <row r="1642" spans="2:30" x14ac:dyDescent="0.15">
      <c r="B1642" s="213">
        <v>17097002142</v>
      </c>
      <c r="C1642" s="213">
        <v>17097000038</v>
      </c>
      <c r="D1642" s="213">
        <v>17097000030</v>
      </c>
      <c r="E1642" s="213" t="s">
        <v>533</v>
      </c>
      <c r="F1642" s="213" t="s">
        <v>534</v>
      </c>
      <c r="G1642" s="213" t="s">
        <v>373</v>
      </c>
      <c r="H1642" s="213" t="s">
        <v>382</v>
      </c>
      <c r="I1642" s="213"/>
      <c r="J1642" s="213" t="s">
        <v>535</v>
      </c>
      <c r="K1642" s="213" t="s">
        <v>547</v>
      </c>
      <c r="L1642" s="213"/>
      <c r="M1642" s="213"/>
      <c r="N1642" s="213"/>
      <c r="O1642" s="213"/>
      <c r="P1642" s="213"/>
      <c r="Q1642" s="213"/>
      <c r="R1642" s="213"/>
      <c r="S1642" s="213" t="s">
        <v>565</v>
      </c>
      <c r="T1642" s="213"/>
      <c r="U1642" s="213" t="s">
        <v>538</v>
      </c>
      <c r="V1642" s="213">
        <v>2</v>
      </c>
      <c r="W1642" s="213" t="s">
        <v>566</v>
      </c>
      <c r="X1642" s="213" t="s">
        <v>549</v>
      </c>
      <c r="Y1642" s="213" t="s">
        <v>540</v>
      </c>
      <c r="Z1642" s="212">
        <v>3388</v>
      </c>
      <c r="AA1642" s="212">
        <v>316944</v>
      </c>
      <c r="AB1642" s="217">
        <v>1.488059</v>
      </c>
      <c r="AC1642" s="217">
        <v>2.3948040000000002</v>
      </c>
      <c r="AD1642" s="212">
        <f t="shared" si="25"/>
        <v>471631.37169599999</v>
      </c>
    </row>
    <row r="1643" spans="2:30" x14ac:dyDescent="0.15">
      <c r="B1643" s="213">
        <v>17097002148</v>
      </c>
      <c r="C1643" s="213">
        <v>17097004544</v>
      </c>
      <c r="D1643" s="213">
        <v>17097004543</v>
      </c>
      <c r="E1643" s="213" t="s">
        <v>533</v>
      </c>
      <c r="F1643" s="213" t="s">
        <v>534</v>
      </c>
      <c r="G1643" s="213" t="s">
        <v>373</v>
      </c>
      <c r="H1643" s="213" t="s">
        <v>382</v>
      </c>
      <c r="I1643" s="213"/>
      <c r="J1643" s="213" t="s">
        <v>535</v>
      </c>
      <c r="K1643" s="213"/>
      <c r="L1643" s="213"/>
      <c r="M1643" s="213"/>
      <c r="N1643" s="213"/>
      <c r="O1643" s="213"/>
      <c r="P1643" s="213"/>
      <c r="Q1643" s="213"/>
      <c r="R1643" s="213"/>
      <c r="S1643" s="213" t="s">
        <v>586</v>
      </c>
      <c r="T1643" s="213"/>
      <c r="U1643" s="213" t="s">
        <v>538</v>
      </c>
      <c r="V1643" s="213">
        <v>2</v>
      </c>
      <c r="W1643" s="213" t="s">
        <v>582</v>
      </c>
      <c r="X1643" s="213" t="s">
        <v>549</v>
      </c>
      <c r="Y1643" s="213" t="s">
        <v>549</v>
      </c>
      <c r="Z1643" s="212">
        <v>98392</v>
      </c>
      <c r="AA1643" s="212">
        <v>10782047</v>
      </c>
      <c r="AB1643" s="217">
        <v>5.2488549999999998</v>
      </c>
      <c r="AC1643" s="217">
        <v>8.4472310000000004</v>
      </c>
      <c r="AD1643" s="212">
        <f t="shared" si="25"/>
        <v>56593401.306185</v>
      </c>
    </row>
    <row r="1644" spans="2:30" x14ac:dyDescent="0.15">
      <c r="B1644" s="213">
        <v>17097006329</v>
      </c>
      <c r="C1644" s="213">
        <v>17097004566</v>
      </c>
      <c r="D1644" s="213">
        <v>17097000057</v>
      </c>
      <c r="E1644" s="213" t="s">
        <v>533</v>
      </c>
      <c r="F1644" s="213" t="s">
        <v>534</v>
      </c>
      <c r="G1644" s="213" t="s">
        <v>373</v>
      </c>
      <c r="H1644" s="213" t="s">
        <v>382</v>
      </c>
      <c r="I1644" s="213"/>
      <c r="J1644" s="213" t="s">
        <v>535</v>
      </c>
      <c r="K1644" s="213" t="s">
        <v>547</v>
      </c>
      <c r="L1644" s="213"/>
      <c r="M1644" s="213"/>
      <c r="N1644" s="213"/>
      <c r="O1644" s="213"/>
      <c r="P1644" s="213"/>
      <c r="Q1644" s="213"/>
      <c r="R1644" s="213"/>
      <c r="S1644" s="213" t="s">
        <v>565</v>
      </c>
      <c r="T1644" s="213"/>
      <c r="U1644" s="213" t="s">
        <v>538</v>
      </c>
      <c r="V1644" s="213">
        <v>2</v>
      </c>
      <c r="W1644" s="213" t="s">
        <v>566</v>
      </c>
      <c r="X1644" s="213" t="s">
        <v>549</v>
      </c>
      <c r="Y1644" s="213" t="s">
        <v>549</v>
      </c>
      <c r="Z1644" s="212">
        <v>3468</v>
      </c>
      <c r="AA1644" s="212">
        <v>323344</v>
      </c>
      <c r="AB1644" s="217">
        <v>0.15413299999999999</v>
      </c>
      <c r="AC1644" s="217">
        <v>0.248054</v>
      </c>
      <c r="AD1644" s="212">
        <f t="shared" si="25"/>
        <v>49837.980751999996</v>
      </c>
    </row>
    <row r="1645" spans="2:30" x14ac:dyDescent="0.15">
      <c r="B1645" s="213">
        <v>17097009354</v>
      </c>
      <c r="C1645" s="213">
        <v>17097000067</v>
      </c>
      <c r="D1645" s="213">
        <v>17097007473</v>
      </c>
      <c r="E1645" s="213" t="s">
        <v>533</v>
      </c>
      <c r="F1645" s="213" t="s">
        <v>534</v>
      </c>
      <c r="G1645" s="213" t="s">
        <v>373</v>
      </c>
      <c r="H1645" s="213" t="s">
        <v>535</v>
      </c>
      <c r="I1645" s="213"/>
      <c r="J1645" s="213" t="s">
        <v>382</v>
      </c>
      <c r="K1645" s="213"/>
      <c r="L1645" s="213"/>
      <c r="M1645" s="213"/>
      <c r="N1645" s="213"/>
      <c r="O1645" s="213"/>
      <c r="P1645" s="213"/>
      <c r="Q1645" s="213"/>
      <c r="R1645" s="213"/>
      <c r="S1645" s="213" t="s">
        <v>550</v>
      </c>
      <c r="T1645" s="213"/>
      <c r="U1645" s="213" t="s">
        <v>538</v>
      </c>
      <c r="V1645" s="213">
        <v>1</v>
      </c>
      <c r="W1645" s="213" t="s">
        <v>560</v>
      </c>
      <c r="X1645" s="213" t="s">
        <v>541</v>
      </c>
      <c r="Y1645" s="213" t="s">
        <v>541</v>
      </c>
      <c r="Z1645" s="212">
        <v>0</v>
      </c>
      <c r="AA1645" s="212">
        <v>0</v>
      </c>
      <c r="AB1645" s="217">
        <v>0.279254</v>
      </c>
      <c r="AC1645" s="217">
        <v>0.44941700000000001</v>
      </c>
      <c r="AD1645" s="212">
        <f t="shared" si="25"/>
        <v>0</v>
      </c>
    </row>
    <row r="1646" spans="2:30" x14ac:dyDescent="0.15">
      <c r="B1646" s="213">
        <v>17097009406</v>
      </c>
      <c r="C1646" s="213">
        <v>17097004562</v>
      </c>
      <c r="D1646" s="213">
        <v>17097007517</v>
      </c>
      <c r="E1646" s="213" t="s">
        <v>533</v>
      </c>
      <c r="F1646" s="213" t="s">
        <v>534</v>
      </c>
      <c r="G1646" s="213" t="s">
        <v>373</v>
      </c>
      <c r="H1646" s="213" t="s">
        <v>535</v>
      </c>
      <c r="I1646" s="213"/>
      <c r="J1646" s="213" t="s">
        <v>547</v>
      </c>
      <c r="K1646" s="213"/>
      <c r="L1646" s="213"/>
      <c r="M1646" s="213"/>
      <c r="N1646" s="213"/>
      <c r="O1646" s="213"/>
      <c r="P1646" s="213"/>
      <c r="Q1646" s="213"/>
      <c r="R1646" s="213"/>
      <c r="S1646" s="213" t="s">
        <v>548</v>
      </c>
      <c r="T1646" s="213"/>
      <c r="U1646" s="213" t="s">
        <v>538</v>
      </c>
      <c r="V1646" s="213">
        <v>1</v>
      </c>
      <c r="W1646" s="213" t="s">
        <v>545</v>
      </c>
      <c r="X1646" s="213" t="s">
        <v>549</v>
      </c>
      <c r="Y1646" s="213" t="s">
        <v>546</v>
      </c>
      <c r="Z1646" s="212">
        <v>374009</v>
      </c>
      <c r="AA1646" s="212">
        <v>22824039</v>
      </c>
      <c r="AB1646" s="217">
        <v>0.243561</v>
      </c>
      <c r="AC1646" s="217">
        <v>0.39197500000000002</v>
      </c>
      <c r="AD1646" s="212">
        <f t="shared" si="25"/>
        <v>5559045.762879</v>
      </c>
    </row>
    <row r="1647" spans="2:30" x14ac:dyDescent="0.15">
      <c r="B1647" s="213">
        <v>17111001983</v>
      </c>
      <c r="C1647" s="213">
        <v>17111000148</v>
      </c>
      <c r="D1647" s="213">
        <v>17111004842</v>
      </c>
      <c r="E1647" s="213" t="s">
        <v>533</v>
      </c>
      <c r="F1647" s="213" t="s">
        <v>534</v>
      </c>
      <c r="G1647" s="213" t="s">
        <v>375</v>
      </c>
      <c r="H1647" s="213" t="s">
        <v>382</v>
      </c>
      <c r="I1647" s="213"/>
      <c r="J1647" s="213"/>
      <c r="K1647" s="213"/>
      <c r="L1647" s="213"/>
      <c r="M1647" s="213"/>
      <c r="N1647" s="213"/>
      <c r="O1647" s="213"/>
      <c r="P1647" s="213"/>
      <c r="Q1647" s="213"/>
      <c r="R1647" s="213"/>
      <c r="S1647" s="213" t="s">
        <v>561</v>
      </c>
      <c r="T1647" s="213"/>
      <c r="U1647" s="213" t="s">
        <v>538</v>
      </c>
      <c r="V1647" s="213">
        <v>1</v>
      </c>
      <c r="W1647" s="213" t="s">
        <v>562</v>
      </c>
      <c r="X1647" s="213" t="s">
        <v>540</v>
      </c>
      <c r="Y1647" s="213" t="s">
        <v>541</v>
      </c>
      <c r="Z1647" s="212">
        <v>12120</v>
      </c>
      <c r="AA1647" s="212">
        <v>280000</v>
      </c>
      <c r="AB1647" s="217">
        <v>3.662531</v>
      </c>
      <c r="AC1647" s="217">
        <v>5.8942839999999999</v>
      </c>
      <c r="AD1647" s="212">
        <f t="shared" si="25"/>
        <v>1025508.68</v>
      </c>
    </row>
    <row r="1648" spans="2:30" x14ac:dyDescent="0.15">
      <c r="B1648" s="213">
        <v>17111002556</v>
      </c>
      <c r="C1648" s="213">
        <v>17111000152</v>
      </c>
      <c r="D1648" s="213">
        <v>17111000148</v>
      </c>
      <c r="E1648" s="213" t="s">
        <v>533</v>
      </c>
      <c r="F1648" s="213" t="s">
        <v>534</v>
      </c>
      <c r="G1648" s="213" t="s">
        <v>375</v>
      </c>
      <c r="H1648" s="213" t="s">
        <v>382</v>
      </c>
      <c r="I1648" s="213"/>
      <c r="J1648" s="213"/>
      <c r="K1648" s="213"/>
      <c r="L1648" s="213"/>
      <c r="M1648" s="213"/>
      <c r="N1648" s="213"/>
      <c r="O1648" s="213"/>
      <c r="P1648" s="213"/>
      <c r="Q1648" s="213"/>
      <c r="R1648" s="213"/>
      <c r="S1648" s="213" t="s">
        <v>561</v>
      </c>
      <c r="T1648" s="213"/>
      <c r="U1648" s="213" t="s">
        <v>538</v>
      </c>
      <c r="V1648" s="213">
        <v>1</v>
      </c>
      <c r="W1648" s="213" t="s">
        <v>562</v>
      </c>
      <c r="X1648" s="213" t="s">
        <v>540</v>
      </c>
      <c r="Y1648" s="213" t="s">
        <v>541</v>
      </c>
      <c r="Z1648" s="212">
        <v>12120</v>
      </c>
      <c r="AA1648" s="212">
        <v>280000</v>
      </c>
      <c r="AB1648" s="217">
        <v>0.12873200000000001</v>
      </c>
      <c r="AC1648" s="217">
        <v>0.207174</v>
      </c>
      <c r="AD1648" s="212">
        <f t="shared" si="25"/>
        <v>36044.960000000006</v>
      </c>
    </row>
    <row r="1649" spans="2:30" x14ac:dyDescent="0.15">
      <c r="B1649" s="213">
        <v>17111002557</v>
      </c>
      <c r="C1649" s="213">
        <v>17111000158</v>
      </c>
      <c r="D1649" s="213">
        <v>17111000154</v>
      </c>
      <c r="E1649" s="213" t="s">
        <v>533</v>
      </c>
      <c r="F1649" s="213" t="s">
        <v>534</v>
      </c>
      <c r="G1649" s="213" t="s">
        <v>375</v>
      </c>
      <c r="H1649" s="213" t="s">
        <v>678</v>
      </c>
      <c r="I1649" s="213"/>
      <c r="J1649" s="213"/>
      <c r="K1649" s="213"/>
      <c r="L1649" s="213"/>
      <c r="M1649" s="213"/>
      <c r="N1649" s="213"/>
      <c r="O1649" s="213"/>
      <c r="P1649" s="213"/>
      <c r="Q1649" s="213"/>
      <c r="R1649" s="213"/>
      <c r="S1649" s="213"/>
      <c r="T1649" s="213"/>
      <c r="U1649" s="213" t="s">
        <v>538</v>
      </c>
      <c r="V1649" s="213">
        <v>1</v>
      </c>
      <c r="W1649" s="213" t="s">
        <v>560</v>
      </c>
      <c r="X1649" s="213" t="s">
        <v>541</v>
      </c>
      <c r="Y1649" s="213" t="s">
        <v>541</v>
      </c>
      <c r="Z1649" s="212">
        <v>0</v>
      </c>
      <c r="AA1649" s="212">
        <v>0</v>
      </c>
      <c r="AB1649" s="217">
        <v>0.473055</v>
      </c>
      <c r="AC1649" s="217">
        <v>0.76130900000000001</v>
      </c>
      <c r="AD1649" s="212">
        <f t="shared" si="25"/>
        <v>0</v>
      </c>
    </row>
    <row r="1650" spans="2:30" x14ac:dyDescent="0.15">
      <c r="B1650" s="213">
        <v>17111005926</v>
      </c>
      <c r="C1650" s="213">
        <v>17111000039</v>
      </c>
      <c r="D1650" s="213">
        <v>17111000040</v>
      </c>
      <c r="E1650" s="213" t="s">
        <v>533</v>
      </c>
      <c r="F1650" s="213" t="s">
        <v>534</v>
      </c>
      <c r="G1650" s="213" t="s">
        <v>375</v>
      </c>
      <c r="H1650" s="213" t="s">
        <v>636</v>
      </c>
      <c r="I1650" s="213"/>
      <c r="J1650" s="213"/>
      <c r="K1650" s="213"/>
      <c r="L1650" s="213"/>
      <c r="M1650" s="213"/>
      <c r="N1650" s="213"/>
      <c r="O1650" s="213"/>
      <c r="P1650" s="213"/>
      <c r="Q1650" s="213"/>
      <c r="R1650" s="213"/>
      <c r="S1650" s="213"/>
      <c r="T1650" s="213"/>
      <c r="U1650" s="213" t="s">
        <v>538</v>
      </c>
      <c r="V1650" s="213">
        <v>1</v>
      </c>
      <c r="W1650" s="213" t="s">
        <v>560</v>
      </c>
      <c r="X1650" s="213" t="s">
        <v>637</v>
      </c>
      <c r="Y1650" s="213" t="s">
        <v>541</v>
      </c>
      <c r="Z1650" s="212">
        <v>0</v>
      </c>
      <c r="AA1650" s="212">
        <v>0</v>
      </c>
      <c r="AB1650" s="217">
        <v>0.16050800000000001</v>
      </c>
      <c r="AC1650" s="217">
        <v>0.25831300000000001</v>
      </c>
      <c r="AD1650" s="212">
        <f t="shared" si="25"/>
        <v>0</v>
      </c>
    </row>
    <row r="1651" spans="2:30" x14ac:dyDescent="0.15">
      <c r="B1651" s="213">
        <v>17197002057</v>
      </c>
      <c r="C1651" s="213">
        <v>17197001773</v>
      </c>
      <c r="D1651" s="213">
        <v>17197001753</v>
      </c>
      <c r="E1651" s="213" t="s">
        <v>533</v>
      </c>
      <c r="F1651" s="213" t="s">
        <v>534</v>
      </c>
      <c r="G1651" s="213" t="s">
        <v>377</v>
      </c>
      <c r="H1651" s="213" t="s">
        <v>382</v>
      </c>
      <c r="I1651" s="213"/>
      <c r="J1651" s="213" t="s">
        <v>542</v>
      </c>
      <c r="K1651" s="213"/>
      <c r="L1651" s="213"/>
      <c r="M1651" s="213"/>
      <c r="N1651" s="213"/>
      <c r="O1651" s="213"/>
      <c r="P1651" s="213"/>
      <c r="Q1651" s="213"/>
      <c r="R1651" s="213"/>
      <c r="S1651" s="213" t="s">
        <v>606</v>
      </c>
      <c r="T1651" s="213"/>
      <c r="U1651" s="213" t="s">
        <v>538</v>
      </c>
      <c r="V1651" s="213">
        <v>1</v>
      </c>
      <c r="W1651" s="213" t="s">
        <v>545</v>
      </c>
      <c r="X1651" s="213" t="s">
        <v>549</v>
      </c>
      <c r="Y1651" s="213" t="s">
        <v>541</v>
      </c>
      <c r="Z1651" s="212">
        <v>0</v>
      </c>
      <c r="AA1651" s="212">
        <v>0</v>
      </c>
      <c r="AB1651" s="217">
        <v>1.969776</v>
      </c>
      <c r="AC1651" s="217">
        <v>3.1700529999999998</v>
      </c>
      <c r="AD1651" s="212">
        <f t="shared" si="25"/>
        <v>0</v>
      </c>
    </row>
    <row r="1652" spans="2:30" x14ac:dyDescent="0.15">
      <c r="B1652" s="213">
        <v>17197002276</v>
      </c>
      <c r="C1652" s="213">
        <v>17197001588</v>
      </c>
      <c r="D1652" s="213">
        <v>17197004805</v>
      </c>
      <c r="E1652" s="213" t="s">
        <v>533</v>
      </c>
      <c r="F1652" s="213" t="s">
        <v>534</v>
      </c>
      <c r="G1652" s="213" t="s">
        <v>377</v>
      </c>
      <c r="H1652" s="213" t="s">
        <v>535</v>
      </c>
      <c r="I1652" s="213"/>
      <c r="J1652" s="213" t="s">
        <v>382</v>
      </c>
      <c r="K1652" s="213"/>
      <c r="L1652" s="213"/>
      <c r="M1652" s="213"/>
      <c r="N1652" s="213"/>
      <c r="O1652" s="213"/>
      <c r="P1652" s="213"/>
      <c r="Q1652" s="213"/>
      <c r="R1652" s="213"/>
      <c r="S1652" s="213" t="s">
        <v>601</v>
      </c>
      <c r="T1652" s="213"/>
      <c r="U1652" s="213" t="s">
        <v>538</v>
      </c>
      <c r="V1652" s="213">
        <v>1</v>
      </c>
      <c r="W1652" s="213" t="s">
        <v>582</v>
      </c>
      <c r="X1652" s="213" t="s">
        <v>540</v>
      </c>
      <c r="Y1652" s="213" t="s">
        <v>540</v>
      </c>
      <c r="Z1652" s="212">
        <v>3080</v>
      </c>
      <c r="AA1652" s="212">
        <v>278200</v>
      </c>
      <c r="AB1652" s="217">
        <v>0.83191999999999999</v>
      </c>
      <c r="AC1652" s="217">
        <v>1.3388469999999999</v>
      </c>
      <c r="AD1652" s="212">
        <f t="shared" si="25"/>
        <v>231440.144</v>
      </c>
    </row>
    <row r="1653" spans="2:30" x14ac:dyDescent="0.15">
      <c r="B1653" s="213">
        <v>17197002627</v>
      </c>
      <c r="C1653" s="213">
        <v>17197001569</v>
      </c>
      <c r="D1653" s="213">
        <v>17197001555</v>
      </c>
      <c r="E1653" s="213" t="s">
        <v>533</v>
      </c>
      <c r="F1653" s="213" t="s">
        <v>534</v>
      </c>
      <c r="G1653" s="213" t="s">
        <v>377</v>
      </c>
      <c r="H1653" s="213" t="s">
        <v>551</v>
      </c>
      <c r="I1653" s="213"/>
      <c r="J1653" s="213" t="s">
        <v>535</v>
      </c>
      <c r="K1653" s="213" t="s">
        <v>615</v>
      </c>
      <c r="L1653" s="213"/>
      <c r="M1653" s="213"/>
      <c r="N1653" s="213"/>
      <c r="O1653" s="213"/>
      <c r="P1653" s="213"/>
      <c r="Q1653" s="213"/>
      <c r="R1653" s="213"/>
      <c r="S1653" s="213" t="s">
        <v>663</v>
      </c>
      <c r="T1653" s="213"/>
      <c r="U1653" s="213" t="s">
        <v>538</v>
      </c>
      <c r="V1653" s="213">
        <v>1</v>
      </c>
      <c r="W1653" s="213" t="s">
        <v>539</v>
      </c>
      <c r="X1653" s="213" t="s">
        <v>554</v>
      </c>
      <c r="Y1653" s="213" t="s">
        <v>540</v>
      </c>
      <c r="Z1653" s="212">
        <v>30540</v>
      </c>
      <c r="AA1653" s="212">
        <v>2934621</v>
      </c>
      <c r="AB1653" s="217">
        <v>0.80666700000000002</v>
      </c>
      <c r="AC1653" s="217">
        <v>1.2982070000000001</v>
      </c>
      <c r="AD1653" s="212">
        <f t="shared" si="25"/>
        <v>2367261.918207</v>
      </c>
    </row>
    <row r="1654" spans="2:30" x14ac:dyDescent="0.15">
      <c r="B1654" s="213">
        <v>17197003105</v>
      </c>
      <c r="C1654" s="213">
        <v>17197004794</v>
      </c>
      <c r="D1654" s="213">
        <v>17197007436</v>
      </c>
      <c r="E1654" s="213" t="s">
        <v>533</v>
      </c>
      <c r="F1654" s="213" t="s">
        <v>534</v>
      </c>
      <c r="G1654" s="213" t="s">
        <v>377</v>
      </c>
      <c r="H1654" s="213" t="s">
        <v>535</v>
      </c>
      <c r="I1654" s="213"/>
      <c r="J1654" s="213" t="s">
        <v>382</v>
      </c>
      <c r="K1654" s="213" t="s">
        <v>536</v>
      </c>
      <c r="L1654" s="213"/>
      <c r="M1654" s="213"/>
      <c r="N1654" s="213"/>
      <c r="O1654" s="213"/>
      <c r="P1654" s="213"/>
      <c r="Q1654" s="213"/>
      <c r="R1654" s="213"/>
      <c r="S1654" s="213" t="s">
        <v>537</v>
      </c>
      <c r="T1654" s="213"/>
      <c r="U1654" s="213" t="s">
        <v>538</v>
      </c>
      <c r="V1654" s="213">
        <v>2</v>
      </c>
      <c r="W1654" s="213" t="s">
        <v>545</v>
      </c>
      <c r="X1654" s="213" t="s">
        <v>549</v>
      </c>
      <c r="Y1654" s="213" t="s">
        <v>540</v>
      </c>
      <c r="Z1654" s="212">
        <v>39128</v>
      </c>
      <c r="AA1654" s="212">
        <v>3874614</v>
      </c>
      <c r="AB1654" s="217">
        <v>2.6848030000000001</v>
      </c>
      <c r="AC1654" s="217">
        <v>4.3207810000000002</v>
      </c>
      <c r="AD1654" s="212">
        <f t="shared" si="25"/>
        <v>10402575.291042</v>
      </c>
    </row>
    <row r="1655" spans="2:30" x14ac:dyDescent="0.15">
      <c r="B1655" s="213">
        <v>17197003169</v>
      </c>
      <c r="C1655" s="213">
        <v>17197006628</v>
      </c>
      <c r="D1655" s="213">
        <v>17197001466</v>
      </c>
      <c r="E1655" s="213" t="s">
        <v>533</v>
      </c>
      <c r="F1655" s="213" t="s">
        <v>534</v>
      </c>
      <c r="G1655" s="213" t="s">
        <v>377</v>
      </c>
      <c r="H1655" s="213" t="s">
        <v>535</v>
      </c>
      <c r="I1655" s="213"/>
      <c r="J1655" s="213"/>
      <c r="K1655" s="213"/>
      <c r="L1655" s="213"/>
      <c r="M1655" s="213"/>
      <c r="N1655" s="213"/>
      <c r="O1655" s="213"/>
      <c r="P1655" s="213"/>
      <c r="Q1655" s="213"/>
      <c r="R1655" s="213"/>
      <c r="S1655" s="213"/>
      <c r="T1655" s="213" t="s">
        <v>596</v>
      </c>
      <c r="U1655" s="213" t="s">
        <v>559</v>
      </c>
      <c r="V1655" s="213">
        <v>1</v>
      </c>
      <c r="W1655" s="213" t="s">
        <v>560</v>
      </c>
      <c r="X1655" s="213" t="s">
        <v>541</v>
      </c>
      <c r="Y1655" s="213" t="s">
        <v>541</v>
      </c>
      <c r="Z1655" s="212">
        <v>3004</v>
      </c>
      <c r="AA1655" s="212">
        <v>285664</v>
      </c>
      <c r="AB1655" s="217">
        <v>0.275036</v>
      </c>
      <c r="AC1655" s="217">
        <v>0.44262800000000002</v>
      </c>
      <c r="AD1655" s="212">
        <f t="shared" si="25"/>
        <v>78567.883904000002</v>
      </c>
    </row>
    <row r="1656" spans="2:30" x14ac:dyDescent="0.15">
      <c r="B1656" s="213">
        <v>17197003327</v>
      </c>
      <c r="C1656" s="213">
        <v>17999024193</v>
      </c>
      <c r="D1656" s="213">
        <v>17197004792</v>
      </c>
      <c r="E1656" s="213" t="s">
        <v>533</v>
      </c>
      <c r="F1656" s="213" t="s">
        <v>534</v>
      </c>
      <c r="G1656" s="213" t="s">
        <v>377</v>
      </c>
      <c r="H1656" s="213" t="s">
        <v>535</v>
      </c>
      <c r="I1656" s="213"/>
      <c r="J1656" s="213" t="s">
        <v>382</v>
      </c>
      <c r="K1656" s="213" t="s">
        <v>536</v>
      </c>
      <c r="L1656" s="213"/>
      <c r="M1656" s="213"/>
      <c r="N1656" s="213"/>
      <c r="O1656" s="213"/>
      <c r="P1656" s="213"/>
      <c r="Q1656" s="213"/>
      <c r="R1656" s="213"/>
      <c r="S1656" s="213" t="s">
        <v>537</v>
      </c>
      <c r="T1656" s="213"/>
      <c r="U1656" s="213" t="s">
        <v>538</v>
      </c>
      <c r="V1656" s="213">
        <v>1</v>
      </c>
      <c r="W1656" s="213" t="s">
        <v>545</v>
      </c>
      <c r="X1656" s="213" t="s">
        <v>549</v>
      </c>
      <c r="Y1656" s="213" t="s">
        <v>540</v>
      </c>
      <c r="Z1656" s="212">
        <v>39128</v>
      </c>
      <c r="AA1656" s="212">
        <v>3874614</v>
      </c>
      <c r="AB1656" s="217">
        <v>2.4914700000000001</v>
      </c>
      <c r="AC1656" s="217">
        <v>4.0096410000000002</v>
      </c>
      <c r="AD1656" s="212">
        <f t="shared" si="25"/>
        <v>9653484.5425800011</v>
      </c>
    </row>
    <row r="1657" spans="2:30" x14ac:dyDescent="0.15">
      <c r="B1657" s="213">
        <v>17197003396</v>
      </c>
      <c r="C1657" s="213">
        <v>17197001640</v>
      </c>
      <c r="D1657" s="213">
        <v>17197001637</v>
      </c>
      <c r="E1657" s="213" t="s">
        <v>533</v>
      </c>
      <c r="F1657" s="213" t="s">
        <v>534</v>
      </c>
      <c r="G1657" s="213" t="s">
        <v>377</v>
      </c>
      <c r="H1657" s="213" t="s">
        <v>382</v>
      </c>
      <c r="I1657" s="213"/>
      <c r="J1657" s="213" t="s">
        <v>542</v>
      </c>
      <c r="K1657" s="213"/>
      <c r="L1657" s="213"/>
      <c r="M1657" s="213"/>
      <c r="N1657" s="213"/>
      <c r="O1657" s="213"/>
      <c r="P1657" s="213"/>
      <c r="Q1657" s="213"/>
      <c r="R1657" s="213"/>
      <c r="S1657" s="213" t="s">
        <v>606</v>
      </c>
      <c r="T1657" s="213"/>
      <c r="U1657" s="213" t="s">
        <v>538</v>
      </c>
      <c r="V1657" s="213">
        <v>1</v>
      </c>
      <c r="W1657" s="213" t="s">
        <v>545</v>
      </c>
      <c r="X1657" s="213" t="s">
        <v>549</v>
      </c>
      <c r="Y1657" s="213" t="s">
        <v>541</v>
      </c>
      <c r="Z1657" s="212">
        <v>80</v>
      </c>
      <c r="AA1657" s="212">
        <v>7560</v>
      </c>
      <c r="AB1657" s="217">
        <v>0.21731</v>
      </c>
      <c r="AC1657" s="217">
        <v>0.34972799999999998</v>
      </c>
      <c r="AD1657" s="212">
        <f t="shared" si="25"/>
        <v>1642.8636000000001</v>
      </c>
    </row>
    <row r="1658" spans="2:30" x14ac:dyDescent="0.15">
      <c r="B1658" s="213">
        <v>17197004192</v>
      </c>
      <c r="C1658" s="213">
        <v>17197001481</v>
      </c>
      <c r="D1658" s="213">
        <v>17197001479</v>
      </c>
      <c r="E1658" s="213" t="s">
        <v>533</v>
      </c>
      <c r="F1658" s="213" t="s">
        <v>534</v>
      </c>
      <c r="G1658" s="213" t="s">
        <v>377</v>
      </c>
      <c r="H1658" s="213" t="s">
        <v>535</v>
      </c>
      <c r="I1658" s="213"/>
      <c r="J1658" s="213" t="s">
        <v>382</v>
      </c>
      <c r="K1658" s="213" t="s">
        <v>536</v>
      </c>
      <c r="L1658" s="213"/>
      <c r="M1658" s="213"/>
      <c r="N1658" s="213"/>
      <c r="O1658" s="213"/>
      <c r="P1658" s="213"/>
      <c r="Q1658" s="213"/>
      <c r="R1658" s="213"/>
      <c r="S1658" s="213" t="s">
        <v>537</v>
      </c>
      <c r="T1658" s="213"/>
      <c r="U1658" s="213" t="s">
        <v>538</v>
      </c>
      <c r="V1658" s="213">
        <v>2</v>
      </c>
      <c r="W1658" s="213" t="s">
        <v>539</v>
      </c>
      <c r="X1658" s="213" t="s">
        <v>541</v>
      </c>
      <c r="Y1658" s="213" t="s">
        <v>540</v>
      </c>
      <c r="Z1658" s="212">
        <v>37848</v>
      </c>
      <c r="AA1658" s="212">
        <v>3775654</v>
      </c>
      <c r="AB1658" s="217">
        <v>0.104475</v>
      </c>
      <c r="AC1658" s="217">
        <v>0.16813600000000001</v>
      </c>
      <c r="AD1658" s="212">
        <f t="shared" si="25"/>
        <v>394461.45165</v>
      </c>
    </row>
    <row r="1659" spans="2:30" x14ac:dyDescent="0.15">
      <c r="B1659" s="213">
        <v>17197004221</v>
      </c>
      <c r="C1659" s="213">
        <v>17197004805</v>
      </c>
      <c r="D1659" s="213">
        <v>17197001537</v>
      </c>
      <c r="E1659" s="213" t="s">
        <v>533</v>
      </c>
      <c r="F1659" s="213" t="s">
        <v>534</v>
      </c>
      <c r="G1659" s="213" t="s">
        <v>377</v>
      </c>
      <c r="H1659" s="213" t="s">
        <v>535</v>
      </c>
      <c r="I1659" s="213"/>
      <c r="J1659" s="213" t="s">
        <v>382</v>
      </c>
      <c r="K1659" s="213"/>
      <c r="L1659" s="213"/>
      <c r="M1659" s="213"/>
      <c r="N1659" s="213"/>
      <c r="O1659" s="213"/>
      <c r="P1659" s="213"/>
      <c r="Q1659" s="213"/>
      <c r="R1659" s="213"/>
      <c r="S1659" s="213" t="s">
        <v>601</v>
      </c>
      <c r="T1659" s="213"/>
      <c r="U1659" s="213" t="s">
        <v>538</v>
      </c>
      <c r="V1659" s="213">
        <v>1</v>
      </c>
      <c r="W1659" s="213" t="s">
        <v>582</v>
      </c>
      <c r="X1659" s="213" t="s">
        <v>540</v>
      </c>
      <c r="Y1659" s="213" t="s">
        <v>540</v>
      </c>
      <c r="Z1659" s="212">
        <v>3080</v>
      </c>
      <c r="AA1659" s="212">
        <v>278200</v>
      </c>
      <c r="AB1659" s="217">
        <v>1.8870100000000001</v>
      </c>
      <c r="AC1659" s="217">
        <v>3.0368539999999999</v>
      </c>
      <c r="AD1659" s="212">
        <f t="shared" si="25"/>
        <v>524966.18200000003</v>
      </c>
    </row>
    <row r="1660" spans="2:30" x14ac:dyDescent="0.15">
      <c r="B1660" s="213">
        <v>17197005325</v>
      </c>
      <c r="C1660" s="213">
        <v>17197007391</v>
      </c>
      <c r="D1660" s="213">
        <v>17197001618</v>
      </c>
      <c r="E1660" s="213" t="s">
        <v>533</v>
      </c>
      <c r="F1660" s="213" t="s">
        <v>534</v>
      </c>
      <c r="G1660" s="213" t="s">
        <v>377</v>
      </c>
      <c r="H1660" s="213" t="s">
        <v>535</v>
      </c>
      <c r="I1660" s="213"/>
      <c r="J1660" s="213" t="s">
        <v>382</v>
      </c>
      <c r="K1660" s="213"/>
      <c r="L1660" s="213"/>
      <c r="M1660" s="213"/>
      <c r="N1660" s="213"/>
      <c r="O1660" s="213"/>
      <c r="P1660" s="213"/>
      <c r="Q1660" s="213"/>
      <c r="R1660" s="213"/>
      <c r="S1660" s="213"/>
      <c r="T1660" s="213"/>
      <c r="U1660" s="213" t="s">
        <v>559</v>
      </c>
      <c r="V1660" s="213">
        <v>1</v>
      </c>
      <c r="W1660" s="213" t="s">
        <v>560</v>
      </c>
      <c r="X1660" s="213" t="s">
        <v>541</v>
      </c>
      <c r="Y1660" s="213" t="s">
        <v>541</v>
      </c>
      <c r="Z1660" s="212">
        <v>0</v>
      </c>
      <c r="AA1660" s="212">
        <v>0</v>
      </c>
      <c r="AB1660" s="217">
        <v>0.84811499999999995</v>
      </c>
      <c r="AC1660" s="217">
        <v>1.364911</v>
      </c>
      <c r="AD1660" s="212">
        <f t="shared" si="25"/>
        <v>0</v>
      </c>
    </row>
    <row r="1661" spans="2:30" x14ac:dyDescent="0.15">
      <c r="B1661" s="213">
        <v>17197005362</v>
      </c>
      <c r="C1661" s="213">
        <v>17197001702</v>
      </c>
      <c r="D1661" s="213">
        <v>17197001698</v>
      </c>
      <c r="E1661" s="213" t="s">
        <v>533</v>
      </c>
      <c r="F1661" s="213" t="s">
        <v>534</v>
      </c>
      <c r="G1661" s="213" t="s">
        <v>377</v>
      </c>
      <c r="H1661" s="213" t="s">
        <v>381</v>
      </c>
      <c r="I1661" s="213"/>
      <c r="J1661" s="213" t="s">
        <v>382</v>
      </c>
      <c r="K1661" s="213"/>
      <c r="L1661" s="213"/>
      <c r="M1661" s="213"/>
      <c r="N1661" s="213"/>
      <c r="O1661" s="213"/>
      <c r="P1661" s="213"/>
      <c r="Q1661" s="213"/>
      <c r="R1661" s="213"/>
      <c r="S1661" s="213" t="s">
        <v>647</v>
      </c>
      <c r="T1661" s="213"/>
      <c r="U1661" s="213" t="s">
        <v>538</v>
      </c>
      <c r="V1661" s="213">
        <v>1</v>
      </c>
      <c r="W1661" s="213" t="s">
        <v>582</v>
      </c>
      <c r="X1661" s="213" t="s">
        <v>549</v>
      </c>
      <c r="Y1661" s="213" t="s">
        <v>580</v>
      </c>
      <c r="Z1661" s="212">
        <v>2060539</v>
      </c>
      <c r="AA1661" s="212">
        <v>51737805</v>
      </c>
      <c r="AB1661" s="217">
        <v>0.94623500000000005</v>
      </c>
      <c r="AC1661" s="217">
        <v>1.522821</v>
      </c>
      <c r="AD1661" s="212">
        <f t="shared" si="25"/>
        <v>48956121.914175004</v>
      </c>
    </row>
    <row r="1662" spans="2:30" x14ac:dyDescent="0.15">
      <c r="B1662" s="213">
        <v>17197005427</v>
      </c>
      <c r="C1662" s="213">
        <v>17999025728</v>
      </c>
      <c r="D1662" s="213">
        <v>17197001658</v>
      </c>
      <c r="E1662" s="213" t="s">
        <v>533</v>
      </c>
      <c r="F1662" s="213" t="s">
        <v>534</v>
      </c>
      <c r="G1662" s="213" t="s">
        <v>377</v>
      </c>
      <c r="H1662" s="213" t="s">
        <v>381</v>
      </c>
      <c r="I1662" s="213"/>
      <c r="J1662" s="213" t="s">
        <v>382</v>
      </c>
      <c r="K1662" s="213"/>
      <c r="L1662" s="213"/>
      <c r="M1662" s="213"/>
      <c r="N1662" s="213"/>
      <c r="O1662" s="213"/>
      <c r="P1662" s="213"/>
      <c r="Q1662" s="213"/>
      <c r="R1662" s="213"/>
      <c r="S1662" s="213" t="s">
        <v>647</v>
      </c>
      <c r="T1662" s="213"/>
      <c r="U1662" s="213" t="s">
        <v>538</v>
      </c>
      <c r="V1662" s="213">
        <v>1</v>
      </c>
      <c r="W1662" s="213" t="s">
        <v>582</v>
      </c>
      <c r="X1662" s="213" t="s">
        <v>549</v>
      </c>
      <c r="Y1662" s="213" t="s">
        <v>580</v>
      </c>
      <c r="Z1662" s="212">
        <v>6971</v>
      </c>
      <c r="AA1662" s="212">
        <v>679777</v>
      </c>
      <c r="AB1662" s="217">
        <v>5.1740190000000004</v>
      </c>
      <c r="AC1662" s="217">
        <v>8.3267930000000003</v>
      </c>
      <c r="AD1662" s="212">
        <f t="shared" si="25"/>
        <v>3517179.1137630004</v>
      </c>
    </row>
    <row r="1663" spans="2:30" x14ac:dyDescent="0.15">
      <c r="B1663" s="213">
        <v>17197006550</v>
      </c>
      <c r="C1663" s="213">
        <v>17197004511</v>
      </c>
      <c r="D1663" s="213">
        <v>17197004512</v>
      </c>
      <c r="E1663" s="213" t="s">
        <v>533</v>
      </c>
      <c r="F1663" s="213" t="s">
        <v>534</v>
      </c>
      <c r="G1663" s="213" t="s">
        <v>377</v>
      </c>
      <c r="H1663" s="213" t="s">
        <v>381</v>
      </c>
      <c r="I1663" s="213"/>
      <c r="J1663" s="213" t="s">
        <v>382</v>
      </c>
      <c r="K1663" s="213"/>
      <c r="L1663" s="213"/>
      <c r="M1663" s="213"/>
      <c r="N1663" s="213"/>
      <c r="O1663" s="213"/>
      <c r="P1663" s="213"/>
      <c r="Q1663" s="213"/>
      <c r="R1663" s="213"/>
      <c r="S1663" s="213" t="s">
        <v>651</v>
      </c>
      <c r="T1663" s="213"/>
      <c r="U1663" s="213" t="s">
        <v>559</v>
      </c>
      <c r="V1663" s="213">
        <v>1</v>
      </c>
      <c r="W1663" s="213" t="s">
        <v>539</v>
      </c>
      <c r="X1663" s="213" t="s">
        <v>541</v>
      </c>
      <c r="Y1663" s="213" t="s">
        <v>541</v>
      </c>
      <c r="Z1663" s="212">
        <v>219040</v>
      </c>
      <c r="AA1663" s="212">
        <v>2914120</v>
      </c>
      <c r="AB1663" s="217">
        <v>0.58162700000000001</v>
      </c>
      <c r="AC1663" s="217">
        <v>0.93603999999999998</v>
      </c>
      <c r="AD1663" s="212">
        <f t="shared" si="25"/>
        <v>1694930.8732400001</v>
      </c>
    </row>
    <row r="1664" spans="2:30" x14ac:dyDescent="0.15">
      <c r="B1664" s="213">
        <v>17197007046</v>
      </c>
      <c r="C1664" s="213">
        <v>17197005595</v>
      </c>
      <c r="D1664" s="213">
        <v>17197005592</v>
      </c>
      <c r="E1664" s="213" t="s">
        <v>533</v>
      </c>
      <c r="F1664" s="213" t="s">
        <v>534</v>
      </c>
      <c r="G1664" s="213" t="s">
        <v>377</v>
      </c>
      <c r="H1664" s="213" t="s">
        <v>382</v>
      </c>
      <c r="I1664" s="213"/>
      <c r="J1664" s="213"/>
      <c r="K1664" s="213"/>
      <c r="L1664" s="213"/>
      <c r="M1664" s="213"/>
      <c r="N1664" s="213"/>
      <c r="O1664" s="213"/>
      <c r="P1664" s="213"/>
      <c r="Q1664" s="213"/>
      <c r="R1664" s="213"/>
      <c r="S1664" s="213" t="s">
        <v>592</v>
      </c>
      <c r="T1664" s="213"/>
      <c r="U1664" s="213" t="s">
        <v>559</v>
      </c>
      <c r="V1664" s="213">
        <v>1</v>
      </c>
      <c r="W1664" s="213" t="s">
        <v>539</v>
      </c>
      <c r="X1664" s="213" t="s">
        <v>541</v>
      </c>
      <c r="Y1664" s="213" t="s">
        <v>541</v>
      </c>
      <c r="Z1664" s="212">
        <v>0</v>
      </c>
      <c r="AA1664" s="212">
        <v>0</v>
      </c>
      <c r="AB1664" s="217">
        <v>0.27682000000000001</v>
      </c>
      <c r="AC1664" s="217">
        <v>0.44550000000000001</v>
      </c>
      <c r="AD1664" s="212">
        <f t="shared" si="25"/>
        <v>0</v>
      </c>
    </row>
    <row r="1665" spans="2:30" x14ac:dyDescent="0.15">
      <c r="B1665" s="213">
        <v>17197008228</v>
      </c>
      <c r="C1665" s="213">
        <v>17197006586</v>
      </c>
      <c r="D1665" s="213">
        <v>17197004513</v>
      </c>
      <c r="E1665" s="213" t="s">
        <v>533</v>
      </c>
      <c r="F1665" s="213" t="s">
        <v>534</v>
      </c>
      <c r="G1665" s="213" t="s">
        <v>377</v>
      </c>
      <c r="H1665" s="213" t="s">
        <v>381</v>
      </c>
      <c r="I1665" s="213"/>
      <c r="J1665" s="213" t="s">
        <v>382</v>
      </c>
      <c r="K1665" s="213"/>
      <c r="L1665" s="213"/>
      <c r="M1665" s="213"/>
      <c r="N1665" s="213"/>
      <c r="O1665" s="213"/>
      <c r="P1665" s="213"/>
      <c r="Q1665" s="213"/>
      <c r="R1665" s="213"/>
      <c r="S1665" s="213" t="s">
        <v>651</v>
      </c>
      <c r="T1665" s="213" t="s">
        <v>651</v>
      </c>
      <c r="U1665" s="213" t="s">
        <v>559</v>
      </c>
      <c r="V1665" s="213">
        <v>1</v>
      </c>
      <c r="W1665" s="213" t="s">
        <v>539</v>
      </c>
      <c r="X1665" s="213" t="s">
        <v>554</v>
      </c>
      <c r="Y1665" s="213" t="s">
        <v>540</v>
      </c>
      <c r="Z1665" s="212">
        <v>830080</v>
      </c>
      <c r="AA1665" s="212">
        <v>13752400</v>
      </c>
      <c r="AB1665" s="217">
        <v>0.74365199999999998</v>
      </c>
      <c r="AC1665" s="217">
        <v>1.1967950000000001</v>
      </c>
      <c r="AD1665" s="212">
        <f t="shared" si="25"/>
        <v>10226999.764799999</v>
      </c>
    </row>
    <row r="1666" spans="2:30" x14ac:dyDescent="0.15">
      <c r="B1666" s="213">
        <v>17197008948</v>
      </c>
      <c r="C1666" s="213">
        <v>17197007169</v>
      </c>
      <c r="D1666" s="213">
        <v>17999022435</v>
      </c>
      <c r="E1666" s="213" t="s">
        <v>533</v>
      </c>
      <c r="F1666" s="213" t="s">
        <v>534</v>
      </c>
      <c r="G1666" s="213" t="s">
        <v>377</v>
      </c>
      <c r="H1666" s="213" t="s">
        <v>381</v>
      </c>
      <c r="I1666" s="213"/>
      <c r="J1666" s="213" t="s">
        <v>382</v>
      </c>
      <c r="K1666" s="213"/>
      <c r="L1666" s="213"/>
      <c r="M1666" s="213"/>
      <c r="N1666" s="213"/>
      <c r="O1666" s="213"/>
      <c r="P1666" s="213"/>
      <c r="Q1666" s="213"/>
      <c r="R1666" s="213"/>
      <c r="S1666" s="213" t="s">
        <v>647</v>
      </c>
      <c r="T1666" s="213"/>
      <c r="U1666" s="213" t="s">
        <v>538</v>
      </c>
      <c r="V1666" s="213">
        <v>2</v>
      </c>
      <c r="W1666" s="213" t="s">
        <v>545</v>
      </c>
      <c r="X1666" s="213" t="s">
        <v>549</v>
      </c>
      <c r="Y1666" s="213" t="s">
        <v>580</v>
      </c>
      <c r="Z1666" s="212">
        <v>1669317</v>
      </c>
      <c r="AA1666" s="212">
        <v>43895235</v>
      </c>
      <c r="AB1666" s="217">
        <v>0.915802</v>
      </c>
      <c r="AC1666" s="217">
        <v>1.473843</v>
      </c>
      <c r="AD1666" s="212">
        <f t="shared" si="25"/>
        <v>40199344.003470004</v>
      </c>
    </row>
    <row r="1667" spans="2:30" x14ac:dyDescent="0.15">
      <c r="B1667" s="213">
        <v>17197009282</v>
      </c>
      <c r="C1667" s="213">
        <v>17197001591</v>
      </c>
      <c r="D1667" s="213">
        <v>17197007408</v>
      </c>
      <c r="E1667" s="213" t="s">
        <v>533</v>
      </c>
      <c r="F1667" s="213" t="s">
        <v>534</v>
      </c>
      <c r="G1667" s="213" t="s">
        <v>377</v>
      </c>
      <c r="H1667" s="213" t="s">
        <v>551</v>
      </c>
      <c r="I1667" s="213"/>
      <c r="J1667" s="213" t="s">
        <v>535</v>
      </c>
      <c r="K1667" s="213"/>
      <c r="L1667" s="213"/>
      <c r="M1667" s="213"/>
      <c r="N1667" s="213"/>
      <c r="O1667" s="213"/>
      <c r="P1667" s="213"/>
      <c r="Q1667" s="213"/>
      <c r="R1667" s="213"/>
      <c r="S1667" s="213" t="s">
        <v>594</v>
      </c>
      <c r="T1667" s="213"/>
      <c r="U1667" s="213" t="s">
        <v>559</v>
      </c>
      <c r="V1667" s="213">
        <v>1</v>
      </c>
      <c r="W1667" s="213" t="s">
        <v>560</v>
      </c>
      <c r="X1667" s="213" t="s">
        <v>541</v>
      </c>
      <c r="Y1667" s="213" t="s">
        <v>541</v>
      </c>
      <c r="Z1667" s="212">
        <v>0</v>
      </c>
      <c r="AA1667" s="212">
        <v>0</v>
      </c>
      <c r="AB1667" s="217">
        <v>1.2711479999999999</v>
      </c>
      <c r="AC1667" s="217">
        <v>2.0457179999999999</v>
      </c>
      <c r="AD1667" s="212">
        <f t="shared" si="25"/>
        <v>0</v>
      </c>
    </row>
    <row r="1668" spans="2:30" x14ac:dyDescent="0.15">
      <c r="B1668" s="213">
        <v>17043003098</v>
      </c>
      <c r="C1668" s="213">
        <v>17043000569</v>
      </c>
      <c r="D1668" s="213">
        <v>17043004763</v>
      </c>
      <c r="E1668" s="213" t="s">
        <v>533</v>
      </c>
      <c r="F1668" s="213" t="s">
        <v>534</v>
      </c>
      <c r="G1668" s="213" t="s">
        <v>367</v>
      </c>
      <c r="H1668" s="213" t="s">
        <v>535</v>
      </c>
      <c r="I1668" s="213"/>
      <c r="J1668" s="213" t="s">
        <v>536</v>
      </c>
      <c r="K1668" s="213" t="s">
        <v>382</v>
      </c>
      <c r="L1668" s="213"/>
      <c r="M1668" s="213"/>
      <c r="N1668" s="213"/>
      <c r="O1668" s="213"/>
      <c r="P1668" s="213"/>
      <c r="Q1668" s="213"/>
      <c r="R1668" s="213"/>
      <c r="S1668" s="213" t="s">
        <v>550</v>
      </c>
      <c r="T1668" s="213"/>
      <c r="U1668" s="213" t="s">
        <v>538</v>
      </c>
      <c r="V1668" s="213">
        <v>1</v>
      </c>
      <c r="W1668" s="213" t="s">
        <v>545</v>
      </c>
      <c r="X1668" s="213" t="s">
        <v>541</v>
      </c>
      <c r="Y1668" s="213" t="s">
        <v>540</v>
      </c>
      <c r="Z1668" s="212">
        <v>0</v>
      </c>
      <c r="AA1668" s="212">
        <v>0</v>
      </c>
      <c r="AB1668" s="217">
        <v>0.22248999999999999</v>
      </c>
      <c r="AC1668" s="217">
        <v>0.35806300000000002</v>
      </c>
      <c r="AD1668" s="212">
        <f t="shared" si="25"/>
        <v>0</v>
      </c>
    </row>
    <row r="1669" spans="2:30" x14ac:dyDescent="0.15">
      <c r="B1669" s="213">
        <v>17043006529</v>
      </c>
      <c r="C1669" s="213">
        <v>17043000579</v>
      </c>
      <c r="D1669" s="213">
        <v>17043000569</v>
      </c>
      <c r="E1669" s="213" t="s">
        <v>533</v>
      </c>
      <c r="F1669" s="213" t="s">
        <v>534</v>
      </c>
      <c r="G1669" s="213" t="s">
        <v>367</v>
      </c>
      <c r="H1669" s="213" t="s">
        <v>382</v>
      </c>
      <c r="I1669" s="213"/>
      <c r="J1669" s="213"/>
      <c r="K1669" s="213"/>
      <c r="L1669" s="213"/>
      <c r="M1669" s="213"/>
      <c r="N1669" s="213"/>
      <c r="O1669" s="213"/>
      <c r="P1669" s="213"/>
      <c r="Q1669" s="213"/>
      <c r="R1669" s="213"/>
      <c r="S1669" s="213"/>
      <c r="T1669" s="213"/>
      <c r="U1669" s="213" t="s">
        <v>559</v>
      </c>
      <c r="V1669" s="213">
        <v>1</v>
      </c>
      <c r="W1669" s="213" t="s">
        <v>560</v>
      </c>
      <c r="X1669" s="213" t="s">
        <v>541</v>
      </c>
      <c r="Y1669" s="213" t="s">
        <v>541</v>
      </c>
      <c r="Z1669" s="212">
        <v>0</v>
      </c>
      <c r="AA1669" s="212">
        <v>0</v>
      </c>
      <c r="AB1669" s="217">
        <v>0.329127</v>
      </c>
      <c r="AC1669" s="217">
        <v>0.52968000000000004</v>
      </c>
      <c r="AD1669" s="212">
        <f t="shared" si="25"/>
        <v>0</v>
      </c>
    </row>
    <row r="1670" spans="2:30" x14ac:dyDescent="0.15">
      <c r="B1670" s="213">
        <v>17043009073</v>
      </c>
      <c r="C1670" s="213">
        <v>17043007285</v>
      </c>
      <c r="D1670" s="213">
        <v>17043000569</v>
      </c>
      <c r="E1670" s="213" t="s">
        <v>533</v>
      </c>
      <c r="F1670" s="213" t="s">
        <v>534</v>
      </c>
      <c r="G1670" s="213" t="s">
        <v>367</v>
      </c>
      <c r="H1670" s="213" t="s">
        <v>535</v>
      </c>
      <c r="I1670" s="213"/>
      <c r="J1670" s="213" t="s">
        <v>536</v>
      </c>
      <c r="K1670" s="213" t="s">
        <v>382</v>
      </c>
      <c r="L1670" s="213"/>
      <c r="M1670" s="213"/>
      <c r="N1670" s="213"/>
      <c r="O1670" s="213"/>
      <c r="P1670" s="213"/>
      <c r="Q1670" s="213"/>
      <c r="R1670" s="213"/>
      <c r="S1670" s="213" t="s">
        <v>550</v>
      </c>
      <c r="T1670" s="213"/>
      <c r="U1670" s="213" t="s">
        <v>538</v>
      </c>
      <c r="V1670" s="213">
        <v>1</v>
      </c>
      <c r="W1670" s="213" t="s">
        <v>545</v>
      </c>
      <c r="X1670" s="213" t="s">
        <v>549</v>
      </c>
      <c r="Y1670" s="213" t="s">
        <v>540</v>
      </c>
      <c r="Z1670" s="212">
        <v>0</v>
      </c>
      <c r="AA1670" s="212">
        <v>0</v>
      </c>
      <c r="AB1670" s="217">
        <v>0.40092</v>
      </c>
      <c r="AC1670" s="217">
        <v>0.64521899999999999</v>
      </c>
      <c r="AD1670" s="212">
        <f t="shared" si="25"/>
        <v>0</v>
      </c>
    </row>
    <row r="1672" spans="2:30" x14ac:dyDescent="0.15">
      <c r="AD1672" s="611">
        <f>SUM(AD6:AD1671)</f>
        <v>17048497202.830647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tabColor theme="8" tint="-0.249977111117893"/>
  </sheetPr>
  <dimension ref="A1:O44"/>
  <sheetViews>
    <sheetView workbookViewId="0">
      <selection activeCell="B5" sqref="B5:B6"/>
    </sheetView>
  </sheetViews>
  <sheetFormatPr baseColWidth="10" defaultColWidth="8.6640625" defaultRowHeight="14" x14ac:dyDescent="0.15"/>
  <cols>
    <col min="1" max="1" width="4.1640625" style="66" customWidth="1"/>
    <col min="2" max="2" width="28.1640625" style="66" customWidth="1"/>
    <col min="3" max="12" width="14.33203125" style="66" customWidth="1"/>
    <col min="13" max="13" width="2.5" style="66" customWidth="1"/>
    <col min="14" max="14" width="10.83203125" style="66" bestFit="1" customWidth="1"/>
    <col min="15" max="16384" width="8.6640625" style="66"/>
  </cols>
  <sheetData>
    <row r="1" spans="1:15" s="79" customFormat="1" ht="18" x14ac:dyDescent="0.2">
      <c r="A1" s="76" t="s">
        <v>717</v>
      </c>
      <c r="B1" s="77"/>
      <c r="C1" s="78"/>
      <c r="D1" s="77"/>
      <c r="E1" s="77"/>
      <c r="F1" s="77"/>
      <c r="G1" s="77"/>
      <c r="H1" s="77"/>
      <c r="I1" s="77"/>
      <c r="J1" s="77"/>
      <c r="K1" s="77"/>
      <c r="L1" s="77"/>
      <c r="M1" s="77"/>
      <c r="N1" s="77"/>
      <c r="O1" s="77"/>
    </row>
    <row r="2" spans="1:15" x14ac:dyDescent="0.15">
      <c r="B2" s="66" t="s">
        <v>718</v>
      </c>
    </row>
    <row r="4" spans="1:15" ht="18" x14ac:dyDescent="0.2">
      <c r="B4" s="189" t="s">
        <v>719</v>
      </c>
    </row>
    <row r="5" spans="1:15" x14ac:dyDescent="0.15">
      <c r="B5" s="735" t="s">
        <v>77</v>
      </c>
      <c r="C5" s="734" t="s">
        <v>720</v>
      </c>
      <c r="D5" s="734"/>
      <c r="E5" s="734"/>
      <c r="F5" s="734"/>
      <c r="G5" s="734" t="s">
        <v>721</v>
      </c>
      <c r="H5" s="734"/>
      <c r="I5" s="734"/>
    </row>
    <row r="6" spans="1:15" ht="60" x14ac:dyDescent="0.15">
      <c r="B6" s="735"/>
      <c r="C6" s="410" t="s">
        <v>722</v>
      </c>
      <c r="D6" s="410" t="s">
        <v>723</v>
      </c>
      <c r="E6" s="410" t="s">
        <v>724</v>
      </c>
      <c r="F6" s="410" t="s">
        <v>725</v>
      </c>
      <c r="G6" s="410" t="s">
        <v>726</v>
      </c>
      <c r="H6" s="410" t="s">
        <v>727</v>
      </c>
      <c r="I6" s="410" t="s">
        <v>88</v>
      </c>
    </row>
    <row r="7" spans="1:15" ht="14.25" customHeight="1" x14ac:dyDescent="0.15">
      <c r="B7" s="328" t="s">
        <v>59</v>
      </c>
      <c r="C7" s="520">
        <f>('On-road'!E71-E7)*$K$8</f>
        <v>29469496.901247896</v>
      </c>
      <c r="D7" s="520">
        <f>('On-road'!E71-E7)*$K$9</f>
        <v>7367374.2253119741</v>
      </c>
      <c r="E7" s="520">
        <f>'Onroad Data'!E175</f>
        <v>0</v>
      </c>
      <c r="F7" s="520">
        <f>Rail!E24</f>
        <v>496182468.76342106</v>
      </c>
      <c r="G7" s="520">
        <f>'Offroad Data'!E85</f>
        <v>4134307.54565999</v>
      </c>
      <c r="H7" s="520">
        <f>'Onroad Data'!E190</f>
        <v>698078.5727210308</v>
      </c>
      <c r="I7" s="520">
        <f>G7+H8</f>
        <v>4497719.4905540142</v>
      </c>
      <c r="K7" s="66" t="s">
        <v>728</v>
      </c>
    </row>
    <row r="8" spans="1:15" ht="15" x14ac:dyDescent="0.15">
      <c r="B8" s="388" t="s">
        <v>58</v>
      </c>
      <c r="C8" s="520">
        <f>('On-road'!E72-E8)*$K$8</f>
        <v>14107672.559591992</v>
      </c>
      <c r="D8" s="520">
        <f>('On-road'!E72-E8)*$K$9</f>
        <v>3526918.139897998</v>
      </c>
      <c r="E8" s="520">
        <f>'Onroad Data'!C175</f>
        <v>0</v>
      </c>
      <c r="F8" s="520">
        <f>Rail!E25</f>
        <v>432611124.13316244</v>
      </c>
      <c r="G8" s="520">
        <f>'Offroad Data'!C85</f>
        <v>1408942.1399096937</v>
      </c>
      <c r="H8" s="520">
        <f>'Onroad Data'!C190</f>
        <v>363411.94489402429</v>
      </c>
      <c r="I8" s="520">
        <f>G8+H8</f>
        <v>1772354.0848037181</v>
      </c>
      <c r="K8" s="204">
        <v>0.8</v>
      </c>
      <c r="L8" s="66" t="s">
        <v>729</v>
      </c>
    </row>
    <row r="9" spans="1:15" ht="15" x14ac:dyDescent="0.15">
      <c r="B9" s="388" t="s">
        <v>131</v>
      </c>
      <c r="C9" s="520">
        <f>('On-road'!E73-E9)*$K$8</f>
        <v>15361824.341655899</v>
      </c>
      <c r="D9" s="520">
        <f>('On-road'!E73-E9)*$K$9</f>
        <v>3840456.0854139747</v>
      </c>
      <c r="E9" s="520">
        <f>'Onroad Data'!D175</f>
        <v>0</v>
      </c>
      <c r="F9" s="520">
        <f>Rail!E26</f>
        <v>63571344.630258627</v>
      </c>
      <c r="G9" s="520">
        <f>'Offroad Data'!D85</f>
        <v>2725365.4057502965</v>
      </c>
      <c r="H9" s="520">
        <f>'Onroad Data'!D190</f>
        <v>334666.62782700633</v>
      </c>
      <c r="I9" s="520">
        <f t="shared" ref="I9:I15" si="0">G9+H9</f>
        <v>3060032.0335773029</v>
      </c>
      <c r="K9" s="204">
        <v>0.2</v>
      </c>
      <c r="L9" s="66" t="s">
        <v>730</v>
      </c>
    </row>
    <row r="10" spans="1:15" ht="15" x14ac:dyDescent="0.15">
      <c r="B10" s="328" t="s">
        <v>60</v>
      </c>
      <c r="C10" s="520">
        <f>('On-road'!E74-E10)*$K$8</f>
        <v>15392544.62440528</v>
      </c>
      <c r="D10" s="520">
        <f>('On-road'!E74-E10)*$K$9</f>
        <v>3848136.1561013199</v>
      </c>
      <c r="E10" s="520">
        <f>'Onroad Data'!F175</f>
        <v>0</v>
      </c>
      <c r="F10" s="520">
        <f>Rail!E27</f>
        <v>8897691.7109608706</v>
      </c>
      <c r="G10" s="520">
        <f>'Offroad Data'!F85</f>
        <v>1213519.3654312952</v>
      </c>
      <c r="H10" s="520">
        <f>'Onroad Data'!F190</f>
        <v>123441.6422285936</v>
      </c>
      <c r="I10" s="520">
        <f t="shared" si="0"/>
        <v>1336961.0076598888</v>
      </c>
      <c r="K10" s="203" t="s">
        <v>731</v>
      </c>
    </row>
    <row r="11" spans="1:15" ht="15" x14ac:dyDescent="0.15">
      <c r="B11" s="328" t="s">
        <v>62</v>
      </c>
      <c r="C11" s="520">
        <f>('On-road'!E75-E11)*$K$8</f>
        <v>2779698.5775221959</v>
      </c>
      <c r="D11" s="520">
        <f>('On-road'!E75-E11)*$K$9</f>
        <v>694924.64438054897</v>
      </c>
      <c r="E11" s="520">
        <f>'Onroad Data'!G175</f>
        <v>0</v>
      </c>
      <c r="F11" s="520">
        <f>Rail!E28</f>
        <v>2827180.2323766346</v>
      </c>
      <c r="G11" s="520">
        <f>'Offroad Data'!G85</f>
        <v>525406.30899739487</v>
      </c>
      <c r="H11" s="520">
        <f>'Onroad Data'!G190</f>
        <v>68348.050093632526</v>
      </c>
      <c r="I11" s="520">
        <f t="shared" si="0"/>
        <v>593754.35909102741</v>
      </c>
    </row>
    <row r="12" spans="1:15" ht="15" x14ac:dyDescent="0.15">
      <c r="B12" s="328" t="s">
        <v>61</v>
      </c>
      <c r="C12" s="520">
        <f>('On-road'!E76-E12)*$K$8</f>
        <v>491552.85689885059</v>
      </c>
      <c r="D12" s="520">
        <f>('On-road'!E76-E12)*$K$9</f>
        <v>122888.21422471265</v>
      </c>
      <c r="E12" s="520">
        <f>'Onroad Data'!H175</f>
        <v>0</v>
      </c>
      <c r="F12" s="520">
        <f>Rail!E29</f>
        <v>0</v>
      </c>
      <c r="G12" s="520">
        <f>'Offroad Data'!H85</f>
        <v>40807.950770250369</v>
      </c>
      <c r="H12" s="520">
        <f>'Onroad Data'!H190</f>
        <v>0</v>
      </c>
      <c r="I12" s="520">
        <f t="shared" si="0"/>
        <v>40807.950770250369</v>
      </c>
    </row>
    <row r="13" spans="1:15" ht="15" x14ac:dyDescent="0.15">
      <c r="B13" s="328" t="s">
        <v>63</v>
      </c>
      <c r="C13" s="520">
        <f>('On-road'!E77-E13)*$K$8</f>
        <v>10377568.138382979</v>
      </c>
      <c r="D13" s="520">
        <f>('On-road'!E77-E13)*$K$9</f>
        <v>2594392.0345957447</v>
      </c>
      <c r="E13" s="520">
        <f>'Onroad Data'!I175</f>
        <v>0</v>
      </c>
      <c r="F13" s="520">
        <f>Rail!E30</f>
        <v>10761184.718382748</v>
      </c>
      <c r="G13" s="520">
        <f>'Offroad Data'!I85</f>
        <v>791461.52384793991</v>
      </c>
      <c r="H13" s="520">
        <f>'Onroad Data'!I190</f>
        <v>94524.304482646723</v>
      </c>
      <c r="I13" s="520">
        <f t="shared" si="0"/>
        <v>885985.82833058666</v>
      </c>
    </row>
    <row r="14" spans="1:15" ht="15" x14ac:dyDescent="0.15">
      <c r="B14" s="328" t="s">
        <v>64</v>
      </c>
      <c r="C14" s="520">
        <f>('On-road'!E78-E14)*$K$8</f>
        <v>1350827.4080863332</v>
      </c>
      <c r="D14" s="520">
        <f>('On-road'!E78-E14)*$K$9</f>
        <v>337706.8520215833</v>
      </c>
      <c r="E14" s="520">
        <f>'Onroad Data'!J175</f>
        <v>0</v>
      </c>
      <c r="F14" s="520">
        <f>Rail!E31</f>
        <v>4578838.4092489043</v>
      </c>
      <c r="G14" s="520">
        <f>'Offroad Data'!J85</f>
        <v>376587.11857007403</v>
      </c>
      <c r="H14" s="520">
        <f>'Onroad Data'!J190</f>
        <v>41050.617848799324</v>
      </c>
      <c r="I14" s="520">
        <f t="shared" si="0"/>
        <v>417637.73641887336</v>
      </c>
    </row>
    <row r="15" spans="1:15" ht="15" x14ac:dyDescent="0.15">
      <c r="B15" s="328" t="s">
        <v>65</v>
      </c>
      <c r="C15" s="520">
        <f>('On-road'!E79-E15)*$K$8</f>
        <v>3803451.9533381583</v>
      </c>
      <c r="D15" s="520">
        <f>('On-road'!E79-E15)*$K$9</f>
        <v>950862.98833453958</v>
      </c>
      <c r="E15" s="520">
        <f>'Onroad Data'!K175</f>
        <v>0</v>
      </c>
      <c r="F15" s="520">
        <f>Rail!E32</f>
        <v>4003466.6139492569</v>
      </c>
      <c r="G15" s="520">
        <f>'Offroad Data'!K85</f>
        <v>416368.32996909833</v>
      </c>
      <c r="H15" s="520">
        <f>'Onroad Data'!K190</f>
        <v>92144.199904266367</v>
      </c>
      <c r="I15" s="520">
        <f t="shared" si="0"/>
        <v>508512.52987336472</v>
      </c>
    </row>
    <row r="16" spans="1:15" x14ac:dyDescent="0.15">
      <c r="B16" s="190" t="s">
        <v>732</v>
      </c>
    </row>
    <row r="18" spans="2:9" ht="18" x14ac:dyDescent="0.2">
      <c r="B18" s="189" t="s">
        <v>733</v>
      </c>
    </row>
    <row r="19" spans="2:9" x14ac:dyDescent="0.15">
      <c r="B19" s="735" t="s">
        <v>77</v>
      </c>
      <c r="C19" s="734" t="s">
        <v>720</v>
      </c>
      <c r="D19" s="734"/>
      <c r="E19" s="734"/>
      <c r="F19" s="734"/>
      <c r="G19" s="734" t="s">
        <v>721</v>
      </c>
      <c r="H19" s="734"/>
      <c r="I19" s="734"/>
    </row>
    <row r="20" spans="2:9" ht="60" x14ac:dyDescent="0.15">
      <c r="B20" s="735"/>
      <c r="C20" s="410" t="s">
        <v>722</v>
      </c>
      <c r="D20" s="410" t="s">
        <v>723</v>
      </c>
      <c r="E20" s="410" t="s">
        <v>724</v>
      </c>
      <c r="F20" s="410" t="s">
        <v>725</v>
      </c>
      <c r="G20" s="410" t="s">
        <v>726</v>
      </c>
      <c r="H20" s="410" t="s">
        <v>727</v>
      </c>
      <c r="I20" s="410" t="s">
        <v>88</v>
      </c>
    </row>
    <row r="21" spans="2:9" ht="14.25" customHeight="1" x14ac:dyDescent="0.15">
      <c r="B21" s="328" t="s">
        <v>59</v>
      </c>
      <c r="C21" s="520">
        <f>('On-road'!E141-E21)*$K$8</f>
        <v>8315753.4265470719</v>
      </c>
      <c r="D21" s="520">
        <f>('On-road'!E141-E21)*$K$9</f>
        <v>2078938.356636768</v>
      </c>
      <c r="E21" s="520">
        <f>'Onroad Data'!E289</f>
        <v>0</v>
      </c>
      <c r="F21" s="520">
        <f>Rail!E56</f>
        <v>482924291.00192738</v>
      </c>
      <c r="G21" s="520">
        <f>'Offroad Data'!E283</f>
        <v>3761635.0440176115</v>
      </c>
      <c r="H21" s="520">
        <f>'Onroad Data'!E304</f>
        <v>65441.546809783831</v>
      </c>
      <c r="I21" s="520">
        <f>G21+H21</f>
        <v>3827076.5908273952</v>
      </c>
    </row>
    <row r="22" spans="2:9" ht="15" x14ac:dyDescent="0.15">
      <c r="B22" s="388" t="s">
        <v>58</v>
      </c>
      <c r="C22" s="520">
        <f>('On-road'!E142-E22)*$K$8</f>
        <v>3778766.6048426176</v>
      </c>
      <c r="D22" s="520">
        <f>('On-road'!E142-E22)*$K$9</f>
        <v>944691.65121065441</v>
      </c>
      <c r="E22" s="520">
        <f>'Onroad Data'!C289</f>
        <v>0</v>
      </c>
      <c r="F22" s="520">
        <f>Rail!E57</f>
        <v>426845344.79675186</v>
      </c>
      <c r="G22" s="520">
        <f>'Offroad Data'!C283</f>
        <v>1281908.0066705025</v>
      </c>
      <c r="H22" s="520">
        <f>'Onroad Data'!C304</f>
        <v>34071.127180779033</v>
      </c>
      <c r="I22" s="520">
        <f t="shared" ref="I22:I29" si="1">G22+H22</f>
        <v>1315979.1338512816</v>
      </c>
    </row>
    <row r="23" spans="2:9" ht="15" x14ac:dyDescent="0.15">
      <c r="B23" s="388" t="s">
        <v>131</v>
      </c>
      <c r="C23" s="520">
        <f>('On-road'!E143-E23)*$K$8</f>
        <v>4536986.8217044529</v>
      </c>
      <c r="D23" s="520">
        <f>('On-road'!E143-E23)*$K$9</f>
        <v>1134246.7054261132</v>
      </c>
      <c r="E23" s="520">
        <f>'Onroad Data'!D289</f>
        <v>0</v>
      </c>
      <c r="F23" s="520">
        <f>Rail!E58</f>
        <v>56078946.205175489</v>
      </c>
      <c r="G23" s="520">
        <f>'Offroad Data'!D283</f>
        <v>2479727.03734711</v>
      </c>
      <c r="H23" s="520">
        <f>'Onroad Data'!D304</f>
        <v>31370.419629004802</v>
      </c>
      <c r="I23" s="520">
        <f t="shared" si="1"/>
        <v>2511097.4569761148</v>
      </c>
    </row>
    <row r="24" spans="2:9" ht="15" x14ac:dyDescent="0.15">
      <c r="B24" s="328" t="s">
        <v>60</v>
      </c>
      <c r="C24" s="520">
        <f>('On-road'!E144-E24)*$K$8</f>
        <v>4008453.9398642438</v>
      </c>
      <c r="D24" s="520">
        <f>('On-road'!E144-E24)*$K$9</f>
        <v>1002113.484966061</v>
      </c>
      <c r="E24" s="520">
        <f>'Onroad Data'!F289</f>
        <v>0</v>
      </c>
      <c r="F24" s="520">
        <f>Rail!E59</f>
        <v>10878673.727406267</v>
      </c>
      <c r="G24" s="520">
        <f>'Offroad Data'!F283</f>
        <v>1110246.1020659171</v>
      </c>
      <c r="H24" s="520">
        <f>'Onroad Data'!F304</f>
        <v>11665.255528213649</v>
      </c>
      <c r="I24" s="520">
        <f t="shared" si="1"/>
        <v>1121911.3575941308</v>
      </c>
    </row>
    <row r="25" spans="2:9" ht="15" x14ac:dyDescent="0.15">
      <c r="B25" s="328" t="s">
        <v>62</v>
      </c>
      <c r="C25" s="520">
        <f>('On-road'!E145-E25)*$K$8</f>
        <v>706621.79723928275</v>
      </c>
      <c r="D25" s="520">
        <f>('On-road'!E145-E25)*$K$9</f>
        <v>176655.44930982069</v>
      </c>
      <c r="E25" s="520">
        <f>'Onroad Data'!G289</f>
        <v>0</v>
      </c>
      <c r="F25" s="520">
        <f>Rail!E60</f>
        <v>1830865.8018601055</v>
      </c>
      <c r="G25" s="520">
        <f>'Offroad Data'!G283</f>
        <v>477304.95696246566</v>
      </c>
      <c r="H25" s="520">
        <f>'Onroad Data'!G304</f>
        <v>6631.9236929778226</v>
      </c>
      <c r="I25" s="520">
        <f t="shared" si="1"/>
        <v>483936.88065544347</v>
      </c>
    </row>
    <row r="26" spans="2:9" ht="15" x14ac:dyDescent="0.15">
      <c r="B26" s="328" t="s">
        <v>61</v>
      </c>
      <c r="C26" s="520">
        <f>('On-road'!E146-E26)*$K$8</f>
        <v>119948.8261029026</v>
      </c>
      <c r="D26" s="520">
        <f>('On-road'!E146-E26)*$K$9</f>
        <v>29987.206525725651</v>
      </c>
      <c r="E26" s="520">
        <f>'Onroad Data'!H289</f>
        <v>0</v>
      </c>
      <c r="F26" s="520">
        <f>Rail!E61</f>
        <v>0</v>
      </c>
      <c r="G26" s="520">
        <f>'Offroad Data'!H283</f>
        <v>38073.864273578569</v>
      </c>
      <c r="H26" s="520">
        <f>'Onroad Data'!H304</f>
        <v>0</v>
      </c>
      <c r="I26" s="520">
        <f t="shared" si="1"/>
        <v>38073.864273578569</v>
      </c>
    </row>
    <row r="27" spans="2:9" ht="15" x14ac:dyDescent="0.15">
      <c r="B27" s="328" t="s">
        <v>63</v>
      </c>
      <c r="C27" s="520">
        <f>('On-road'!E147-E27)*$K$8</f>
        <v>2914428.9381263885</v>
      </c>
      <c r="D27" s="520">
        <f>('On-road'!E147-E27)*$K$9</f>
        <v>728607.23453159712</v>
      </c>
      <c r="E27" s="520">
        <f>'Onroad Data'!I289</f>
        <v>0</v>
      </c>
      <c r="F27" s="520">
        <f>Rail!E62</f>
        <v>10203797.473138293</v>
      </c>
      <c r="G27" s="520">
        <f>'Offroad Data'!I283</f>
        <v>719951.42614641506</v>
      </c>
      <c r="H27" s="520">
        <f>'Onroad Data'!I304</f>
        <v>8794.0167444170675</v>
      </c>
      <c r="I27" s="520">
        <f t="shared" si="1"/>
        <v>728745.44289083208</v>
      </c>
    </row>
    <row r="28" spans="2:9" ht="15" x14ac:dyDescent="0.15">
      <c r="B28" s="328" t="s">
        <v>64</v>
      </c>
      <c r="C28" s="520">
        <f>('On-road'!E148-E28)*$K$8</f>
        <v>377782.49530481111</v>
      </c>
      <c r="D28" s="520">
        <f>('On-road'!E148-E28)*$K$9</f>
        <v>94445.623826202776</v>
      </c>
      <c r="E28" s="520">
        <f>'Onroad Data'!J289</f>
        <v>0</v>
      </c>
      <c r="F28" s="520">
        <f>Rail!E63</f>
        <v>2622630.9146358795</v>
      </c>
      <c r="G28" s="520">
        <f>'Offroad Data'!J283</f>
        <v>341806.82771763724</v>
      </c>
      <c r="H28" s="520">
        <f>'Onroad Data'!J304</f>
        <v>3839.6662759151318</v>
      </c>
      <c r="I28" s="520">
        <f t="shared" si="1"/>
        <v>345646.49399355234</v>
      </c>
    </row>
    <row r="29" spans="2:9" ht="15" x14ac:dyDescent="0.15">
      <c r="B29" s="328" t="s">
        <v>65</v>
      </c>
      <c r="C29" s="520">
        <f>('On-road'!E149-E29)*$K$8</f>
        <v>999997.85916729015</v>
      </c>
      <c r="D29" s="520">
        <f>('On-road'!E149-E29)*$K$9</f>
        <v>249999.46479182254</v>
      </c>
      <c r="E29" s="520">
        <f>'Onroad Data'!K289</f>
        <v>0</v>
      </c>
      <c r="F29" s="520">
        <f>Rail!E64</f>
        <v>2997465.8480293327</v>
      </c>
      <c r="G29" s="520">
        <f>'Offroad Data'!K283</f>
        <v>381381.21144880552</v>
      </c>
      <c r="H29" s="520">
        <f>'Onroad Data'!K304</f>
        <v>8586.0441389086809</v>
      </c>
      <c r="I29" s="520">
        <f t="shared" si="1"/>
        <v>389967.2555877142</v>
      </c>
    </row>
    <row r="30" spans="2:9" x14ac:dyDescent="0.15">
      <c r="B30" s="190" t="s">
        <v>734</v>
      </c>
    </row>
    <row r="32" spans="2:9" ht="18" x14ac:dyDescent="0.2">
      <c r="B32" s="189" t="s">
        <v>735</v>
      </c>
    </row>
    <row r="33" spans="2:9" x14ac:dyDescent="0.15">
      <c r="B33" s="735" t="s">
        <v>77</v>
      </c>
      <c r="C33" s="734" t="s">
        <v>720</v>
      </c>
      <c r="D33" s="734"/>
      <c r="E33" s="734"/>
      <c r="F33" s="734"/>
      <c r="G33" s="734" t="s">
        <v>721</v>
      </c>
      <c r="H33" s="734"/>
      <c r="I33" s="734"/>
    </row>
    <row r="34" spans="2:9" ht="60" x14ac:dyDescent="0.15">
      <c r="B34" s="735"/>
      <c r="C34" s="410" t="s">
        <v>722</v>
      </c>
      <c r="D34" s="410" t="s">
        <v>723</v>
      </c>
      <c r="E34" s="410" t="s">
        <v>724</v>
      </c>
      <c r="F34" s="410" t="s">
        <v>725</v>
      </c>
      <c r="G34" s="410" t="s">
        <v>726</v>
      </c>
      <c r="H34" s="410" t="s">
        <v>727</v>
      </c>
      <c r="I34" s="410" t="s">
        <v>88</v>
      </c>
    </row>
    <row r="35" spans="2:9" ht="14.25" customHeight="1" x14ac:dyDescent="0.15">
      <c r="B35" s="328" t="s">
        <v>59</v>
      </c>
      <c r="C35" s="520">
        <f>('On-road'!E211-E35)*$K$8</f>
        <v>91941.914610264721</v>
      </c>
      <c r="D35" s="520">
        <f>('On-road'!E211-E35)*$K$9</f>
        <v>22985.47865256618</v>
      </c>
      <c r="E35" s="520">
        <f>'Onroad Data'!E396</f>
        <v>0</v>
      </c>
      <c r="F35" s="520">
        <f>Rail!E88</f>
        <v>486224444.30366641</v>
      </c>
      <c r="G35" s="520">
        <f>'Offroad Data'!E481</f>
        <v>3652157.6667066352</v>
      </c>
      <c r="H35" s="520">
        <v>0</v>
      </c>
      <c r="I35" s="520">
        <f>G35+H35</f>
        <v>3652157.6667066352</v>
      </c>
    </row>
    <row r="36" spans="2:9" ht="15" x14ac:dyDescent="0.15">
      <c r="B36" s="388" t="s">
        <v>58</v>
      </c>
      <c r="C36" s="520">
        <f>('On-road'!E212-E36)*$K$8</f>
        <v>53794.130973562264</v>
      </c>
      <c r="D36" s="520">
        <f>('On-road'!E212-E36)*$K$9</f>
        <v>13448.532743390566</v>
      </c>
      <c r="E36" s="520">
        <f>'Onroad Data'!C396</f>
        <v>0</v>
      </c>
      <c r="F36" s="520">
        <f>Rail!E89</f>
        <v>423592315.460958</v>
      </c>
      <c r="G36" s="520">
        <f>'Offroad Data'!C481</f>
        <v>1244614.4293989635</v>
      </c>
      <c r="H36" s="520">
        <v>0</v>
      </c>
      <c r="I36" s="520">
        <f t="shared" ref="I36:I43" si="2">G36+H36</f>
        <v>1244614.4293989635</v>
      </c>
    </row>
    <row r="37" spans="2:9" ht="15" x14ac:dyDescent="0.15">
      <c r="B37" s="388" t="s">
        <v>131</v>
      </c>
      <c r="C37" s="520">
        <f>('On-road'!E213-E37)*$K$8</f>
        <v>38147.783636702472</v>
      </c>
      <c r="D37" s="520">
        <f>('On-road'!E213-E37)*$K$9</f>
        <v>9536.945909175618</v>
      </c>
      <c r="E37" s="520">
        <f>'Onroad Data'!D396</f>
        <v>0</v>
      </c>
      <c r="F37" s="520">
        <f>Rail!E90</f>
        <v>62632128.842708409</v>
      </c>
      <c r="G37" s="520">
        <f>'Offroad Data'!E481</f>
        <v>3652157.6667066352</v>
      </c>
      <c r="H37" s="520">
        <v>0</v>
      </c>
      <c r="I37" s="520">
        <f t="shared" si="2"/>
        <v>3652157.6667066352</v>
      </c>
    </row>
    <row r="38" spans="2:9" ht="15" x14ac:dyDescent="0.15">
      <c r="B38" s="328" t="s">
        <v>60</v>
      </c>
      <c r="C38" s="520">
        <f>('On-road'!E214-E38)*$K$8</f>
        <v>49667.031138259954</v>
      </c>
      <c r="D38" s="520">
        <f>('On-road'!E214-E38)*$K$9</f>
        <v>12416.757784564988</v>
      </c>
      <c r="E38" s="520">
        <f>'Onroad Data'!F396</f>
        <v>0</v>
      </c>
      <c r="F38" s="520">
        <f>Rail!E91</f>
        <v>14471703.685319329</v>
      </c>
      <c r="G38" s="520">
        <f>'Offroad Data'!F481</f>
        <v>1072074.1725584008</v>
      </c>
      <c r="H38" s="520">
        <v>0</v>
      </c>
      <c r="I38" s="520">
        <f t="shared" si="2"/>
        <v>1072074.1725584008</v>
      </c>
    </row>
    <row r="39" spans="2:9" ht="15" x14ac:dyDescent="0.15">
      <c r="B39" s="328" t="s">
        <v>62</v>
      </c>
      <c r="C39" s="520">
        <f>('On-road'!E215-E39)*$K$8</f>
        <v>10000.7687717271</v>
      </c>
      <c r="D39" s="520">
        <f>('On-road'!E215-E39)*$K$9</f>
        <v>2500.192192931775</v>
      </c>
      <c r="E39" s="520">
        <f>'Onroad Data'!G396</f>
        <v>0</v>
      </c>
      <c r="F39" s="520">
        <f>Rail!E92</f>
        <v>2435567.7940183273</v>
      </c>
      <c r="G39" s="520">
        <f>'Offroad Data'!G481</f>
        <v>464526.70940611348</v>
      </c>
      <c r="H39" s="520">
        <v>0</v>
      </c>
      <c r="I39" s="520">
        <f t="shared" si="2"/>
        <v>464526.70940611348</v>
      </c>
    </row>
    <row r="40" spans="2:9" ht="15" x14ac:dyDescent="0.15">
      <c r="B40" s="328" t="s">
        <v>61</v>
      </c>
      <c r="C40" s="520">
        <f>('On-road'!E216-E40)*$K$8</f>
        <v>1869.0677719708303</v>
      </c>
      <c r="D40" s="520">
        <f>('On-road'!E216-E40)*$K$9</f>
        <v>467.26694299270758</v>
      </c>
      <c r="E40" s="520">
        <f>'Onroad Data'!H396</f>
        <v>0</v>
      </c>
      <c r="F40" s="520">
        <f>Rail!E93</f>
        <v>0</v>
      </c>
      <c r="G40" s="520">
        <f>'Offroad Data'!H481</f>
        <v>36520.283441947031</v>
      </c>
      <c r="H40" s="520">
        <v>0</v>
      </c>
      <c r="I40" s="520">
        <f t="shared" si="2"/>
        <v>36520.283441947031</v>
      </c>
    </row>
    <row r="41" spans="2:9" ht="15" x14ac:dyDescent="0.15">
      <c r="B41" s="328" t="s">
        <v>63</v>
      </c>
      <c r="C41" s="520">
        <f>('On-road'!E217-E41)*$K$8</f>
        <v>32035.93859754056</v>
      </c>
      <c r="D41" s="520">
        <f>('On-road'!E217-E41)*$K$9</f>
        <v>8008.9846493851401</v>
      </c>
      <c r="E41" s="520">
        <f>'Onroad Data'!I396</f>
        <v>0</v>
      </c>
      <c r="F41" s="520">
        <f>Rail!E94</f>
        <v>13573927.961848585</v>
      </c>
      <c r="G41" s="520">
        <f>'Offroad Data'!I481</f>
        <v>698746.40885659191</v>
      </c>
      <c r="H41" s="520">
        <v>0</v>
      </c>
      <c r="I41" s="520">
        <f t="shared" si="2"/>
        <v>698746.40885659191</v>
      </c>
    </row>
    <row r="42" spans="2:9" ht="15" x14ac:dyDescent="0.15">
      <c r="B42" s="328" t="s">
        <v>64</v>
      </c>
      <c r="C42" s="520">
        <f>('On-road'!E218-E42)*$K$8</f>
        <v>13110.536265937984</v>
      </c>
      <c r="D42" s="520">
        <f>('On-road'!E218-E42)*$K$9</f>
        <v>3277.6340664844961</v>
      </c>
      <c r="E42" s="520">
        <f>'Onroad Data'!J396</f>
        <v>0</v>
      </c>
      <c r="F42" s="520">
        <f>Rail!E95</f>
        <v>3488838.6602635593</v>
      </c>
      <c r="G42" s="520">
        <f>'Offroad Data'!J481</f>
        <v>333153.88371840544</v>
      </c>
      <c r="H42" s="520">
        <v>0</v>
      </c>
      <c r="I42" s="520">
        <f t="shared" si="2"/>
        <v>333153.88371840544</v>
      </c>
    </row>
    <row r="43" spans="2:9" ht="15" x14ac:dyDescent="0.15">
      <c r="B43" s="328" t="s">
        <v>65</v>
      </c>
      <c r="C43" s="520">
        <f>('On-road'!E219-E43)*$K$8</f>
        <v>5836.2491745424713</v>
      </c>
      <c r="D43" s="520">
        <f>('On-road'!E219-E43)*$K$9</f>
        <v>1459.0622936356178</v>
      </c>
      <c r="E43" s="520">
        <f>'Onroad Data'!K396</f>
        <v>0</v>
      </c>
      <c r="F43" s="520">
        <f>Rail!E96</f>
        <v>3987474.8196798223</v>
      </c>
      <c r="G43" s="520">
        <f>'Offroad Data'!K481</f>
        <v>367772.00602884364</v>
      </c>
      <c r="H43" s="520">
        <v>0</v>
      </c>
      <c r="I43" s="520">
        <f t="shared" si="2"/>
        <v>367772.00602884364</v>
      </c>
    </row>
    <row r="44" spans="2:9" x14ac:dyDescent="0.15">
      <c r="B44" s="190" t="s">
        <v>736</v>
      </c>
    </row>
  </sheetData>
  <mergeCells count="9">
    <mergeCell ref="G5:I5"/>
    <mergeCell ref="G19:I19"/>
    <mergeCell ref="G33:I33"/>
    <mergeCell ref="C33:F33"/>
    <mergeCell ref="B33:B34"/>
    <mergeCell ref="B19:B20"/>
    <mergeCell ref="C19:F19"/>
    <mergeCell ref="B5:B6"/>
    <mergeCell ref="C5:F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tabColor theme="2"/>
  </sheetPr>
  <dimension ref="A1:P139"/>
  <sheetViews>
    <sheetView zoomScale="90" zoomScaleNormal="90" workbookViewId="0">
      <selection activeCell="B13" sqref="B13"/>
    </sheetView>
  </sheetViews>
  <sheetFormatPr baseColWidth="10" defaultColWidth="8.83203125" defaultRowHeight="14" x14ac:dyDescent="0.15"/>
  <cols>
    <col min="1" max="1" width="29.5" bestFit="1" customWidth="1"/>
    <col min="2" max="5" width="16.6640625" customWidth="1"/>
    <col min="6" max="7" width="15.1640625" customWidth="1"/>
    <col min="8" max="8" width="15" customWidth="1"/>
    <col min="9" max="14" width="13.83203125" customWidth="1"/>
    <col min="16" max="16" width="15.83203125" customWidth="1"/>
  </cols>
  <sheetData>
    <row r="1" spans="1:11" s="20" customFormat="1" ht="18" x14ac:dyDescent="0.2">
      <c r="A1" s="39" t="s">
        <v>49</v>
      </c>
    </row>
    <row r="3" spans="1:11" ht="15" customHeight="1" x14ac:dyDescent="0.15">
      <c r="A3" s="202" t="s">
        <v>99</v>
      </c>
      <c r="B3" s="643" t="s">
        <v>737</v>
      </c>
      <c r="C3" s="643" t="s">
        <v>738</v>
      </c>
      <c r="D3" s="643" t="s">
        <v>739</v>
      </c>
      <c r="E3" s="112"/>
    </row>
    <row r="4" spans="1:11" ht="15" customHeight="1" x14ac:dyDescent="0.15">
      <c r="A4" s="41" t="s">
        <v>740</v>
      </c>
      <c r="B4" s="425">
        <f>10.21*'Constants &amp; Conversions'!D36</f>
        <v>10210</v>
      </c>
      <c r="C4" s="34">
        <v>0.31</v>
      </c>
      <c r="D4" s="34">
        <v>0.5</v>
      </c>
      <c r="G4" s="65"/>
    </row>
    <row r="5" spans="1:11" ht="15" customHeight="1" x14ac:dyDescent="0.15">
      <c r="A5" s="41" t="s">
        <v>741</v>
      </c>
      <c r="B5" s="425">
        <f>8.78*'Constants &amp; Conversions'!D36</f>
        <v>8780</v>
      </c>
      <c r="C5" s="34">
        <v>4.88</v>
      </c>
      <c r="D5" s="34">
        <v>0.23</v>
      </c>
      <c r="E5" s="442"/>
      <c r="G5" s="65"/>
    </row>
    <row r="6" spans="1:11" ht="15" customHeight="1" x14ac:dyDescent="0.15">
      <c r="A6" s="41" t="s">
        <v>742</v>
      </c>
      <c r="B6" s="425">
        <f>8.31*'Constants &amp; Conversions'!D32</f>
        <v>8310</v>
      </c>
      <c r="C6" s="34">
        <v>7.06</v>
      </c>
      <c r="D6" s="34">
        <v>0.11</v>
      </c>
      <c r="E6" s="442"/>
      <c r="G6" s="65"/>
    </row>
    <row r="7" spans="1:11" ht="15" customHeight="1" x14ac:dyDescent="0.15">
      <c r="A7" s="41" t="s">
        <v>743</v>
      </c>
      <c r="B7" s="425">
        <f>9.75*'Constants &amp; Conversions'!D32</f>
        <v>9750</v>
      </c>
      <c r="C7" s="34">
        <f>0</f>
        <v>0</v>
      </c>
      <c r="D7" s="34">
        <f>0.3</f>
        <v>0.3</v>
      </c>
      <c r="E7" s="442"/>
      <c r="G7" s="65"/>
      <c r="H7" s="71"/>
      <c r="I7" s="71"/>
    </row>
    <row r="8" spans="1:11" ht="15" customHeight="1" x14ac:dyDescent="0.15">
      <c r="A8" s="41" t="s">
        <v>744</v>
      </c>
      <c r="B8" s="473">
        <f>10.21*'Constants &amp; Conversions'!$D$32</f>
        <v>10210</v>
      </c>
      <c r="C8" s="34">
        <v>0.8</v>
      </c>
      <c r="D8" s="567">
        <v>0.26</v>
      </c>
    </row>
    <row r="9" spans="1:11" ht="15" customHeight="1" x14ac:dyDescent="0.15">
      <c r="A9" s="583" t="s">
        <v>745</v>
      </c>
      <c r="B9" s="65"/>
      <c r="C9" s="120"/>
      <c r="D9" s="120"/>
      <c r="E9" s="442"/>
    </row>
    <row r="10" spans="1:11" ht="15" customHeight="1" x14ac:dyDescent="0.15">
      <c r="A10" s="583" t="s">
        <v>746</v>
      </c>
      <c r="B10" s="65"/>
      <c r="C10" s="120"/>
      <c r="D10" s="120"/>
      <c r="E10" s="442"/>
    </row>
    <row r="11" spans="1:11" ht="15" customHeight="1" x14ac:dyDescent="0.15">
      <c r="B11" s="65"/>
      <c r="C11" s="120"/>
      <c r="D11" s="120"/>
      <c r="E11" s="112"/>
      <c r="F11" s="121"/>
      <c r="G11" s="65"/>
      <c r="H11" s="120"/>
      <c r="I11" s="120"/>
      <c r="K11" s="124"/>
    </row>
    <row r="12" spans="1:11" ht="15" customHeight="1" x14ac:dyDescent="0.15">
      <c r="A12" s="19" t="s">
        <v>747</v>
      </c>
      <c r="B12" s="440" t="s">
        <v>748</v>
      </c>
      <c r="C12" s="441" t="s">
        <v>749</v>
      </c>
      <c r="D12" s="441" t="s">
        <v>750</v>
      </c>
      <c r="F12" s="121"/>
      <c r="G12" s="65"/>
      <c r="H12" s="120"/>
      <c r="I12" s="120"/>
      <c r="K12" s="124"/>
    </row>
    <row r="13" spans="1:11" ht="15" customHeight="1" x14ac:dyDescent="0.15">
      <c r="A13" s="44">
        <v>2019</v>
      </c>
      <c r="B13" s="441" cm="1">
        <f t="array" ref="B13">[2]!CO2_EF_ComEd_2019</f>
        <v>851.19</v>
      </c>
      <c r="C13" s="441" cm="1">
        <f t="array" ref="C13">[2]!CH4_EF_eGRID_2019</f>
        <v>9.9000000000000005E-2</v>
      </c>
      <c r="D13" s="441" cm="1">
        <f t="array" ref="D13">[2]!N2O_EF_eGRID_2019</f>
        <v>1.4E-2</v>
      </c>
      <c r="F13" s="121"/>
      <c r="G13" s="65"/>
      <c r="H13" s="120"/>
      <c r="I13" s="120"/>
      <c r="K13" s="124"/>
    </row>
    <row r="14" spans="1:11" ht="15" customHeight="1" x14ac:dyDescent="0.15">
      <c r="A14" s="44">
        <v>2015</v>
      </c>
      <c r="B14" s="34" cm="1">
        <f t="array" ref="B14">[2]!CO2_EF_ComEd_2015</f>
        <v>903.86</v>
      </c>
      <c r="C14" s="34" cm="1">
        <f t="array" ref="C14">[2]!CH4_EF_eGRID_2015</f>
        <v>0.150199</v>
      </c>
      <c r="D14" s="34" cm="1">
        <f t="array" ref="D14">[2]!N2O_EF_eGRID_2015</f>
        <v>2.2033999999999998E-2</v>
      </c>
      <c r="G14" s="65"/>
      <c r="H14" s="120"/>
      <c r="I14" s="120"/>
      <c r="K14" s="124"/>
    </row>
    <row r="15" spans="1:11" ht="15" customHeight="1" x14ac:dyDescent="0.15">
      <c r="A15" s="44">
        <v>2010</v>
      </c>
      <c r="B15" s="34" cm="1">
        <f t="array" ref="B15">[2]!CO2_EF_ComEd_2010</f>
        <v>1135.3900000000001</v>
      </c>
      <c r="C15" s="34" cm="1">
        <f t="array" ref="C15">[2]!CH4_EF_eGRID_2010</f>
        <v>1.8200000000000001E-2</v>
      </c>
      <c r="D15" s="34" cm="1">
        <f t="array" ref="D15">[2]!N2O_EF_eGRID_2010</f>
        <v>2.4750000000000001E-2</v>
      </c>
      <c r="G15" s="65"/>
      <c r="H15" s="120"/>
      <c r="I15" s="120"/>
      <c r="K15" s="124"/>
    </row>
    <row r="16" spans="1:11" ht="15" customHeight="1" x14ac:dyDescent="0.15">
      <c r="A16" s="190" t="s">
        <v>751</v>
      </c>
      <c r="B16" s="120"/>
      <c r="C16" s="125"/>
      <c r="D16" s="125"/>
      <c r="G16" s="120"/>
      <c r="H16" s="125"/>
      <c r="I16" s="125"/>
    </row>
    <row r="17" spans="1:8" x14ac:dyDescent="0.15">
      <c r="B17" s="65"/>
      <c r="C17" s="71"/>
      <c r="D17" s="71"/>
      <c r="E17" s="71"/>
    </row>
    <row r="18" spans="1:8" ht="15" x14ac:dyDescent="0.15">
      <c r="A18" s="202" t="s">
        <v>752</v>
      </c>
      <c r="B18" s="426" t="s">
        <v>753</v>
      </c>
      <c r="C18" s="426" t="s">
        <v>754</v>
      </c>
      <c r="D18" s="426" t="s">
        <v>755</v>
      </c>
      <c r="E18" s="644" t="s">
        <v>756</v>
      </c>
    </row>
    <row r="19" spans="1:8" x14ac:dyDescent="0.15">
      <c r="A19" s="178" t="s">
        <v>101</v>
      </c>
      <c r="B19" s="641">
        <f>SUM('Onroad Data'!E21:K21)*1000000/SUM('Onroad Data'!E75:K75)</f>
        <v>364.83667618273205</v>
      </c>
      <c r="C19" s="641">
        <f>SUM('Onroad Data'!E39:K39)*1000000/SUM('Onroad Data'!E75:K75)</f>
        <v>0.1312322191333303</v>
      </c>
      <c r="D19" s="641">
        <f>SUM('Onroad Data'!E57:K57)*1000000/SUM('Onroad Data'!E75:K75)</f>
        <v>2.6663498797257507E-3</v>
      </c>
      <c r="E19" s="642">
        <f>B19+(C19*CH4_GWP)+(Global_Warming_Potential_N2O*'Emission Factors'!D19)</f>
        <v>369.21776103659261</v>
      </c>
      <c r="G19" s="588"/>
      <c r="H19" s="588"/>
    </row>
    <row r="20" spans="1:8" x14ac:dyDescent="0.15">
      <c r="A20" s="178" t="s">
        <v>103</v>
      </c>
      <c r="B20" s="641">
        <f>SUM('Onroad Data'!E22:K22)*1000000/SUM('Onroad Data'!E76:K76)</f>
        <v>356.520719176032</v>
      </c>
      <c r="C20" s="641">
        <f>SUM('Onroad Data'!E40:K40)*1000000/SUM('Onroad Data'!E76:K76)</f>
        <v>2.345659070031798E-2</v>
      </c>
      <c r="D20" s="641">
        <f>SUM('Onroad Data'!E58:K58)*1000000/SUM('Onroad Data'!E76:K76)</f>
        <v>7.0745342935799862E-3</v>
      </c>
      <c r="E20" s="642">
        <f>B20+(C20*CH4_GWP)+(Global_Warming_Potential_N2O*'Emission Factors'!D20)</f>
        <v>359.05225530343961</v>
      </c>
      <c r="G20" s="588"/>
      <c r="H20" s="588"/>
    </row>
    <row r="21" spans="1:8" x14ac:dyDescent="0.15">
      <c r="A21" s="178" t="s">
        <v>105</v>
      </c>
      <c r="B21" s="641">
        <f>SUM('Onroad Data'!E23:K23)*1000000/SUM('Onroad Data'!E77:K77)</f>
        <v>457.98814592204081</v>
      </c>
      <c r="C21" s="641">
        <f>SUM('Onroad Data'!E41:K41)*1000000/SUM('Onroad Data'!E77:K77)</f>
        <v>2.5937453321851791E-2</v>
      </c>
      <c r="D21" s="641">
        <f>SUM('Onroad Data'!E59:K59)*1000000/SUM('Onroad Data'!E77:K77)</f>
        <v>1.008037158787512E-2</v>
      </c>
      <c r="E21" s="642">
        <f>B21+(C21*CH4_GWP)+(Global_Warming_Potential_N2O*'Emission Factors'!D21)</f>
        <v>461.38569308583953</v>
      </c>
      <c r="G21" s="588"/>
      <c r="H21" s="588"/>
    </row>
    <row r="22" spans="1:8" x14ac:dyDescent="0.15">
      <c r="A22" s="178" t="s">
        <v>173</v>
      </c>
      <c r="B22" s="641">
        <f>SUM('Onroad Data'!E24:K24)*1000000/SUM('Onroad Data'!E78:K78)</f>
        <v>484.3720475520222</v>
      </c>
      <c r="C22" s="641">
        <f>SUM('Onroad Data'!E42:K42)*1000000/SUM('Onroad Data'!E78:K78)</f>
        <v>3.9650521198870026E-2</v>
      </c>
      <c r="D22" s="641">
        <f>SUM('Onroad Data'!E60:K60)*1000000/SUM('Onroad Data'!E78:K78)</f>
        <v>1.5036595168164234E-2</v>
      </c>
      <c r="E22" s="642">
        <f>B22+(C22*CH4_GWP)+(Global_Warming_Potential_N2O*'Emission Factors'!D22)</f>
        <v>489.46695986515408</v>
      </c>
      <c r="G22" s="588"/>
      <c r="H22" s="588"/>
    </row>
    <row r="23" spans="1:8" x14ac:dyDescent="0.15">
      <c r="A23" s="178" t="s">
        <v>108</v>
      </c>
      <c r="B23" s="641">
        <f>SUM('Onroad Data'!E25:K25)*1000000/SUM('Onroad Data'!E79:K79)</f>
        <v>1652.2086128359801</v>
      </c>
      <c r="C23" s="641">
        <f>SUM('Onroad Data'!E43:K43)*1000000/SUM('Onroad Data'!E79:K79)</f>
        <v>0.96154418208766657</v>
      </c>
      <c r="D23" s="641">
        <f>SUM('Onroad Data'!E61:K61)*1000000/SUM('Onroad Data'!E79:K79)</f>
        <v>2.7352904547114042E-2</v>
      </c>
      <c r="E23" s="642">
        <f>B23+(C23*CH4_GWP)+(Global_Warming_Potential_N2O*'Emission Factors'!D23)</f>
        <v>1686.38036963942</v>
      </c>
      <c r="G23" s="588"/>
      <c r="H23" s="588"/>
    </row>
    <row r="24" spans="1:8" x14ac:dyDescent="0.15">
      <c r="A24" s="178" t="s">
        <v>109</v>
      </c>
      <c r="B24" s="641">
        <f>SUM('Onroad Data'!E26:K26)*1000000/SUM('Onroad Data'!E80:K80)</f>
        <v>1353.8715406480117</v>
      </c>
      <c r="C24" s="641">
        <f>SUM('Onroad Data'!E44:K44)*1000000/SUM('Onroad Data'!E80:K80)</f>
        <v>0.3677290826470116</v>
      </c>
      <c r="D24" s="641">
        <f>SUM('Onroad Data'!E62:K62)*1000000/SUM('Onroad Data'!E80:K80)</f>
        <v>1.6729593989194647E-2</v>
      </c>
      <c r="E24" s="642">
        <f>B24+(C24*CH4_GWP)+(Global_Warming_Potential_N2O*'Emission Factors'!D24)</f>
        <v>1368.6012973692646</v>
      </c>
      <c r="G24" s="588"/>
      <c r="H24" s="588"/>
    </row>
    <row r="25" spans="1:8" x14ac:dyDescent="0.15">
      <c r="A25" s="178" t="s">
        <v>110</v>
      </c>
      <c r="B25" s="641">
        <f>SUM('Onroad Data'!E27:K27)*1000000/SUM('Onroad Data'!E81:K81)</f>
        <v>1730.7412573757329</v>
      </c>
      <c r="C25" s="641">
        <f>SUM('Onroad Data'!E45:K45)*1000000/SUM('Onroad Data'!E81:K81)</f>
        <v>0.77960389297920929</v>
      </c>
      <c r="D25" s="641">
        <f>SUM('Onroad Data'!E63:K63)*1000000/SUM('Onroad Data'!E81:K81)</f>
        <v>1.3960556672442356E-2</v>
      </c>
      <c r="E25" s="642">
        <f>B25+(C25*CH4_GWP)+(Global_Warming_Potential_N2O*'Emission Factors'!D25)</f>
        <v>1756.2697138973481</v>
      </c>
      <c r="G25" s="588"/>
      <c r="H25" s="588"/>
    </row>
    <row r="26" spans="1:8" x14ac:dyDescent="0.15">
      <c r="A26" s="178" t="s">
        <v>111</v>
      </c>
      <c r="B26" s="641">
        <f>SUM('Onroad Data'!E28:K28)*1000000/SUM('Onroad Data'!E82:K82)</f>
        <v>1075.0900654177756</v>
      </c>
      <c r="C26" s="641">
        <f>SUM('Onroad Data'!E46:K46)*1000000/SUM('Onroad Data'!E82:K82)</f>
        <v>0.17035021457487032</v>
      </c>
      <c r="D26" s="641">
        <f>SUM('Onroad Data'!E64:K64)*1000000/SUM('Onroad Data'!E82:K82)</f>
        <v>1.4973757539484253E-2</v>
      </c>
      <c r="E26" s="642">
        <f>B26+(C26*CH4_GWP)+(Global_Warming_Potential_N2O*'Emission Factors'!D26)</f>
        <v>1083.8279171738352</v>
      </c>
      <c r="G26" s="588"/>
      <c r="H26" s="588"/>
    </row>
    <row r="27" spans="1:8" x14ac:dyDescent="0.15">
      <c r="A27" s="178" t="s">
        <v>112</v>
      </c>
      <c r="B27" s="641">
        <f>SUM('Onroad Data'!E29:K29)*1000000/SUM('Onroad Data'!E83:K83)</f>
        <v>1028.4297244834197</v>
      </c>
      <c r="C27" s="641">
        <f>SUM('Onroad Data'!E47:K47)*1000000/SUM('Onroad Data'!E83:K83)</f>
        <v>0.13778695325636256</v>
      </c>
      <c r="D27" s="641">
        <f>SUM('Onroad Data'!E65:K65)*1000000/SUM('Onroad Data'!E83:K83)</f>
        <v>6.4387948526475501E-3</v>
      </c>
      <c r="E27" s="642">
        <f>B27+(C27*CH4_GWP)+(Global_Warming_Potential_N2O*'Emission Factors'!D27)</f>
        <v>1033.9940398105493</v>
      </c>
      <c r="G27" s="588"/>
      <c r="H27" s="588"/>
    </row>
    <row r="28" spans="1:8" x14ac:dyDescent="0.15">
      <c r="A28" s="178" t="s">
        <v>113</v>
      </c>
      <c r="B28" s="641">
        <f>SUM('Onroad Data'!E30:K30)*1000000/SUM('Onroad Data'!E84:K84)</f>
        <v>1211.2496978429083</v>
      </c>
      <c r="C28" s="641">
        <f>SUM('Onroad Data'!E48:K48)*1000000/SUM('Onroad Data'!E84:K84)</f>
        <v>8.3262741252374428E-2</v>
      </c>
      <c r="D28" s="641">
        <f>SUM('Onroad Data'!E66:K66)*1000000/SUM('Onroad Data'!E84:K84)</f>
        <v>1.3277088288605998E-2</v>
      </c>
      <c r="E28" s="642">
        <f>B28+(C28*CH4_GWP)+(Global_Warming_Potential_N2O*'Emission Factors'!D28)</f>
        <v>1217.0994829944555</v>
      </c>
      <c r="G28" s="588"/>
      <c r="H28" s="588"/>
    </row>
    <row r="29" spans="1:8" x14ac:dyDescent="0.15">
      <c r="A29" s="178" t="s">
        <v>114</v>
      </c>
      <c r="B29" s="641">
        <f>SUM('Onroad Data'!E31:K31)*1000000/SUM('Onroad Data'!E85:K85)</f>
        <v>1755.1044552467706</v>
      </c>
      <c r="C29" s="641">
        <f>SUM('Onroad Data'!E49:K49)*1000000/SUM('Onroad Data'!E85:K85)</f>
        <v>0.12880547839304465</v>
      </c>
      <c r="D29" s="641">
        <f>SUM('Onroad Data'!E67:K67)*1000000/SUM('Onroad Data'!E85:K85)</f>
        <v>3.4520290054963101E-3</v>
      </c>
      <c r="E29" s="642">
        <f>B29+(C29*CH4_GWP)+(Global_Warming_Potential_N2O*'Emission Factors'!D29)</f>
        <v>1759.6257963282324</v>
      </c>
      <c r="G29" s="588"/>
      <c r="H29" s="588"/>
    </row>
    <row r="30" spans="1:8" x14ac:dyDescent="0.15">
      <c r="A30" s="178" t="s">
        <v>115</v>
      </c>
      <c r="B30" s="641">
        <f>SUM('Onroad Data'!E32:K32)*1000000/SUM('Onroad Data'!E86:K86)</f>
        <v>1756.2751750498358</v>
      </c>
      <c r="C30" s="641">
        <f>SUM('Onroad Data'!E50:K50)*1000000/SUM('Onroad Data'!E86:K86)</f>
        <v>2.7456645921129938E-2</v>
      </c>
      <c r="D30" s="641">
        <f>SUM('Onroad Data'!E68:K68)*1000000/SUM('Onroad Data'!E86:K86)</f>
        <v>1.8406580376125958E-3</v>
      </c>
      <c r="E30" s="642">
        <f>B30+(C30*CH4_GWP)+(Global_Warming_Potential_N2O*'Emission Factors'!D30)</f>
        <v>1757.5317355155946</v>
      </c>
    </row>
    <row r="31" spans="1:8" x14ac:dyDescent="0.15">
      <c r="A31" s="584"/>
      <c r="B31" s="120"/>
      <c r="C31" s="120"/>
      <c r="D31" s="120"/>
      <c r="E31" s="71"/>
    </row>
    <row r="32" spans="1:8" ht="15" x14ac:dyDescent="0.15">
      <c r="A32" s="19" t="s">
        <v>757</v>
      </c>
      <c r="B32" s="426" t="s">
        <v>753</v>
      </c>
      <c r="C32" s="426" t="s">
        <v>754</v>
      </c>
      <c r="D32" s="426" t="s">
        <v>755</v>
      </c>
      <c r="E32" s="644" t="s">
        <v>756</v>
      </c>
    </row>
    <row r="33" spans="1:11" x14ac:dyDescent="0.15">
      <c r="A33" s="41" t="s">
        <v>101</v>
      </c>
      <c r="B33" s="424">
        <f>I132</f>
        <v>361.35076890926007</v>
      </c>
      <c r="C33" s="424">
        <f t="shared" ref="B33:D38" si="0">J132</f>
        <v>0.13118551480984003</v>
      </c>
      <c r="D33" s="424">
        <f t="shared" si="0"/>
        <v>1.3354339666086963E-2</v>
      </c>
      <c r="E33" s="642">
        <f>B33+(C33*CH4_GWP)+(Global_Warming_Potential_N2O*'Emission Factors'!D33)</f>
        <v>368.56286333544864</v>
      </c>
      <c r="F33" s="589"/>
      <c r="G33" s="589"/>
      <c r="H33" s="589"/>
    </row>
    <row r="34" spans="1:11" x14ac:dyDescent="0.15">
      <c r="A34" s="41" t="s">
        <v>103</v>
      </c>
      <c r="B34" s="424">
        <f t="shared" si="0"/>
        <v>378.37309433348747</v>
      </c>
      <c r="C34" s="424">
        <f t="shared" si="0"/>
        <v>2.0687328333197863E-2</v>
      </c>
      <c r="D34" s="424">
        <f t="shared" si="0"/>
        <v>1.1844706235511973E-2</v>
      </c>
      <c r="E34" s="642">
        <f>B34+(C34*CH4_GWP)+(Global_Warming_Potential_N2O*'Emission Factors'!D34)</f>
        <v>382.09118667922769</v>
      </c>
      <c r="F34" s="589"/>
      <c r="G34" s="589"/>
      <c r="H34" s="589"/>
    </row>
    <row r="35" spans="1:11" x14ac:dyDescent="0.15">
      <c r="A35" s="41" t="s">
        <v>105</v>
      </c>
      <c r="B35" s="424">
        <f t="shared" si="0"/>
        <v>512.91992992464202</v>
      </c>
      <c r="C35" s="424">
        <f t="shared" si="0"/>
        <v>2.1968069652381426E-2</v>
      </c>
      <c r="D35" s="424">
        <f t="shared" si="0"/>
        <v>1.9667343402847183E-2</v>
      </c>
      <c r="E35" s="642">
        <f>B35+(C35*CH4_GWP)+(Global_Warming_Potential_N2O*'Emission Factors'!D35)</f>
        <v>518.74688187666311</v>
      </c>
      <c r="F35" s="589"/>
      <c r="G35" s="589"/>
      <c r="H35" s="589"/>
    </row>
    <row r="36" spans="1:11" x14ac:dyDescent="0.15">
      <c r="A36" s="41" t="s">
        <v>107</v>
      </c>
      <c r="B36" s="424">
        <f t="shared" si="0"/>
        <v>512.91992992464202</v>
      </c>
      <c r="C36" s="424">
        <f t="shared" si="0"/>
        <v>2.1968069652381426E-2</v>
      </c>
      <c r="D36" s="424">
        <f t="shared" si="0"/>
        <v>1.9667343402847183E-2</v>
      </c>
      <c r="E36" s="642">
        <f>B36+(C36*CH4_GWP)+(Global_Warming_Potential_N2O*'Emission Factors'!D36)</f>
        <v>518.74688187666311</v>
      </c>
      <c r="F36" s="589"/>
      <c r="G36" s="589"/>
      <c r="H36" s="589"/>
    </row>
    <row r="37" spans="1:11" x14ac:dyDescent="0.15">
      <c r="A37" s="41" t="s">
        <v>108</v>
      </c>
      <c r="B37" s="424">
        <f t="shared" si="0"/>
        <v>988.24305713662739</v>
      </c>
      <c r="C37" s="424">
        <f>J136</f>
        <v>7.128188412731648E-2</v>
      </c>
      <c r="D37" s="424">
        <f t="shared" si="0"/>
        <v>1.0654012618086215E-2</v>
      </c>
      <c r="E37" s="642">
        <f>B37+(C37*CH4_GWP)+(Global_Warming_Potential_N2O*'Emission Factors'!D37)</f>
        <v>993.06226323598514</v>
      </c>
      <c r="F37" s="589"/>
      <c r="G37" s="589"/>
      <c r="H37" s="589"/>
    </row>
    <row r="38" spans="1:11" x14ac:dyDescent="0.15">
      <c r="A38" s="41" t="s">
        <v>111</v>
      </c>
      <c r="B38" s="424">
        <f t="shared" si="0"/>
        <v>1185.0726949481059</v>
      </c>
      <c r="C38" s="424">
        <f t="shared" si="0"/>
        <v>9.8001418667853155E-3</v>
      </c>
      <c r="D38" s="424">
        <f t="shared" si="0"/>
        <v>8.1620855880013624E-3</v>
      </c>
      <c r="E38" s="642">
        <f>B38+(C38*CH4_GWP)+(Global_Warming_Potential_N2O*'Emission Factors'!D38)</f>
        <v>1187.5100516011962</v>
      </c>
      <c r="F38" s="589"/>
      <c r="G38" s="589"/>
      <c r="H38" s="589"/>
    </row>
    <row r="39" spans="1:11" x14ac:dyDescent="0.15">
      <c r="A39" s="72" t="s">
        <v>112</v>
      </c>
      <c r="B39" s="424"/>
      <c r="C39" s="424"/>
      <c r="D39" s="424"/>
      <c r="E39" s="642">
        <f>B39+(C39*CH4_GWP)+(Global_Warming_Potential_N2O*'Emission Factors'!D39)</f>
        <v>0</v>
      </c>
      <c r="F39" s="589"/>
      <c r="G39" s="589"/>
      <c r="H39" s="589"/>
    </row>
    <row r="40" spans="1:11" x14ac:dyDescent="0.15">
      <c r="A40" s="41" t="s">
        <v>114</v>
      </c>
      <c r="B40" s="424">
        <f t="shared" ref="B40:B41" si="1">I138</f>
        <v>1852.744297562607</v>
      </c>
      <c r="C40" s="424">
        <f t="shared" ref="C40:D41" si="2">J138</f>
        <v>1.5321555408705247E-2</v>
      </c>
      <c r="D40" s="424">
        <f t="shared" si="2"/>
        <v>1.2760615946897386E-2</v>
      </c>
      <c r="E40" s="642">
        <f>B40+(C40*CH4_GWP)+(Global_Warming_Potential_N2O*'Emission Factors'!D40)</f>
        <v>1856.5548643399784</v>
      </c>
      <c r="F40" s="589"/>
      <c r="G40" s="589"/>
      <c r="H40" s="589"/>
    </row>
    <row r="41" spans="1:11" x14ac:dyDescent="0.15">
      <c r="A41" s="41" t="s">
        <v>115</v>
      </c>
      <c r="B41" s="424">
        <f t="shared" si="1"/>
        <v>1852.744297562607</v>
      </c>
      <c r="C41" s="424">
        <f t="shared" si="2"/>
        <v>1.5321555408705247E-2</v>
      </c>
      <c r="D41" s="424">
        <f>K139</f>
        <v>1.2760615946897386E-2</v>
      </c>
      <c r="E41" s="642">
        <f>B41+(C41*CH4_GWP)+(Global_Warming_Potential_N2O*'Emission Factors'!D41)</f>
        <v>1856.5548643399784</v>
      </c>
      <c r="F41" s="589"/>
      <c r="G41" s="589"/>
      <c r="H41" s="589"/>
    </row>
    <row r="42" spans="1:11" x14ac:dyDescent="0.15">
      <c r="A42" s="583" t="s">
        <v>758</v>
      </c>
      <c r="B42" s="120"/>
      <c r="C42" s="120"/>
      <c r="D42" s="120"/>
      <c r="E42" s="71"/>
      <c r="F42" s="153"/>
    </row>
    <row r="43" spans="1:11" x14ac:dyDescent="0.15">
      <c r="B43" s="120"/>
      <c r="C43" s="120"/>
      <c r="D43" s="120"/>
      <c r="E43" s="71"/>
      <c r="F43" s="153"/>
      <c r="G43" s="168"/>
      <c r="H43" s="168"/>
      <c r="I43" s="168"/>
      <c r="J43" s="71"/>
      <c r="K43" s="153"/>
    </row>
    <row r="44" spans="1:11" ht="15" x14ac:dyDescent="0.15">
      <c r="A44" s="19" t="s">
        <v>759</v>
      </c>
      <c r="B44" s="426" t="s">
        <v>753</v>
      </c>
      <c r="C44" s="426" t="s">
        <v>754</v>
      </c>
      <c r="D44" s="426" t="s">
        <v>755</v>
      </c>
      <c r="E44" s="644" t="s">
        <v>756</v>
      </c>
      <c r="F44" s="153"/>
      <c r="G44" s="168"/>
      <c r="H44" s="168"/>
      <c r="I44" s="168"/>
      <c r="J44" s="71"/>
      <c r="K44" s="153"/>
    </row>
    <row r="45" spans="1:11" x14ac:dyDescent="0.15">
      <c r="A45" s="41" t="s">
        <v>101</v>
      </c>
      <c r="B45" s="423">
        <f t="shared" ref="B45:D50" si="3">L132</f>
        <v>361.29389972442186</v>
      </c>
      <c r="C45" s="423">
        <f t="shared" si="3"/>
        <v>0.12487824075531102</v>
      </c>
      <c r="D45" s="423">
        <f t="shared" si="3"/>
        <v>1.2698470660051491E-2</v>
      </c>
      <c r="E45" s="642">
        <f>B45+(C45*CH4_GWP)+(Global_Warming_Potential_N2O*'Emission Factors'!D45)</f>
        <v>368.15558519048426</v>
      </c>
      <c r="F45" s="153"/>
      <c r="G45" s="168"/>
      <c r="H45" s="168"/>
      <c r="I45" s="168"/>
      <c r="J45" s="71"/>
      <c r="K45" s="153"/>
    </row>
    <row r="46" spans="1:11" x14ac:dyDescent="0.15">
      <c r="A46" s="41" t="s">
        <v>103</v>
      </c>
      <c r="B46" s="423">
        <f t="shared" si="3"/>
        <v>389.76646415374847</v>
      </c>
      <c r="C46" s="423">
        <f t="shared" si="3"/>
        <v>2.4720474142080995E-2</v>
      </c>
      <c r="D46" s="423">
        <f t="shared" si="3"/>
        <v>2.2401087223823956E-2</v>
      </c>
      <c r="E46" s="642">
        <f>B46+(C46*CH4_GWP)+(Global_Warming_Potential_N2O*'Emission Factors'!D46)</f>
        <v>396.39492554404012</v>
      </c>
      <c r="F46" s="153"/>
      <c r="G46" s="168"/>
      <c r="H46" s="168"/>
      <c r="I46" s="168"/>
      <c r="J46" s="71"/>
      <c r="K46" s="153"/>
    </row>
    <row r="47" spans="1:11" x14ac:dyDescent="0.15">
      <c r="A47" s="41" t="s">
        <v>105</v>
      </c>
      <c r="B47" s="423">
        <f t="shared" si="3"/>
        <v>526.17828840646519</v>
      </c>
      <c r="C47" s="423">
        <f t="shared" si="3"/>
        <v>2.8579236052526408E-2</v>
      </c>
      <c r="D47" s="423">
        <f t="shared" si="3"/>
        <v>3.5024264067857871E-2</v>
      </c>
      <c r="E47" s="642">
        <f>B47+(C47*CH4_GWP)+(Global_Warming_Potential_N2O*'Emission Factors'!D47)</f>
        <v>536.25993699391836</v>
      </c>
      <c r="F47" s="153"/>
      <c r="G47" s="168"/>
      <c r="H47" s="168"/>
      <c r="I47" s="168"/>
      <c r="J47" s="71"/>
      <c r="K47" s="153"/>
    </row>
    <row r="48" spans="1:11" x14ac:dyDescent="0.15">
      <c r="A48" s="41" t="s">
        <v>107</v>
      </c>
      <c r="B48" s="423">
        <f t="shared" si="3"/>
        <v>526.17828840646519</v>
      </c>
      <c r="C48" s="423">
        <f t="shared" si="3"/>
        <v>2.8579236052526408E-2</v>
      </c>
      <c r="D48" s="423">
        <f t="shared" si="3"/>
        <v>3.5024264067857871E-2</v>
      </c>
      <c r="E48" s="642">
        <f>B48+(C48*CH4_GWP)+(Global_Warming_Potential_N2O*'Emission Factors'!D48)</f>
        <v>536.25993699391836</v>
      </c>
      <c r="F48" s="153"/>
      <c r="G48" s="168"/>
      <c r="H48" s="168"/>
      <c r="I48" s="168"/>
      <c r="J48" s="71"/>
      <c r="K48" s="153"/>
    </row>
    <row r="49" spans="1:15" x14ac:dyDescent="0.15">
      <c r="A49" s="41" t="s">
        <v>108</v>
      </c>
      <c r="B49" s="423">
        <f t="shared" si="3"/>
        <v>980.62965366373919</v>
      </c>
      <c r="C49" s="423">
        <f t="shared" si="3"/>
        <v>8.7695090542129497E-2</v>
      </c>
      <c r="D49" s="423">
        <f t="shared" si="3"/>
        <v>1.3516674740629755E-2</v>
      </c>
      <c r="E49" s="642">
        <f>B49+(C49*CH4_GWP)+(Global_Warming_Potential_N2O*'Emission Factors'!D49)</f>
        <v>986.66703500518577</v>
      </c>
      <c r="F49" s="153"/>
      <c r="G49" s="168"/>
      <c r="H49" s="168"/>
      <c r="I49" s="168"/>
      <c r="J49" s="71"/>
      <c r="K49" s="153"/>
    </row>
    <row r="50" spans="1:15" x14ac:dyDescent="0.15">
      <c r="A50" s="41" t="s">
        <v>111</v>
      </c>
      <c r="B50" s="423">
        <f t="shared" si="3"/>
        <v>1161.595203688162</v>
      </c>
      <c r="C50" s="423">
        <f t="shared" si="3"/>
        <v>1.3893571781213844E-2</v>
      </c>
      <c r="D50" s="423">
        <f t="shared" si="3"/>
        <v>1.2340459789623174E-2</v>
      </c>
      <c r="E50" s="642">
        <f>B50+(C50*CH4_GWP)+(Global_Warming_Potential_N2O*'Emission Factors'!D50)</f>
        <v>1165.254445542286</v>
      </c>
      <c r="F50" s="153"/>
      <c r="G50" s="168"/>
      <c r="H50" s="168"/>
      <c r="I50" s="168"/>
      <c r="J50" s="71"/>
      <c r="K50" s="153"/>
    </row>
    <row r="51" spans="1:15" x14ac:dyDescent="0.15">
      <c r="A51" s="72" t="s">
        <v>112</v>
      </c>
      <c r="B51" s="423"/>
      <c r="C51" s="423"/>
      <c r="D51" s="423"/>
      <c r="E51" s="642">
        <f>B51+(C51*CH4_GWP)+(Global_Warming_Potential_N2O*'Emission Factors'!D51)</f>
        <v>0</v>
      </c>
      <c r="F51" s="153"/>
      <c r="G51" s="168"/>
      <c r="H51" s="168"/>
      <c r="I51" s="168"/>
      <c r="J51" s="71"/>
      <c r="K51" s="153"/>
    </row>
    <row r="52" spans="1:15" x14ac:dyDescent="0.15">
      <c r="A52" s="41" t="s">
        <v>114</v>
      </c>
      <c r="B52" s="423">
        <f t="shared" ref="B52:D53" si="4">L138</f>
        <v>1880.0956806078509</v>
      </c>
      <c r="C52" s="423">
        <f t="shared" si="4"/>
        <v>2.2487389936819761E-2</v>
      </c>
      <c r="D52" s="423">
        <f t="shared" si="4"/>
        <v>1.9973606187008611E-2</v>
      </c>
      <c r="E52" s="642">
        <f>B52+(C52*CH4_GWP)+(Global_Warming_Potential_N2O*'Emission Factors'!D52)</f>
        <v>1886.0183331656392</v>
      </c>
      <c r="F52" s="153"/>
      <c r="G52" s="168"/>
      <c r="H52" s="168"/>
      <c r="I52" s="168"/>
      <c r="J52" s="71"/>
      <c r="K52" s="153"/>
    </row>
    <row r="53" spans="1:15" x14ac:dyDescent="0.15">
      <c r="A53" s="41" t="s">
        <v>115</v>
      </c>
      <c r="B53" s="423">
        <f t="shared" si="4"/>
        <v>1880.0956806078509</v>
      </c>
      <c r="C53" s="423">
        <f t="shared" si="4"/>
        <v>2.2487389936819761E-2</v>
      </c>
      <c r="D53" s="423">
        <f t="shared" si="4"/>
        <v>1.9973606187008611E-2</v>
      </c>
      <c r="E53" s="642">
        <f>B53+(C53*CH4_GWP)+(Global_Warming_Potential_N2O*'Emission Factors'!D53)</f>
        <v>1886.0183331656392</v>
      </c>
      <c r="F53" s="153"/>
      <c r="G53" s="168"/>
      <c r="H53" s="168"/>
      <c r="I53" s="168"/>
      <c r="J53" s="71"/>
      <c r="K53" s="153"/>
    </row>
    <row r="54" spans="1:15" x14ac:dyDescent="0.15">
      <c r="A54" s="583" t="s">
        <v>758</v>
      </c>
      <c r="B54" s="65"/>
      <c r="C54" s="71"/>
      <c r="D54" s="71"/>
      <c r="E54" s="71"/>
    </row>
    <row r="55" spans="1:15" x14ac:dyDescent="0.15">
      <c r="B55" s="65"/>
      <c r="C55" s="71"/>
      <c r="D55" s="71"/>
      <c r="E55" s="71"/>
    </row>
    <row r="56" spans="1:15" s="160" customFormat="1" x14ac:dyDescent="0.15">
      <c r="A56" s="159" t="s">
        <v>760</v>
      </c>
    </row>
    <row r="57" spans="1:15" s="119" customFormat="1" x14ac:dyDescent="0.15">
      <c r="A57" s="118"/>
    </row>
    <row r="58" spans="1:15" s="119" customFormat="1" x14ac:dyDescent="0.15">
      <c r="A58" s="191"/>
      <c r="B58" s="191"/>
      <c r="C58" s="739" t="s">
        <v>761</v>
      </c>
      <c r="D58" s="740"/>
      <c r="E58" s="741"/>
      <c r="F58" s="739" t="s">
        <v>762</v>
      </c>
      <c r="G58" s="740"/>
      <c r="H58" s="741"/>
    </row>
    <row r="59" spans="1:15" s="119" customFormat="1" x14ac:dyDescent="0.15">
      <c r="A59" s="599" t="s">
        <v>763</v>
      </c>
      <c r="B59" s="474" t="s">
        <v>764</v>
      </c>
      <c r="C59" s="333">
        <v>2010</v>
      </c>
      <c r="D59" s="333">
        <v>2015</v>
      </c>
      <c r="E59" s="333">
        <v>2019</v>
      </c>
      <c r="F59" s="333">
        <v>2010</v>
      </c>
      <c r="G59" s="333">
        <v>2015</v>
      </c>
      <c r="H59" s="333">
        <v>2019</v>
      </c>
      <c r="J59" s="119" t="s">
        <v>154</v>
      </c>
      <c r="K59" s="119" t="s">
        <v>155</v>
      </c>
      <c r="N59" s="525"/>
      <c r="O59" s="525"/>
    </row>
    <row r="60" spans="1:15" s="119" customFormat="1" x14ac:dyDescent="0.15">
      <c r="A60" s="475" t="s">
        <v>159</v>
      </c>
      <c r="B60" s="475" t="s">
        <v>165</v>
      </c>
      <c r="C60" s="558">
        <v>1.35</v>
      </c>
      <c r="D60" s="558">
        <v>1.39</v>
      </c>
      <c r="E60" s="558">
        <v>1.39</v>
      </c>
      <c r="F60" s="558">
        <v>0.74099999999999999</v>
      </c>
      <c r="G60" s="558">
        <v>0.76200000000000001</v>
      </c>
      <c r="H60" s="558">
        <v>0.76400000000000001</v>
      </c>
      <c r="J60" s="119" t="s">
        <v>154</v>
      </c>
      <c r="K60" s="119" t="s">
        <v>104</v>
      </c>
      <c r="N60" s="525"/>
      <c r="O60" s="525"/>
    </row>
    <row r="61" spans="1:15" s="119" customFormat="1" x14ac:dyDescent="0.15">
      <c r="A61" s="475" t="s">
        <v>159</v>
      </c>
      <c r="B61" s="475" t="s">
        <v>146</v>
      </c>
      <c r="C61" s="558">
        <v>0.31</v>
      </c>
      <c r="D61" s="558">
        <v>0.31</v>
      </c>
      <c r="E61" s="558">
        <v>0.31</v>
      </c>
      <c r="F61" s="558">
        <v>0.28499999999999998</v>
      </c>
      <c r="G61" s="558">
        <v>0.28499999999999998</v>
      </c>
      <c r="H61" s="558">
        <v>0.28499999999999998</v>
      </c>
      <c r="N61" s="525"/>
      <c r="O61" s="525"/>
    </row>
    <row r="62" spans="1:15" s="119" customFormat="1" x14ac:dyDescent="0.15">
      <c r="A62" s="475" t="s">
        <v>159</v>
      </c>
      <c r="B62" s="475" t="s">
        <v>765</v>
      </c>
      <c r="C62" s="558">
        <v>0.21</v>
      </c>
      <c r="D62" s="558">
        <v>0.22</v>
      </c>
      <c r="E62" s="558">
        <v>0.22</v>
      </c>
      <c r="F62" s="558">
        <v>0.29899999999999999</v>
      </c>
      <c r="G62" s="558">
        <v>0.311</v>
      </c>
      <c r="H62" s="558">
        <v>0.312</v>
      </c>
      <c r="N62" s="525"/>
      <c r="O62" s="525"/>
    </row>
    <row r="63" spans="1:15" s="119" customFormat="1" x14ac:dyDescent="0.15">
      <c r="A63" s="475" t="s">
        <v>156</v>
      </c>
      <c r="B63" s="475" t="s">
        <v>164</v>
      </c>
      <c r="C63" s="558">
        <v>4.3390000000000004</v>
      </c>
      <c r="D63" s="558">
        <v>4.3410000000000002</v>
      </c>
      <c r="E63" s="558">
        <v>4.34</v>
      </c>
      <c r="F63" s="558">
        <v>0.121</v>
      </c>
      <c r="G63" s="558">
        <v>0.121</v>
      </c>
      <c r="H63" s="558">
        <v>0.121</v>
      </c>
      <c r="N63" s="525"/>
      <c r="O63" s="525"/>
    </row>
    <row r="64" spans="1:15" s="119" customFormat="1" x14ac:dyDescent="0.15">
      <c r="A64" s="475" t="s">
        <v>156</v>
      </c>
      <c r="B64" s="475" t="s">
        <v>165</v>
      </c>
      <c r="C64" s="558">
        <v>1.0629999999999999</v>
      </c>
      <c r="D64" s="558">
        <v>1.08</v>
      </c>
      <c r="E64" s="558">
        <v>1.085</v>
      </c>
      <c r="F64" s="558">
        <v>0.58399999999999996</v>
      </c>
      <c r="G64" s="558">
        <v>0.59399999999999997</v>
      </c>
      <c r="H64" s="558">
        <v>0.59699999999999998</v>
      </c>
      <c r="N64" s="525"/>
      <c r="O64" s="525"/>
    </row>
    <row r="65" spans="1:15" s="119" customFormat="1" x14ac:dyDescent="0.15">
      <c r="A65" s="475" t="s">
        <v>156</v>
      </c>
      <c r="B65" s="475" t="s">
        <v>146</v>
      </c>
      <c r="C65" s="558">
        <v>0.29499999999999998</v>
      </c>
      <c r="D65" s="558">
        <v>0.29499999999999998</v>
      </c>
      <c r="E65" s="558">
        <v>0.29499999999999998</v>
      </c>
      <c r="F65" s="558">
        <v>0.27400000000000002</v>
      </c>
      <c r="G65" s="558">
        <v>0.27400000000000002</v>
      </c>
      <c r="H65" s="558">
        <v>0.27400000000000002</v>
      </c>
      <c r="N65" s="525"/>
      <c r="O65" s="525"/>
    </row>
    <row r="66" spans="1:15" s="119" customFormat="1" x14ac:dyDescent="0.15">
      <c r="A66" s="475" t="s">
        <v>156</v>
      </c>
      <c r="B66" s="475" t="s">
        <v>154</v>
      </c>
      <c r="C66" s="558">
        <v>2.444</v>
      </c>
      <c r="D66" s="558">
        <v>2.556</v>
      </c>
      <c r="E66" s="558">
        <v>2.73</v>
      </c>
      <c r="F66" s="558">
        <v>3.7999999999999999E-2</v>
      </c>
      <c r="G66" s="558">
        <v>0.04</v>
      </c>
      <c r="H66" s="558">
        <v>4.2000000000000003E-2</v>
      </c>
      <c r="N66" s="525"/>
      <c r="O66" s="525"/>
    </row>
    <row r="67" spans="1:15" s="119" customFormat="1" x14ac:dyDescent="0.15">
      <c r="A67" s="475" t="s">
        <v>156</v>
      </c>
      <c r="B67" s="475" t="s">
        <v>765</v>
      </c>
      <c r="C67" s="558">
        <v>0.19800000000000001</v>
      </c>
      <c r="D67" s="558">
        <v>0.20899999999999999</v>
      </c>
      <c r="E67" s="558">
        <v>0.215</v>
      </c>
      <c r="F67" s="558">
        <v>0.28299999999999997</v>
      </c>
      <c r="G67" s="558">
        <v>0.29799999999999999</v>
      </c>
      <c r="H67" s="558">
        <v>0.30599999999999999</v>
      </c>
      <c r="N67" s="525"/>
      <c r="O67" s="525"/>
    </row>
    <row r="68" spans="1:15" s="525" customFormat="1" x14ac:dyDescent="0.15">
      <c r="A68" s="475" t="s">
        <v>155</v>
      </c>
      <c r="B68" s="475" t="s">
        <v>164</v>
      </c>
      <c r="C68" s="558">
        <v>3.294</v>
      </c>
      <c r="D68" s="558">
        <v>3.294</v>
      </c>
      <c r="E68" s="558">
        <v>3.2930000000000001</v>
      </c>
      <c r="F68" s="558">
        <v>9.1999999999999998E-2</v>
      </c>
      <c r="G68" s="558">
        <v>9.1999999999999998E-2</v>
      </c>
      <c r="H68" s="558">
        <v>9.1999999999999998E-2</v>
      </c>
    </row>
    <row r="69" spans="1:15" s="525" customFormat="1" x14ac:dyDescent="0.15">
      <c r="A69" s="475" t="s">
        <v>155</v>
      </c>
      <c r="B69" s="475" t="s">
        <v>165</v>
      </c>
      <c r="C69" s="558">
        <v>1.135</v>
      </c>
      <c r="D69" s="558">
        <v>1.1719999999999999</v>
      </c>
      <c r="E69" s="558">
        <v>1.1930000000000001</v>
      </c>
      <c r="F69" s="558">
        <v>0.624</v>
      </c>
      <c r="G69" s="558">
        <v>0.64400000000000002</v>
      </c>
      <c r="H69" s="558">
        <v>0.65600000000000003</v>
      </c>
    </row>
    <row r="70" spans="1:15" s="525" customFormat="1" x14ac:dyDescent="0.15">
      <c r="A70" s="475" t="s">
        <v>155</v>
      </c>
      <c r="B70" s="475" t="s">
        <v>146</v>
      </c>
      <c r="C70" s="558">
        <v>0.30299999999999999</v>
      </c>
      <c r="D70" s="558">
        <v>0.30299999999999999</v>
      </c>
      <c r="E70" s="558">
        <v>0.30299999999999999</v>
      </c>
      <c r="F70" s="558">
        <v>0.28199999999999997</v>
      </c>
      <c r="G70" s="558">
        <v>0.28199999999999997</v>
      </c>
      <c r="H70" s="558">
        <v>0.28199999999999997</v>
      </c>
    </row>
    <row r="71" spans="1:15" s="525" customFormat="1" x14ac:dyDescent="0.15">
      <c r="A71" s="475" t="s">
        <v>155</v>
      </c>
      <c r="B71" s="475" t="s">
        <v>154</v>
      </c>
      <c r="C71" s="558">
        <v>2.762</v>
      </c>
      <c r="D71" s="558">
        <v>2.8530000000000002</v>
      </c>
      <c r="E71" s="558">
        <v>2.86</v>
      </c>
      <c r="F71" s="558">
        <v>4.2999999999999997E-2</v>
      </c>
      <c r="G71" s="558">
        <v>4.3999999999999997E-2</v>
      </c>
      <c r="H71" s="558">
        <v>4.4999999999999998E-2</v>
      </c>
    </row>
    <row r="72" spans="1:15" s="525" customFormat="1" x14ac:dyDescent="0.15">
      <c r="A72" s="475" t="s">
        <v>155</v>
      </c>
      <c r="B72" s="475" t="s">
        <v>765</v>
      </c>
      <c r="C72" s="558">
        <v>0.19700000000000001</v>
      </c>
      <c r="D72" s="558">
        <v>0.20300000000000001</v>
      </c>
      <c r="E72" s="558">
        <v>0.20599999999999999</v>
      </c>
      <c r="F72" s="558">
        <v>0.28100000000000003</v>
      </c>
      <c r="G72" s="558">
        <v>0.28999999999999998</v>
      </c>
      <c r="H72" s="558">
        <v>0.29399999999999998</v>
      </c>
    </row>
    <row r="73" spans="1:15" s="119" customFormat="1" x14ac:dyDescent="0.15">
      <c r="A73" s="475" t="s">
        <v>157</v>
      </c>
      <c r="B73" s="475" t="s">
        <v>164</v>
      </c>
      <c r="C73" s="558">
        <v>3.29</v>
      </c>
      <c r="D73" s="558">
        <v>3.3</v>
      </c>
      <c r="E73" s="558">
        <v>3.3</v>
      </c>
      <c r="F73" s="558">
        <v>9.1999999999999998E-2</v>
      </c>
      <c r="G73" s="558">
        <v>9.1999999999999998E-2</v>
      </c>
      <c r="H73" s="558">
        <v>9.1999999999999998E-2</v>
      </c>
      <c r="N73" s="525"/>
      <c r="O73" s="525"/>
    </row>
    <row r="74" spans="1:15" s="119" customFormat="1" x14ac:dyDescent="0.15">
      <c r="A74" s="475" t="s">
        <v>157</v>
      </c>
      <c r="B74" s="475" t="s">
        <v>165</v>
      </c>
      <c r="C74" s="558">
        <v>1.07</v>
      </c>
      <c r="D74" s="558">
        <v>1.08</v>
      </c>
      <c r="E74" s="558">
        <v>1.0900000000000001</v>
      </c>
      <c r="F74" s="558">
        <v>0.58699999999999997</v>
      </c>
      <c r="G74" s="558">
        <v>0.59599999999999997</v>
      </c>
      <c r="H74" s="558">
        <v>0.6</v>
      </c>
      <c r="N74" s="525"/>
      <c r="O74" s="525"/>
    </row>
    <row r="75" spans="1:15" s="119" customFormat="1" x14ac:dyDescent="0.15">
      <c r="A75" s="475" t="s">
        <v>157</v>
      </c>
      <c r="B75" s="475" t="s">
        <v>146</v>
      </c>
      <c r="C75" s="558">
        <v>0.28999999999999998</v>
      </c>
      <c r="D75" s="558">
        <v>0.28999999999999998</v>
      </c>
      <c r="E75" s="558">
        <v>0.28999999999999998</v>
      </c>
      <c r="F75" s="558">
        <v>0.27100000000000002</v>
      </c>
      <c r="G75" s="558">
        <v>0.27300000000000002</v>
      </c>
      <c r="H75" s="558">
        <v>0.27200000000000002</v>
      </c>
      <c r="N75" s="525"/>
      <c r="O75" s="525"/>
    </row>
    <row r="76" spans="1:15" s="119" customFormat="1" x14ac:dyDescent="0.15">
      <c r="A76" s="475" t="s">
        <v>157</v>
      </c>
      <c r="B76" s="475" t="s">
        <v>154</v>
      </c>
      <c r="C76" s="558">
        <v>2.75</v>
      </c>
      <c r="D76" s="558">
        <v>2.84</v>
      </c>
      <c r="E76" s="558">
        <v>2.85</v>
      </c>
      <c r="F76" s="558">
        <v>4.2999999999999997E-2</v>
      </c>
      <c r="G76" s="558">
        <v>4.3999999999999997E-2</v>
      </c>
      <c r="H76" s="558">
        <v>4.3999999999999997E-2</v>
      </c>
      <c r="N76" s="525"/>
      <c r="O76" s="525"/>
    </row>
    <row r="77" spans="1:15" s="119" customFormat="1" x14ac:dyDescent="0.15">
      <c r="A77" s="475" t="s">
        <v>157</v>
      </c>
      <c r="B77" s="475" t="s">
        <v>765</v>
      </c>
      <c r="C77" s="558">
        <v>0.2</v>
      </c>
      <c r="D77" s="558">
        <v>0.22</v>
      </c>
      <c r="E77" s="558">
        <v>0.22</v>
      </c>
      <c r="F77" s="558">
        <v>0.29099999999999998</v>
      </c>
      <c r="G77" s="558">
        <v>0.308</v>
      </c>
      <c r="H77" s="558">
        <v>0.311</v>
      </c>
      <c r="N77" s="525"/>
      <c r="O77" s="525"/>
    </row>
    <row r="78" spans="1:15" s="119" customFormat="1" x14ac:dyDescent="0.15">
      <c r="A78" s="475" t="s">
        <v>104</v>
      </c>
      <c r="B78" s="475" t="s">
        <v>165</v>
      </c>
      <c r="C78" s="558">
        <v>1.07</v>
      </c>
      <c r="D78" s="558">
        <v>1.08</v>
      </c>
      <c r="E78" s="558">
        <v>1.0900000000000001</v>
      </c>
      <c r="F78" s="558">
        <v>0.58699999999999997</v>
      </c>
      <c r="G78" s="558">
        <v>0.59599999999999997</v>
      </c>
      <c r="H78" s="558">
        <v>0.6</v>
      </c>
      <c r="N78" s="525"/>
      <c r="O78" s="525"/>
    </row>
    <row r="79" spans="1:15" s="119" customFormat="1" x14ac:dyDescent="0.15">
      <c r="A79" s="475" t="s">
        <v>104</v>
      </c>
      <c r="B79" s="475" t="s">
        <v>146</v>
      </c>
      <c r="C79" s="558">
        <v>0.28999999999999998</v>
      </c>
      <c r="D79" s="558">
        <v>0.28999999999999998</v>
      </c>
      <c r="E79" s="558">
        <v>0.28999999999999998</v>
      </c>
      <c r="F79" s="558">
        <v>0.27100000000000002</v>
      </c>
      <c r="G79" s="558">
        <v>0.27300000000000002</v>
      </c>
      <c r="H79" s="558">
        <v>0.27200000000000002</v>
      </c>
      <c r="N79" s="525"/>
      <c r="O79" s="525"/>
    </row>
    <row r="80" spans="1:15" s="119" customFormat="1" x14ac:dyDescent="0.15">
      <c r="A80" s="475" t="s">
        <v>104</v>
      </c>
      <c r="B80" s="475" t="s">
        <v>154</v>
      </c>
      <c r="C80" s="558">
        <v>2.75</v>
      </c>
      <c r="D80" s="558">
        <v>2.84</v>
      </c>
      <c r="E80" s="558">
        <v>2.85</v>
      </c>
      <c r="F80" s="558">
        <v>4.2999999999999997E-2</v>
      </c>
      <c r="G80" s="558">
        <v>4.3999999999999997E-2</v>
      </c>
      <c r="H80" s="558">
        <v>4.3999999999999997E-2</v>
      </c>
      <c r="N80" s="525"/>
      <c r="O80" s="525"/>
    </row>
    <row r="81" spans="1:15" s="119" customFormat="1" x14ac:dyDescent="0.15">
      <c r="A81" s="475" t="s">
        <v>160</v>
      </c>
      <c r="B81" s="475" t="s">
        <v>164</v>
      </c>
      <c r="C81" s="558">
        <v>3.65</v>
      </c>
      <c r="D81" s="558">
        <v>3.65</v>
      </c>
      <c r="E81" s="558">
        <v>3.66</v>
      </c>
      <c r="F81" s="558">
        <v>0.10199999999999999</v>
      </c>
      <c r="G81" s="558">
        <v>0.10199999999999999</v>
      </c>
      <c r="H81" s="558">
        <v>0.10199999999999999</v>
      </c>
      <c r="N81" s="525"/>
      <c r="O81" s="525"/>
    </row>
    <row r="82" spans="1:15" s="119" customFormat="1" x14ac:dyDescent="0.15">
      <c r="A82" s="475" t="s">
        <v>160</v>
      </c>
      <c r="B82" s="475" t="s">
        <v>165</v>
      </c>
      <c r="C82" s="558">
        <v>1.01</v>
      </c>
      <c r="D82" s="558">
        <v>1.02</v>
      </c>
      <c r="E82" s="558">
        <v>1.02</v>
      </c>
      <c r="F82" s="558">
        <v>0.55400000000000005</v>
      </c>
      <c r="G82" s="558">
        <v>0.55800000000000005</v>
      </c>
      <c r="H82" s="558">
        <v>0.55900000000000005</v>
      </c>
      <c r="N82" s="525"/>
      <c r="O82" s="525"/>
    </row>
    <row r="83" spans="1:15" s="119" customFormat="1" x14ac:dyDescent="0.15">
      <c r="A83" s="475" t="s">
        <v>160</v>
      </c>
      <c r="B83" s="475" t="s">
        <v>146</v>
      </c>
      <c r="C83" s="558">
        <v>0.28999999999999998</v>
      </c>
      <c r="D83" s="558">
        <v>0.28999999999999998</v>
      </c>
      <c r="E83" s="558">
        <v>0.28999999999999998</v>
      </c>
      <c r="F83" s="558">
        <v>0.27</v>
      </c>
      <c r="G83" s="558">
        <v>0.27</v>
      </c>
      <c r="H83" s="558">
        <v>0.27</v>
      </c>
      <c r="N83" s="525"/>
      <c r="O83" s="525"/>
    </row>
    <row r="84" spans="1:15" s="119" customFormat="1" x14ac:dyDescent="0.15">
      <c r="A84" s="475" t="s">
        <v>160</v>
      </c>
      <c r="B84" s="475" t="s">
        <v>765</v>
      </c>
      <c r="C84" s="558">
        <v>0.21</v>
      </c>
      <c r="D84" s="558">
        <v>0.22</v>
      </c>
      <c r="E84" s="558">
        <v>0.22</v>
      </c>
      <c r="F84" s="558">
        <v>0.29699999999999999</v>
      </c>
      <c r="G84" s="558">
        <v>0.31</v>
      </c>
      <c r="H84" s="558">
        <v>0.312</v>
      </c>
      <c r="N84" s="525"/>
      <c r="O84" s="525"/>
    </row>
    <row r="85" spans="1:15" s="66" customFormat="1" x14ac:dyDescent="0.15">
      <c r="A85" s="475" t="s">
        <v>161</v>
      </c>
      <c r="B85" s="475" t="s">
        <v>164</v>
      </c>
      <c r="C85" s="558">
        <v>4.47</v>
      </c>
      <c r="D85" s="558">
        <v>4.47</v>
      </c>
      <c r="E85" s="558">
        <v>4.47</v>
      </c>
      <c r="F85" s="558">
        <v>0.124</v>
      </c>
      <c r="G85" s="558">
        <v>0.124</v>
      </c>
      <c r="H85" s="558">
        <v>0.124</v>
      </c>
      <c r="I85" s="119"/>
      <c r="N85" s="525"/>
      <c r="O85" s="525"/>
    </row>
    <row r="86" spans="1:15" s="66" customFormat="1" x14ac:dyDescent="0.15">
      <c r="A86" s="475" t="s">
        <v>161</v>
      </c>
      <c r="B86" s="475" t="s">
        <v>165</v>
      </c>
      <c r="C86" s="558">
        <v>0.95</v>
      </c>
      <c r="D86" s="558">
        <v>1.01</v>
      </c>
      <c r="E86" s="558">
        <v>1.02</v>
      </c>
      <c r="F86" s="558">
        <v>0.52200000000000002</v>
      </c>
      <c r="G86" s="558">
        <v>0.55400000000000005</v>
      </c>
      <c r="H86" s="558">
        <v>0.56299999999999994</v>
      </c>
      <c r="I86" s="119"/>
      <c r="N86" s="525"/>
      <c r="O86" s="525"/>
    </row>
    <row r="87" spans="1:15" s="66" customFormat="1" x14ac:dyDescent="0.15">
      <c r="A87" s="475" t="s">
        <v>161</v>
      </c>
      <c r="B87" s="475" t="s">
        <v>146</v>
      </c>
      <c r="C87" s="558">
        <v>0.31</v>
      </c>
      <c r="D87" s="558">
        <v>0.31</v>
      </c>
      <c r="E87" s="558">
        <v>0.31</v>
      </c>
      <c r="F87" s="558">
        <v>0.28699999999999998</v>
      </c>
      <c r="G87" s="558">
        <v>0.28699999999999998</v>
      </c>
      <c r="H87" s="558">
        <v>0.28699999999999998</v>
      </c>
      <c r="I87" s="119"/>
    </row>
    <row r="88" spans="1:15" s="66" customFormat="1" x14ac:dyDescent="0.15">
      <c r="A88" s="475" t="s">
        <v>162</v>
      </c>
      <c r="B88" s="475" t="s">
        <v>165</v>
      </c>
      <c r="C88" s="558">
        <v>1.02</v>
      </c>
      <c r="D88" s="558">
        <v>1.03</v>
      </c>
      <c r="E88" s="558">
        <v>1.03</v>
      </c>
      <c r="F88" s="558">
        <v>0.56200000000000006</v>
      </c>
      <c r="G88" s="558">
        <v>0.56699999999999995</v>
      </c>
      <c r="H88" s="558">
        <v>0.56799999999999995</v>
      </c>
      <c r="I88" s="119"/>
    </row>
    <row r="89" spans="1:15" s="66" customFormat="1" x14ac:dyDescent="0.15">
      <c r="A89" s="475" t="s">
        <v>162</v>
      </c>
      <c r="B89" s="475" t="s">
        <v>146</v>
      </c>
      <c r="C89" s="558">
        <v>0.26</v>
      </c>
      <c r="D89" s="558">
        <v>0.26</v>
      </c>
      <c r="E89" s="558">
        <v>0.26</v>
      </c>
      <c r="F89" s="558">
        <v>0.24299999999999999</v>
      </c>
      <c r="G89" s="558">
        <v>0.24299999999999999</v>
      </c>
      <c r="H89" s="558">
        <v>0.24299999999999999</v>
      </c>
      <c r="I89" s="119"/>
    </row>
    <row r="90" spans="1:15" s="66" customFormat="1" x14ac:dyDescent="0.15">
      <c r="A90" s="475" t="s">
        <v>162</v>
      </c>
      <c r="B90" s="475" t="s">
        <v>765</v>
      </c>
      <c r="C90" s="558">
        <v>0.19</v>
      </c>
      <c r="D90" s="558">
        <v>0.21</v>
      </c>
      <c r="E90" s="558">
        <v>0.21</v>
      </c>
      <c r="F90" s="558">
        <v>0.27600000000000002</v>
      </c>
      <c r="G90" s="558">
        <v>0.29699999999999999</v>
      </c>
      <c r="H90" s="558">
        <v>0.30599999999999999</v>
      </c>
      <c r="I90" s="119"/>
    </row>
    <row r="91" spans="1:15" s="66" customFormat="1" x14ac:dyDescent="0.15">
      <c r="A91" s="475" t="s">
        <v>163</v>
      </c>
      <c r="B91" s="475" t="s">
        <v>164</v>
      </c>
      <c r="C91" s="558">
        <v>1.37</v>
      </c>
      <c r="D91" s="558">
        <v>1.46</v>
      </c>
      <c r="E91" s="558">
        <v>1.53</v>
      </c>
      <c r="F91" s="558">
        <v>6.4000000000000001E-2</v>
      </c>
      <c r="G91" s="558">
        <v>6.8000000000000005E-2</v>
      </c>
      <c r="H91" s="558">
        <v>7.1999999999999995E-2</v>
      </c>
      <c r="I91" s="119"/>
    </row>
    <row r="92" spans="1:15" s="66" customFormat="1" x14ac:dyDescent="0.15">
      <c r="A92" s="475" t="s">
        <v>163</v>
      </c>
      <c r="B92" s="475" t="s">
        <v>165</v>
      </c>
      <c r="C92" s="558">
        <v>1.24</v>
      </c>
      <c r="D92" s="558">
        <v>1.25</v>
      </c>
      <c r="E92" s="558">
        <v>1.54</v>
      </c>
      <c r="F92" s="558">
        <v>0.79</v>
      </c>
      <c r="G92" s="558">
        <v>0.79400000000000004</v>
      </c>
      <c r="H92" s="558">
        <v>0.79500000000000004</v>
      </c>
      <c r="I92" s="119"/>
    </row>
    <row r="93" spans="1:15" s="66" customFormat="1" x14ac:dyDescent="0.15">
      <c r="A93" s="475" t="s">
        <v>163</v>
      </c>
      <c r="B93" s="475" t="s">
        <v>146</v>
      </c>
      <c r="C93" s="558">
        <v>0.25</v>
      </c>
      <c r="D93" s="558">
        <v>0.25</v>
      </c>
      <c r="E93" s="558">
        <v>0.25</v>
      </c>
      <c r="F93" s="558">
        <v>0.23599999999999999</v>
      </c>
      <c r="G93" s="558">
        <v>0.23599999999999999</v>
      </c>
      <c r="H93" s="558">
        <v>0.23599999999999999</v>
      </c>
    </row>
    <row r="94" spans="1:15" s="66" customFormat="1" x14ac:dyDescent="0.15">
      <c r="A94" s="475" t="s">
        <v>163</v>
      </c>
      <c r="B94" s="475" t="s">
        <v>765</v>
      </c>
      <c r="C94" s="558">
        <v>0.19</v>
      </c>
      <c r="D94" s="558">
        <v>0.19</v>
      </c>
      <c r="E94" s="558">
        <v>0.2</v>
      </c>
      <c r="F94" s="558">
        <v>0.26500000000000001</v>
      </c>
      <c r="G94" s="558">
        <v>0.27600000000000002</v>
      </c>
      <c r="H94" s="558">
        <v>0.28499999999999998</v>
      </c>
    </row>
    <row r="95" spans="1:15" s="66" customFormat="1" x14ac:dyDescent="0.15">
      <c r="A95" s="475" t="s">
        <v>158</v>
      </c>
      <c r="B95" s="475" t="s">
        <v>154</v>
      </c>
      <c r="C95" s="558">
        <v>2.444</v>
      </c>
      <c r="D95" s="558">
        <v>2.556</v>
      </c>
      <c r="E95" s="558">
        <v>2.73</v>
      </c>
      <c r="F95" s="558">
        <v>3.7999999999999999E-2</v>
      </c>
      <c r="G95" s="558">
        <v>0.04</v>
      </c>
      <c r="H95" s="558">
        <v>4.2000000000000003E-2</v>
      </c>
    </row>
    <row r="96" spans="1:15" s="66" customFormat="1" x14ac:dyDescent="0.15">
      <c r="A96" s="475" t="s">
        <v>158</v>
      </c>
      <c r="B96" s="475" t="s">
        <v>146</v>
      </c>
      <c r="C96" s="558">
        <v>0.29499999999999998</v>
      </c>
      <c r="D96" s="558">
        <v>0.29499999999999998</v>
      </c>
      <c r="E96" s="558">
        <v>0.29499999999999998</v>
      </c>
      <c r="F96" s="558">
        <v>0.27400000000000002</v>
      </c>
      <c r="G96" s="558">
        <v>0.27400000000000002</v>
      </c>
      <c r="H96" s="558">
        <v>0.27400000000000002</v>
      </c>
    </row>
    <row r="97" spans="1:16" s="66" customFormat="1" x14ac:dyDescent="0.15">
      <c r="A97" s="475" t="s">
        <v>158</v>
      </c>
      <c r="B97" s="475" t="s">
        <v>165</v>
      </c>
      <c r="C97" s="558">
        <v>1.0629999999999999</v>
      </c>
      <c r="D97" s="558">
        <v>1.08</v>
      </c>
      <c r="E97" s="558">
        <v>1.085</v>
      </c>
      <c r="F97" s="558">
        <v>0.58399999999999996</v>
      </c>
      <c r="G97" s="558">
        <v>0.59399999999999997</v>
      </c>
      <c r="H97" s="558">
        <v>0.59699999999999998</v>
      </c>
    </row>
    <row r="98" spans="1:16" s="66" customFormat="1" x14ac:dyDescent="0.15">
      <c r="A98" s="475" t="s">
        <v>490</v>
      </c>
      <c r="B98" s="475" t="s">
        <v>164</v>
      </c>
      <c r="C98" s="558">
        <v>1.4650000000000001</v>
      </c>
      <c r="D98" s="558">
        <v>1.5780000000000001</v>
      </c>
      <c r="E98" s="558">
        <v>1.6419999999999999</v>
      </c>
      <c r="F98" s="563">
        <v>2.5000000000000001E-2</v>
      </c>
      <c r="G98" s="563">
        <v>2.5999999999999999E-2</v>
      </c>
      <c r="H98" s="558">
        <v>2.7E-2</v>
      </c>
    </row>
    <row r="99" spans="1:16" s="66" customFormat="1" x14ac:dyDescent="0.15">
      <c r="A99" s="475" t="s">
        <v>490</v>
      </c>
      <c r="B99" s="475" t="s">
        <v>165</v>
      </c>
      <c r="C99" s="558">
        <v>0.76</v>
      </c>
      <c r="D99" s="558">
        <v>0.78300000000000003</v>
      </c>
      <c r="E99" s="558">
        <v>0.80200000000000005</v>
      </c>
      <c r="F99" s="563">
        <v>3.0000000000000001E-3</v>
      </c>
      <c r="G99" s="563">
        <v>3.0000000000000001E-3</v>
      </c>
      <c r="H99" s="558">
        <v>3.0000000000000001E-3</v>
      </c>
    </row>
    <row r="100" spans="1:16" s="66" customFormat="1" x14ac:dyDescent="0.15">
      <c r="A100" s="475" t="s">
        <v>490</v>
      </c>
      <c r="B100" s="475" t="s">
        <v>146</v>
      </c>
      <c r="C100" s="585">
        <v>2.0099999999999998</v>
      </c>
      <c r="D100" s="585">
        <v>2.0099999999999998</v>
      </c>
      <c r="E100" s="585">
        <v>2.0099999999999998</v>
      </c>
      <c r="F100" s="585">
        <v>5.3999999999999999E-2</v>
      </c>
      <c r="G100" s="585">
        <v>5.3999999999999999E-2</v>
      </c>
      <c r="H100" s="585">
        <v>5.3999999999999999E-2</v>
      </c>
    </row>
    <row r="101" spans="1:16" s="66" customFormat="1" x14ac:dyDescent="0.15">
      <c r="A101" s="190" t="s">
        <v>766</v>
      </c>
    </row>
    <row r="102" spans="1:16" s="66" customFormat="1" x14ac:dyDescent="0.15">
      <c r="A102" s="190" t="s">
        <v>767</v>
      </c>
    </row>
    <row r="103" spans="1:16" s="66" customFormat="1" x14ac:dyDescent="0.15">
      <c r="A103" s="190"/>
    </row>
    <row r="104" spans="1:16" s="160" customFormat="1" x14ac:dyDescent="0.15">
      <c r="A104" s="159" t="s">
        <v>768</v>
      </c>
    </row>
    <row r="105" spans="1:16" x14ac:dyDescent="0.15">
      <c r="H105" s="154" t="s">
        <v>769</v>
      </c>
    </row>
    <row r="106" spans="1:16" x14ac:dyDescent="0.15">
      <c r="A106" s="162" t="s">
        <v>770</v>
      </c>
      <c r="B106" s="148"/>
      <c r="C106" s="148"/>
      <c r="D106" s="153"/>
      <c r="E106" s="153"/>
      <c r="F106" s="153"/>
      <c r="I106" s="185">
        <v>2015</v>
      </c>
      <c r="J106" s="185">
        <v>2010</v>
      </c>
      <c r="K106" s="153"/>
      <c r="L106" s="153"/>
      <c r="M106" s="153"/>
      <c r="N106" s="153"/>
      <c r="O106" s="153"/>
    </row>
    <row r="107" spans="1:16" x14ac:dyDescent="0.15">
      <c r="A107" s="163" t="s">
        <v>771</v>
      </c>
      <c r="B107" s="164" t="s">
        <v>772</v>
      </c>
      <c r="C107" s="164" t="s">
        <v>773</v>
      </c>
      <c r="D107" s="164" t="s">
        <v>774</v>
      </c>
      <c r="E107" s="164" t="s">
        <v>775</v>
      </c>
      <c r="F107" s="153"/>
      <c r="G107" s="153"/>
      <c r="H107" s="153"/>
      <c r="I107" s="154" t="s">
        <v>776</v>
      </c>
      <c r="J107" s="154" t="s">
        <v>776</v>
      </c>
      <c r="K107" s="154" t="s">
        <v>399</v>
      </c>
      <c r="L107" s="153"/>
      <c r="M107" s="153"/>
      <c r="N107" s="153"/>
      <c r="O107" s="153"/>
    </row>
    <row r="108" spans="1:16" x14ac:dyDescent="0.15">
      <c r="A108" s="161" t="s">
        <v>777</v>
      </c>
      <c r="B108" s="150">
        <v>783.36544503032292</v>
      </c>
      <c r="C108" s="150">
        <v>758.41061747819879</v>
      </c>
      <c r="D108" s="148"/>
      <c r="E108" s="148"/>
      <c r="F108" s="153"/>
      <c r="G108" s="153"/>
      <c r="H108" s="153" t="s">
        <v>101</v>
      </c>
      <c r="I108" s="153">
        <v>368.61</v>
      </c>
      <c r="J108" s="153">
        <v>368.2</v>
      </c>
      <c r="K108" s="153" t="s">
        <v>778</v>
      </c>
      <c r="L108" s="153"/>
      <c r="M108" s="153"/>
      <c r="N108" s="153"/>
      <c r="O108" s="153"/>
      <c r="P108" s="153"/>
    </row>
    <row r="109" spans="1:16" x14ac:dyDescent="0.15">
      <c r="A109" s="149" t="s">
        <v>94</v>
      </c>
      <c r="B109" s="150">
        <v>741.98644076127766</v>
      </c>
      <c r="C109" s="150">
        <v>735.66633259038201</v>
      </c>
      <c r="D109" s="586">
        <f>SUM(B109/SUM(B109:B111))</f>
        <v>0.98163114933196105</v>
      </c>
      <c r="E109" s="586">
        <f>SUM(C109/SUM(C109:C111))</f>
        <v>0.98941764116282482</v>
      </c>
      <c r="F109" s="153"/>
      <c r="H109" s="153" t="s">
        <v>103</v>
      </c>
      <c r="I109" s="153">
        <v>382.42</v>
      </c>
      <c r="J109" s="153">
        <v>397.06</v>
      </c>
      <c r="K109" s="153" t="s">
        <v>778</v>
      </c>
    </row>
    <row r="110" spans="1:16" x14ac:dyDescent="0.15">
      <c r="A110" s="149" t="s">
        <v>95</v>
      </c>
      <c r="B110" s="150">
        <v>1.1764901748562528</v>
      </c>
      <c r="C110" s="150">
        <v>1.0055531956352053</v>
      </c>
      <c r="D110" s="586">
        <f>B110/SUM(B109:B111)</f>
        <v>1.5564696860726967E-3</v>
      </c>
      <c r="E110" s="586">
        <f>C110/SUM(C109:C111)</f>
        <v>1.3523958169811897E-3</v>
      </c>
      <c r="F110" s="153"/>
      <c r="G110" s="153"/>
      <c r="H110" s="153" t="s">
        <v>105</v>
      </c>
      <c r="I110" s="153">
        <v>519.33000000000004</v>
      </c>
      <c r="J110" s="153">
        <v>537.33000000000004</v>
      </c>
      <c r="K110" s="153" t="s">
        <v>778</v>
      </c>
      <c r="L110" s="153"/>
      <c r="M110" s="153"/>
      <c r="N110" s="153"/>
      <c r="O110" s="153"/>
      <c r="P110" s="153"/>
    </row>
    <row r="111" spans="1:16" x14ac:dyDescent="0.15">
      <c r="A111" s="149" t="s">
        <v>96</v>
      </c>
      <c r="B111" s="150">
        <v>12.707989894189074</v>
      </c>
      <c r="C111" s="150">
        <v>6.8627976321815849</v>
      </c>
      <c r="D111" s="586">
        <f>B111/SUM(B109:B111)</f>
        <v>1.6812380981966298E-2</v>
      </c>
      <c r="E111" s="586">
        <f>C111/SUM(C109:C111)</f>
        <v>9.2299630201939428E-3</v>
      </c>
      <c r="F111" s="153"/>
      <c r="G111" s="153"/>
      <c r="H111" s="153" t="s">
        <v>107</v>
      </c>
      <c r="I111" s="153">
        <v>519.33000000000004</v>
      </c>
      <c r="J111" s="153">
        <v>537.33000000000004</v>
      </c>
      <c r="K111" s="153" t="s">
        <v>778</v>
      </c>
      <c r="L111" s="153"/>
      <c r="M111" s="153"/>
      <c r="N111" s="153"/>
      <c r="O111" s="153"/>
      <c r="P111" s="153"/>
    </row>
    <row r="112" spans="1:16" x14ac:dyDescent="0.15">
      <c r="A112" s="149" t="s">
        <v>84</v>
      </c>
      <c r="B112" s="150">
        <v>27.494524200000001</v>
      </c>
      <c r="C112" s="150">
        <v>14.875934059999999</v>
      </c>
      <c r="D112" s="587"/>
      <c r="E112" s="587"/>
      <c r="F112" s="153"/>
      <c r="G112" s="153"/>
      <c r="H112" s="153" t="s">
        <v>108</v>
      </c>
      <c r="I112" s="153">
        <v>993.2</v>
      </c>
      <c r="J112" s="153">
        <v>986.85</v>
      </c>
      <c r="K112" s="153" t="s">
        <v>778</v>
      </c>
      <c r="L112" s="153"/>
      <c r="M112" s="153"/>
      <c r="N112" s="153"/>
      <c r="O112" s="153"/>
      <c r="P112" s="153"/>
    </row>
    <row r="113" spans="1:16" x14ac:dyDescent="0.15">
      <c r="A113" s="161" t="s">
        <v>195</v>
      </c>
      <c r="B113" s="150">
        <v>348.66085239726635</v>
      </c>
      <c r="C113" s="150">
        <v>325.12452956025948</v>
      </c>
      <c r="D113" s="587"/>
      <c r="E113" s="587"/>
      <c r="F113" s="153"/>
      <c r="G113" s="153"/>
      <c r="H113" s="153" t="s">
        <v>111</v>
      </c>
      <c r="I113" s="153">
        <v>1187.75</v>
      </c>
      <c r="J113" s="153">
        <v>1165.6199999999999</v>
      </c>
      <c r="K113" s="153" t="s">
        <v>778</v>
      </c>
      <c r="L113" s="153"/>
      <c r="M113" s="153"/>
      <c r="N113" s="153"/>
      <c r="O113" s="153"/>
      <c r="P113" s="153"/>
    </row>
    <row r="114" spans="1:16" x14ac:dyDescent="0.15">
      <c r="A114" s="149" t="s">
        <v>94</v>
      </c>
      <c r="B114" s="150">
        <v>307.95476461056251</v>
      </c>
      <c r="C114" s="150">
        <v>298.02194435618912</v>
      </c>
      <c r="D114" s="586">
        <f>SUM(B114/SUM(B114:B116))</f>
        <v>0.97924606555834437</v>
      </c>
      <c r="E114" s="586">
        <f>SUM(C114/SUM(C114:C116))</f>
        <v>0.98765703873190835</v>
      </c>
      <c r="F114" s="153"/>
      <c r="G114" s="153"/>
      <c r="H114" s="153" t="s">
        <v>114</v>
      </c>
      <c r="I114" s="153">
        <v>1856.93</v>
      </c>
      <c r="J114" s="153">
        <v>1886.61</v>
      </c>
      <c r="K114" s="153" t="s">
        <v>778</v>
      </c>
      <c r="L114" s="153"/>
      <c r="M114" s="153"/>
      <c r="N114" s="153"/>
      <c r="O114" s="153"/>
      <c r="P114" s="153"/>
    </row>
    <row r="115" spans="1:16" x14ac:dyDescent="0.15">
      <c r="A115" s="149" t="s">
        <v>95</v>
      </c>
      <c r="B115" s="150">
        <v>0.41816206147348384</v>
      </c>
      <c r="C115" s="150">
        <v>0.3191027707052046</v>
      </c>
      <c r="D115" s="586">
        <f>B115/SUM(B114:B116)</f>
        <v>1.3296873454174533E-3</v>
      </c>
      <c r="E115" s="586">
        <f>C115/SUM(C114:C116)</f>
        <v>1.0575197683737425E-3</v>
      </c>
      <c r="F115" s="153"/>
      <c r="G115" s="153"/>
      <c r="H115" s="153" t="s">
        <v>115</v>
      </c>
      <c r="I115" s="153">
        <v>1856.93</v>
      </c>
      <c r="J115" s="153">
        <v>1886.61</v>
      </c>
      <c r="K115" s="153" t="s">
        <v>778</v>
      </c>
      <c r="L115" s="153"/>
      <c r="M115" s="153"/>
      <c r="N115" s="153"/>
      <c r="O115" s="153"/>
      <c r="P115" s="153"/>
    </row>
    <row r="116" spans="1:16" x14ac:dyDescent="0.15">
      <c r="A116" s="149" t="s">
        <v>96</v>
      </c>
      <c r="B116" s="150">
        <v>6.1085662252303647</v>
      </c>
      <c r="C116" s="150">
        <v>3.4053412133651366</v>
      </c>
      <c r="D116" s="586">
        <f>B116/SUM(B114:B116)</f>
        <v>1.9424247096238148E-2</v>
      </c>
      <c r="E116" s="586">
        <f>C116/SUM(C114:C116)</f>
        <v>1.128544149971783E-2</v>
      </c>
      <c r="F116" s="153"/>
      <c r="H116" s="153"/>
      <c r="I116" s="153"/>
      <c r="J116" s="153"/>
      <c r="K116" s="153"/>
      <c r="L116" s="153"/>
      <c r="M116" s="153"/>
      <c r="N116" s="153"/>
      <c r="O116" s="153"/>
      <c r="P116" s="153"/>
    </row>
    <row r="117" spans="1:16" x14ac:dyDescent="0.15">
      <c r="A117" s="149" t="s">
        <v>84</v>
      </c>
      <c r="B117" s="150">
        <v>34.179359499999997</v>
      </c>
      <c r="C117" s="150">
        <v>23.378141219999996</v>
      </c>
      <c r="D117" s="587"/>
      <c r="E117" s="587"/>
      <c r="F117" s="153"/>
      <c r="G117" s="154"/>
      <c r="H117" s="154" t="s">
        <v>779</v>
      </c>
      <c r="I117" s="153"/>
      <c r="J117" s="153"/>
      <c r="K117" s="153"/>
      <c r="L117" s="153"/>
      <c r="M117" s="153"/>
      <c r="N117" s="153"/>
      <c r="O117" s="153"/>
      <c r="P117" s="153"/>
    </row>
    <row r="118" spans="1:16" x14ac:dyDescent="0.15">
      <c r="A118" s="161" t="s">
        <v>780</v>
      </c>
      <c r="B118" s="150">
        <v>389.65679625985979</v>
      </c>
      <c r="C118" s="150">
        <v>414.97172638868039</v>
      </c>
      <c r="D118" s="587"/>
      <c r="E118" s="587"/>
      <c r="F118" s="153"/>
      <c r="G118" s="153"/>
      <c r="H118" s="166"/>
      <c r="I118" s="736">
        <v>2015</v>
      </c>
      <c r="J118" s="737"/>
      <c r="K118" s="738"/>
      <c r="L118" s="736">
        <v>2010</v>
      </c>
      <c r="M118" s="737"/>
      <c r="N118" s="738"/>
      <c r="O118" s="153"/>
      <c r="P118" s="153"/>
    </row>
    <row r="119" spans="1:16" x14ac:dyDescent="0.15">
      <c r="A119" s="149" t="s">
        <v>94</v>
      </c>
      <c r="B119" s="150">
        <v>386.12848600278312</v>
      </c>
      <c r="C119" s="150">
        <v>410.40113128479891</v>
      </c>
      <c r="D119" s="586">
        <f>SUM(B119/SUM(B119:B121))</f>
        <v>0.99654707682448995</v>
      </c>
      <c r="E119" s="586">
        <f>SUM(C119/SUM(C119:C121))</f>
        <v>0.99774590187169521</v>
      </c>
      <c r="F119" s="153"/>
      <c r="G119" s="153"/>
      <c r="H119" s="166"/>
      <c r="I119" s="167" t="s">
        <v>94</v>
      </c>
      <c r="J119" s="167" t="s">
        <v>95</v>
      </c>
      <c r="K119" s="167" t="s">
        <v>96</v>
      </c>
      <c r="L119" s="167" t="s">
        <v>94</v>
      </c>
      <c r="M119" s="167" t="s">
        <v>95</v>
      </c>
      <c r="N119" s="167" t="s">
        <v>96</v>
      </c>
      <c r="O119" s="153"/>
      <c r="P119" s="153"/>
    </row>
    <row r="120" spans="1:16" x14ac:dyDescent="0.15">
      <c r="A120" s="149" t="s">
        <v>95</v>
      </c>
      <c r="B120" s="150">
        <v>0.11545983962437407</v>
      </c>
      <c r="C120" s="150">
        <v>8.4846890111166057E-2</v>
      </c>
      <c r="D120" s="586">
        <f>B120/SUM(B119:B121)</f>
        <v>2.9798673197984433E-4</v>
      </c>
      <c r="E120" s="586">
        <f>C120/SUM(C119:C121)</f>
        <v>2.0627534975342697E-4</v>
      </c>
      <c r="F120" s="153"/>
      <c r="G120" s="153"/>
      <c r="H120" s="155" t="s">
        <v>101</v>
      </c>
      <c r="I120" s="156">
        <f>I108*E129</f>
        <v>361.35076890926007</v>
      </c>
      <c r="J120" s="156">
        <f>I108*E130</f>
        <v>3.2796378702460007</v>
      </c>
      <c r="K120" s="156">
        <f>I108*E131</f>
        <v>3.9795932204939151</v>
      </c>
      <c r="L120" s="156">
        <f>J108*D129</f>
        <v>361.29389972442186</v>
      </c>
      <c r="M120" s="156">
        <f>J108*D130</f>
        <v>3.1219560188827757</v>
      </c>
      <c r="N120" s="156">
        <f>J108*D131</f>
        <v>3.7841442566953445</v>
      </c>
      <c r="O120" s="153" t="b">
        <f t="shared" ref="O120:O127" si="5">SUM(I120:K120)=I108</f>
        <v>1</v>
      </c>
      <c r="P120" s="153" t="b">
        <f t="shared" ref="P120:P127" si="6">SUM(L120:N120)=J108</f>
        <v>1</v>
      </c>
    </row>
    <row r="121" spans="1:16" x14ac:dyDescent="0.15">
      <c r="A121" s="149" t="s">
        <v>96</v>
      </c>
      <c r="B121" s="150">
        <v>1.2224317954523303</v>
      </c>
      <c r="C121" s="150">
        <v>0.84232747377031358</v>
      </c>
      <c r="D121" s="586">
        <f>B121/SUM(B119:B121)</f>
        <v>3.1549364435302296E-3</v>
      </c>
      <c r="E121" s="586">
        <f>C121/SUM(C119:C121)</f>
        <v>2.0478227785513839E-3</v>
      </c>
      <c r="F121" s="153"/>
      <c r="G121" s="153"/>
      <c r="H121" s="155" t="s">
        <v>103</v>
      </c>
      <c r="I121" s="156">
        <f>I109*E109</f>
        <v>378.37309433348747</v>
      </c>
      <c r="J121" s="156">
        <f>I109*E110</f>
        <v>0.51718320832994658</v>
      </c>
      <c r="K121" s="156">
        <f>I109*E111</f>
        <v>3.5297224581825679</v>
      </c>
      <c r="L121" s="156">
        <f>J109*D109</f>
        <v>389.76646415374847</v>
      </c>
      <c r="M121" s="156">
        <f>J109*D110</f>
        <v>0.61801185355202493</v>
      </c>
      <c r="N121" s="156">
        <f>J109*D111</f>
        <v>6.6755239926995387</v>
      </c>
      <c r="O121" s="153" t="b">
        <f t="shared" si="5"/>
        <v>1</v>
      </c>
      <c r="P121" s="153" t="b">
        <f t="shared" si="6"/>
        <v>1</v>
      </c>
    </row>
    <row r="122" spans="1:16" x14ac:dyDescent="0.15">
      <c r="A122" s="151" t="s">
        <v>84</v>
      </c>
      <c r="B122" s="152">
        <v>2.1904186220000001</v>
      </c>
      <c r="C122" s="152">
        <v>3.6434207400000003</v>
      </c>
      <c r="D122" s="587"/>
      <c r="E122" s="587"/>
      <c r="F122" s="153"/>
      <c r="G122" s="153"/>
      <c r="H122" s="155" t="s">
        <v>105</v>
      </c>
      <c r="I122" s="156">
        <f>I110*E114</f>
        <v>512.91992992464202</v>
      </c>
      <c r="J122" s="156">
        <f>I110*E115</f>
        <v>0.5492017413095357</v>
      </c>
      <c r="K122" s="156">
        <f>I110*E116</f>
        <v>5.8608683340484609</v>
      </c>
      <c r="L122" s="156">
        <f>J110*D114</f>
        <v>526.17828840646519</v>
      </c>
      <c r="M122" s="156">
        <f>J110*D115</f>
        <v>0.71448090131316022</v>
      </c>
      <c r="N122" s="156">
        <f>J110*D116</f>
        <v>10.437230692221645</v>
      </c>
      <c r="O122" s="153" t="b">
        <f>SUM(I122:K122)=I110</f>
        <v>1</v>
      </c>
      <c r="P122" s="153" t="b">
        <f t="shared" si="6"/>
        <v>1</v>
      </c>
    </row>
    <row r="123" spans="1:16" x14ac:dyDescent="0.15">
      <c r="A123" s="161" t="s">
        <v>198</v>
      </c>
      <c r="B123" s="150">
        <v>15.854605391691253</v>
      </c>
      <c r="C123" s="150">
        <v>19.806320322744437</v>
      </c>
      <c r="D123" s="587"/>
      <c r="E123" s="587"/>
      <c r="F123" s="153"/>
      <c r="G123" s="153"/>
      <c r="H123" s="155" t="s">
        <v>107</v>
      </c>
      <c r="I123" s="156">
        <f>I111*E114</f>
        <v>512.91992992464202</v>
      </c>
      <c r="J123" s="156">
        <f>I111*E115</f>
        <v>0.5492017413095357</v>
      </c>
      <c r="K123" s="156">
        <f>I111*E116</f>
        <v>5.8608683340484609</v>
      </c>
      <c r="L123" s="156">
        <f>J111*D114</f>
        <v>526.17828840646519</v>
      </c>
      <c r="M123" s="156">
        <f>J111*D115</f>
        <v>0.71448090131316022</v>
      </c>
      <c r="N123" s="156">
        <f>J111*D116</f>
        <v>10.437230692221645</v>
      </c>
      <c r="O123" s="153" t="b">
        <f t="shared" si="5"/>
        <v>1</v>
      </c>
      <c r="P123" s="153" t="b">
        <f t="shared" si="6"/>
        <v>1</v>
      </c>
    </row>
    <row r="124" spans="1:16" x14ac:dyDescent="0.15">
      <c r="A124" s="149" t="s">
        <v>94</v>
      </c>
      <c r="B124" s="150">
        <v>15.325404331926631</v>
      </c>
      <c r="C124" s="150">
        <v>19.27792121461351</v>
      </c>
      <c r="D124" s="586">
        <f>SUM(B124/SUM(B124:B126))</f>
        <v>0.99369676613845992</v>
      </c>
      <c r="E124" s="586">
        <f>SUM(C124/SUM(C124:C126))</f>
        <v>0.99500911914682577</v>
      </c>
      <c r="F124" s="153"/>
      <c r="G124" s="153"/>
      <c r="H124" s="155" t="s">
        <v>108</v>
      </c>
      <c r="I124" s="156">
        <f>I112*E124</f>
        <v>988.24305713662739</v>
      </c>
      <c r="J124" s="156">
        <f>I112*E125</f>
        <v>1.7820471031829122</v>
      </c>
      <c r="K124" s="156">
        <f>I112*E126</f>
        <v>3.1748957601896923</v>
      </c>
      <c r="L124" s="156">
        <f>J112*D124</f>
        <v>980.62965366373919</v>
      </c>
      <c r="M124" s="156">
        <f>J112*D125</f>
        <v>2.1923772635532375</v>
      </c>
      <c r="N124" s="156">
        <f>J112*D126</f>
        <v>4.0279690727076671</v>
      </c>
      <c r="O124" s="153" t="b">
        <f t="shared" si="5"/>
        <v>1</v>
      </c>
      <c r="P124" s="153" t="b">
        <f t="shared" si="6"/>
        <v>1</v>
      </c>
    </row>
    <row r="125" spans="1:16" x14ac:dyDescent="0.15">
      <c r="A125" s="149" t="s">
        <v>95</v>
      </c>
      <c r="B125" s="150">
        <v>3.4262749333090696E-2</v>
      </c>
      <c r="C125" s="150">
        <v>3.4762868717165045E-2</v>
      </c>
      <c r="D125" s="586">
        <f>B125/SUM(B124:B126)</f>
        <v>2.2215911876711123E-3</v>
      </c>
      <c r="E125" s="586">
        <f>C125/SUM(C124:C126)</f>
        <v>1.7942479895115908E-3</v>
      </c>
      <c r="F125" s="153"/>
      <c r="G125" s="153"/>
      <c r="H125" s="155" t="s">
        <v>111</v>
      </c>
      <c r="I125" s="156">
        <f>I113*E119</f>
        <v>1185.0726949481059</v>
      </c>
      <c r="J125" s="156">
        <f>I113*E120</f>
        <v>0.24500354666963289</v>
      </c>
      <c r="K125" s="156">
        <f>I113*E121</f>
        <v>2.4323015052244061</v>
      </c>
      <c r="L125" s="156">
        <f>J113*D119</f>
        <v>1161.595203688162</v>
      </c>
      <c r="M125" s="156">
        <f>J113*D120</f>
        <v>0.34733929453034612</v>
      </c>
      <c r="N125" s="156">
        <f>J113*D121</f>
        <v>3.6774570173077059</v>
      </c>
      <c r="O125" s="153" t="b">
        <f t="shared" si="5"/>
        <v>1</v>
      </c>
      <c r="P125" s="153" t="b">
        <f t="shared" si="6"/>
        <v>1</v>
      </c>
    </row>
    <row r="126" spans="1:16" x14ac:dyDescent="0.15">
      <c r="A126" s="149" t="s">
        <v>96</v>
      </c>
      <c r="B126" s="150">
        <v>6.2949610431532049E-2</v>
      </c>
      <c r="C126" s="150">
        <v>6.1933539413761382E-2</v>
      </c>
      <c r="D126" s="586">
        <f>B126/SUM(B124:B126)</f>
        <v>4.0816426738690447E-3</v>
      </c>
      <c r="E126" s="586">
        <f>C126/SUM(C124:C126)</f>
        <v>3.1966328636625976E-3</v>
      </c>
      <c r="F126" s="153"/>
      <c r="H126" s="155" t="s">
        <v>114</v>
      </c>
      <c r="I126" s="156">
        <f>I114*E119</f>
        <v>1852.744297562607</v>
      </c>
      <c r="J126" s="156">
        <f>I114*E120</f>
        <v>0.38303888521763119</v>
      </c>
      <c r="K126" s="156">
        <f>I114*E121</f>
        <v>3.8026635521754213</v>
      </c>
      <c r="L126" s="156">
        <f>J114*D119</f>
        <v>1880.0956806078509</v>
      </c>
      <c r="M126" s="156">
        <f>J114*D120</f>
        <v>0.56218474842049404</v>
      </c>
      <c r="N126" s="156">
        <f>J114*D121</f>
        <v>5.9521346437285665</v>
      </c>
      <c r="O126" s="153" t="b">
        <f t="shared" si="5"/>
        <v>1</v>
      </c>
      <c r="P126" s="153" t="b">
        <f t="shared" si="6"/>
        <v>1</v>
      </c>
    </row>
    <row r="127" spans="1:16" x14ac:dyDescent="0.15">
      <c r="A127" s="149" t="s">
        <v>84</v>
      </c>
      <c r="B127" s="150">
        <v>0.4319887</v>
      </c>
      <c r="C127" s="150">
        <v>0.43170270000000005</v>
      </c>
      <c r="D127" s="587"/>
      <c r="E127" s="587"/>
      <c r="F127" s="153"/>
      <c r="H127" s="155" t="s">
        <v>115</v>
      </c>
      <c r="I127" s="156">
        <f>I115*E119</f>
        <v>1852.744297562607</v>
      </c>
      <c r="J127" s="156">
        <f>I115*E120</f>
        <v>0.38303888521763119</v>
      </c>
      <c r="K127" s="156">
        <f>I115*E121</f>
        <v>3.8026635521754213</v>
      </c>
      <c r="L127" s="156">
        <f>J115*D119</f>
        <v>1880.0956806078509</v>
      </c>
      <c r="M127" s="156">
        <f>J115*D120</f>
        <v>0.56218474842049404</v>
      </c>
      <c r="N127" s="156">
        <f>J115*D121</f>
        <v>5.9521346437285665</v>
      </c>
      <c r="O127" s="153" t="b">
        <f t="shared" si="5"/>
        <v>1</v>
      </c>
      <c r="P127" s="153" t="b">
        <f t="shared" si="6"/>
        <v>1</v>
      </c>
    </row>
    <row r="128" spans="1:16" x14ac:dyDescent="0.15">
      <c r="A128" s="165" t="s">
        <v>781</v>
      </c>
      <c r="B128" s="150">
        <v>3.717807633717622</v>
      </c>
      <c r="C128" s="150">
        <v>3.7302788057978926</v>
      </c>
      <c r="D128" s="587"/>
      <c r="E128" s="587"/>
      <c r="F128" s="153"/>
      <c r="O128" s="153"/>
      <c r="P128" s="153"/>
    </row>
    <row r="129" spans="1:16" x14ac:dyDescent="0.15">
      <c r="A129" s="149" t="s">
        <v>94</v>
      </c>
      <c r="B129" s="150">
        <v>3.6480750092641627</v>
      </c>
      <c r="C129" s="150">
        <v>3.6568164583733078</v>
      </c>
      <c r="D129" s="586">
        <f>SUM(B129/SUM(B129:B131))</f>
        <v>0.98124361685068406</v>
      </c>
      <c r="E129" s="586">
        <f>SUM(C129/SUM(C129:C131))</f>
        <v>0.98030647271983962</v>
      </c>
      <c r="F129" s="153"/>
      <c r="G129" s="153"/>
      <c r="H129" s="154" t="s">
        <v>782</v>
      </c>
      <c r="I129" s="153"/>
      <c r="J129" s="153"/>
      <c r="K129" s="153"/>
      <c r="L129" s="153"/>
      <c r="M129" s="153"/>
      <c r="N129" s="153"/>
      <c r="O129" s="153"/>
      <c r="P129" s="153"/>
    </row>
    <row r="130" spans="1:16" x14ac:dyDescent="0.15">
      <c r="A130" s="149" t="s">
        <v>95</v>
      </c>
      <c r="B130" s="150">
        <v>3.1523171969399952E-2</v>
      </c>
      <c r="C130" s="150">
        <v>3.3189451284747554E-2</v>
      </c>
      <c r="D130" s="586">
        <f>B130/SUM(B129:B131)</f>
        <v>8.478968003483911E-3</v>
      </c>
      <c r="E130" s="586">
        <f>C130/SUM(C129:C131)</f>
        <v>8.8973111696535653E-3</v>
      </c>
      <c r="F130" s="153"/>
      <c r="G130" s="153"/>
      <c r="H130" s="166"/>
      <c r="I130" s="736">
        <v>2015</v>
      </c>
      <c r="J130" s="737"/>
      <c r="K130" s="738"/>
      <c r="L130" s="736">
        <v>2010</v>
      </c>
      <c r="M130" s="737"/>
      <c r="N130" s="738"/>
      <c r="O130" s="153"/>
      <c r="P130" s="153"/>
    </row>
    <row r="131" spans="1:16" x14ac:dyDescent="0.15">
      <c r="A131" s="149" t="s">
        <v>96</v>
      </c>
      <c r="B131" s="150">
        <v>3.8209452484059339E-2</v>
      </c>
      <c r="C131" s="150">
        <v>4.0272896139837311E-2</v>
      </c>
      <c r="D131" s="586">
        <f>B131/SUM(B129:B131)</f>
        <v>1.0277415145832006E-2</v>
      </c>
      <c r="E131" s="586">
        <f>C131/SUM(C129:C131)</f>
        <v>1.0796216110506809E-2</v>
      </c>
      <c r="F131" s="153"/>
      <c r="G131" s="153"/>
      <c r="H131" s="166"/>
      <c r="I131" s="167" t="s">
        <v>94</v>
      </c>
      <c r="J131" s="167" t="s">
        <v>95</v>
      </c>
      <c r="K131" s="167" t="s">
        <v>96</v>
      </c>
      <c r="L131" s="167" t="s">
        <v>94</v>
      </c>
      <c r="M131" s="167" t="s">
        <v>95</v>
      </c>
      <c r="N131" s="167" t="s">
        <v>96</v>
      </c>
      <c r="O131" s="153"/>
      <c r="P131" s="153"/>
    </row>
    <row r="132" spans="1:16" x14ac:dyDescent="0.15">
      <c r="A132" s="184" t="s">
        <v>783</v>
      </c>
      <c r="B132" s="153"/>
      <c r="C132" s="153"/>
      <c r="D132" s="153"/>
      <c r="E132" s="153"/>
      <c r="F132" s="153"/>
      <c r="G132" s="153"/>
      <c r="H132" s="155" t="s">
        <v>101</v>
      </c>
      <c r="I132" s="156">
        <f>I120</f>
        <v>361.35076890926007</v>
      </c>
      <c r="J132" s="157">
        <f>J120/$C$135</f>
        <v>0.13118551480984003</v>
      </c>
      <c r="K132" s="156">
        <f t="shared" ref="K132:K139" si="7">K120/$C$136</f>
        <v>1.3354339666086963E-2</v>
      </c>
      <c r="L132" s="156">
        <f>L120</f>
        <v>361.29389972442186</v>
      </c>
      <c r="M132" s="157">
        <f t="shared" ref="M132:M139" si="8">M120/$C$135</f>
        <v>0.12487824075531102</v>
      </c>
      <c r="N132" s="156">
        <f t="shared" ref="N132:N139" si="9">N120/$C$136</f>
        <v>1.2698470660051491E-2</v>
      </c>
      <c r="O132" s="153"/>
      <c r="P132" s="153"/>
    </row>
    <row r="133" spans="1:16" x14ac:dyDescent="0.15">
      <c r="A133" s="184" t="s">
        <v>784</v>
      </c>
      <c r="B133" s="153"/>
      <c r="C133" s="153"/>
      <c r="D133" s="153"/>
      <c r="E133" s="153"/>
      <c r="F133" s="153"/>
      <c r="G133" s="153"/>
      <c r="H133" s="155" t="s">
        <v>103</v>
      </c>
      <c r="I133" s="156">
        <f t="shared" ref="I133:I139" si="10">I121</f>
        <v>378.37309433348747</v>
      </c>
      <c r="J133" s="157">
        <f t="shared" ref="J133:J139" si="11">J121/$C$135</f>
        <v>2.0687328333197863E-2</v>
      </c>
      <c r="K133" s="156">
        <f t="shared" si="7"/>
        <v>1.1844706235511973E-2</v>
      </c>
      <c r="L133" s="156">
        <f t="shared" ref="L133:L139" si="12">L121</f>
        <v>389.76646415374847</v>
      </c>
      <c r="M133" s="157">
        <f t="shared" si="8"/>
        <v>2.4720474142080995E-2</v>
      </c>
      <c r="N133" s="156">
        <f t="shared" si="9"/>
        <v>2.2401087223823956E-2</v>
      </c>
      <c r="O133" s="153"/>
      <c r="P133" s="153"/>
    </row>
    <row r="134" spans="1:16" x14ac:dyDescent="0.15">
      <c r="A134" s="153"/>
      <c r="B134" s="155"/>
      <c r="C134" s="158" t="s">
        <v>785</v>
      </c>
      <c r="D134" s="153"/>
      <c r="E134" s="153"/>
      <c r="F134" s="153"/>
      <c r="G134" s="153"/>
      <c r="H134" s="155" t="s">
        <v>105</v>
      </c>
      <c r="I134" s="156">
        <f t="shared" si="10"/>
        <v>512.91992992464202</v>
      </c>
      <c r="J134" s="157">
        <f t="shared" si="11"/>
        <v>2.1968069652381426E-2</v>
      </c>
      <c r="K134" s="156">
        <f t="shared" si="7"/>
        <v>1.9667343402847183E-2</v>
      </c>
      <c r="L134" s="156">
        <f t="shared" si="12"/>
        <v>526.17828840646519</v>
      </c>
      <c r="M134" s="157">
        <f t="shared" si="8"/>
        <v>2.8579236052526408E-2</v>
      </c>
      <c r="N134" s="156">
        <f t="shared" si="9"/>
        <v>3.5024264067857871E-2</v>
      </c>
      <c r="O134" s="153"/>
      <c r="P134" s="153"/>
    </row>
    <row r="135" spans="1:16" x14ac:dyDescent="0.15">
      <c r="A135" s="153"/>
      <c r="B135" s="155" t="s">
        <v>95</v>
      </c>
      <c r="C135" s="155">
        <v>25</v>
      </c>
      <c r="D135" s="153"/>
      <c r="E135" s="153"/>
      <c r="F135" s="153"/>
      <c r="G135" s="153"/>
      <c r="H135" s="155" t="s">
        <v>107</v>
      </c>
      <c r="I135" s="156">
        <f t="shared" si="10"/>
        <v>512.91992992464202</v>
      </c>
      <c r="J135" s="157">
        <f t="shared" si="11"/>
        <v>2.1968069652381426E-2</v>
      </c>
      <c r="K135" s="156">
        <f t="shared" si="7"/>
        <v>1.9667343402847183E-2</v>
      </c>
      <c r="L135" s="156">
        <f t="shared" si="12"/>
        <v>526.17828840646519</v>
      </c>
      <c r="M135" s="157">
        <f t="shared" si="8"/>
        <v>2.8579236052526408E-2</v>
      </c>
      <c r="N135" s="156">
        <f t="shared" si="9"/>
        <v>3.5024264067857871E-2</v>
      </c>
      <c r="O135" s="153"/>
      <c r="P135" s="153"/>
    </row>
    <row r="136" spans="1:16" x14ac:dyDescent="0.15">
      <c r="A136" s="153"/>
      <c r="B136" s="155" t="s">
        <v>96</v>
      </c>
      <c r="C136" s="155">
        <v>298</v>
      </c>
      <c r="D136" s="153"/>
      <c r="E136" s="153"/>
      <c r="F136" s="153"/>
      <c r="G136" s="153"/>
      <c r="H136" s="155" t="s">
        <v>108</v>
      </c>
      <c r="I136" s="156">
        <f t="shared" si="10"/>
        <v>988.24305713662739</v>
      </c>
      <c r="J136" s="157">
        <f t="shared" si="11"/>
        <v>7.128188412731648E-2</v>
      </c>
      <c r="K136" s="156">
        <f t="shared" si="7"/>
        <v>1.0654012618086215E-2</v>
      </c>
      <c r="L136" s="156">
        <f t="shared" si="12"/>
        <v>980.62965366373919</v>
      </c>
      <c r="M136" s="157">
        <f t="shared" si="8"/>
        <v>8.7695090542129497E-2</v>
      </c>
      <c r="N136" s="156">
        <f t="shared" si="9"/>
        <v>1.3516674740629755E-2</v>
      </c>
    </row>
    <row r="137" spans="1:16" x14ac:dyDescent="0.15">
      <c r="A137" s="153"/>
      <c r="B137" s="153"/>
      <c r="C137" s="153"/>
      <c r="D137" s="153"/>
      <c r="E137" s="153"/>
      <c r="F137" s="153"/>
      <c r="H137" s="155" t="s">
        <v>111</v>
      </c>
      <c r="I137" s="156">
        <f t="shared" si="10"/>
        <v>1185.0726949481059</v>
      </c>
      <c r="J137" s="157">
        <f t="shared" si="11"/>
        <v>9.8001418667853155E-3</v>
      </c>
      <c r="K137" s="156">
        <f t="shared" si="7"/>
        <v>8.1620855880013624E-3</v>
      </c>
      <c r="L137" s="156">
        <f t="shared" si="12"/>
        <v>1161.595203688162</v>
      </c>
      <c r="M137" s="157">
        <f t="shared" si="8"/>
        <v>1.3893571781213844E-2</v>
      </c>
      <c r="N137" s="156">
        <f t="shared" si="9"/>
        <v>1.2340459789623174E-2</v>
      </c>
    </row>
    <row r="138" spans="1:16" x14ac:dyDescent="0.15">
      <c r="A138" s="153"/>
      <c r="B138" s="153"/>
      <c r="C138" s="153"/>
      <c r="D138" s="153"/>
      <c r="E138" s="153"/>
      <c r="F138" s="153"/>
      <c r="H138" s="155" t="s">
        <v>114</v>
      </c>
      <c r="I138" s="156">
        <f t="shared" si="10"/>
        <v>1852.744297562607</v>
      </c>
      <c r="J138" s="157">
        <f t="shared" si="11"/>
        <v>1.5321555408705247E-2</v>
      </c>
      <c r="K138" s="156">
        <f t="shared" si="7"/>
        <v>1.2760615946897386E-2</v>
      </c>
      <c r="L138" s="156">
        <f t="shared" si="12"/>
        <v>1880.0956806078509</v>
      </c>
      <c r="M138" s="157">
        <f t="shared" si="8"/>
        <v>2.2487389936819761E-2</v>
      </c>
      <c r="N138" s="156">
        <f t="shared" si="9"/>
        <v>1.9973606187008611E-2</v>
      </c>
    </row>
    <row r="139" spans="1:16" x14ac:dyDescent="0.15">
      <c r="H139" s="155" t="s">
        <v>115</v>
      </c>
      <c r="I139" s="156">
        <f t="shared" si="10"/>
        <v>1852.744297562607</v>
      </c>
      <c r="J139" s="157">
        <f t="shared" si="11"/>
        <v>1.5321555408705247E-2</v>
      </c>
      <c r="K139" s="156">
        <f t="shared" si="7"/>
        <v>1.2760615946897386E-2</v>
      </c>
      <c r="L139" s="156">
        <f t="shared" si="12"/>
        <v>1880.0956806078509</v>
      </c>
      <c r="M139" s="157">
        <f t="shared" si="8"/>
        <v>2.2487389936819761E-2</v>
      </c>
      <c r="N139" s="156">
        <f t="shared" si="9"/>
        <v>1.9973606187008611E-2</v>
      </c>
      <c r="O139" s="153"/>
      <c r="P139" s="153"/>
    </row>
  </sheetData>
  <mergeCells count="6">
    <mergeCell ref="I118:K118"/>
    <mergeCell ref="L118:N118"/>
    <mergeCell ref="L130:N130"/>
    <mergeCell ref="I130:K130"/>
    <mergeCell ref="C58:E58"/>
    <mergeCell ref="F58:H58"/>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tabColor theme="2"/>
  </sheetPr>
  <dimension ref="A1:F65"/>
  <sheetViews>
    <sheetView workbookViewId="0">
      <selection activeCell="B4" sqref="B4"/>
    </sheetView>
  </sheetViews>
  <sheetFormatPr baseColWidth="10" defaultColWidth="8.6640625" defaultRowHeight="14" x14ac:dyDescent="0.15"/>
  <cols>
    <col min="1" max="1" width="7.1640625" customWidth="1"/>
    <col min="2" max="2" width="42.1640625" customWidth="1"/>
    <col min="3" max="3" width="12.33203125" customWidth="1"/>
    <col min="4" max="4" width="18.6640625" customWidth="1"/>
    <col min="5" max="5" width="26.33203125" customWidth="1"/>
    <col min="6" max="6" width="152.83203125" customWidth="1"/>
    <col min="7" max="7" width="26.33203125" customWidth="1"/>
  </cols>
  <sheetData>
    <row r="1" spans="1:6" s="20" customFormat="1" ht="20.5" customHeight="1" x14ac:dyDescent="0.2">
      <c r="A1" s="39" t="s">
        <v>786</v>
      </c>
    </row>
    <row r="4" spans="1:6" s="57" customFormat="1" ht="18" customHeight="1" x14ac:dyDescent="0.15">
      <c r="B4" s="58" t="s">
        <v>787</v>
      </c>
      <c r="C4" s="40" t="s">
        <v>788</v>
      </c>
      <c r="D4" s="40" t="s">
        <v>789</v>
      </c>
      <c r="E4" s="59"/>
      <c r="F4" s="59"/>
    </row>
    <row r="5" spans="1:6" x14ac:dyDescent="0.15">
      <c r="B5" s="41" t="s">
        <v>790</v>
      </c>
      <c r="C5" s="41" t="s">
        <v>791</v>
      </c>
      <c r="D5" s="41">
        <v>1</v>
      </c>
    </row>
    <row r="6" spans="1:6" x14ac:dyDescent="0.15">
      <c r="B6" s="41" t="s">
        <v>792</v>
      </c>
      <c r="C6" s="41" t="s">
        <v>793</v>
      </c>
      <c r="D6" s="41">
        <v>28</v>
      </c>
    </row>
    <row r="7" spans="1:6" x14ac:dyDescent="0.15">
      <c r="B7" s="41" t="s">
        <v>794</v>
      </c>
      <c r="C7" s="41" t="s">
        <v>795</v>
      </c>
      <c r="D7" s="41">
        <v>265</v>
      </c>
    </row>
    <row r="8" spans="1:6" x14ac:dyDescent="0.15">
      <c r="B8" s="41" t="s">
        <v>796</v>
      </c>
      <c r="C8" s="41" t="s">
        <v>797</v>
      </c>
      <c r="D8" s="42">
        <v>23500</v>
      </c>
    </row>
    <row r="9" spans="1:6" x14ac:dyDescent="0.15">
      <c r="B9" s="41" t="s">
        <v>798</v>
      </c>
      <c r="C9" s="41" t="s">
        <v>799</v>
      </c>
      <c r="D9" s="42">
        <v>6630</v>
      </c>
    </row>
    <row r="10" spans="1:6" x14ac:dyDescent="0.15">
      <c r="B10" s="41" t="s">
        <v>800</v>
      </c>
      <c r="C10" s="41" t="s">
        <v>801</v>
      </c>
      <c r="D10" s="42">
        <v>11100</v>
      </c>
    </row>
    <row r="11" spans="1:6" x14ac:dyDescent="0.15">
      <c r="B11" s="41" t="s">
        <v>802</v>
      </c>
      <c r="C11" s="41" t="s">
        <v>803</v>
      </c>
      <c r="D11" s="42">
        <v>12400</v>
      </c>
    </row>
    <row r="12" spans="1:6" x14ac:dyDescent="0.15">
      <c r="B12" s="41" t="s">
        <v>804</v>
      </c>
      <c r="C12" s="41" t="s">
        <v>805</v>
      </c>
      <c r="D12" s="41">
        <v>677</v>
      </c>
    </row>
    <row r="13" spans="1:6" x14ac:dyDescent="0.15">
      <c r="B13" s="41" t="s">
        <v>806</v>
      </c>
      <c r="C13" s="41" t="s">
        <v>807</v>
      </c>
      <c r="D13" s="41">
        <v>116</v>
      </c>
    </row>
    <row r="14" spans="1:6" x14ac:dyDescent="0.15">
      <c r="B14" s="41" t="s">
        <v>808</v>
      </c>
      <c r="C14" s="41" t="s">
        <v>809</v>
      </c>
      <c r="D14" s="42">
        <v>3170</v>
      </c>
    </row>
    <row r="15" spans="1:6" x14ac:dyDescent="0.15">
      <c r="B15" s="41" t="s">
        <v>810</v>
      </c>
      <c r="C15" s="41" t="s">
        <v>811</v>
      </c>
      <c r="D15" s="42">
        <v>1120</v>
      </c>
    </row>
    <row r="16" spans="1:6" x14ac:dyDescent="0.15">
      <c r="B16" s="41" t="s">
        <v>812</v>
      </c>
      <c r="C16" s="41" t="s">
        <v>813</v>
      </c>
      <c r="D16" s="42">
        <v>1300</v>
      </c>
    </row>
    <row r="17" spans="2:6" x14ac:dyDescent="0.15">
      <c r="B17" s="41" t="s">
        <v>814</v>
      </c>
      <c r="C17" s="41" t="s">
        <v>815</v>
      </c>
      <c r="D17" s="41">
        <v>328</v>
      </c>
    </row>
    <row r="18" spans="2:6" x14ac:dyDescent="0.15">
      <c r="B18" s="41" t="s">
        <v>816</v>
      </c>
      <c r="C18" s="41" t="s">
        <v>815</v>
      </c>
      <c r="D18" s="42">
        <v>4800</v>
      </c>
    </row>
    <row r="19" spans="2:6" x14ac:dyDescent="0.15">
      <c r="B19" s="41" t="s">
        <v>817</v>
      </c>
      <c r="C19" s="41" t="s">
        <v>818</v>
      </c>
      <c r="D19" s="41">
        <v>138</v>
      </c>
    </row>
    <row r="20" spans="2:6" x14ac:dyDescent="0.15">
      <c r="B20" s="41" t="s">
        <v>819</v>
      </c>
      <c r="C20" s="41" t="s">
        <v>820</v>
      </c>
      <c r="D20" s="42">
        <v>3350</v>
      </c>
    </row>
    <row r="21" spans="2:6" x14ac:dyDescent="0.15">
      <c r="B21" s="41" t="s">
        <v>821</v>
      </c>
      <c r="C21" s="41" t="s">
        <v>822</v>
      </c>
      <c r="D21" s="42">
        <v>8060</v>
      </c>
    </row>
    <row r="22" spans="2:6" x14ac:dyDescent="0.15">
      <c r="B22" s="41" t="s">
        <v>823</v>
      </c>
      <c r="C22" s="41" t="s">
        <v>824</v>
      </c>
      <c r="D22" s="41">
        <v>716</v>
      </c>
    </row>
    <row r="23" spans="2:6" x14ac:dyDescent="0.15">
      <c r="B23" s="41" t="s">
        <v>825</v>
      </c>
      <c r="C23" s="41" t="s">
        <v>826</v>
      </c>
      <c r="D23" s="42">
        <v>16100</v>
      </c>
    </row>
    <row r="24" spans="2:6" x14ac:dyDescent="0.15">
      <c r="B24" t="s">
        <v>827</v>
      </c>
    </row>
    <row r="27" spans="2:6" s="62" customFormat="1" ht="17.5" customHeight="1" x14ac:dyDescent="0.15">
      <c r="B27" s="60" t="s">
        <v>828</v>
      </c>
      <c r="C27" s="61" t="s">
        <v>829</v>
      </c>
      <c r="D27" s="61" t="s">
        <v>830</v>
      </c>
      <c r="E27" s="61" t="s">
        <v>831</v>
      </c>
      <c r="F27" s="61" t="s">
        <v>399</v>
      </c>
    </row>
    <row r="28" spans="2:6" x14ac:dyDescent="0.15">
      <c r="B28" s="41" t="s">
        <v>832</v>
      </c>
      <c r="C28" s="41" t="s">
        <v>833</v>
      </c>
      <c r="D28" s="43">
        <v>365</v>
      </c>
      <c r="E28" s="44" t="s">
        <v>834</v>
      </c>
      <c r="F28" s="41"/>
    </row>
    <row r="29" spans="2:6" x14ac:dyDescent="0.15">
      <c r="B29" s="41" t="s">
        <v>835</v>
      </c>
      <c r="C29" s="41" t="s">
        <v>833</v>
      </c>
      <c r="D29" s="43">
        <v>8760</v>
      </c>
      <c r="E29" s="44" t="s">
        <v>836</v>
      </c>
      <c r="F29" s="41"/>
    </row>
    <row r="30" spans="2:6" x14ac:dyDescent="0.15">
      <c r="B30" s="41" t="s">
        <v>837</v>
      </c>
      <c r="C30" s="41" t="s">
        <v>833</v>
      </c>
      <c r="D30" s="43">
        <v>2204.62</v>
      </c>
      <c r="E30" s="44" t="s">
        <v>838</v>
      </c>
      <c r="F30" s="41"/>
    </row>
    <row r="31" spans="2:6" x14ac:dyDescent="0.15">
      <c r="B31" s="41" t="s">
        <v>839</v>
      </c>
      <c r="C31" s="41" t="s">
        <v>840</v>
      </c>
      <c r="D31" s="43">
        <v>4.5359237038037833E-4</v>
      </c>
      <c r="E31" s="44" t="s">
        <v>841</v>
      </c>
      <c r="F31" s="41"/>
    </row>
    <row r="32" spans="2:6" x14ac:dyDescent="0.15">
      <c r="B32" s="41" t="s">
        <v>842</v>
      </c>
      <c r="C32" s="41" t="s">
        <v>833</v>
      </c>
      <c r="D32" s="43">
        <v>1000</v>
      </c>
      <c r="E32" s="44" t="s">
        <v>843</v>
      </c>
      <c r="F32" s="41"/>
    </row>
    <row r="33" spans="2:6" x14ac:dyDescent="0.15">
      <c r="B33" s="41" t="s">
        <v>844</v>
      </c>
      <c r="C33" s="41" t="s">
        <v>833</v>
      </c>
      <c r="D33" s="43">
        <v>1000000</v>
      </c>
      <c r="E33" s="44" t="s">
        <v>845</v>
      </c>
      <c r="F33" s="41"/>
    </row>
    <row r="34" spans="2:6" x14ac:dyDescent="0.15">
      <c r="B34" s="41" t="s">
        <v>846</v>
      </c>
      <c r="C34" s="41" t="s">
        <v>840</v>
      </c>
      <c r="D34" s="43">
        <v>9.9999999999999995E-7</v>
      </c>
      <c r="E34" s="44" t="s">
        <v>847</v>
      </c>
      <c r="F34" s="41"/>
    </row>
    <row r="35" spans="2:6" x14ac:dyDescent="0.15">
      <c r="B35" s="41" t="s">
        <v>848</v>
      </c>
      <c r="C35" s="41" t="s">
        <v>833</v>
      </c>
      <c r="D35" s="43">
        <v>1000000</v>
      </c>
      <c r="E35" s="44" t="s">
        <v>849</v>
      </c>
      <c r="F35" s="41"/>
    </row>
    <row r="36" spans="2:6" x14ac:dyDescent="0.15">
      <c r="B36" s="41" t="s">
        <v>850</v>
      </c>
      <c r="C36" s="41" t="s">
        <v>833</v>
      </c>
      <c r="D36" s="43">
        <v>1000</v>
      </c>
      <c r="E36" s="44" t="s">
        <v>851</v>
      </c>
      <c r="F36" s="41"/>
    </row>
    <row r="37" spans="2:6" x14ac:dyDescent="0.15">
      <c r="B37" s="41" t="s">
        <v>852</v>
      </c>
      <c r="C37" s="41" t="s">
        <v>833</v>
      </c>
      <c r="D37" s="43">
        <v>1E-3</v>
      </c>
      <c r="E37" s="44" t="s">
        <v>853</v>
      </c>
      <c r="F37" s="41"/>
    </row>
    <row r="38" spans="2:6" x14ac:dyDescent="0.15">
      <c r="B38" s="41" t="s">
        <v>854</v>
      </c>
      <c r="C38" s="41" t="s">
        <v>833</v>
      </c>
      <c r="D38" s="43">
        <v>9.9990000000000006</v>
      </c>
      <c r="E38" s="44" t="s">
        <v>855</v>
      </c>
      <c r="F38" s="41"/>
    </row>
    <row r="39" spans="2:6" x14ac:dyDescent="0.15">
      <c r="B39" s="41" t="s">
        <v>856</v>
      </c>
      <c r="C39" s="41" t="s">
        <v>833</v>
      </c>
      <c r="D39" s="43">
        <v>1000</v>
      </c>
      <c r="E39" s="44" t="s">
        <v>857</v>
      </c>
      <c r="F39" s="41"/>
    </row>
    <row r="40" spans="2:6" x14ac:dyDescent="0.15">
      <c r="B40" s="41" t="s">
        <v>858</v>
      </c>
      <c r="C40" s="41" t="s">
        <v>833</v>
      </c>
      <c r="D40" s="43">
        <v>60</v>
      </c>
      <c r="E40" s="44" t="s">
        <v>859</v>
      </c>
      <c r="F40" s="41"/>
    </row>
    <row r="41" spans="2:6" x14ac:dyDescent="0.15">
      <c r="B41" s="41" t="s">
        <v>860</v>
      </c>
      <c r="C41" s="41" t="s">
        <v>833</v>
      </c>
      <c r="D41" s="43">
        <v>0.90718474000000004</v>
      </c>
      <c r="E41" s="44" t="s">
        <v>861</v>
      </c>
      <c r="F41" s="41"/>
    </row>
    <row r="42" spans="2:6" x14ac:dyDescent="0.15">
      <c r="B42" s="41" t="s">
        <v>862</v>
      </c>
      <c r="C42" s="41" t="s">
        <v>833</v>
      </c>
      <c r="D42" s="43">
        <v>9.9999999999999995E-7</v>
      </c>
      <c r="E42" s="44" t="s">
        <v>863</v>
      </c>
      <c r="F42" s="41"/>
    </row>
    <row r="43" spans="2:6" x14ac:dyDescent="0.15">
      <c r="B43" s="41" t="s">
        <v>864</v>
      </c>
      <c r="C43" s="41" t="s">
        <v>833</v>
      </c>
      <c r="D43" s="43">
        <v>9.9999999999999995E-7</v>
      </c>
      <c r="E43" s="44" t="s">
        <v>865</v>
      </c>
      <c r="F43" s="41"/>
    </row>
    <row r="44" spans="2:6" x14ac:dyDescent="0.15">
      <c r="B44" s="41" t="s">
        <v>866</v>
      </c>
      <c r="C44" s="41"/>
      <c r="D44" s="43">
        <v>662</v>
      </c>
      <c r="E44" s="44" t="s">
        <v>867</v>
      </c>
      <c r="F44" s="41"/>
    </row>
    <row r="45" spans="2:6" x14ac:dyDescent="0.15">
      <c r="B45" s="41" t="s">
        <v>868</v>
      </c>
      <c r="C45" s="41" t="s">
        <v>833</v>
      </c>
      <c r="D45" s="43">
        <v>35.31467</v>
      </c>
      <c r="E45" s="44" t="s">
        <v>869</v>
      </c>
      <c r="F45" s="41"/>
    </row>
    <row r="46" spans="2:6" x14ac:dyDescent="0.15">
      <c r="B46" s="41" t="s">
        <v>870</v>
      </c>
      <c r="C46" s="41"/>
      <c r="D46" s="43">
        <v>1012</v>
      </c>
      <c r="E46" s="44" t="s">
        <v>871</v>
      </c>
      <c r="F46" s="41"/>
    </row>
    <row r="47" spans="2:6" x14ac:dyDescent="0.15">
      <c r="B47" s="41" t="s">
        <v>872</v>
      </c>
      <c r="C47" s="41" t="s">
        <v>833</v>
      </c>
      <c r="D47" s="43">
        <v>3.4119999999999999</v>
      </c>
      <c r="E47" s="44" t="s">
        <v>873</v>
      </c>
      <c r="F47" s="41" t="s">
        <v>874</v>
      </c>
    </row>
    <row r="48" spans="2:6" x14ac:dyDescent="0.15">
      <c r="B48" s="41" t="s">
        <v>875</v>
      </c>
      <c r="C48" s="41" t="s">
        <v>833</v>
      </c>
      <c r="D48" s="43">
        <v>3.4120000000000001E-6</v>
      </c>
      <c r="E48" s="44" t="s">
        <v>876</v>
      </c>
      <c r="F48" s="41"/>
    </row>
    <row r="49" spans="2:6" x14ac:dyDescent="0.15">
      <c r="B49" s="41" t="s">
        <v>877</v>
      </c>
      <c r="C49" s="41" t="s">
        <v>840</v>
      </c>
      <c r="D49" s="43">
        <v>3.14</v>
      </c>
      <c r="E49" s="44" t="s">
        <v>878</v>
      </c>
      <c r="F49" s="41" t="s">
        <v>879</v>
      </c>
    </row>
    <row r="50" spans="2:6" x14ac:dyDescent="0.15">
      <c r="B50" s="41" t="s">
        <v>880</v>
      </c>
      <c r="C50" s="41" t="s">
        <v>840</v>
      </c>
      <c r="D50" s="43">
        <v>1.05</v>
      </c>
      <c r="E50" s="44" t="s">
        <v>878</v>
      </c>
      <c r="F50" s="41" t="s">
        <v>879</v>
      </c>
    </row>
    <row r="51" spans="2:6" x14ac:dyDescent="0.15">
      <c r="B51" s="41" t="s">
        <v>881</v>
      </c>
      <c r="C51" s="41" t="s">
        <v>840</v>
      </c>
      <c r="D51" s="43">
        <v>1037</v>
      </c>
      <c r="E51" s="44" t="s">
        <v>882</v>
      </c>
      <c r="F51" s="41" t="s">
        <v>883</v>
      </c>
    </row>
    <row r="52" spans="2:6" x14ac:dyDescent="0.15">
      <c r="B52" s="41" t="s">
        <v>884</v>
      </c>
      <c r="C52" s="41" t="s">
        <v>833</v>
      </c>
      <c r="D52" s="43">
        <v>3.6</v>
      </c>
      <c r="E52" s="44" t="s">
        <v>885</v>
      </c>
      <c r="F52" s="41" t="s">
        <v>886</v>
      </c>
    </row>
    <row r="53" spans="2:6" x14ac:dyDescent="0.15">
      <c r="B53" s="41" t="s">
        <v>887</v>
      </c>
      <c r="C53" s="41" t="s">
        <v>840</v>
      </c>
      <c r="D53" s="43">
        <v>42</v>
      </c>
      <c r="E53" s="44" t="s">
        <v>888</v>
      </c>
      <c r="F53" s="41"/>
    </row>
    <row r="54" spans="2:6" x14ac:dyDescent="0.15">
      <c r="B54" s="41" t="s">
        <v>889</v>
      </c>
      <c r="C54" s="41" t="s">
        <v>840</v>
      </c>
      <c r="D54" s="43">
        <v>145.019935</v>
      </c>
      <c r="E54" s="44" t="s">
        <v>890</v>
      </c>
      <c r="F54" s="41" t="s">
        <v>886</v>
      </c>
    </row>
    <row r="55" spans="2:6" x14ac:dyDescent="0.15">
      <c r="B55" s="41" t="s">
        <v>891</v>
      </c>
      <c r="C55" s="41" t="s">
        <v>840</v>
      </c>
      <c r="D55" s="43">
        <v>2.9307999999999998E-4</v>
      </c>
      <c r="E55" s="44" t="s">
        <v>892</v>
      </c>
      <c r="F55" s="223" t="s">
        <v>886</v>
      </c>
    </row>
    <row r="56" spans="2:6" x14ac:dyDescent="0.15">
      <c r="B56" s="41" t="s">
        <v>893</v>
      </c>
      <c r="C56" s="41" t="s">
        <v>833</v>
      </c>
      <c r="D56" s="43">
        <v>2839</v>
      </c>
      <c r="E56" s="44" t="s">
        <v>894</v>
      </c>
      <c r="F56" s="178" t="s">
        <v>895</v>
      </c>
    </row>
    <row r="57" spans="2:6" x14ac:dyDescent="0.15">
      <c r="B57" s="41" t="s">
        <v>896</v>
      </c>
      <c r="C57" s="41" t="s">
        <v>833</v>
      </c>
      <c r="D57" s="41">
        <v>3167</v>
      </c>
      <c r="E57" s="44" t="s">
        <v>894</v>
      </c>
      <c r="F57" s="178" t="s">
        <v>895</v>
      </c>
    </row>
    <row r="58" spans="2:6" x14ac:dyDescent="0.15">
      <c r="B58" s="41" t="s">
        <v>897</v>
      </c>
      <c r="C58" s="41" t="s">
        <v>840</v>
      </c>
      <c r="D58" s="43">
        <v>48.631999999999998</v>
      </c>
      <c r="E58" s="44" t="s">
        <v>898</v>
      </c>
      <c r="F58" s="178" t="s">
        <v>895</v>
      </c>
    </row>
    <row r="59" spans="2:6" x14ac:dyDescent="0.15">
      <c r="B59" s="41" t="s">
        <v>899</v>
      </c>
      <c r="C59" s="41" t="s">
        <v>840</v>
      </c>
      <c r="D59" s="43">
        <v>1.05506E-3</v>
      </c>
      <c r="E59" s="44" t="s">
        <v>900</v>
      </c>
      <c r="F59" s="41" t="s">
        <v>901</v>
      </c>
    </row>
    <row r="60" spans="2:6" x14ac:dyDescent="0.15">
      <c r="B60" s="41" t="s">
        <v>902</v>
      </c>
      <c r="C60" s="41" t="s">
        <v>840</v>
      </c>
      <c r="D60" s="187">
        <f>'[1]2010-2019 Trends'!$T$35</f>
        <v>9.1826405474375747E-2</v>
      </c>
      <c r="E60" s="44" t="s">
        <v>903</v>
      </c>
      <c r="F60" s="41" t="s">
        <v>904</v>
      </c>
    </row>
    <row r="61" spans="2:6" x14ac:dyDescent="0.15">
      <c r="B61" s="41" t="s">
        <v>905</v>
      </c>
      <c r="C61" s="41" t="s">
        <v>840</v>
      </c>
      <c r="D61" s="187">
        <f>'[1]2010-2019 Trends'!$U$35</f>
        <v>4.9874458572562584E-2</v>
      </c>
      <c r="E61" s="44" t="s">
        <v>903</v>
      </c>
      <c r="F61" s="41" t="s">
        <v>904</v>
      </c>
    </row>
    <row r="62" spans="2:6" x14ac:dyDescent="0.15">
      <c r="B62" s="41" t="s">
        <v>906</v>
      </c>
      <c r="C62" s="41" t="s">
        <v>840</v>
      </c>
      <c r="D62" s="231">
        <f>379.1/784.6</f>
        <v>0.48317614070864134</v>
      </c>
      <c r="E62" s="44" t="s">
        <v>903</v>
      </c>
      <c r="F62" s="41" t="s">
        <v>907</v>
      </c>
    </row>
    <row r="63" spans="2:6" x14ac:dyDescent="0.15">
      <c r="B63" s="41" t="s">
        <v>908</v>
      </c>
      <c r="C63" s="41" t="s">
        <v>833</v>
      </c>
      <c r="D63" s="41">
        <v>1923</v>
      </c>
      <c r="E63" s="44" t="s">
        <v>894</v>
      </c>
      <c r="F63" s="41" t="s">
        <v>895</v>
      </c>
    </row>
    <row r="64" spans="2:6" x14ac:dyDescent="0.15">
      <c r="B64" s="41" t="s">
        <v>909</v>
      </c>
      <c r="C64" s="41"/>
      <c r="D64" s="41">
        <v>1.42</v>
      </c>
      <c r="E64" s="44" t="s">
        <v>910</v>
      </c>
      <c r="F64" s="41" t="s">
        <v>911</v>
      </c>
    </row>
    <row r="65" spans="2:6" x14ac:dyDescent="0.15">
      <c r="B65" s="41" t="s">
        <v>912</v>
      </c>
      <c r="C65" s="41" t="s">
        <v>833</v>
      </c>
      <c r="D65" s="41">
        <f>100000*0.00105506</f>
        <v>105.506</v>
      </c>
      <c r="E65" s="44" t="s">
        <v>913</v>
      </c>
      <c r="F65" s="41" t="s">
        <v>914</v>
      </c>
    </row>
  </sheetData>
  <hyperlinks>
    <hyperlink ref="F54" r:id="rId1" xr:uid="{00000000-0004-0000-0B00-000000000000}"/>
    <hyperlink ref="F55" r:id="rId2" xr:uid="{00000000-0004-0000-0B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8FD412FA9E63E43897E932239713295" ma:contentTypeVersion="12" ma:contentTypeDescription="Create a new document." ma:contentTypeScope="" ma:versionID="580185472da899a3e7df45a6ecd87af9">
  <xsd:schema xmlns:xsd="http://www.w3.org/2001/XMLSchema" xmlns:xs="http://www.w3.org/2001/XMLSchema" xmlns:p="http://schemas.microsoft.com/office/2006/metadata/properties" xmlns:ns2="9cbdc254-f20f-4056-b695-d1492fd78830" xmlns:ns3="f5849450-864c-455a-b3fd-e8efba175af6" targetNamespace="http://schemas.microsoft.com/office/2006/metadata/properties" ma:root="true" ma:fieldsID="455987fedaa73ea50eb34f4f4988571a" ns2:_="" ns3:_="">
    <xsd:import namespace="9cbdc254-f20f-4056-b695-d1492fd78830"/>
    <xsd:import namespace="f5849450-864c-455a-b3fd-e8efba175af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AutoKeyPoints" minOccurs="0"/>
                <xsd:element ref="ns2:MediaServiceKeyPoints" minOccurs="0"/>
                <xsd:element ref="ns3:SharedWithUsers" minOccurs="0"/>
                <xsd:element ref="ns3:SharedWithDetail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bdc254-f20f-4056-b695-d1492fd78830"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f5849450-864c-455a-b3fd-e8efba175af6"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576676-8375-4BD3-9C9F-3D8315B628FF}">
  <ds:schemaRefs>
    <ds:schemaRef ds:uri="http://purl.org/dc/elements/1.1/"/>
    <ds:schemaRef ds:uri="9cbdc254-f20f-4056-b695-d1492fd78830"/>
    <ds:schemaRef ds:uri="http://schemas.microsoft.com/office/2006/documentManagement/types"/>
    <ds:schemaRef ds:uri="http://www.w3.org/XML/1998/namespace"/>
    <ds:schemaRef ds:uri="http://schemas.microsoft.com/office/2006/metadata/properties"/>
    <ds:schemaRef ds:uri="f5849450-864c-455a-b3fd-e8efba175af6"/>
    <ds:schemaRef ds:uri="http://purl.org/dc/dcmitype/"/>
    <ds:schemaRef ds:uri="http://schemas.microsoft.com/office/infopath/2007/PartnerControl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28281325-2C7F-47A1-A210-2886073F8C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bdc254-f20f-4056-b695-d1492fd78830"/>
    <ds:schemaRef ds:uri="f5849450-864c-455a-b3fd-e8efba175a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B99D17-4927-4141-BDE5-C93197728A8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34</vt:i4>
      </vt:variant>
    </vt:vector>
  </HeadingPairs>
  <TitlesOfParts>
    <vt:vector size="55" baseType="lpstr">
      <vt:lpstr>Table of Contents</vt:lpstr>
      <vt:lpstr>Summary</vt:lpstr>
      <vt:lpstr>Emissions Data</vt:lpstr>
      <vt:lpstr>On-road</vt:lpstr>
      <vt:lpstr>Rail</vt:lpstr>
      <vt:lpstr>Waterborne</vt:lpstr>
      <vt:lpstr>Aviation</vt:lpstr>
      <vt:lpstr>Off-road</vt:lpstr>
      <vt:lpstr>Onroad Data</vt:lpstr>
      <vt:lpstr>Passenger Rail</vt:lpstr>
      <vt:lpstr>Freight Summary</vt:lpstr>
      <vt:lpstr>Waterborne Data</vt:lpstr>
      <vt:lpstr>Aviation Data</vt:lpstr>
      <vt:lpstr>Offroad Data</vt:lpstr>
      <vt:lpstr>Offroad Allocation</vt:lpstr>
      <vt:lpstr>Freight Data_2019</vt:lpstr>
      <vt:lpstr>Freight Data_2015</vt:lpstr>
      <vt:lpstr>Freight Data_2010</vt:lpstr>
      <vt:lpstr>Outputs for Energy</vt:lpstr>
      <vt:lpstr>Emission Factors</vt:lpstr>
      <vt:lpstr>Constants &amp; Conversions</vt:lpstr>
      <vt:lpstr>'Onroad Data'!_Ref284943152</vt:lpstr>
      <vt:lpstr>Aviation_Gas_gCH4_per_gallon</vt:lpstr>
      <vt:lpstr>Aviation_Gas_gCO2_per_gallon</vt:lpstr>
      <vt:lpstr>Aviation_Gas_gN2O_per_gallon</vt:lpstr>
      <vt:lpstr>CH4_GWP</vt:lpstr>
      <vt:lpstr>CO2_GWP</vt:lpstr>
      <vt:lpstr>Diesel_Ships_gCH4_per_gallon</vt:lpstr>
      <vt:lpstr>Diesel_Ships_gCO2_per_gallon</vt:lpstr>
      <vt:lpstr>Diesel_Ships_gN2O_per_gallon</vt:lpstr>
      <vt:lpstr>Emissions_Data</vt:lpstr>
      <vt:lpstr>'Emissions Data'!Extract</vt:lpstr>
      <vt:lpstr>Gas_Boats_gCH4_per_gallon</vt:lpstr>
      <vt:lpstr>Gas_Boats_gCO2_per_gallon</vt:lpstr>
      <vt:lpstr>Gas_Boats_gN2O_per_gallon</vt:lpstr>
      <vt:lpstr>GDP_Growth</vt:lpstr>
      <vt:lpstr>Global_Warming_Potential_CH4</vt:lpstr>
      <vt:lpstr>Global_Warming_Potential_CO2</vt:lpstr>
      <vt:lpstr>Global_Warming_Potential_N2O</vt:lpstr>
      <vt:lpstr>Grams_per_Metric_Ton</vt:lpstr>
      <vt:lpstr>grams_to_mton</vt:lpstr>
      <vt:lpstr>GWP_CH4</vt:lpstr>
      <vt:lpstr>GWP_CO2</vt:lpstr>
      <vt:lpstr>GWP_N2O</vt:lpstr>
      <vt:lpstr>Jet_Fuel_gCH4_per_gallon</vt:lpstr>
      <vt:lpstr>Jet_Fuel_gCO2_per_gallon</vt:lpstr>
      <vt:lpstr>Jet_Fuel_gN2O_per_gallon</vt:lpstr>
      <vt:lpstr>kwh_per_MWH</vt:lpstr>
      <vt:lpstr>lbs_per_mton</vt:lpstr>
      <vt:lpstr>Metric_Tons_per_Million_Metric_Tons</vt:lpstr>
      <vt:lpstr>MT_lbs</vt:lpstr>
      <vt:lpstr>MT_MMT</vt:lpstr>
      <vt:lpstr>mton_per_mmton</vt:lpstr>
      <vt:lpstr>MWh_kWh</vt:lpstr>
      <vt:lpstr>N2O_GWP</vt:lpstr>
    </vt:vector>
  </TitlesOfParts>
  <Manager/>
  <Company>ICFI</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Stilson, Drew</dc:creator>
  <cp:keywords/>
  <dc:description/>
  <cp:lastModifiedBy>Ben Kessler</cp:lastModifiedBy>
  <cp:revision/>
  <dcterms:created xsi:type="dcterms:W3CDTF">2018-01-31T18:26:35Z</dcterms:created>
  <dcterms:modified xsi:type="dcterms:W3CDTF">2023-10-20T19:13:40Z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0x01010038FD412FA9E63E43897E932239713295</vt:lpwstr>
  </property>
</Properties>
</file>